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6645"/>
  </bookViews>
  <sheets>
    <sheet name="Report (2)" sheetId="1" r:id="rId1"/>
    <sheet name="C%" sheetId="2" r:id="rId2"/>
    <sheet name="Note" sheetId="4" r:id="rId3"/>
    <sheet name="Valuation" sheetId="5" r:id="rId4"/>
    <sheet name="Flat detail" sheetId="3" r:id="rId5"/>
  </sheets>
  <definedNames>
    <definedName name="_xlnm.Print_Area" localSheetId="0">'Report (2)'!$A$1:$J$252</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1" l="1"/>
  <c r="C77" i="1"/>
  <c r="C63" i="1"/>
  <c r="C64" i="1" s="1"/>
  <c r="D84" i="1" l="1"/>
  <c r="D83" i="1"/>
  <c r="L82" i="1"/>
  <c r="D82" i="1"/>
  <c r="L81" i="1"/>
  <c r="D81" i="1"/>
  <c r="L80" i="1"/>
  <c r="D80" i="1"/>
  <c r="L79" i="1"/>
  <c r="D79" i="1"/>
  <c r="D78" i="1"/>
  <c r="L77" i="1"/>
  <c r="L78" i="1" s="1"/>
  <c r="L83" i="1" s="1"/>
  <c r="L84" i="1" s="1"/>
  <c r="C76" i="1" s="1"/>
  <c r="D77" i="1"/>
  <c r="L76" i="1"/>
  <c r="L75" i="1"/>
  <c r="C75" i="1"/>
  <c r="D75" i="1" s="1"/>
  <c r="L74" i="1"/>
  <c r="D76" i="1" l="1"/>
  <c r="F75" i="1"/>
  <c r="K71" i="1" s="1"/>
  <c r="C73" i="1" s="1"/>
  <c r="H75" i="1"/>
  <c r="F3" i="1"/>
  <c r="I119" i="1" l="1"/>
  <c r="D155" i="1" l="1"/>
  <c r="G155" i="1" s="1"/>
  <c r="D154" i="1"/>
  <c r="G154" i="1" s="1"/>
  <c r="D153" i="1"/>
  <c r="G153" i="1" s="1"/>
  <c r="D145" i="1"/>
  <c r="D144" i="1"/>
  <c r="K155" i="1"/>
  <c r="K153" i="1"/>
  <c r="I152" i="1"/>
  <c r="D114" i="1"/>
  <c r="H47" i="1"/>
  <c r="K152" i="1" l="1"/>
  <c r="M116" i="1"/>
  <c r="M118" i="1"/>
  <c r="M123" i="1"/>
  <c r="M124" i="1"/>
  <c r="M125" i="1"/>
  <c r="M126" i="1"/>
  <c r="M127" i="1"/>
  <c r="M130" i="1"/>
  <c r="M132" i="1"/>
  <c r="L115" i="1" l="1"/>
  <c r="L117" i="1"/>
  <c r="L122" i="1"/>
  <c r="L123" i="1"/>
  <c r="L124" i="1"/>
  <c r="L125" i="1"/>
  <c r="L126" i="1"/>
  <c r="L129" i="1"/>
  <c r="L131" i="1"/>
  <c r="L136" i="1"/>
  <c r="K143" i="1" l="1"/>
  <c r="K145" i="1"/>
  <c r="K111" i="1"/>
  <c r="D134" i="1"/>
  <c r="D129" i="1"/>
  <c r="D143" i="1"/>
  <c r="G143" i="1" s="1"/>
  <c r="D150" i="1"/>
  <c r="G150" i="1" s="1"/>
  <c r="D149" i="1"/>
  <c r="G149" i="1" s="1"/>
  <c r="D147" i="1"/>
  <c r="G147" i="1" s="1"/>
  <c r="D148" i="1"/>
  <c r="G148" i="1" s="1"/>
  <c r="D121" i="1"/>
  <c r="D135" i="1"/>
  <c r="D136" i="1"/>
  <c r="D131" i="1"/>
  <c r="D122" i="1"/>
  <c r="D117" i="1"/>
  <c r="D133" i="1"/>
  <c r="D128" i="1"/>
  <c r="D119" i="1"/>
  <c r="D120" i="1"/>
  <c r="D115" i="1"/>
  <c r="G144" i="1"/>
  <c r="I147" i="1"/>
  <c r="G145" i="1"/>
  <c r="I142" i="1"/>
  <c r="K142" i="1" l="1"/>
  <c r="C103" i="1"/>
  <c r="D103" i="1"/>
  <c r="C102" i="1"/>
  <c r="D102" i="1"/>
  <c r="G131" i="1"/>
  <c r="G117" i="1"/>
  <c r="D104" i="1" l="1"/>
  <c r="C104" i="1"/>
  <c r="M131" i="1"/>
  <c r="L130" i="1"/>
  <c r="M117" i="1"/>
  <c r="L116" i="1"/>
  <c r="L68" i="1"/>
  <c r="L67" i="1"/>
  <c r="L66" i="1"/>
  <c r="L65" i="1"/>
  <c r="D70" i="1" l="1"/>
  <c r="D68" i="1"/>
  <c r="D66" i="1"/>
  <c r="D64" i="1"/>
  <c r="L62" i="1"/>
  <c r="C61" i="1" s="1"/>
  <c r="L60" i="1"/>
  <c r="D69" i="1"/>
  <c r="D65" i="1"/>
  <c r="D63" i="1"/>
  <c r="L61" i="1"/>
  <c r="L63" i="1"/>
  <c r="L64" i="1" s="1"/>
  <c r="L69" i="1" s="1"/>
  <c r="L70" i="1" s="1"/>
  <c r="C62" i="1" s="1"/>
  <c r="D67" i="1"/>
  <c r="B12" i="2"/>
  <c r="B11" i="2"/>
  <c r="B10" i="2"/>
  <c r="B9" i="2"/>
  <c r="B8" i="2"/>
  <c r="B7" i="2"/>
  <c r="C8" i="2"/>
  <c r="F61" i="1" l="1"/>
  <c r="D62" i="1"/>
  <c r="H61" i="1"/>
  <c r="D61" i="1"/>
  <c r="C9" i="2"/>
  <c r="K57" i="1" l="1"/>
  <c r="C59" i="1" s="1"/>
  <c r="F11" i="5"/>
  <c r="G11" i="5" s="1"/>
  <c r="F10" i="5"/>
  <c r="G10" i="5" s="1"/>
  <c r="F9" i="5"/>
  <c r="G9" i="5" s="1"/>
  <c r="F8" i="5"/>
  <c r="G8" i="5" s="1"/>
  <c r="G7" i="5"/>
  <c r="F6" i="5"/>
  <c r="G6" i="5" s="1"/>
  <c r="F5" i="5"/>
  <c r="G5" i="5" s="1"/>
  <c r="G12" i="5" l="1"/>
  <c r="G115" i="1"/>
  <c r="G136" i="1"/>
  <c r="G135" i="1"/>
  <c r="G134" i="1"/>
  <c r="G133" i="1"/>
  <c r="G128" i="1"/>
  <c r="G129" i="1"/>
  <c r="I128" i="1"/>
  <c r="I133" i="1"/>
  <c r="M129" i="1" l="1"/>
  <c r="L128" i="1"/>
  <c r="M135" i="1"/>
  <c r="L134" i="1"/>
  <c r="G103" i="1"/>
  <c r="M128" i="1"/>
  <c r="L127" i="1"/>
  <c r="M133" i="1"/>
  <c r="L132" i="1"/>
  <c r="M115" i="1"/>
  <c r="L114" i="1"/>
  <c r="M134" i="1"/>
  <c r="L133" i="1"/>
  <c r="M136" i="1"/>
  <c r="L135" i="1"/>
  <c r="C14" i="1"/>
  <c r="G120" i="1"/>
  <c r="G122" i="1"/>
  <c r="G121" i="1"/>
  <c r="G119" i="1"/>
  <c r="G114" i="1"/>
  <c r="I114" i="1"/>
  <c r="F41" i="1"/>
  <c r="F42" i="1" s="1"/>
  <c r="M121" i="1" l="1"/>
  <c r="L120" i="1"/>
  <c r="M122" i="1"/>
  <c r="L121" i="1"/>
  <c r="M119" i="1"/>
  <c r="L118" i="1"/>
  <c r="G102" i="1"/>
  <c r="G104" i="1" s="1"/>
  <c r="M114" i="1"/>
  <c r="L113" i="1"/>
  <c r="M120" i="1"/>
  <c r="L119" i="1"/>
  <c r="G15" i="2"/>
  <c r="G16" i="2" s="1"/>
  <c r="C15" i="2" s="1"/>
  <c r="H15" i="2"/>
  <c r="B16" i="2" s="1"/>
  <c r="D6" i="2"/>
  <c r="C5" i="2"/>
  <c r="D170" i="1"/>
  <c r="G99" i="1"/>
  <c r="C47" i="1"/>
  <c r="B15" i="2" l="1"/>
  <c r="J16" i="2"/>
  <c r="C18" i="2" s="1"/>
  <c r="L15" i="2"/>
  <c r="B20" i="2" s="1"/>
  <c r="D12" i="2"/>
  <c r="M16" i="2"/>
  <c r="C21" i="2" s="1"/>
  <c r="M15" i="2"/>
  <c r="B21" i="2" s="1"/>
  <c r="H16" i="2"/>
  <c r="C16" i="2" s="1"/>
  <c r="D7"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<sst xmlns="http://schemas.openxmlformats.org/spreadsheetml/2006/main" count="455" uniqueCount="286">
  <si>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</si>
  <si>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</si>
  <si>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</si>
  <si>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</si>
  <si>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</si>
  <si>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</si>
  <si>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</si>
  <si>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</si>
  <si>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</si>
  <si>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</si>
  <si>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</si>
  <si>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</si>
  <si>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</si>
  <si>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</si>
  <si>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</si>
  <si>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</si>
  <si>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</si>
  <si>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</si>
  <si>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</si>
  <si>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</si>
  <si>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</si>
  <si>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</si>
  <si>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</si>
  <si>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</si>
  <si>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</si>
  <si>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</si>
  <si>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</si>
  <si>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</si>
  <si>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</si>
  <si>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</si>
  <si>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</si>
  <si>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</si>
  <si>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</si>
  <si>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</si>
  <si>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</si>
  <si>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</si>
  <si>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</si>
  <si>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</si>
  <si>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</si>
  <si>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</si>
  <si>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</si>
  <si>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</si>
  <si>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</si>
  <si>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</si>
  <si>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</si>
  <si>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</si>
  <si>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</si>
  <si>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</si>
  <si>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</si>
  <si>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</si>
  <si>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</si>
  <si>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</si>
  <si>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</si>
  <si>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</si>
  <si>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</si>
  <si>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</si>
  <si>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</si>
  <si>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</si>
  <si>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</si>
  <si>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</si>
  <si>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</si>
  <si>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</si>
  <si>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</si>
  <si>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</si>
  <si>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</si>
  <si>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</si>
  <si>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</si>
  <si>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</si>
  <si>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</si>
  <si>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</si>
  <si>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</si>
  <si>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</si>
  <si>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</si>
  <si>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</si>
  <si>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</si>
  <si>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</si>
  <si>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Society formation charges</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</si>
  <si>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</si>
  <si>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</si>
  <si>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</si>
  <si>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</si>
  <si>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</si>
  <si>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</si>
  <si>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</si>
  <si>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</si>
  <si>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</si>
  <si>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</si>
  <si>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</si>
  <si>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</si>
  <si>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</si>
  <si>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</si>
  <si>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</si>
  <si>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</si>
  <si>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</si>
  <si>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</si>
  <si>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</si>
  <si>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</si>
  <si>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</si>
  <si>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</si>
  <si>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</si>
  <si>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</si>
  <si>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</si>
  <si>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</si>
  <si>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</si>
  <si>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</si>
  <si>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</si>
  <si>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</si>
  <si>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</si>
  <si>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</si>
  <si>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</si>
  <si>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</si>
  <si>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</si>
  <si>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</si>
  <si>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</si>
  <si>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</si>
  <si>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</si>
  <si>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</si>
  <si>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</si>
  <si>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</si>
  <si>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</si>
  <si>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</si>
  <si>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</si>
  <si>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</si>
  <si>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</si>
  <si>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</si>
  <si>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</si>
  <si>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</si>
  <si>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</si>
  <si>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</si>
  <si>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</si>
  <si>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</si>
  <si>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</si>
  <si>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</si>
  <si>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</si>
  <si>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</si>
  <si>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</si>
  <si>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</si>
  <si>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</si>
  <si>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</si>
  <si>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</si>
  <si>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</si>
  <si>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</si>
  <si>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</si>
  <si>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</si>
  <si>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</si>
  <si>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</si>
  <si>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</si>
  <si>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</si>
  <si>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</si>
  <si>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</si>
  <si>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</si>
  <si>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</si>
  <si>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</si>
  <si>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</si>
  <si>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</si>
  <si>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</si>
  <si>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</si>
  <si>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</si>
  <si>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</si>
  <si>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</si>
  <si>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</si>
  <si>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</si>
  <si>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</si>
  <si>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</si>
  <si>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</si>
  <si>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</si>
  <si>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</si>
  <si>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</si>
  <si>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</si>
  <si>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</si>
  <si>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</si>
  <si>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</si>
  <si>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</si>
  <si>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</si>
  <si>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</si>
  <si>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</si>
  <si>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</si>
  <si>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Nahur</t>
  </si>
  <si>
    <t>Mumbai</t>
  </si>
  <si>
    <t>Kurla</t>
  </si>
  <si>
    <t>Ground Floor For Parking</t>
  </si>
  <si>
    <t>1st to 5th Podium Floor For parking</t>
  </si>
  <si>
    <t>Refuge Area.</t>
  </si>
  <si>
    <t xml:space="preserve">Residential </t>
  </si>
  <si>
    <t>LBS Road</t>
  </si>
  <si>
    <t>Pinnacle Cooperative Housing Society Ltd</t>
  </si>
  <si>
    <t xml:space="preserve">Building </t>
  </si>
  <si>
    <t xml:space="preserve">P51800017754
</t>
  </si>
  <si>
    <t>01 Building (02 wings)</t>
  </si>
  <si>
    <t>Building No.- 10 (Giona)</t>
  </si>
  <si>
    <t>A Wing</t>
  </si>
  <si>
    <t>3BHK</t>
  </si>
  <si>
    <t>2BHK</t>
  </si>
  <si>
    <t>B Wing</t>
  </si>
  <si>
    <t>About 3.1Km from Nahur Railway Station</t>
  </si>
  <si>
    <t>Montana Phase III</t>
  </si>
  <si>
    <t>Axis Sanpada</t>
  </si>
  <si>
    <t>514, 531(Pt), 531/1 TO 14, 532A(Pt) &amp; 534</t>
  </si>
  <si>
    <t>CTS No</t>
  </si>
  <si>
    <t>Material laying at Site: Bricks, Cement &amp; Steel etc.</t>
  </si>
  <si>
    <t>Wheather the construction is as per approved Building plan : Under Construction</t>
  </si>
  <si>
    <t>One time Club house charges towards membership</t>
  </si>
  <si>
    <t>Legal Charges</t>
  </si>
  <si>
    <t>Electric Connection Charges/Water Charges</t>
  </si>
  <si>
    <t>Pipe line Gas Connection</t>
  </si>
  <si>
    <t>2,00,000/-</t>
  </si>
  <si>
    <t>20,000/-</t>
  </si>
  <si>
    <t>30,000/-</t>
  </si>
  <si>
    <t>40,000/-</t>
  </si>
  <si>
    <t>15,000/-</t>
  </si>
  <si>
    <t>Recommended rate of the flat Per Sq. Ft. (on Saleable area)</t>
  </si>
  <si>
    <t>Mulund West</t>
  </si>
  <si>
    <t>8,00,000/-</t>
  </si>
  <si>
    <r>
      <t xml:space="preserve">Proposed Amenities:                                                                                                                                                                                                                      </t>
    </r>
    <r>
      <rPr>
        <sz val="12"/>
        <rFont val="Times New Roman"/>
        <family val="1"/>
      </rPr>
      <t xml:space="preserve">   </t>
    </r>
    <r>
      <rPr>
        <b/>
        <sz val="12"/>
        <rFont val="Times New Roman"/>
        <family val="1"/>
      </rPr>
      <t xml:space="preserve">                                               </t>
    </r>
  </si>
  <si>
    <t>Pratiksha</t>
  </si>
  <si>
    <t>Market Research Data</t>
  </si>
  <si>
    <t>Source</t>
  </si>
  <si>
    <t>Distance from proposed property</t>
  </si>
  <si>
    <t>Net Carpet</t>
  </si>
  <si>
    <t>Saleable Area</t>
  </si>
  <si>
    <t>Rate on Saleable</t>
  </si>
  <si>
    <t>Market Value</t>
  </si>
  <si>
    <t>Housing</t>
  </si>
  <si>
    <t>Montana</t>
  </si>
  <si>
    <t>4BHK</t>
  </si>
  <si>
    <t>99 Acres</t>
  </si>
  <si>
    <t>Average</t>
  </si>
  <si>
    <t xml:space="preserve">Valuation Adopted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</si>
  <si>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</si>
  <si>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</si>
  <si>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</si>
  <si>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</si>
  <si>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</si>
  <si>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</si>
  <si>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</si>
  <si>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</si>
  <si>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</si>
  <si>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</si>
  <si>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</si>
  <si>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</si>
  <si>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</si>
  <si>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</si>
  <si>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</si>
  <si>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</si>
  <si>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</si>
  <si>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</si>
  <si>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</si>
  <si>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</si>
  <si>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</si>
  <si>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</si>
  <si>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</si>
  <si>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</si>
  <si>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C Wing</t>
  </si>
  <si>
    <t>5BHK</t>
  </si>
  <si>
    <t>CHE/ES/2036/T/337(NEW )</t>
  </si>
  <si>
    <t>6th Podium floor For Garden &amp; Eco - Deck</t>
  </si>
  <si>
    <t>Recommended Car Parking</t>
  </si>
  <si>
    <t xml:space="preserve">12 Months Advance Maintenance </t>
  </si>
  <si>
    <t>2,50,000/-</t>
  </si>
  <si>
    <t>5,00,000/-</t>
  </si>
  <si>
    <t>Infrastructure/Development Charges</t>
  </si>
  <si>
    <t>Apex body charges</t>
  </si>
  <si>
    <t>1st, 8th, 15th, 22nd, 29th &amp; 36th Floor (Part Refuge Area)</t>
  </si>
  <si>
    <t>2nd to 7th, 9th to 14th, 16th to 21st &amp; 23rd to 28th, 30th to 35th &amp; 37th to 43rd Floor</t>
  </si>
  <si>
    <t>2nd to 7th, 9th to 14th, 16th to 21st &amp; 23rd to 28th, 30th to 35th &amp; 37th to 39th Floor</t>
  </si>
  <si>
    <t>1st, 8th, 15th, 22nd &amp; 29th Floor (Part Refuge Area)</t>
  </si>
  <si>
    <t>36th Floor (Part Refuge Area)</t>
  </si>
  <si>
    <t>Flats = 332</t>
  </si>
  <si>
    <t>Blg No.10 (A &amp; B wing) = Gr +1st To 5th Podium Floor + 6 Podium Floor (E-Deck) + 1st to 43rd Floor</t>
  </si>
  <si>
    <t>Giona = Building No.10 (A &amp; B Wing)</t>
  </si>
  <si>
    <t>M/S. Lohitka Properties LLP</t>
  </si>
  <si>
    <t>Proposed no of Floors</t>
  </si>
  <si>
    <t>Office No. 1031, Wing J, Akshar Business Park, Plot No. 03 Sector 25, Near APMC Market, Vashi, Navi Mumbai, Maharashtra 400703 TEL: 022-46090378/79/80                                                                                                                                         E mail : vsjcapf@gmail.com. Web site : www.vsjadon.com</t>
  </si>
  <si>
    <t>Location Link</t>
  </si>
  <si>
    <t>https://goo.gl/maps/JxYKmXLjt75bVV719</t>
  </si>
  <si>
    <t>Mr avinash CRM 
8879975804</t>
  </si>
  <si>
    <t>Contact Details ( Name &amp; Contact No.)</t>
  </si>
  <si>
    <t>Site Meet Person Contact Details ( Name &amp; Contact No.)</t>
  </si>
  <si>
    <t>Mr Avinash 8879975804</t>
  </si>
  <si>
    <t>Giona - Building No.10 (A wing) = Gr + 1st To 5th Podium floor + 6 Podium Floor (E-Deck) + 1st to 43rd floor</t>
  </si>
  <si>
    <t>Giona - Building No.10 (B wing) = Gr + 1st To 5th Podium floor + 6 Podium Floor (E-Deck) + 1st to 43rd floor</t>
  </si>
  <si>
    <t>Nainesh Tambe</t>
  </si>
  <si>
    <t>CHE/ES/2036/T/337(NEW)/FCC/4/Amend                                                                                      
Valid Up to:  Full C.C. for wing ‘C’ of building No. 10 is granted as per amended approved plan dated 20.03.2023 subject to timely renewal of B.G, SWM NOC, Workmen’s compensation policy and taking all sorts of precautions during construction and for air pollution.</t>
  </si>
  <si>
    <t>Valid upto date: 
14/10/2025</t>
  </si>
  <si>
    <r>
      <t xml:space="preserve">1. Construction work is in process at the time of visit. Internal Visit was not allowed.
2. We considered Saleable area as per our calculation
3. We considered Carpet area as per Approved Plan.
4. We considered Gross carpet area = Net carpet 
5. We have considered rate by verifying it from market inquire.
6. We have considered Other charges from cost sheet.
7. Car parking is subjected to authentic documentation.
8. We have updated latest Approved floor plan (on 23/09/2021).
9. We have updated Latest approved floor plan (on 07/02/2022).
10. We have updated approved CC From MCGM site (on 17/03/2025).
10. Please provide revised approved plans.
11. </t>
    </r>
    <r>
      <rPr>
        <b/>
        <sz val="12"/>
        <color rgb="FFFF0000"/>
        <rFont val="Times New Roman"/>
        <family val="1"/>
      </rPr>
      <t xml:space="preserve">As per RERA, completion period of project is expired on 30/12/2024, but still project is under construction.
</t>
    </r>
    <r>
      <rPr>
        <b/>
        <sz val="12"/>
        <rFont val="Times New Roman"/>
        <family val="1"/>
      </rPr>
      <t xml:space="preserve">
</t>
    </r>
    <r>
      <rPr>
        <b/>
        <sz val="12"/>
        <color theme="1"/>
        <rFont val="Times New Roman"/>
        <family val="1"/>
      </rPr>
      <t>10. Validity of CC is expired on 14/10/2023. Please provide revised CC.
11. Construction percent is given as per proposed no of Floors.
12. Validity of CC is expired on 14/10/2023. Please provide latest CC.</t>
    </r>
  </si>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</sst>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color theme="1"/>
      <name val="Times New Roman"/>
      <family val="1"/>
    </font>
    <font>
      <b/>
      <sz val="14"/>
      <color indexed="8"/>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4" fontId="6" fillId="0" borderId="0" applyFont="0" applyFill="0" applyBorder="0" applyAlignment="0" applyProtection="0"/>
    <xf numFmtId="0" fontId="24" fillId="0" borderId="0" applyNumberFormat="0" applyFill="0" applyBorder="0" applyAlignment="0" applyProtection="0"/>
  </cellStyleXfs>
  <cellXfs count="274">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0" xfId="1" applyFont="1"/>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1" fontId="7" fillId="0" borderId="6" xfId="0" applyNumberFormat="1" applyFont="1" applyBorder="1" applyAlignment="1">
      <alignment horizontal="center" vertical="center" wrapText="1"/>
    </xf>
    <xf numFmtId="14" fontId="0" fillId="0" borderId="0" xfId="0" applyNumberFormat="1"/>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0" fillId="0" borderId="4" xfId="6" applyFont="1" applyBorder="1" applyAlignment="1">
      <alignment horizontal="center" vertical="center"/>
    </xf>
    <xf numFmtId="1" fontId="22" fillId="0" borderId="4" xfId="6" applyNumberFormat="1" applyFont="1" applyBorder="1" applyAlignment="1">
      <alignment horizontal="center" vertical="center"/>
    </xf>
    <xf numFmtId="0" fontId="6" fillId="0" borderId="4" xfId="5" applyBorder="1" applyAlignment="1">
      <alignment horizontal="center" vertical="center"/>
    </xf>
    <xf numFmtId="0" fontId="23" fillId="0" borderId="0" xfId="5" applyFont="1"/>
    <xf numFmtId="0" fontId="8" fillId="0" borderId="19" xfId="1" applyFont="1" applyBorder="1" applyProtection="1">
      <protection hidden="1"/>
    </xf>
    <xf numFmtId="0" fontId="8" fillId="0" borderId="20" xfId="1" applyFont="1" applyBorder="1" applyProtection="1">
      <protection hidden="1"/>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8" fillId="0" borderId="0" xfId="1" applyFont="1" applyProtection="1">
      <protection hidden="1"/>
    </xf>
    <xf numFmtId="0" fontId="8" fillId="0" borderId="23" xfId="1" applyFont="1" applyBorder="1" applyProtection="1">
      <protection hidden="1"/>
    </xf>
    <xf numFmtId="0" fontId="17" fillId="0" borderId="0" xfId="0" applyFont="1" applyProtection="1">
      <protection hidden="1"/>
    </xf>
    <xf numFmtId="0" fontId="8" fillId="0" borderId="23" xfId="1" applyFont="1" applyBorder="1"/>
    <xf numFmtId="0" fontId="17"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7" fillId="0" borderId="32" xfId="0" applyFont="1" applyBorder="1" applyProtection="1">
      <protection hidden="1"/>
    </xf>
    <xf numFmtId="1" fontId="0" fillId="0" borderId="33" xfId="0" applyNumberFormat="1" applyBorder="1"/>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8" xfId="1" applyFont="1" applyBorder="1" applyAlignment="1" applyProtection="1">
      <alignment horizontal="center" wrapText="1"/>
      <protection locked="0"/>
    </xf>
    <xf numFmtId="1" fontId="7" fillId="0" borderId="2" xfId="0" applyNumberFormat="1" applyFont="1" applyBorder="1" applyAlignment="1">
      <alignment horizontal="center" vertical="center" wrapText="1"/>
    </xf>
    <xf numFmtId="0" fontId="14" fillId="2" borderId="4" xfId="1" applyFont="1" applyFill="1" applyBorder="1" applyAlignment="1">
      <alignment horizontal="left" vertical="top"/>
    </xf>
    <xf numFmtId="0" fontId="14" fillId="2" borderId="4" xfId="1" applyFont="1" applyFill="1" applyBorder="1" applyAlignment="1">
      <alignment vertical="top"/>
    </xf>
    <xf numFmtId="1" fontId="8" fillId="0" borderId="4" xfId="0" applyNumberFormat="1" applyFont="1" applyBorder="1" applyAlignment="1">
      <alignment horizontal="center" vertical="center"/>
    </xf>
    <xf numFmtId="1" fontId="15" fillId="0" borderId="4" xfId="0" applyNumberFormat="1" applyFont="1" applyBorder="1" applyAlignment="1">
      <alignment horizontal="center" vertical="center"/>
    </xf>
    <xf numFmtId="14" fontId="14" fillId="2" borderId="4" xfId="1" applyNumberFormat="1" applyFont="1" applyFill="1" applyBorder="1" applyAlignment="1">
      <alignment horizontal="left" vertical="top"/>
    </xf>
    <xf numFmtId="0" fontId="8" fillId="0" borderId="0" xfId="1" applyFont="1" applyAlignment="1">
      <alignment wrapText="1"/>
    </xf>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vertical="top"/>
      <protection locked="0"/>
    </xf>
    <xf numFmtId="0" fontId="14" fillId="0" borderId="21"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9" fontId="14" fillId="2" borderId="1" xfId="1" applyNumberFormat="1" applyFont="1" applyFill="1" applyBorder="1" applyAlignment="1" applyProtection="1">
      <alignment horizontal="center" vertical="center" wrapText="1"/>
      <protection hidden="1"/>
    </xf>
    <xf numFmtId="9" fontId="14" fillId="2" borderId="3" xfId="1" applyNumberFormat="1" applyFont="1" applyFill="1" applyBorder="1" applyAlignment="1" applyProtection="1">
      <alignment horizontal="center" vertical="center" wrapText="1"/>
      <protection hidden="1"/>
    </xf>
    <xf numFmtId="9" fontId="14" fillId="2" borderId="4" xfId="1" applyNumberFormat="1" applyFont="1" applyFill="1" applyBorder="1" applyAlignment="1" applyProtection="1">
      <alignment horizontal="center" vertical="center" wrapText="1"/>
      <protection hidden="1"/>
    </xf>
    <xf numFmtId="9" fontId="14" fillId="2" borderId="28" xfId="1" applyNumberFormat="1" applyFont="1" applyFill="1" applyBorder="1" applyAlignment="1" applyProtection="1">
      <alignment horizontal="center" vertical="center" wrapText="1"/>
      <protection hidden="1"/>
    </xf>
    <xf numFmtId="9" fontId="14" fillId="2" borderId="5" xfId="1" applyNumberFormat="1" applyFont="1" applyFill="1" applyBorder="1" applyAlignment="1" applyProtection="1">
      <alignment horizontal="center" vertical="center" wrapText="1"/>
      <protection hidden="1"/>
    </xf>
    <xf numFmtId="9" fontId="14" fillId="2" borderId="6" xfId="1" applyNumberFormat="1" applyFont="1" applyFill="1" applyBorder="1" applyAlignment="1" applyProtection="1">
      <alignment horizontal="center" vertical="center" wrapText="1"/>
      <protection hidden="1"/>
    </xf>
    <xf numFmtId="9" fontId="14" fillId="2" borderId="26" xfId="1" applyNumberFormat="1" applyFont="1" applyFill="1" applyBorder="1" applyAlignment="1" applyProtection="1">
      <alignment horizontal="center" vertical="center" wrapText="1"/>
      <protection hidden="1"/>
    </xf>
    <xf numFmtId="9" fontId="14" fillId="2" borderId="11" xfId="1" applyNumberFormat="1" applyFont="1" applyFill="1" applyBorder="1" applyAlignment="1" applyProtection="1">
      <alignment horizontal="center" vertical="center" wrapText="1"/>
      <protection hidden="1"/>
    </xf>
    <xf numFmtId="9" fontId="14" fillId="2" borderId="0" xfId="1" applyNumberFormat="1" applyFont="1" applyFill="1" applyAlignment="1" applyProtection="1">
      <alignment horizontal="center" vertical="center" wrapText="1"/>
      <protection hidden="1"/>
    </xf>
    <xf numFmtId="9" fontId="14" fillId="2" borderId="23" xfId="1" applyNumberFormat="1" applyFont="1" applyFill="1" applyBorder="1" applyAlignment="1" applyProtection="1">
      <alignment horizontal="center" vertical="center" wrapText="1"/>
      <protection hidden="1"/>
    </xf>
    <xf numFmtId="9" fontId="14" fillId="2" borderId="31" xfId="1" applyNumberFormat="1" applyFont="1" applyFill="1" applyBorder="1" applyAlignment="1" applyProtection="1">
      <alignment horizontal="center" vertical="center" wrapText="1"/>
      <protection hidden="1"/>
    </xf>
    <xf numFmtId="9" fontId="14" fillId="2" borderId="32" xfId="1" applyNumberFormat="1" applyFont="1" applyFill="1" applyBorder="1" applyAlignment="1" applyProtection="1">
      <alignment horizontal="center" vertical="center" wrapText="1"/>
      <protection hidden="1"/>
    </xf>
    <xf numFmtId="9" fontId="14" fillId="2" borderId="33" xfId="1" applyNumberFormat="1" applyFont="1" applyFill="1" applyBorder="1" applyAlignment="1" applyProtection="1">
      <alignment horizontal="center" vertical="center" wrapText="1"/>
      <protection hidden="1"/>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14" fillId="0" borderId="27" xfId="1" applyFont="1" applyBorder="1" applyAlignment="1" applyProtection="1">
      <alignment horizontal="center" vertical="top" wrapText="1"/>
      <protection locked="0"/>
    </xf>
    <xf numFmtId="0" fontId="14" fillId="0" borderId="28" xfId="1" applyFont="1" applyBorder="1" applyAlignment="1" applyProtection="1">
      <alignment horizontal="center" vertical="top" wrapText="1"/>
      <protection locked="0"/>
    </xf>
    <xf numFmtId="9" fontId="14" fillId="2" borderId="29" xfId="1" applyNumberFormat="1" applyFont="1" applyFill="1" applyBorder="1" applyAlignment="1" applyProtection="1">
      <alignment horizontal="center" vertical="center" wrapText="1"/>
      <protection hidden="1"/>
    </xf>
    <xf numFmtId="9" fontId="14" fillId="2" borderId="30" xfId="1" applyNumberFormat="1" applyFont="1" applyFill="1" applyBorder="1" applyAlignment="1" applyProtection="1">
      <alignment horizontal="center" vertical="center" wrapText="1"/>
      <protection hidden="1"/>
    </xf>
    <xf numFmtId="0" fontId="15" fillId="0" borderId="4" xfId="1" applyFont="1" applyBorder="1" applyAlignment="1" applyProtection="1">
      <alignment horizontal="center" vertical="top" wrapText="1"/>
      <protection locked="0"/>
    </xf>
    <xf numFmtId="0" fontId="15" fillId="0" borderId="4" xfId="1" applyFont="1" applyBorder="1" applyAlignment="1" applyProtection="1">
      <alignment horizontal="left" vertical="top" wrapText="1"/>
      <protection locked="0"/>
    </xf>
    <xf numFmtId="0" fontId="15" fillId="0" borderId="4" xfId="1" applyFont="1" applyBorder="1" applyAlignment="1" applyProtection="1">
      <alignment horizontal="left" vertical="top"/>
      <protection locked="0"/>
    </xf>
    <xf numFmtId="0" fontId="21" fillId="0" borderId="4" xfId="1" applyFont="1" applyBorder="1" applyAlignment="1" applyProtection="1">
      <alignment horizontal="center" vertical="top" wrapText="1"/>
      <protection locked="0"/>
    </xf>
    <xf numFmtId="0" fontId="7" fillId="0" borderId="1" xfId="1" applyFont="1" applyBorder="1" applyAlignment="1">
      <alignment horizontal="left" vertical="top"/>
    </xf>
    <xf numFmtId="0" fontId="7" fillId="0" borderId="3" xfId="1" applyFont="1" applyBorder="1" applyAlignment="1">
      <alignment horizontal="left" vertical="top"/>
    </xf>
    <xf numFmtId="0" fontId="24" fillId="0" borderId="1" xfId="8" applyBorder="1" applyAlignment="1">
      <alignment horizontal="left" vertical="top"/>
    </xf>
    <xf numFmtId="0" fontId="7" fillId="0" borderId="2" xfId="1" applyFont="1" applyBorder="1" applyAlignment="1">
      <alignment horizontal="left" vertical="top"/>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4" fillId="0" borderId="1" xfId="1" applyFont="1" applyBorder="1" applyAlignment="1" applyProtection="1">
      <alignment horizontal="center" vertical="top"/>
      <protection locked="0"/>
    </xf>
    <xf numFmtId="0" fontId="14" fillId="0" borderId="3" xfId="1" applyFont="1" applyBorder="1" applyAlignment="1" applyProtection="1">
      <alignment horizontal="center" vertical="top"/>
      <protection locked="0"/>
    </xf>
    <xf numFmtId="0" fontId="14" fillId="0" borderId="22" xfId="1" applyFont="1" applyBorder="1" applyAlignment="1" applyProtection="1">
      <alignment horizontal="center" vertical="top"/>
      <protection locked="0"/>
    </xf>
    <xf numFmtId="0" fontId="15" fillId="0" borderId="21"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22" xfId="1" applyFont="1" applyBorder="1" applyAlignment="1" applyProtection="1">
      <alignment horizontal="left" vertical="top" wrapText="1"/>
      <protection locked="0"/>
    </xf>
    <xf numFmtId="0" fontId="14" fillId="0" borderId="24" xfId="1" applyFont="1" applyBorder="1" applyAlignment="1" applyProtection="1">
      <alignment horizontal="center" vertical="top" wrapText="1"/>
      <protection locked="0"/>
    </xf>
    <xf numFmtId="0" fontId="14" fillId="0" borderId="3" xfId="1" applyFont="1" applyBorder="1" applyAlignment="1" applyProtection="1">
      <alignment horizontal="center" vertical="top" wrapText="1"/>
      <protection locked="0"/>
    </xf>
    <xf numFmtId="0" fontId="14" fillId="0" borderId="25" xfId="1" applyFont="1" applyBorder="1" applyAlignment="1" applyProtection="1">
      <alignment horizontal="center" vertical="top" wrapText="1"/>
      <protection locked="0"/>
    </xf>
    <xf numFmtId="0" fontId="14" fillId="0" borderId="4" xfId="1" applyFont="1" applyBorder="1" applyAlignment="1">
      <alignment horizontal="left" vertical="top"/>
    </xf>
    <xf numFmtId="14" fontId="14" fillId="0" borderId="4" xfId="1" applyNumberFormat="1" applyFont="1" applyBorder="1" applyAlignment="1">
      <alignment horizontal="center" vertical="top"/>
    </xf>
    <xf numFmtId="0" fontId="14" fillId="0" borderId="4" xfId="1" applyFont="1" applyBorder="1" applyAlignment="1">
      <alignment horizontal="center" vertical="top"/>
    </xf>
    <xf numFmtId="0" fontId="14" fillId="0" borderId="3" xfId="1" applyFont="1" applyBorder="1" applyAlignment="1">
      <alignment horizontal="left"/>
    </xf>
    <xf numFmtId="14" fontId="14" fillId="0" borderId="1" xfId="1" applyNumberFormat="1" applyFont="1" applyBorder="1" applyAlignment="1">
      <alignment horizontal="left" vertical="top"/>
    </xf>
    <xf numFmtId="0" fontId="14" fillId="0" borderId="3" xfId="1" applyFont="1" applyBorder="1" applyAlignment="1">
      <alignment horizontal="left" vertical="top"/>
    </xf>
    <xf numFmtId="0" fontId="7" fillId="0" borderId="4" xfId="1" applyFont="1" applyBorder="1" applyAlignment="1">
      <alignment horizontal="left" vertical="top"/>
    </xf>
    <xf numFmtId="0" fontId="19" fillId="0" borderId="4" xfId="0" applyFont="1" applyBorder="1" applyAlignment="1">
      <alignment horizontal="left" vertical="top" wrapText="1"/>
    </xf>
    <xf numFmtId="14" fontId="14" fillId="0" borderId="1" xfId="1" applyNumberFormat="1" applyFont="1" applyBorder="1" applyAlignment="1">
      <alignment horizontal="left" vertical="top" wrapText="1"/>
    </xf>
    <xf numFmtId="0" fontId="14" fillId="2" borderId="4" xfId="1" applyFont="1" applyFill="1" applyBorder="1" applyAlignment="1">
      <alignment horizontal="left" vertical="top" wrapText="1"/>
    </xf>
    <xf numFmtId="0" fontId="14" fillId="2" borderId="1" xfId="1" applyFont="1" applyFill="1" applyBorder="1" applyAlignment="1">
      <alignment horizontal="left" vertical="top" wrapText="1"/>
    </xf>
    <xf numFmtId="0" fontId="14" fillId="2" borderId="2" xfId="1" applyFont="1" applyFill="1" applyBorder="1" applyAlignment="1">
      <alignment horizontal="left" vertical="top" wrapText="1"/>
    </xf>
    <xf numFmtId="0" fontId="14" fillId="2" borderId="3" xfId="1" applyFont="1" applyFill="1" applyBorder="1" applyAlignment="1">
      <alignment horizontal="left" vertical="top" wrapText="1"/>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1" fontId="9" fillId="0" borderId="4"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1" fontId="7" fillId="0" borderId="4" xfId="0" applyNumberFormat="1" applyFont="1" applyBorder="1" applyAlignment="1">
      <alignment horizontal="center" vertical="top" wrapText="1"/>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1" fontId="7" fillId="0" borderId="7" xfId="0" applyNumberFormat="1" applyFont="1" applyBorder="1" applyAlignment="1">
      <alignment horizontal="center" vertical="center" wrapText="1"/>
    </xf>
    <xf numFmtId="1" fontId="7" fillId="0" borderId="11" xfId="0" applyNumberFormat="1" applyFont="1" applyBorder="1" applyAlignment="1">
      <alignment horizontal="center" vertical="center" wrapText="1"/>
    </xf>
    <xf numFmtId="1" fontId="7" fillId="0" borderId="12" xfId="0" applyNumberFormat="1" applyFont="1" applyBorder="1" applyAlignment="1">
      <alignment horizontal="center" vertical="center" wrapText="1"/>
    </xf>
    <xf numFmtId="1" fontId="7" fillId="0" borderId="8" xfId="0"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0" fontId="7" fillId="2" borderId="4" xfId="1" applyFont="1" applyFill="1" applyBorder="1" applyAlignment="1">
      <alignment horizontal="left" vertical="top"/>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0" fontId="8" fillId="0" borderId="1" xfId="1" applyFont="1" applyBorder="1" applyAlignment="1">
      <alignment horizontal="center" vertical="top"/>
    </xf>
    <xf numFmtId="0" fontId="8" fillId="0" borderId="3" xfId="1" applyFont="1" applyBorder="1" applyAlignment="1">
      <alignment horizontal="center"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9" fillId="0" borderId="4" xfId="1" applyFont="1" applyBorder="1" applyAlignment="1">
      <alignment horizontal="left" vertical="top"/>
    </xf>
    <xf numFmtId="0" fontId="7" fillId="0" borderId="4" xfId="1" applyFont="1" applyBorder="1" applyAlignment="1">
      <alignment horizontal="left" vertical="top" wrapText="1"/>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21" fillId="0" borderId="4" xfId="1" applyFont="1" applyBorder="1" applyAlignment="1">
      <alignment horizontal="center" vertical="top" wrapText="1"/>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165" fontId="19" fillId="0" borderId="4" xfId="0" applyNumberFormat="1" applyFont="1" applyBorder="1" applyAlignment="1">
      <alignment horizontal="left" vertical="top" wrapText="1"/>
    </xf>
    <xf numFmtId="0" fontId="14" fillId="0" borderId="4" xfId="1" applyFont="1" applyBorder="1" applyAlignment="1" applyProtection="1">
      <alignment horizontal="left" vertical="center" wrapText="1"/>
      <protection locked="0"/>
    </xf>
    <xf numFmtId="14" fontId="7" fillId="0" borderId="1" xfId="0" applyNumberFormat="1" applyFont="1" applyBorder="1" applyAlignment="1">
      <alignment horizontal="left" vertical="top"/>
    </xf>
    <xf numFmtId="14" fontId="7" fillId="0" borderId="2" xfId="0" applyNumberFormat="1" applyFont="1" applyBorder="1" applyAlignment="1">
      <alignment horizontal="left" vertical="top"/>
    </xf>
    <xf numFmtId="14" fontId="7" fillId="0" borderId="3" xfId="0" applyNumberFormat="1" applyFont="1" applyBorder="1" applyAlignment="1">
      <alignment horizontal="left" vertical="top"/>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7"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0" fontId="9"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14" fillId="0" borderId="4" xfId="1" applyFont="1" applyBorder="1" applyAlignment="1">
      <alignment horizontal="left"/>
    </xf>
    <xf numFmtId="0" fontId="7" fillId="2" borderId="4" xfId="1" applyFont="1" applyFill="1" applyBorder="1" applyAlignment="1">
      <alignment horizontal="left" vertical="top" wrapText="1"/>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19" fillId="0" borderId="1" xfId="0" applyFont="1" applyBorder="1" applyAlignment="1">
      <alignment horizontal="left" vertical="top"/>
    </xf>
    <xf numFmtId="0" fontId="19" fillId="0" borderId="2" xfId="0" applyFont="1" applyBorder="1" applyAlignment="1">
      <alignment horizontal="left" vertical="top"/>
    </xf>
    <xf numFmtId="0" fontId="19" fillId="0" borderId="3" xfId="0" applyFont="1" applyBorder="1" applyAlignment="1">
      <alignment horizontal="left" vertical="top"/>
    </xf>
    <xf numFmtId="0" fontId="9" fillId="0" borderId="1" xfId="1" applyFont="1" applyBorder="1" applyAlignment="1">
      <alignment horizontal="left" vertical="top"/>
    </xf>
    <xf numFmtId="0" fontId="9" fillId="0" borderId="2" xfId="1" applyFont="1" applyBorder="1" applyAlignment="1">
      <alignment horizontal="left" vertical="top"/>
    </xf>
    <xf numFmtId="0" fontId="9" fillId="0" borderId="3" xfId="1" applyFont="1" applyBorder="1" applyAlignment="1">
      <alignment horizontal="left" vertical="top"/>
    </xf>
    <xf numFmtId="0" fontId="15" fillId="0" borderId="1" xfId="1" applyFont="1" applyBorder="1" applyAlignment="1">
      <alignment vertical="top"/>
    </xf>
    <xf numFmtId="0" fontId="15" fillId="0" borderId="2" xfId="1" applyFont="1" applyBorder="1" applyAlignment="1">
      <alignment vertical="top"/>
    </xf>
    <xf numFmtId="0" fontId="15" fillId="0" borderId="3" xfId="1" applyFont="1" applyBorder="1" applyAlignment="1">
      <alignment vertical="top"/>
    </xf>
    <xf numFmtId="0" fontId="14" fillId="0" borderId="1" xfId="1" applyFont="1" applyBorder="1" applyAlignment="1">
      <alignment horizontal="center" vertical="top"/>
    </xf>
    <xf numFmtId="0" fontId="14" fillId="0" borderId="3" xfId="1" applyFont="1" applyBorder="1" applyAlignment="1">
      <alignment horizontal="center"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2" xfId="1" applyFont="1" applyBorder="1" applyAlignment="1">
      <alignment horizontal="center" vertical="top" wrapText="1"/>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15" fillId="0" borderId="14" xfId="1" applyFont="1" applyBorder="1" applyAlignment="1" applyProtection="1">
      <alignment horizontal="center" vertical="top" wrapText="1"/>
      <protection locked="0"/>
    </xf>
    <xf numFmtId="0" fontId="15" fillId="0" borderId="15" xfId="1" applyFont="1" applyBorder="1" applyAlignment="1" applyProtection="1">
      <alignment horizontal="center"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 xfId="1" applyFont="1" applyFill="1" applyBorder="1" applyAlignment="1">
      <alignment horizontal="left" vertical="top"/>
    </xf>
    <xf numFmtId="1" fontId="9" fillId="0" borderId="4" xfId="0" applyNumberFormat="1" applyFont="1" applyBorder="1" applyAlignment="1">
      <alignment horizontal="center" vertical="top" wrapText="1"/>
    </xf>
    <xf numFmtId="0" fontId="11" fillId="0" borderId="4" xfId="0"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1" fontId="20" fillId="0" borderId="1" xfId="0" applyNumberFormat="1" applyFont="1" applyBorder="1" applyAlignment="1">
      <alignment horizontal="center" vertical="center" wrapText="1"/>
    </xf>
    <xf numFmtId="1" fontId="20" fillId="0" borderId="2" xfId="0" applyNumberFormat="1" applyFont="1" applyBorder="1" applyAlignment="1">
      <alignment horizontal="center" vertical="center" wrapText="1"/>
    </xf>
    <xf numFmtId="1" fontId="20" fillId="0" borderId="3" xfId="0" applyNumberFormat="1" applyFont="1" applyBorder="1" applyAlignment="1">
      <alignment horizontal="center" vertical="center" wrapText="1"/>
    </xf>
    <xf numFmtId="1" fontId="8" fillId="0" borderId="4" xfId="0" applyNumberFormat="1" applyFont="1" applyBorder="1" applyAlignment="1">
      <alignment horizontal="center" vertical="top" wrapText="1"/>
    </xf>
    <xf numFmtId="1" fontId="7" fillId="0" borderId="5" xfId="0" applyNumberFormat="1" applyFont="1" applyBorder="1" applyAlignment="1">
      <alignment horizontal="center" vertical="top" wrapText="1"/>
    </xf>
    <xf numFmtId="1" fontId="7" fillId="0" borderId="7" xfId="0" applyNumberFormat="1" applyFont="1" applyBorder="1" applyAlignment="1">
      <alignment horizontal="center" vertical="top" wrapText="1"/>
    </xf>
    <xf numFmtId="1" fontId="7" fillId="0" borderId="11" xfId="0" applyNumberFormat="1" applyFont="1" applyBorder="1" applyAlignment="1">
      <alignment horizontal="center" vertical="top" wrapText="1"/>
    </xf>
    <xf numFmtId="1" fontId="7" fillId="0" borderId="12" xfId="0" applyNumberFormat="1" applyFont="1" applyBorder="1" applyAlignment="1">
      <alignment horizontal="center" vertical="top" wrapText="1"/>
    </xf>
    <xf numFmtId="1" fontId="7" fillId="0" borderId="8" xfId="0" applyNumberFormat="1" applyFont="1" applyBorder="1" applyAlignment="1">
      <alignment horizontal="center" vertical="top" wrapText="1"/>
    </xf>
    <xf numFmtId="1" fontId="7" fillId="0" borderId="10" xfId="0" applyNumberFormat="1" applyFont="1" applyBorder="1" applyAlignment="1">
      <alignment horizontal="center" vertical="top" wrapText="1"/>
    </xf>
    <xf numFmtId="0" fontId="17" fillId="0" borderId="4" xfId="0" applyFont="1" applyBorder="1" applyAlignment="1">
      <alignment horizontal="center"/>
    </xf>
    <xf numFmtId="0" fontId="17" fillId="0" borderId="4" xfId="0" applyFont="1" applyBorder="1" applyAlignment="1">
      <alignment horizontal="left"/>
    </xf>
    <xf numFmtId="0" fontId="17" fillId="3" borderId="4" xfId="0" applyFont="1" applyFill="1" applyBorder="1" applyAlignment="1">
      <alignment horizontal="center"/>
    </xf>
    <xf numFmtId="0" fontId="16" fillId="0" borderId="4" xfId="0" applyFont="1" applyBorder="1" applyAlignment="1">
      <alignment horizontal="center"/>
    </xf>
    <xf numFmtId="0" fontId="10" fillId="0" borderId="4" xfId="6" applyFont="1" applyBorder="1" applyAlignment="1">
      <alignment horizontal="left"/>
    </xf>
    <xf numFmtId="0" fontId="0" fillId="3" borderId="4" xfId="0" applyFill="1" applyBorder="1" applyAlignment="1">
      <alignment horizontal="center" wrapText="1"/>
    </xf>
    <xf numFmtId="0" fontId="10" fillId="0" borderId="4" xfId="0" applyFont="1" applyBorder="1" applyAlignment="1">
      <alignment horizontal="center"/>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4.jpg"/><Relationship Id="rId1" Type="http://schemas.openxmlformats.org/officeDocument/2006/relationships/image" Target="../media/image13.jp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244850</xdr:colOff>
      <xdr:row>232</xdr:row>
      <xdr:rowOff>201493</xdr:rowOff>
    </xdr:from>
    <xdr:to>
      <xdr:col>8</xdr:col>
      <xdr:colOff>457762</xdr:colOff>
      <xdr:row>251</xdr:row>
      <xdr:rowOff>1883</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44850" y="47311022"/>
          <a:ext cx="6084794" cy="3630256"/>
        </a:xfrm>
        <a:prstGeom prst="rect">
          <a:avLst/>
        </a:prstGeom>
        <a:ln>
          <a:solidFill>
            <a:schemeClr val="tx1"/>
          </a:solidFill>
        </a:ln>
      </xdr:spPr>
    </xdr:pic>
    <xdr:clientData/>
  </xdr:twoCellAnchor>
  <xdr:twoCellAnchor editAs="oneCell">
    <xdr:from>
      <xdr:col>0</xdr:col>
      <xdr:colOff>276225</xdr:colOff>
      <xdr:row>213</xdr:row>
      <xdr:rowOff>168088</xdr:rowOff>
    </xdr:from>
    <xdr:to>
      <xdr:col>8</xdr:col>
      <xdr:colOff>489137</xdr:colOff>
      <xdr:row>231</xdr:row>
      <xdr:rowOff>170439</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76225" y="43445206"/>
          <a:ext cx="6084794" cy="3633057"/>
        </a:xfrm>
        <a:prstGeom prst="rect">
          <a:avLst/>
        </a:prstGeom>
        <a:ln>
          <a:solidFill>
            <a:schemeClr val="tx1"/>
          </a:solidFill>
        </a:ln>
      </xdr:spPr>
    </xdr:pic>
    <xdr:clientData/>
  </xdr:twoCellAnchor>
  <xdr:twoCellAnchor>
    <xdr:from>
      <xdr:col>12</xdr:col>
      <xdr:colOff>352311</xdr:colOff>
      <xdr:row>172</xdr:row>
      <xdr:rowOff>50649</xdr:rowOff>
    </xdr:from>
    <xdr:to>
      <xdr:col>12</xdr:col>
      <xdr:colOff>582890</xdr:colOff>
      <xdr:row>173</xdr:row>
      <xdr:rowOff>111608</xdr:rowOff>
    </xdr:to>
    <xdr:sp macro="" textlink="">
      <xdr:nvSpPr>
        <xdr:cNvPr id="25" name="TextBox 24">
          <a:extLst>
            <a:ext uri="{FF2B5EF4-FFF2-40B4-BE49-F238E27FC236}">
              <a16:creationId xmlns:a16="http://schemas.microsoft.com/office/drawing/2014/main" xmlns="" id="{A022F412-4043-4681-AD22-8DD854C59EC3}"/>
            </a:ext>
          </a:extLst>
        </xdr:cNvPr>
        <xdr:cNvSpPr txBox="1"/>
      </xdr:nvSpPr>
      <xdr:spPr>
        <a:xfrm>
          <a:off x="8262202" y="40005953"/>
          <a:ext cx="230579" cy="259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B</a:t>
          </a:r>
        </a:p>
      </xdr:txBody>
    </xdr:sp>
    <xdr:clientData/>
  </xdr:twoCellAnchor>
  <xdr:twoCellAnchor>
    <xdr:from>
      <xdr:col>11</xdr:col>
      <xdr:colOff>600075</xdr:colOff>
      <xdr:row>177</xdr:row>
      <xdr:rowOff>140805</xdr:rowOff>
    </xdr:from>
    <xdr:to>
      <xdr:col>12</xdr:col>
      <xdr:colOff>249099</xdr:colOff>
      <xdr:row>179</xdr:row>
      <xdr:rowOff>12218</xdr:rowOff>
    </xdr:to>
    <xdr:sp macro="" textlink="">
      <xdr:nvSpPr>
        <xdr:cNvPr id="26" name="TextBox 25">
          <a:extLst>
            <a:ext uri="{FF2B5EF4-FFF2-40B4-BE49-F238E27FC236}">
              <a16:creationId xmlns:a16="http://schemas.microsoft.com/office/drawing/2014/main" xmlns="" id="{B3B0FAAA-E1A1-47BA-B182-199AEC408C71}"/>
            </a:ext>
          </a:extLst>
        </xdr:cNvPr>
        <xdr:cNvSpPr txBox="1"/>
      </xdr:nvSpPr>
      <xdr:spPr>
        <a:xfrm>
          <a:off x="7897053" y="41081740"/>
          <a:ext cx="261937" cy="268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B</a:t>
          </a:r>
        </a:p>
      </xdr:txBody>
    </xdr:sp>
    <xdr:clientData/>
  </xdr:twoCellAnchor>
  <xdr:twoCellAnchor editAs="oneCell">
    <xdr:from>
      <xdr:col>10</xdr:col>
      <xdr:colOff>124240</xdr:colOff>
      <xdr:row>46</xdr:row>
      <xdr:rowOff>26032</xdr:rowOff>
    </xdr:from>
    <xdr:to>
      <xdr:col>18</xdr:col>
      <xdr:colOff>229287</xdr:colOff>
      <xdr:row>47</xdr:row>
      <xdr:rowOff>1598187</xdr:rowOff>
    </xdr:to>
    <xdr:pic>
      <xdr:nvPicPr>
        <xdr:cNvPr id="2" name="Picture 1"/>
        <xdr:cNvPicPr>
          <a:picLocks noChangeAspect="1"/>
        </xdr:cNvPicPr>
      </xdr:nvPicPr>
      <xdr:blipFill>
        <a:blip xmlns:r="http://schemas.openxmlformats.org/officeDocument/2006/relationships" r:embed="rId3"/>
        <a:stretch>
          <a:fillRect/>
        </a:stretch>
      </xdr:blipFill>
      <xdr:spPr>
        <a:xfrm>
          <a:off x="6485283" y="9981728"/>
          <a:ext cx="5331374" cy="1969720"/>
        </a:xfrm>
        <a:prstGeom prst="rect">
          <a:avLst/>
        </a:prstGeom>
      </xdr:spPr>
    </xdr:pic>
    <xdr:clientData/>
  </xdr:twoCellAnchor>
  <xdr:twoCellAnchor>
    <xdr:from>
      <xdr:col>0</xdr:col>
      <xdr:colOff>400049</xdr:colOff>
      <xdr:row>170</xdr:row>
      <xdr:rowOff>57149</xdr:rowOff>
    </xdr:from>
    <xdr:to>
      <xdr:col>8</xdr:col>
      <xdr:colOff>542925</xdr:colOff>
      <xdr:row>211</xdr:row>
      <xdr:rowOff>45450</xdr:rowOff>
    </xdr:to>
    <xdr:grpSp>
      <xdr:nvGrpSpPr>
        <xdr:cNvPr id="7" name="Group 6"/>
        <xdr:cNvGrpSpPr/>
      </xdr:nvGrpSpPr>
      <xdr:grpSpPr>
        <a:xfrm>
          <a:off x="400049" y="39033449"/>
          <a:ext cx="5638801" cy="8179801"/>
          <a:chOff x="400049" y="39033449"/>
          <a:chExt cx="5638801" cy="8179801"/>
        </a:xfrm>
      </xdr:grpSpPr>
      <xdr:pic>
        <xdr:nvPicPr>
          <xdr:cNvPr id="29" name="Picture 28" descr="https://vsjcllp.vsjadon.com/upload/insp-247842-848.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276599" y="39033449"/>
            <a:ext cx="2762251" cy="36830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7842-850.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476500" y="4281487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7842-86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771525" y="4281487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7842-86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00049" y="39033449"/>
            <a:ext cx="2762251" cy="36830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7842-868.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581150" y="450532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7842-94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200525" y="4281487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7842-87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295650" y="4504372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339353</xdr:colOff>
      <xdr:row>1</xdr:row>
      <xdr:rowOff>0</xdr:rowOff>
    </xdr:from>
    <xdr:to>
      <xdr:col>12</xdr:col>
      <xdr:colOff>526853</xdr:colOff>
      <xdr:row>24</xdr:row>
      <xdr:rowOff>113760</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05613" y="182880"/>
          <a:ext cx="3235500" cy="4320000"/>
        </a:xfrm>
        <a:prstGeom prst="rect">
          <a:avLst/>
        </a:prstGeom>
      </xdr:spPr>
    </xdr:pic>
    <xdr:clientData/>
  </xdr:twoCellAnchor>
  <xdr:twoCellAnchor editAs="oneCell">
    <xdr:from>
      <xdr:col>2</xdr:col>
      <xdr:colOff>0</xdr:colOff>
      <xdr:row>1</xdr:row>
      <xdr:rowOff>0</xdr:rowOff>
    </xdr:from>
    <xdr:to>
      <xdr:col>7</xdr:col>
      <xdr:colOff>187500</xdr:colOff>
      <xdr:row>24</xdr:row>
      <xdr:rowOff>113760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8260" y="182880"/>
          <a:ext cx="3235500" cy="43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7</xdr:col>
      <xdr:colOff>91440</xdr:colOff>
      <xdr:row>37</xdr:row>
      <xdr:rowOff>114300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1522" r="12039" b="6535"/>
        <a:stretch>
          <a:fillRect/>
        </a:stretch>
      </xdr:blipFill>
      <xdr:spPr bwMode="auto">
        <a:xfrm>
          <a:off x="594360" y="2651760"/>
          <a:ext cx="8244840" cy="43205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45720</xdr:rowOff>
    </xdr:from>
    <xdr:to>
      <xdr:col>7</xdr:col>
      <xdr:colOff>617220</xdr:colOff>
      <xdr:row>61</xdr:row>
      <xdr:rowOff>160020</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9417" r="17062" b="8092"/>
        <a:stretch>
          <a:fillRect/>
        </a:stretch>
      </xdr:blipFill>
      <xdr:spPr bwMode="auto">
        <a:xfrm>
          <a:off x="594360" y="7101840"/>
          <a:ext cx="8785860" cy="43205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45720</xdr:rowOff>
    </xdr:from>
    <xdr:to>
      <xdr:col>6</xdr:col>
      <xdr:colOff>678180</xdr:colOff>
      <xdr:row>107</xdr:row>
      <xdr:rowOff>160020</xdr:rowOff>
    </xdr:to>
    <xdr:pic>
      <xdr:nvPicPr>
        <xdr:cNvPr id="4" name="Picture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11778" r="18956" b="4596"/>
        <a:stretch>
          <a:fillRect/>
        </a:stretch>
      </xdr:blipFill>
      <xdr:spPr bwMode="auto">
        <a:xfrm>
          <a:off x="594360" y="15514320"/>
          <a:ext cx="7444740" cy="43205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63</xdr:row>
      <xdr:rowOff>0</xdr:rowOff>
    </xdr:from>
    <xdr:to>
      <xdr:col>3</xdr:col>
      <xdr:colOff>662940</xdr:colOff>
      <xdr:row>83</xdr:row>
      <xdr:rowOff>76200</xdr:rowOff>
    </xdr:to>
    <xdr:pic>
      <xdr:nvPicPr>
        <xdr:cNvPr id="5" name="Picture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19777" t="19417" r="40656" b="26083"/>
        <a:stretch>
          <a:fillRect/>
        </a:stretch>
      </xdr:blipFill>
      <xdr:spPr bwMode="auto">
        <a:xfrm>
          <a:off x="594360" y="11628120"/>
          <a:ext cx="4823460" cy="3733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60960</xdr:colOff>
      <xdr:row>63</xdr:row>
      <xdr:rowOff>0</xdr:rowOff>
    </xdr:from>
    <xdr:to>
      <xdr:col>8</xdr:col>
      <xdr:colOff>586740</xdr:colOff>
      <xdr:row>83</xdr:row>
      <xdr:rowOff>76200</xdr:rowOff>
    </xdr:to>
    <xdr:pic>
      <xdr:nvPicPr>
        <xdr:cNvPr id="6" name="Picture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19444" t="19547" r="40437" b="27379"/>
        <a:stretch>
          <a:fillRect/>
        </a:stretch>
      </xdr:blipFill>
      <xdr:spPr bwMode="auto">
        <a:xfrm>
          <a:off x="5494020" y="11628120"/>
          <a:ext cx="4892040" cy="3733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JxYKmXLjt75bVV719"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3"/>
  <sheetViews>
    <sheetView tabSelected="1" view="pageBreakPreview" topLeftCell="A61" zoomScaleNormal="100" zoomScaleSheetLayoutView="100" zoomScalePageLayoutView="82" workbookViewId="0">
      <selection activeCell="O66" sqref="O66"/>
    </sheetView>
  </sheetViews>
  <sheetFormatPr defaultRowHeight="15.75" x14ac:dyDescent="0.25"/>
  <cols>
    <col min="1" max="1" width="9.42578125" style="10" customWidth="1"/>
    <col min="2" max="2" width="13.85546875" style="10" customWidth="1"/>
    <col min="3" max="3" width="14" style="10" customWidth="1"/>
    <col min="4" max="4" width="7.42578125" style="10" customWidth="1"/>
    <col min="5" max="5" width="5.5703125" style="10" customWidth="1"/>
    <col min="6" max="7" width="9.85546875" style="10" customWidth="1"/>
    <col min="8" max="8" width="12.42578125" style="10" customWidth="1"/>
    <col min="9" max="9" width="10.5703125" style="10" customWidth="1"/>
    <col min="10" max="10" width="2.5703125" style="10" customWidth="1"/>
    <col min="11" max="11" width="14" style="10" customWidth="1"/>
    <col min="12" max="256" width="9.140625" style="10"/>
    <col min="257" max="257" width="8.5703125" style="10" customWidth="1"/>
    <col min="258" max="258" width="9.85546875" style="10" customWidth="1"/>
    <col min="259" max="259" width="14.42578125" style="10" customWidth="1"/>
    <col min="260" max="260" width="7.42578125" style="10" customWidth="1"/>
    <col min="261" max="261" width="5.5703125" style="10" customWidth="1"/>
    <col min="262" max="262" width="9" style="10" customWidth="1"/>
    <col min="263" max="264" width="9.85546875" style="10" customWidth="1"/>
    <col min="265" max="265" width="11.140625" style="10" customWidth="1"/>
    <col min="266" max="266" width="2.85546875" style="10" customWidth="1"/>
    <col min="267" max="267" width="3.5703125" style="10" customWidth="1"/>
    <col min="268" max="512" width="9.140625" style="10"/>
    <col min="513" max="513" width="8.5703125" style="10" customWidth="1"/>
    <col min="514" max="514" width="9.85546875" style="10" customWidth="1"/>
    <col min="515" max="515" width="14.42578125" style="10" customWidth="1"/>
    <col min="516" max="516" width="7.42578125" style="10" customWidth="1"/>
    <col min="517" max="517" width="5.5703125" style="10" customWidth="1"/>
    <col min="518" max="518" width="9" style="10" customWidth="1"/>
    <col min="519" max="520" width="9.85546875" style="10" customWidth="1"/>
    <col min="521" max="521" width="11.140625" style="10" customWidth="1"/>
    <col min="522" max="522" width="2.85546875" style="10" customWidth="1"/>
    <col min="523" max="523" width="3.5703125" style="10" customWidth="1"/>
    <col min="524" max="768" width="9.140625" style="10"/>
    <col min="769" max="769" width="8.5703125" style="10" customWidth="1"/>
    <col min="770" max="770" width="9.85546875" style="10" customWidth="1"/>
    <col min="771" max="771" width="14.42578125" style="10" customWidth="1"/>
    <col min="772" max="772" width="7.42578125" style="10" customWidth="1"/>
    <col min="773" max="773" width="5.5703125" style="10" customWidth="1"/>
    <col min="774" max="774" width="9" style="10" customWidth="1"/>
    <col min="775" max="776" width="9.85546875" style="10" customWidth="1"/>
    <col min="777" max="777" width="11.140625" style="10" customWidth="1"/>
    <col min="778" max="778" width="2.85546875" style="10" customWidth="1"/>
    <col min="779" max="779" width="3.5703125" style="10" customWidth="1"/>
    <col min="780" max="1024" width="9.140625" style="10"/>
    <col min="1025" max="1025" width="8.5703125" style="10" customWidth="1"/>
    <col min="1026" max="1026" width="9.85546875" style="10" customWidth="1"/>
    <col min="1027" max="1027" width="14.42578125" style="10" customWidth="1"/>
    <col min="1028" max="1028" width="7.42578125" style="10" customWidth="1"/>
    <col min="1029" max="1029" width="5.5703125" style="10" customWidth="1"/>
    <col min="1030" max="1030" width="9" style="10" customWidth="1"/>
    <col min="1031" max="1032" width="9.85546875" style="10" customWidth="1"/>
    <col min="1033" max="1033" width="11.140625" style="10" customWidth="1"/>
    <col min="1034" max="1034" width="2.85546875" style="10" customWidth="1"/>
    <col min="1035" max="1035" width="3.5703125" style="10" customWidth="1"/>
    <col min="1036" max="1280" width="9.140625" style="10"/>
    <col min="1281" max="1281" width="8.5703125" style="10" customWidth="1"/>
    <col min="1282" max="1282" width="9.85546875" style="10" customWidth="1"/>
    <col min="1283" max="1283" width="14.42578125" style="10" customWidth="1"/>
    <col min="1284" max="1284" width="7.42578125" style="10" customWidth="1"/>
    <col min="1285" max="1285" width="5.5703125" style="10" customWidth="1"/>
    <col min="1286" max="1286" width="9" style="10" customWidth="1"/>
    <col min="1287" max="1288" width="9.85546875" style="10" customWidth="1"/>
    <col min="1289" max="1289" width="11.140625" style="10" customWidth="1"/>
    <col min="1290" max="1290" width="2.85546875" style="10" customWidth="1"/>
    <col min="1291" max="1291" width="3.5703125" style="10" customWidth="1"/>
    <col min="1292" max="1536" width="9.140625" style="10"/>
    <col min="1537" max="1537" width="8.5703125" style="10" customWidth="1"/>
    <col min="1538" max="1538" width="9.85546875" style="10" customWidth="1"/>
    <col min="1539" max="1539" width="14.42578125" style="10" customWidth="1"/>
    <col min="1540" max="1540" width="7.42578125" style="10" customWidth="1"/>
    <col min="1541" max="1541" width="5.5703125" style="10" customWidth="1"/>
    <col min="1542" max="1542" width="9" style="10" customWidth="1"/>
    <col min="1543" max="1544" width="9.85546875" style="10" customWidth="1"/>
    <col min="1545" max="1545" width="11.140625" style="10" customWidth="1"/>
    <col min="1546" max="1546" width="2.85546875" style="10" customWidth="1"/>
    <col min="1547" max="1547" width="3.5703125" style="10" customWidth="1"/>
    <col min="1548" max="1792" width="9.140625" style="10"/>
    <col min="1793" max="1793" width="8.5703125" style="10" customWidth="1"/>
    <col min="1794" max="1794" width="9.85546875" style="10" customWidth="1"/>
    <col min="1795" max="1795" width="14.42578125" style="10" customWidth="1"/>
    <col min="1796" max="1796" width="7.42578125" style="10" customWidth="1"/>
    <col min="1797" max="1797" width="5.5703125" style="10" customWidth="1"/>
    <col min="1798" max="1798" width="9" style="10" customWidth="1"/>
    <col min="1799" max="1800" width="9.85546875" style="10" customWidth="1"/>
    <col min="1801" max="1801" width="11.140625" style="10" customWidth="1"/>
    <col min="1802" max="1802" width="2.85546875" style="10" customWidth="1"/>
    <col min="1803" max="1803" width="3.5703125" style="10" customWidth="1"/>
    <col min="1804" max="2048" width="9.140625" style="10"/>
    <col min="2049" max="2049" width="8.5703125" style="10" customWidth="1"/>
    <col min="2050" max="2050" width="9.85546875" style="10" customWidth="1"/>
    <col min="2051" max="2051" width="14.42578125" style="10" customWidth="1"/>
    <col min="2052" max="2052" width="7.42578125" style="10" customWidth="1"/>
    <col min="2053" max="2053" width="5.5703125" style="10" customWidth="1"/>
    <col min="2054" max="2054" width="9" style="10" customWidth="1"/>
    <col min="2055" max="2056" width="9.85546875" style="10" customWidth="1"/>
    <col min="2057" max="2057" width="11.140625" style="10" customWidth="1"/>
    <col min="2058" max="2058" width="2.85546875" style="10" customWidth="1"/>
    <col min="2059" max="2059" width="3.5703125" style="10" customWidth="1"/>
    <col min="2060" max="2304" width="9.140625" style="10"/>
    <col min="2305" max="2305" width="8.5703125" style="10" customWidth="1"/>
    <col min="2306" max="2306" width="9.85546875" style="10" customWidth="1"/>
    <col min="2307" max="2307" width="14.42578125" style="10" customWidth="1"/>
    <col min="2308" max="2308" width="7.42578125" style="10" customWidth="1"/>
    <col min="2309" max="2309" width="5.5703125" style="10" customWidth="1"/>
    <col min="2310" max="2310" width="9" style="10" customWidth="1"/>
    <col min="2311" max="2312" width="9.85546875" style="10" customWidth="1"/>
    <col min="2313" max="2313" width="11.140625" style="10" customWidth="1"/>
    <col min="2314" max="2314" width="2.85546875" style="10" customWidth="1"/>
    <col min="2315" max="2315" width="3.5703125" style="10" customWidth="1"/>
    <col min="2316" max="2560" width="9.140625" style="10"/>
    <col min="2561" max="2561" width="8.5703125" style="10" customWidth="1"/>
    <col min="2562" max="2562" width="9.85546875" style="10" customWidth="1"/>
    <col min="2563" max="2563" width="14.42578125" style="10" customWidth="1"/>
    <col min="2564" max="2564" width="7.42578125" style="10" customWidth="1"/>
    <col min="2565" max="2565" width="5.5703125" style="10" customWidth="1"/>
    <col min="2566" max="2566" width="9" style="10" customWidth="1"/>
    <col min="2567" max="2568" width="9.85546875" style="10" customWidth="1"/>
    <col min="2569" max="2569" width="11.140625" style="10" customWidth="1"/>
    <col min="2570" max="2570" width="2.85546875" style="10" customWidth="1"/>
    <col min="2571" max="2571" width="3.5703125" style="10" customWidth="1"/>
    <col min="2572" max="2816" width="9.140625" style="10"/>
    <col min="2817" max="2817" width="8.5703125" style="10" customWidth="1"/>
    <col min="2818" max="2818" width="9.85546875" style="10" customWidth="1"/>
    <col min="2819" max="2819" width="14.42578125" style="10" customWidth="1"/>
    <col min="2820" max="2820" width="7.42578125" style="10" customWidth="1"/>
    <col min="2821" max="2821" width="5.5703125" style="10" customWidth="1"/>
    <col min="2822" max="2822" width="9" style="10" customWidth="1"/>
    <col min="2823" max="2824" width="9.85546875" style="10" customWidth="1"/>
    <col min="2825" max="2825" width="11.140625" style="10" customWidth="1"/>
    <col min="2826" max="2826" width="2.85546875" style="10" customWidth="1"/>
    <col min="2827" max="2827" width="3.5703125" style="10" customWidth="1"/>
    <col min="2828" max="3072" width="9.140625" style="10"/>
    <col min="3073" max="3073" width="8.5703125" style="10" customWidth="1"/>
    <col min="3074" max="3074" width="9.85546875" style="10" customWidth="1"/>
    <col min="3075" max="3075" width="14.42578125" style="10" customWidth="1"/>
    <col min="3076" max="3076" width="7.42578125" style="10" customWidth="1"/>
    <col min="3077" max="3077" width="5.5703125" style="10" customWidth="1"/>
    <col min="3078" max="3078" width="9" style="10" customWidth="1"/>
    <col min="3079" max="3080" width="9.85546875" style="10" customWidth="1"/>
    <col min="3081" max="3081" width="11.140625" style="10" customWidth="1"/>
    <col min="3082" max="3082" width="2.85546875" style="10" customWidth="1"/>
    <col min="3083" max="3083" width="3.5703125" style="10" customWidth="1"/>
    <col min="3084" max="3328" width="9.140625" style="10"/>
    <col min="3329" max="3329" width="8.5703125" style="10" customWidth="1"/>
    <col min="3330" max="3330" width="9.85546875" style="10" customWidth="1"/>
    <col min="3331" max="3331" width="14.42578125" style="10" customWidth="1"/>
    <col min="3332" max="3332" width="7.42578125" style="10" customWidth="1"/>
    <col min="3333" max="3333" width="5.5703125" style="10" customWidth="1"/>
    <col min="3334" max="3334" width="9" style="10" customWidth="1"/>
    <col min="3335" max="3336" width="9.85546875" style="10" customWidth="1"/>
    <col min="3337" max="3337" width="11.140625" style="10" customWidth="1"/>
    <col min="3338" max="3338" width="2.85546875" style="10" customWidth="1"/>
    <col min="3339" max="3339" width="3.5703125" style="10" customWidth="1"/>
    <col min="3340" max="3584" width="9.140625" style="10"/>
    <col min="3585" max="3585" width="8.5703125" style="10" customWidth="1"/>
    <col min="3586" max="3586" width="9.85546875" style="10" customWidth="1"/>
    <col min="3587" max="3587" width="14.42578125" style="10" customWidth="1"/>
    <col min="3588" max="3588" width="7.42578125" style="10" customWidth="1"/>
    <col min="3589" max="3589" width="5.5703125" style="10" customWidth="1"/>
    <col min="3590" max="3590" width="9" style="10" customWidth="1"/>
    <col min="3591" max="3592" width="9.85546875" style="10" customWidth="1"/>
    <col min="3593" max="3593" width="11.140625" style="10" customWidth="1"/>
    <col min="3594" max="3594" width="2.85546875" style="10" customWidth="1"/>
    <col min="3595" max="3595" width="3.5703125" style="10" customWidth="1"/>
    <col min="3596" max="3840" width="9.140625" style="10"/>
    <col min="3841" max="3841" width="8.5703125" style="10" customWidth="1"/>
    <col min="3842" max="3842" width="9.85546875" style="10" customWidth="1"/>
    <col min="3843" max="3843" width="14.42578125" style="10" customWidth="1"/>
    <col min="3844" max="3844" width="7.42578125" style="10" customWidth="1"/>
    <col min="3845" max="3845" width="5.5703125" style="10" customWidth="1"/>
    <col min="3846" max="3846" width="9" style="10" customWidth="1"/>
    <col min="3847" max="3848" width="9.85546875" style="10" customWidth="1"/>
    <col min="3849" max="3849" width="11.140625" style="10" customWidth="1"/>
    <col min="3850" max="3850" width="2.85546875" style="10" customWidth="1"/>
    <col min="3851" max="3851" width="3.5703125" style="10" customWidth="1"/>
    <col min="3852" max="4096" width="9.140625" style="10"/>
    <col min="4097" max="4097" width="8.5703125" style="10" customWidth="1"/>
    <col min="4098" max="4098" width="9.85546875" style="10" customWidth="1"/>
    <col min="4099" max="4099" width="14.42578125" style="10" customWidth="1"/>
    <col min="4100" max="4100" width="7.42578125" style="10" customWidth="1"/>
    <col min="4101" max="4101" width="5.5703125" style="10" customWidth="1"/>
    <col min="4102" max="4102" width="9" style="10" customWidth="1"/>
    <col min="4103" max="4104" width="9.85546875" style="10" customWidth="1"/>
    <col min="4105" max="4105" width="11.140625" style="10" customWidth="1"/>
    <col min="4106" max="4106" width="2.85546875" style="10" customWidth="1"/>
    <col min="4107" max="4107" width="3.5703125" style="10" customWidth="1"/>
    <col min="4108" max="4352" width="9.140625" style="10"/>
    <col min="4353" max="4353" width="8.5703125" style="10" customWidth="1"/>
    <col min="4354" max="4354" width="9.85546875" style="10" customWidth="1"/>
    <col min="4355" max="4355" width="14.42578125" style="10" customWidth="1"/>
    <col min="4356" max="4356" width="7.42578125" style="10" customWidth="1"/>
    <col min="4357" max="4357" width="5.5703125" style="10" customWidth="1"/>
    <col min="4358" max="4358" width="9" style="10" customWidth="1"/>
    <col min="4359" max="4360" width="9.85546875" style="10" customWidth="1"/>
    <col min="4361" max="4361" width="11.140625" style="10" customWidth="1"/>
    <col min="4362" max="4362" width="2.85546875" style="10" customWidth="1"/>
    <col min="4363" max="4363" width="3.5703125" style="10" customWidth="1"/>
    <col min="4364" max="4608" width="9.140625" style="10"/>
    <col min="4609" max="4609" width="8.5703125" style="10" customWidth="1"/>
    <col min="4610" max="4610" width="9.85546875" style="10" customWidth="1"/>
    <col min="4611" max="4611" width="14.42578125" style="10" customWidth="1"/>
    <col min="4612" max="4612" width="7.42578125" style="10" customWidth="1"/>
    <col min="4613" max="4613" width="5.5703125" style="10" customWidth="1"/>
    <col min="4614" max="4614" width="9" style="10" customWidth="1"/>
    <col min="4615" max="4616" width="9.85546875" style="10" customWidth="1"/>
    <col min="4617" max="4617" width="11.140625" style="10" customWidth="1"/>
    <col min="4618" max="4618" width="2.85546875" style="10" customWidth="1"/>
    <col min="4619" max="4619" width="3.5703125" style="10" customWidth="1"/>
    <col min="4620" max="4864" width="9.140625" style="10"/>
    <col min="4865" max="4865" width="8.5703125" style="10" customWidth="1"/>
    <col min="4866" max="4866" width="9.85546875" style="10" customWidth="1"/>
    <col min="4867" max="4867" width="14.42578125" style="10" customWidth="1"/>
    <col min="4868" max="4868" width="7.42578125" style="10" customWidth="1"/>
    <col min="4869" max="4869" width="5.5703125" style="10" customWidth="1"/>
    <col min="4870" max="4870" width="9" style="10" customWidth="1"/>
    <col min="4871" max="4872" width="9.85546875" style="10" customWidth="1"/>
    <col min="4873" max="4873" width="11.140625" style="10" customWidth="1"/>
    <col min="4874" max="4874" width="2.85546875" style="10" customWidth="1"/>
    <col min="4875" max="4875" width="3.5703125" style="10" customWidth="1"/>
    <col min="4876" max="5120" width="9.140625" style="10"/>
    <col min="5121" max="5121" width="8.5703125" style="10" customWidth="1"/>
    <col min="5122" max="5122" width="9.85546875" style="10" customWidth="1"/>
    <col min="5123" max="5123" width="14.42578125" style="10" customWidth="1"/>
    <col min="5124" max="5124" width="7.42578125" style="10" customWidth="1"/>
    <col min="5125" max="5125" width="5.5703125" style="10" customWidth="1"/>
    <col min="5126" max="5126" width="9" style="10" customWidth="1"/>
    <col min="5127" max="5128" width="9.85546875" style="10" customWidth="1"/>
    <col min="5129" max="5129" width="11.140625" style="10" customWidth="1"/>
    <col min="5130" max="5130" width="2.85546875" style="10" customWidth="1"/>
    <col min="5131" max="5131" width="3.5703125" style="10" customWidth="1"/>
    <col min="5132" max="5376" width="9.140625" style="10"/>
    <col min="5377" max="5377" width="8.5703125" style="10" customWidth="1"/>
    <col min="5378" max="5378" width="9.85546875" style="10" customWidth="1"/>
    <col min="5379" max="5379" width="14.42578125" style="10" customWidth="1"/>
    <col min="5380" max="5380" width="7.42578125" style="10" customWidth="1"/>
    <col min="5381" max="5381" width="5.5703125" style="10" customWidth="1"/>
    <col min="5382" max="5382" width="9" style="10" customWidth="1"/>
    <col min="5383" max="5384" width="9.85546875" style="10" customWidth="1"/>
    <col min="5385" max="5385" width="11.140625" style="10" customWidth="1"/>
    <col min="5386" max="5386" width="2.85546875" style="10" customWidth="1"/>
    <col min="5387" max="5387" width="3.5703125" style="10" customWidth="1"/>
    <col min="5388" max="5632" width="9.140625" style="10"/>
    <col min="5633" max="5633" width="8.5703125" style="10" customWidth="1"/>
    <col min="5634" max="5634" width="9.85546875" style="10" customWidth="1"/>
    <col min="5635" max="5635" width="14.42578125" style="10" customWidth="1"/>
    <col min="5636" max="5636" width="7.42578125" style="10" customWidth="1"/>
    <col min="5637" max="5637" width="5.5703125" style="10" customWidth="1"/>
    <col min="5638" max="5638" width="9" style="10" customWidth="1"/>
    <col min="5639" max="5640" width="9.85546875" style="10" customWidth="1"/>
    <col min="5641" max="5641" width="11.140625" style="10" customWidth="1"/>
    <col min="5642" max="5642" width="2.85546875" style="10" customWidth="1"/>
    <col min="5643" max="5643" width="3.5703125" style="10" customWidth="1"/>
    <col min="5644" max="5888" width="9.140625" style="10"/>
    <col min="5889" max="5889" width="8.5703125" style="10" customWidth="1"/>
    <col min="5890" max="5890" width="9.85546875" style="10" customWidth="1"/>
    <col min="5891" max="5891" width="14.42578125" style="10" customWidth="1"/>
    <col min="5892" max="5892" width="7.42578125" style="10" customWidth="1"/>
    <col min="5893" max="5893" width="5.5703125" style="10" customWidth="1"/>
    <col min="5894" max="5894" width="9" style="10" customWidth="1"/>
    <col min="5895" max="5896" width="9.85546875" style="10" customWidth="1"/>
    <col min="5897" max="5897" width="11.140625" style="10" customWidth="1"/>
    <col min="5898" max="5898" width="2.85546875" style="10" customWidth="1"/>
    <col min="5899" max="5899" width="3.5703125" style="10" customWidth="1"/>
    <col min="5900" max="6144" width="9.140625" style="10"/>
    <col min="6145" max="6145" width="8.5703125" style="10" customWidth="1"/>
    <col min="6146" max="6146" width="9.85546875" style="10" customWidth="1"/>
    <col min="6147" max="6147" width="14.42578125" style="10" customWidth="1"/>
    <col min="6148" max="6148" width="7.42578125" style="10" customWidth="1"/>
    <col min="6149" max="6149" width="5.5703125" style="10" customWidth="1"/>
    <col min="6150" max="6150" width="9" style="10" customWidth="1"/>
    <col min="6151" max="6152" width="9.85546875" style="10" customWidth="1"/>
    <col min="6153" max="6153" width="11.140625" style="10" customWidth="1"/>
    <col min="6154" max="6154" width="2.85546875" style="10" customWidth="1"/>
    <col min="6155" max="6155" width="3.5703125" style="10" customWidth="1"/>
    <col min="6156" max="6400" width="9.140625" style="10"/>
    <col min="6401" max="6401" width="8.5703125" style="10" customWidth="1"/>
    <col min="6402" max="6402" width="9.85546875" style="10" customWidth="1"/>
    <col min="6403" max="6403" width="14.42578125" style="10" customWidth="1"/>
    <col min="6404" max="6404" width="7.42578125" style="10" customWidth="1"/>
    <col min="6405" max="6405" width="5.5703125" style="10" customWidth="1"/>
    <col min="6406" max="6406" width="9" style="10" customWidth="1"/>
    <col min="6407" max="6408" width="9.85546875" style="10" customWidth="1"/>
    <col min="6409" max="6409" width="11.140625" style="10" customWidth="1"/>
    <col min="6410" max="6410" width="2.85546875" style="10" customWidth="1"/>
    <col min="6411" max="6411" width="3.5703125" style="10" customWidth="1"/>
    <col min="6412" max="6656" width="9.140625" style="10"/>
    <col min="6657" max="6657" width="8.5703125" style="10" customWidth="1"/>
    <col min="6658" max="6658" width="9.85546875" style="10" customWidth="1"/>
    <col min="6659" max="6659" width="14.42578125" style="10" customWidth="1"/>
    <col min="6660" max="6660" width="7.42578125" style="10" customWidth="1"/>
    <col min="6661" max="6661" width="5.5703125" style="10" customWidth="1"/>
    <col min="6662" max="6662" width="9" style="10" customWidth="1"/>
    <col min="6663" max="6664" width="9.85546875" style="10" customWidth="1"/>
    <col min="6665" max="6665" width="11.140625" style="10" customWidth="1"/>
    <col min="6666" max="6666" width="2.85546875" style="10" customWidth="1"/>
    <col min="6667" max="6667" width="3.5703125" style="10" customWidth="1"/>
    <col min="6668" max="6912" width="9.140625" style="10"/>
    <col min="6913" max="6913" width="8.5703125" style="10" customWidth="1"/>
    <col min="6914" max="6914" width="9.85546875" style="10" customWidth="1"/>
    <col min="6915" max="6915" width="14.42578125" style="10" customWidth="1"/>
    <col min="6916" max="6916" width="7.42578125" style="10" customWidth="1"/>
    <col min="6917" max="6917" width="5.5703125" style="10" customWidth="1"/>
    <col min="6918" max="6918" width="9" style="10" customWidth="1"/>
    <col min="6919" max="6920" width="9.85546875" style="10" customWidth="1"/>
    <col min="6921" max="6921" width="11.140625" style="10" customWidth="1"/>
    <col min="6922" max="6922" width="2.85546875" style="10" customWidth="1"/>
    <col min="6923" max="6923" width="3.5703125" style="10" customWidth="1"/>
    <col min="6924" max="7168" width="9.140625" style="10"/>
    <col min="7169" max="7169" width="8.5703125" style="10" customWidth="1"/>
    <col min="7170" max="7170" width="9.85546875" style="10" customWidth="1"/>
    <col min="7171" max="7171" width="14.42578125" style="10" customWidth="1"/>
    <col min="7172" max="7172" width="7.42578125" style="10" customWidth="1"/>
    <col min="7173" max="7173" width="5.5703125" style="10" customWidth="1"/>
    <col min="7174" max="7174" width="9" style="10" customWidth="1"/>
    <col min="7175" max="7176" width="9.85546875" style="10" customWidth="1"/>
    <col min="7177" max="7177" width="11.140625" style="10" customWidth="1"/>
    <col min="7178" max="7178" width="2.85546875" style="10" customWidth="1"/>
    <col min="7179" max="7179" width="3.5703125" style="10" customWidth="1"/>
    <col min="7180" max="7424" width="9.140625" style="10"/>
    <col min="7425" max="7425" width="8.5703125" style="10" customWidth="1"/>
    <col min="7426" max="7426" width="9.85546875" style="10" customWidth="1"/>
    <col min="7427" max="7427" width="14.42578125" style="10" customWidth="1"/>
    <col min="7428" max="7428" width="7.42578125" style="10" customWidth="1"/>
    <col min="7429" max="7429" width="5.5703125" style="10" customWidth="1"/>
    <col min="7430" max="7430" width="9" style="10" customWidth="1"/>
    <col min="7431" max="7432" width="9.85546875" style="10" customWidth="1"/>
    <col min="7433" max="7433" width="11.140625" style="10" customWidth="1"/>
    <col min="7434" max="7434" width="2.85546875" style="10" customWidth="1"/>
    <col min="7435" max="7435" width="3.5703125" style="10" customWidth="1"/>
    <col min="7436" max="7680" width="9.140625" style="10"/>
    <col min="7681" max="7681" width="8.5703125" style="10" customWidth="1"/>
    <col min="7682" max="7682" width="9.85546875" style="10" customWidth="1"/>
    <col min="7683" max="7683" width="14.42578125" style="10" customWidth="1"/>
    <col min="7684" max="7684" width="7.42578125" style="10" customWidth="1"/>
    <col min="7685" max="7685" width="5.5703125" style="10" customWidth="1"/>
    <col min="7686" max="7686" width="9" style="10" customWidth="1"/>
    <col min="7687" max="7688" width="9.85546875" style="10" customWidth="1"/>
    <col min="7689" max="7689" width="11.140625" style="10" customWidth="1"/>
    <col min="7690" max="7690" width="2.85546875" style="10" customWidth="1"/>
    <col min="7691" max="7691" width="3.5703125" style="10" customWidth="1"/>
    <col min="7692" max="7936" width="9.140625" style="10"/>
    <col min="7937" max="7937" width="8.5703125" style="10" customWidth="1"/>
    <col min="7938" max="7938" width="9.85546875" style="10" customWidth="1"/>
    <col min="7939" max="7939" width="14.42578125" style="10" customWidth="1"/>
    <col min="7940" max="7940" width="7.42578125" style="10" customWidth="1"/>
    <col min="7941" max="7941" width="5.5703125" style="10" customWidth="1"/>
    <col min="7942" max="7942" width="9" style="10" customWidth="1"/>
    <col min="7943" max="7944" width="9.85546875" style="10" customWidth="1"/>
    <col min="7945" max="7945" width="11.140625" style="10" customWidth="1"/>
    <col min="7946" max="7946" width="2.85546875" style="10" customWidth="1"/>
    <col min="7947" max="7947" width="3.5703125" style="10" customWidth="1"/>
    <col min="7948" max="8192" width="9.140625" style="10"/>
    <col min="8193" max="8193" width="8.5703125" style="10" customWidth="1"/>
    <col min="8194" max="8194" width="9.85546875" style="10" customWidth="1"/>
    <col min="8195" max="8195" width="14.42578125" style="10" customWidth="1"/>
    <col min="8196" max="8196" width="7.42578125" style="10" customWidth="1"/>
    <col min="8197" max="8197" width="5.5703125" style="10" customWidth="1"/>
    <col min="8198" max="8198" width="9" style="10" customWidth="1"/>
    <col min="8199" max="8200" width="9.85546875" style="10" customWidth="1"/>
    <col min="8201" max="8201" width="11.140625" style="10" customWidth="1"/>
    <col min="8202" max="8202" width="2.85546875" style="10" customWidth="1"/>
    <col min="8203" max="8203" width="3.5703125" style="10" customWidth="1"/>
    <col min="8204" max="8448" width="9.140625" style="10"/>
    <col min="8449" max="8449" width="8.5703125" style="10" customWidth="1"/>
    <col min="8450" max="8450" width="9.85546875" style="10" customWidth="1"/>
    <col min="8451" max="8451" width="14.42578125" style="10" customWidth="1"/>
    <col min="8452" max="8452" width="7.42578125" style="10" customWidth="1"/>
    <col min="8453" max="8453" width="5.5703125" style="10" customWidth="1"/>
    <col min="8454" max="8454" width="9" style="10" customWidth="1"/>
    <col min="8455" max="8456" width="9.85546875" style="10" customWidth="1"/>
    <col min="8457" max="8457" width="11.140625" style="10" customWidth="1"/>
    <col min="8458" max="8458" width="2.85546875" style="10" customWidth="1"/>
    <col min="8459" max="8459" width="3.5703125" style="10" customWidth="1"/>
    <col min="8460" max="8704" width="9.140625" style="10"/>
    <col min="8705" max="8705" width="8.5703125" style="10" customWidth="1"/>
    <col min="8706" max="8706" width="9.85546875" style="10" customWidth="1"/>
    <col min="8707" max="8707" width="14.42578125" style="10" customWidth="1"/>
    <col min="8708" max="8708" width="7.42578125" style="10" customWidth="1"/>
    <col min="8709" max="8709" width="5.5703125" style="10" customWidth="1"/>
    <col min="8710" max="8710" width="9" style="10" customWidth="1"/>
    <col min="8711" max="8712" width="9.85546875" style="10" customWidth="1"/>
    <col min="8713" max="8713" width="11.140625" style="10" customWidth="1"/>
    <col min="8714" max="8714" width="2.85546875" style="10" customWidth="1"/>
    <col min="8715" max="8715" width="3.5703125" style="10" customWidth="1"/>
    <col min="8716" max="8960" width="9.140625" style="10"/>
    <col min="8961" max="8961" width="8.5703125" style="10" customWidth="1"/>
    <col min="8962" max="8962" width="9.85546875" style="10" customWidth="1"/>
    <col min="8963" max="8963" width="14.42578125" style="10" customWidth="1"/>
    <col min="8964" max="8964" width="7.42578125" style="10" customWidth="1"/>
    <col min="8965" max="8965" width="5.5703125" style="10" customWidth="1"/>
    <col min="8966" max="8966" width="9" style="10" customWidth="1"/>
    <col min="8967" max="8968" width="9.85546875" style="10" customWidth="1"/>
    <col min="8969" max="8969" width="11.140625" style="10" customWidth="1"/>
    <col min="8970" max="8970" width="2.85546875" style="10" customWidth="1"/>
    <col min="8971" max="8971" width="3.5703125" style="10" customWidth="1"/>
    <col min="8972" max="9216" width="9.140625" style="10"/>
    <col min="9217" max="9217" width="8.5703125" style="10" customWidth="1"/>
    <col min="9218" max="9218" width="9.85546875" style="10" customWidth="1"/>
    <col min="9219" max="9219" width="14.42578125" style="10" customWidth="1"/>
    <col min="9220" max="9220" width="7.42578125" style="10" customWidth="1"/>
    <col min="9221" max="9221" width="5.5703125" style="10" customWidth="1"/>
    <col min="9222" max="9222" width="9" style="10" customWidth="1"/>
    <col min="9223" max="9224" width="9.85546875" style="10" customWidth="1"/>
    <col min="9225" max="9225" width="11.140625" style="10" customWidth="1"/>
    <col min="9226" max="9226" width="2.85546875" style="10" customWidth="1"/>
    <col min="9227" max="9227" width="3.5703125" style="10" customWidth="1"/>
    <col min="9228" max="9472" width="9.140625" style="10"/>
    <col min="9473" max="9473" width="8.5703125" style="10" customWidth="1"/>
    <col min="9474" max="9474" width="9.85546875" style="10" customWidth="1"/>
    <col min="9475" max="9475" width="14.42578125" style="10" customWidth="1"/>
    <col min="9476" max="9476" width="7.42578125" style="10" customWidth="1"/>
    <col min="9477" max="9477" width="5.5703125" style="10" customWidth="1"/>
    <col min="9478" max="9478" width="9" style="10" customWidth="1"/>
    <col min="9479" max="9480" width="9.85546875" style="10" customWidth="1"/>
    <col min="9481" max="9481" width="11.140625" style="10" customWidth="1"/>
    <col min="9482" max="9482" width="2.85546875" style="10" customWidth="1"/>
    <col min="9483" max="9483" width="3.5703125" style="10" customWidth="1"/>
    <col min="9484" max="9728" width="9.140625" style="10"/>
    <col min="9729" max="9729" width="8.5703125" style="10" customWidth="1"/>
    <col min="9730" max="9730" width="9.85546875" style="10" customWidth="1"/>
    <col min="9731" max="9731" width="14.42578125" style="10" customWidth="1"/>
    <col min="9732" max="9732" width="7.42578125" style="10" customWidth="1"/>
    <col min="9733" max="9733" width="5.5703125" style="10" customWidth="1"/>
    <col min="9734" max="9734" width="9" style="10" customWidth="1"/>
    <col min="9735" max="9736" width="9.85546875" style="10" customWidth="1"/>
    <col min="9737" max="9737" width="11.140625" style="10" customWidth="1"/>
    <col min="9738" max="9738" width="2.85546875" style="10" customWidth="1"/>
    <col min="9739" max="9739" width="3.5703125" style="10" customWidth="1"/>
    <col min="9740" max="9984" width="9.140625" style="10"/>
    <col min="9985" max="9985" width="8.5703125" style="10" customWidth="1"/>
    <col min="9986" max="9986" width="9.85546875" style="10" customWidth="1"/>
    <col min="9987" max="9987" width="14.42578125" style="10" customWidth="1"/>
    <col min="9988" max="9988" width="7.42578125" style="10" customWidth="1"/>
    <col min="9989" max="9989" width="5.5703125" style="10" customWidth="1"/>
    <col min="9990" max="9990" width="9" style="10" customWidth="1"/>
    <col min="9991" max="9992" width="9.85546875" style="10" customWidth="1"/>
    <col min="9993" max="9993" width="11.140625" style="10" customWidth="1"/>
    <col min="9994" max="9994" width="2.85546875" style="10" customWidth="1"/>
    <col min="9995" max="9995" width="3.5703125" style="10" customWidth="1"/>
    <col min="9996" max="10240" width="9.140625" style="10"/>
    <col min="10241" max="10241" width="8.5703125" style="10" customWidth="1"/>
    <col min="10242" max="10242" width="9.85546875" style="10" customWidth="1"/>
    <col min="10243" max="10243" width="14.42578125" style="10" customWidth="1"/>
    <col min="10244" max="10244" width="7.42578125" style="10" customWidth="1"/>
    <col min="10245" max="10245" width="5.5703125" style="10" customWidth="1"/>
    <col min="10246" max="10246" width="9" style="10" customWidth="1"/>
    <col min="10247" max="10248" width="9.85546875" style="10" customWidth="1"/>
    <col min="10249" max="10249" width="11.140625" style="10" customWidth="1"/>
    <col min="10250" max="10250" width="2.85546875" style="10" customWidth="1"/>
    <col min="10251" max="10251" width="3.5703125" style="10" customWidth="1"/>
    <col min="10252" max="10496" width="9.140625" style="10"/>
    <col min="10497" max="10497" width="8.5703125" style="10" customWidth="1"/>
    <col min="10498" max="10498" width="9.85546875" style="10" customWidth="1"/>
    <col min="10499" max="10499" width="14.42578125" style="10" customWidth="1"/>
    <col min="10500" max="10500" width="7.42578125" style="10" customWidth="1"/>
    <col min="10501" max="10501" width="5.5703125" style="10" customWidth="1"/>
    <col min="10502" max="10502" width="9" style="10" customWidth="1"/>
    <col min="10503" max="10504" width="9.85546875" style="10" customWidth="1"/>
    <col min="10505" max="10505" width="11.140625" style="10" customWidth="1"/>
    <col min="10506" max="10506" width="2.85546875" style="10" customWidth="1"/>
    <col min="10507" max="10507" width="3.5703125" style="10" customWidth="1"/>
    <col min="10508" max="10752" width="9.140625" style="10"/>
    <col min="10753" max="10753" width="8.5703125" style="10" customWidth="1"/>
    <col min="10754" max="10754" width="9.85546875" style="10" customWidth="1"/>
    <col min="10755" max="10755" width="14.42578125" style="10" customWidth="1"/>
    <col min="10756" max="10756" width="7.42578125" style="10" customWidth="1"/>
    <col min="10757" max="10757" width="5.5703125" style="10" customWidth="1"/>
    <col min="10758" max="10758" width="9" style="10" customWidth="1"/>
    <col min="10759" max="10760" width="9.85546875" style="10" customWidth="1"/>
    <col min="10761" max="10761" width="11.140625" style="10" customWidth="1"/>
    <col min="10762" max="10762" width="2.85546875" style="10" customWidth="1"/>
    <col min="10763" max="10763" width="3.5703125" style="10" customWidth="1"/>
    <col min="10764" max="11008" width="9.140625" style="10"/>
    <col min="11009" max="11009" width="8.5703125" style="10" customWidth="1"/>
    <col min="11010" max="11010" width="9.85546875" style="10" customWidth="1"/>
    <col min="11011" max="11011" width="14.42578125" style="10" customWidth="1"/>
    <col min="11012" max="11012" width="7.42578125" style="10" customWidth="1"/>
    <col min="11013" max="11013" width="5.5703125" style="10" customWidth="1"/>
    <col min="11014" max="11014" width="9" style="10" customWidth="1"/>
    <col min="11015" max="11016" width="9.85546875" style="10" customWidth="1"/>
    <col min="11017" max="11017" width="11.140625" style="10" customWidth="1"/>
    <col min="11018" max="11018" width="2.85546875" style="10" customWidth="1"/>
    <col min="11019" max="11019" width="3.5703125" style="10" customWidth="1"/>
    <col min="11020" max="11264" width="9.140625" style="10"/>
    <col min="11265" max="11265" width="8.5703125" style="10" customWidth="1"/>
    <col min="11266" max="11266" width="9.85546875" style="10" customWidth="1"/>
    <col min="11267" max="11267" width="14.42578125" style="10" customWidth="1"/>
    <col min="11268" max="11268" width="7.42578125" style="10" customWidth="1"/>
    <col min="11269" max="11269" width="5.5703125" style="10" customWidth="1"/>
    <col min="11270" max="11270" width="9" style="10" customWidth="1"/>
    <col min="11271" max="11272" width="9.85546875" style="10" customWidth="1"/>
    <col min="11273" max="11273" width="11.140625" style="10" customWidth="1"/>
    <col min="11274" max="11274" width="2.85546875" style="10" customWidth="1"/>
    <col min="11275" max="11275" width="3.5703125" style="10" customWidth="1"/>
    <col min="11276" max="11520" width="9.140625" style="10"/>
    <col min="11521" max="11521" width="8.5703125" style="10" customWidth="1"/>
    <col min="11522" max="11522" width="9.85546875" style="10" customWidth="1"/>
    <col min="11523" max="11523" width="14.42578125" style="10" customWidth="1"/>
    <col min="11524" max="11524" width="7.42578125" style="10" customWidth="1"/>
    <col min="11525" max="11525" width="5.5703125" style="10" customWidth="1"/>
    <col min="11526" max="11526" width="9" style="10" customWidth="1"/>
    <col min="11527" max="11528" width="9.85546875" style="10" customWidth="1"/>
    <col min="11529" max="11529" width="11.140625" style="10" customWidth="1"/>
    <col min="11530" max="11530" width="2.85546875" style="10" customWidth="1"/>
    <col min="11531" max="11531" width="3.5703125" style="10" customWidth="1"/>
    <col min="11532" max="11776" width="9.140625" style="10"/>
    <col min="11777" max="11777" width="8.5703125" style="10" customWidth="1"/>
    <col min="11778" max="11778" width="9.85546875" style="10" customWidth="1"/>
    <col min="11779" max="11779" width="14.42578125" style="10" customWidth="1"/>
    <col min="11780" max="11780" width="7.42578125" style="10" customWidth="1"/>
    <col min="11781" max="11781" width="5.5703125" style="10" customWidth="1"/>
    <col min="11782" max="11782" width="9" style="10" customWidth="1"/>
    <col min="11783" max="11784" width="9.85546875" style="10" customWidth="1"/>
    <col min="11785" max="11785" width="11.140625" style="10" customWidth="1"/>
    <col min="11786" max="11786" width="2.85546875" style="10" customWidth="1"/>
    <col min="11787" max="11787" width="3.5703125" style="10" customWidth="1"/>
    <col min="11788" max="12032" width="9.140625" style="10"/>
    <col min="12033" max="12033" width="8.5703125" style="10" customWidth="1"/>
    <col min="12034" max="12034" width="9.85546875" style="10" customWidth="1"/>
    <col min="12035" max="12035" width="14.42578125" style="10" customWidth="1"/>
    <col min="12036" max="12036" width="7.42578125" style="10" customWidth="1"/>
    <col min="12037" max="12037" width="5.5703125" style="10" customWidth="1"/>
    <col min="12038" max="12038" width="9" style="10" customWidth="1"/>
    <col min="12039" max="12040" width="9.85546875" style="10" customWidth="1"/>
    <col min="12041" max="12041" width="11.140625" style="10" customWidth="1"/>
    <col min="12042" max="12042" width="2.85546875" style="10" customWidth="1"/>
    <col min="12043" max="12043" width="3.5703125" style="10" customWidth="1"/>
    <col min="12044" max="12288" width="9.140625" style="10"/>
    <col min="12289" max="12289" width="8.5703125" style="10" customWidth="1"/>
    <col min="12290" max="12290" width="9.85546875" style="10" customWidth="1"/>
    <col min="12291" max="12291" width="14.42578125" style="10" customWidth="1"/>
    <col min="12292" max="12292" width="7.42578125" style="10" customWidth="1"/>
    <col min="12293" max="12293" width="5.5703125" style="10" customWidth="1"/>
    <col min="12294" max="12294" width="9" style="10" customWidth="1"/>
    <col min="12295" max="12296" width="9.85546875" style="10" customWidth="1"/>
    <col min="12297" max="12297" width="11.140625" style="10" customWidth="1"/>
    <col min="12298" max="12298" width="2.85546875" style="10" customWidth="1"/>
    <col min="12299" max="12299" width="3.5703125" style="10" customWidth="1"/>
    <col min="12300" max="12544" width="9.140625" style="10"/>
    <col min="12545" max="12545" width="8.5703125" style="10" customWidth="1"/>
    <col min="12546" max="12546" width="9.85546875" style="10" customWidth="1"/>
    <col min="12547" max="12547" width="14.42578125" style="10" customWidth="1"/>
    <col min="12548" max="12548" width="7.42578125" style="10" customWidth="1"/>
    <col min="12549" max="12549" width="5.5703125" style="10" customWidth="1"/>
    <col min="12550" max="12550" width="9" style="10" customWidth="1"/>
    <col min="12551" max="12552" width="9.85546875" style="10" customWidth="1"/>
    <col min="12553" max="12553" width="11.140625" style="10" customWidth="1"/>
    <col min="12554" max="12554" width="2.85546875" style="10" customWidth="1"/>
    <col min="12555" max="12555" width="3.5703125" style="10" customWidth="1"/>
    <col min="12556" max="12800" width="9.140625" style="10"/>
    <col min="12801" max="12801" width="8.5703125" style="10" customWidth="1"/>
    <col min="12802" max="12802" width="9.85546875" style="10" customWidth="1"/>
    <col min="12803" max="12803" width="14.42578125" style="10" customWidth="1"/>
    <col min="12804" max="12804" width="7.42578125" style="10" customWidth="1"/>
    <col min="12805" max="12805" width="5.5703125" style="10" customWidth="1"/>
    <col min="12806" max="12806" width="9" style="10" customWidth="1"/>
    <col min="12807" max="12808" width="9.85546875" style="10" customWidth="1"/>
    <col min="12809" max="12809" width="11.140625" style="10" customWidth="1"/>
    <col min="12810" max="12810" width="2.85546875" style="10" customWidth="1"/>
    <col min="12811" max="12811" width="3.5703125" style="10" customWidth="1"/>
    <col min="12812" max="13056" width="9.140625" style="10"/>
    <col min="13057" max="13057" width="8.5703125" style="10" customWidth="1"/>
    <col min="13058" max="13058" width="9.85546875" style="10" customWidth="1"/>
    <col min="13059" max="13059" width="14.42578125" style="10" customWidth="1"/>
    <col min="13060" max="13060" width="7.42578125" style="10" customWidth="1"/>
    <col min="13061" max="13061" width="5.5703125" style="10" customWidth="1"/>
    <col min="13062" max="13062" width="9" style="10" customWidth="1"/>
    <col min="13063" max="13064" width="9.85546875" style="10" customWidth="1"/>
    <col min="13065" max="13065" width="11.140625" style="10" customWidth="1"/>
    <col min="13066" max="13066" width="2.85546875" style="10" customWidth="1"/>
    <col min="13067" max="13067" width="3.5703125" style="10" customWidth="1"/>
    <col min="13068" max="13312" width="9.140625" style="10"/>
    <col min="13313" max="13313" width="8.5703125" style="10" customWidth="1"/>
    <col min="13314" max="13314" width="9.85546875" style="10" customWidth="1"/>
    <col min="13315" max="13315" width="14.42578125" style="10" customWidth="1"/>
    <col min="13316" max="13316" width="7.42578125" style="10" customWidth="1"/>
    <col min="13317" max="13317" width="5.5703125" style="10" customWidth="1"/>
    <col min="13318" max="13318" width="9" style="10" customWidth="1"/>
    <col min="13319" max="13320" width="9.85546875" style="10" customWidth="1"/>
    <col min="13321" max="13321" width="11.140625" style="10" customWidth="1"/>
    <col min="13322" max="13322" width="2.85546875" style="10" customWidth="1"/>
    <col min="13323" max="13323" width="3.5703125" style="10" customWidth="1"/>
    <col min="13324" max="13568" width="9.140625" style="10"/>
    <col min="13569" max="13569" width="8.5703125" style="10" customWidth="1"/>
    <col min="13570" max="13570" width="9.85546875" style="10" customWidth="1"/>
    <col min="13571" max="13571" width="14.42578125" style="10" customWidth="1"/>
    <col min="13572" max="13572" width="7.42578125" style="10" customWidth="1"/>
    <col min="13573" max="13573" width="5.5703125" style="10" customWidth="1"/>
    <col min="13574" max="13574" width="9" style="10" customWidth="1"/>
    <col min="13575" max="13576" width="9.85546875" style="10" customWidth="1"/>
    <col min="13577" max="13577" width="11.140625" style="10" customWidth="1"/>
    <col min="13578" max="13578" width="2.85546875" style="10" customWidth="1"/>
    <col min="13579" max="13579" width="3.5703125" style="10" customWidth="1"/>
    <col min="13580" max="13824" width="9.140625" style="10"/>
    <col min="13825" max="13825" width="8.5703125" style="10" customWidth="1"/>
    <col min="13826" max="13826" width="9.85546875" style="10" customWidth="1"/>
    <col min="13827" max="13827" width="14.42578125" style="10" customWidth="1"/>
    <col min="13828" max="13828" width="7.42578125" style="10" customWidth="1"/>
    <col min="13829" max="13829" width="5.5703125" style="10" customWidth="1"/>
    <col min="13830" max="13830" width="9" style="10" customWidth="1"/>
    <col min="13831" max="13832" width="9.85546875" style="10" customWidth="1"/>
    <col min="13833" max="13833" width="11.140625" style="10" customWidth="1"/>
    <col min="13834" max="13834" width="2.85546875" style="10" customWidth="1"/>
    <col min="13835" max="13835" width="3.5703125" style="10" customWidth="1"/>
    <col min="13836" max="14080" width="9.140625" style="10"/>
    <col min="14081" max="14081" width="8.5703125" style="10" customWidth="1"/>
    <col min="14082" max="14082" width="9.85546875" style="10" customWidth="1"/>
    <col min="14083" max="14083" width="14.42578125" style="10" customWidth="1"/>
    <col min="14084" max="14084" width="7.42578125" style="10" customWidth="1"/>
    <col min="14085" max="14085" width="5.5703125" style="10" customWidth="1"/>
    <col min="14086" max="14086" width="9" style="10" customWidth="1"/>
    <col min="14087" max="14088" width="9.85546875" style="10" customWidth="1"/>
    <col min="14089" max="14089" width="11.140625" style="10" customWidth="1"/>
    <col min="14090" max="14090" width="2.85546875" style="10" customWidth="1"/>
    <col min="14091" max="14091" width="3.5703125" style="10" customWidth="1"/>
    <col min="14092" max="14336" width="9.140625" style="10"/>
    <col min="14337" max="14337" width="8.5703125" style="10" customWidth="1"/>
    <col min="14338" max="14338" width="9.85546875" style="10" customWidth="1"/>
    <col min="14339" max="14339" width="14.42578125" style="10" customWidth="1"/>
    <col min="14340" max="14340" width="7.42578125" style="10" customWidth="1"/>
    <col min="14341" max="14341" width="5.5703125" style="10" customWidth="1"/>
    <col min="14342" max="14342" width="9" style="10" customWidth="1"/>
    <col min="14343" max="14344" width="9.85546875" style="10" customWidth="1"/>
    <col min="14345" max="14345" width="11.140625" style="10" customWidth="1"/>
    <col min="14346" max="14346" width="2.85546875" style="10" customWidth="1"/>
    <col min="14347" max="14347" width="3.5703125" style="10" customWidth="1"/>
    <col min="14348" max="14592" width="9.140625" style="10"/>
    <col min="14593" max="14593" width="8.5703125" style="10" customWidth="1"/>
    <col min="14594" max="14594" width="9.85546875" style="10" customWidth="1"/>
    <col min="14595" max="14595" width="14.42578125" style="10" customWidth="1"/>
    <col min="14596" max="14596" width="7.42578125" style="10" customWidth="1"/>
    <col min="14597" max="14597" width="5.5703125" style="10" customWidth="1"/>
    <col min="14598" max="14598" width="9" style="10" customWidth="1"/>
    <col min="14599" max="14600" width="9.85546875" style="10" customWidth="1"/>
    <col min="14601" max="14601" width="11.140625" style="10" customWidth="1"/>
    <col min="14602" max="14602" width="2.85546875" style="10" customWidth="1"/>
    <col min="14603" max="14603" width="3.5703125" style="10" customWidth="1"/>
    <col min="14604" max="14848" width="9.140625" style="10"/>
    <col min="14849" max="14849" width="8.5703125" style="10" customWidth="1"/>
    <col min="14850" max="14850" width="9.85546875" style="10" customWidth="1"/>
    <col min="14851" max="14851" width="14.42578125" style="10" customWidth="1"/>
    <col min="14852" max="14852" width="7.42578125" style="10" customWidth="1"/>
    <col min="14853" max="14853" width="5.5703125" style="10" customWidth="1"/>
    <col min="14854" max="14854" width="9" style="10" customWidth="1"/>
    <col min="14855" max="14856" width="9.85546875" style="10" customWidth="1"/>
    <col min="14857" max="14857" width="11.140625" style="10" customWidth="1"/>
    <col min="14858" max="14858" width="2.85546875" style="10" customWidth="1"/>
    <col min="14859" max="14859" width="3.5703125" style="10" customWidth="1"/>
    <col min="14860" max="15104" width="9.140625" style="10"/>
    <col min="15105" max="15105" width="8.5703125" style="10" customWidth="1"/>
    <col min="15106" max="15106" width="9.85546875" style="10" customWidth="1"/>
    <col min="15107" max="15107" width="14.42578125" style="10" customWidth="1"/>
    <col min="15108" max="15108" width="7.42578125" style="10" customWidth="1"/>
    <col min="15109" max="15109" width="5.5703125" style="10" customWidth="1"/>
    <col min="15110" max="15110" width="9" style="10" customWidth="1"/>
    <col min="15111" max="15112" width="9.85546875" style="10" customWidth="1"/>
    <col min="15113" max="15113" width="11.140625" style="10" customWidth="1"/>
    <col min="15114" max="15114" width="2.85546875" style="10" customWidth="1"/>
    <col min="15115" max="15115" width="3.5703125" style="10" customWidth="1"/>
    <col min="15116" max="15360" width="9.140625" style="10"/>
    <col min="15361" max="15361" width="8.5703125" style="10" customWidth="1"/>
    <col min="15362" max="15362" width="9.85546875" style="10" customWidth="1"/>
    <col min="15363" max="15363" width="14.42578125" style="10" customWidth="1"/>
    <col min="15364" max="15364" width="7.42578125" style="10" customWidth="1"/>
    <col min="15365" max="15365" width="5.5703125" style="10" customWidth="1"/>
    <col min="15366" max="15366" width="9" style="10" customWidth="1"/>
    <col min="15367" max="15368" width="9.85546875" style="10" customWidth="1"/>
    <col min="15369" max="15369" width="11.140625" style="10" customWidth="1"/>
    <col min="15370" max="15370" width="2.85546875" style="10" customWidth="1"/>
    <col min="15371" max="15371" width="3.5703125" style="10" customWidth="1"/>
    <col min="15372" max="15616" width="9.140625" style="10"/>
    <col min="15617" max="15617" width="8.5703125" style="10" customWidth="1"/>
    <col min="15618" max="15618" width="9.85546875" style="10" customWidth="1"/>
    <col min="15619" max="15619" width="14.42578125" style="10" customWidth="1"/>
    <col min="15620" max="15620" width="7.42578125" style="10" customWidth="1"/>
    <col min="15621" max="15621" width="5.5703125" style="10" customWidth="1"/>
    <col min="15622" max="15622" width="9" style="10" customWidth="1"/>
    <col min="15623" max="15624" width="9.85546875" style="10" customWidth="1"/>
    <col min="15625" max="15625" width="11.140625" style="10" customWidth="1"/>
    <col min="15626" max="15626" width="2.85546875" style="10" customWidth="1"/>
    <col min="15627" max="15627" width="3.5703125" style="10" customWidth="1"/>
    <col min="15628" max="15872" width="9.140625" style="10"/>
    <col min="15873" max="15873" width="8.5703125" style="10" customWidth="1"/>
    <col min="15874" max="15874" width="9.85546875" style="10" customWidth="1"/>
    <col min="15875" max="15875" width="14.42578125" style="10" customWidth="1"/>
    <col min="15876" max="15876" width="7.42578125" style="10" customWidth="1"/>
    <col min="15877" max="15877" width="5.5703125" style="10" customWidth="1"/>
    <col min="15878" max="15878" width="9" style="10" customWidth="1"/>
    <col min="15879" max="15880" width="9.85546875" style="10" customWidth="1"/>
    <col min="15881" max="15881" width="11.140625" style="10" customWidth="1"/>
    <col min="15882" max="15882" width="2.85546875" style="10" customWidth="1"/>
    <col min="15883" max="15883" width="3.5703125" style="10" customWidth="1"/>
    <col min="15884" max="16128" width="9.140625" style="10"/>
    <col min="16129" max="16129" width="8.5703125" style="10" customWidth="1"/>
    <col min="16130" max="16130" width="9.85546875" style="10" customWidth="1"/>
    <col min="16131" max="16131" width="14.42578125" style="10" customWidth="1"/>
    <col min="16132" max="16132" width="7.42578125" style="10" customWidth="1"/>
    <col min="16133" max="16133" width="5.5703125" style="10" customWidth="1"/>
    <col min="16134" max="16134" width="9" style="10" customWidth="1"/>
    <col min="16135" max="16136" width="9.85546875" style="10" customWidth="1"/>
    <col min="16137" max="16137" width="11.140625" style="10" customWidth="1"/>
    <col min="16138" max="16138" width="2.85546875" style="10" customWidth="1"/>
    <col min="16139" max="16139" width="3.5703125" style="10" customWidth="1"/>
    <col min="16140" max="16384" width="9.140625" style="10"/>
  </cols>
  <sheetData>
    <row r="1" spans="1:14" ht="46.5" customHeight="1" x14ac:dyDescent="0.25">
      <c r="A1" s="192" t="s">
        <v>272</v>
      </c>
      <c r="B1" s="193"/>
      <c r="C1" s="193"/>
      <c r="D1" s="193"/>
      <c r="E1" s="193"/>
      <c r="F1" s="193"/>
      <c r="G1" s="193"/>
      <c r="H1" s="193"/>
      <c r="I1" s="193"/>
      <c r="J1" s="194"/>
    </row>
    <row r="2" spans="1:14" ht="16.5" customHeight="1" x14ac:dyDescent="0.25">
      <c r="A2" s="195" t="s">
        <v>0</v>
      </c>
      <c r="B2" s="196"/>
      <c r="C2" s="196"/>
      <c r="D2" s="196"/>
      <c r="E2" s="196"/>
      <c r="F2" s="196"/>
      <c r="G2" s="196"/>
      <c r="H2" s="196"/>
      <c r="I2" s="196"/>
      <c r="J2" s="197"/>
    </row>
    <row r="3" spans="1:14" x14ac:dyDescent="0.25">
      <c r="A3" s="100" t="s">
        <v>1</v>
      </c>
      <c r="B3" s="103"/>
      <c r="C3" s="103"/>
      <c r="D3" s="103"/>
      <c r="E3" s="101"/>
      <c r="F3" s="183" t="str">
        <f ca="1">TEXT(TODAY(),"DD/MM/YYYY")</f>
        <v>17/09/2025</v>
      </c>
      <c r="G3" s="184"/>
      <c r="H3" s="184"/>
      <c r="I3" s="184"/>
      <c r="J3" s="185"/>
    </row>
    <row r="4" spans="1:14" ht="15" customHeight="1" x14ac:dyDescent="0.25">
      <c r="A4" s="100" t="s">
        <v>2</v>
      </c>
      <c r="B4" s="103"/>
      <c r="C4" s="103"/>
      <c r="D4" s="103"/>
      <c r="E4" s="101"/>
      <c r="F4" s="189" t="s">
        <v>196</v>
      </c>
      <c r="G4" s="201"/>
      <c r="H4" s="201"/>
      <c r="I4" s="201"/>
      <c r="J4" s="202"/>
    </row>
    <row r="5" spans="1:14" x14ac:dyDescent="0.25">
      <c r="A5" s="100" t="s">
        <v>3</v>
      </c>
      <c r="B5" s="103"/>
      <c r="C5" s="103"/>
      <c r="D5" s="103"/>
      <c r="E5" s="101"/>
      <c r="F5" s="183">
        <v>45916</v>
      </c>
      <c r="G5" s="184"/>
      <c r="H5" s="184"/>
      <c r="I5" s="184"/>
      <c r="J5" s="185"/>
    </row>
    <row r="6" spans="1:14" ht="16.5" customHeight="1" x14ac:dyDescent="0.25">
      <c r="A6" s="100" t="s">
        <v>4</v>
      </c>
      <c r="B6" s="103"/>
      <c r="C6" s="103"/>
      <c r="D6" s="103"/>
      <c r="E6" s="101"/>
      <c r="F6" s="186" t="s">
        <v>270</v>
      </c>
      <c r="G6" s="187"/>
      <c r="H6" s="187"/>
      <c r="I6" s="187"/>
      <c r="J6" s="188"/>
      <c r="N6" s="72" t="s">
        <v>275</v>
      </c>
    </row>
    <row r="7" spans="1:14" ht="15" customHeight="1" x14ac:dyDescent="0.25">
      <c r="A7" s="100" t="s">
        <v>5</v>
      </c>
      <c r="B7" s="103"/>
      <c r="C7" s="103"/>
      <c r="D7" s="103"/>
      <c r="E7" s="101"/>
      <c r="F7" s="186" t="s">
        <v>270</v>
      </c>
      <c r="G7" s="187"/>
      <c r="H7" s="187"/>
      <c r="I7" s="187"/>
      <c r="J7" s="188"/>
    </row>
    <row r="8" spans="1:14" x14ac:dyDescent="0.25">
      <c r="A8" s="100" t="s">
        <v>6</v>
      </c>
      <c r="B8" s="103"/>
      <c r="C8" s="103"/>
      <c r="D8" s="103"/>
      <c r="E8" s="101"/>
      <c r="F8" s="198" t="s">
        <v>195</v>
      </c>
      <c r="G8" s="199"/>
      <c r="H8" s="199"/>
      <c r="I8" s="199"/>
      <c r="J8" s="200"/>
    </row>
    <row r="9" spans="1:14" x14ac:dyDescent="0.25">
      <c r="A9" s="100" t="s">
        <v>276</v>
      </c>
      <c r="B9" s="103"/>
      <c r="C9" s="103"/>
      <c r="D9" s="103"/>
      <c r="E9" s="101"/>
      <c r="F9" s="189">
        <v>2242933400</v>
      </c>
      <c r="G9" s="190"/>
      <c r="H9" s="190"/>
      <c r="I9" s="190"/>
      <c r="J9" s="191"/>
    </row>
    <row r="10" spans="1:14" x14ac:dyDescent="0.25">
      <c r="A10" s="100" t="s">
        <v>277</v>
      </c>
      <c r="B10" s="103"/>
      <c r="C10" s="103"/>
      <c r="D10" s="103"/>
      <c r="E10" s="101"/>
      <c r="F10" s="189" t="s">
        <v>278</v>
      </c>
      <c r="G10" s="190"/>
      <c r="H10" s="190"/>
      <c r="I10" s="190"/>
      <c r="J10" s="191"/>
    </row>
    <row r="11" spans="1:14" ht="17.25" customHeight="1" x14ac:dyDescent="0.25">
      <c r="A11" s="100" t="s">
        <v>7</v>
      </c>
      <c r="B11" s="103"/>
      <c r="C11" s="103"/>
      <c r="D11" s="103"/>
      <c r="E11" s="101"/>
      <c r="F11" s="104" t="s">
        <v>269</v>
      </c>
      <c r="G11" s="105"/>
      <c r="H11" s="105"/>
      <c r="I11" s="105"/>
      <c r="J11" s="124"/>
    </row>
    <row r="12" spans="1:14" ht="16.5" customHeight="1" x14ac:dyDescent="0.25">
      <c r="A12" s="100" t="s">
        <v>8</v>
      </c>
      <c r="B12" s="103"/>
      <c r="C12" s="103"/>
      <c r="D12" s="103"/>
      <c r="E12" s="101"/>
      <c r="F12" s="106" t="s">
        <v>9</v>
      </c>
      <c r="G12" s="107"/>
      <c r="H12" s="107"/>
      <c r="I12" s="107"/>
      <c r="J12" s="108"/>
    </row>
    <row r="13" spans="1:14" x14ac:dyDescent="0.25">
      <c r="A13" s="100" t="s">
        <v>10</v>
      </c>
      <c r="B13" s="103"/>
      <c r="C13" s="103"/>
      <c r="D13" s="103"/>
      <c r="E13" s="101"/>
      <c r="F13" s="159" t="s">
        <v>187</v>
      </c>
      <c r="G13" s="103"/>
      <c r="H13" s="103"/>
      <c r="I13" s="103"/>
      <c r="J13" s="101"/>
    </row>
    <row r="14" spans="1:14" ht="31.5" customHeight="1" x14ac:dyDescent="0.25">
      <c r="A14" s="158" t="s">
        <v>11</v>
      </c>
      <c r="B14" s="158"/>
      <c r="C14" s="159" t="str">
        <f>CONCATENATE((IF(OR(F8="",F8="NA"),"",F8)),", ",(IF(OR(A15="",A15="NA"),"",A15)),".",(IF(OR(C15="",C15="NA"),"",C15)),", ",(IF(OR(C16="",C16="NA"),"",C16)),", ",(IF(OR(H16="",H16="NA"),"",H16)),", ",(IF(OR(C17="",C17="NA"),"",C17)),", ",(IF(OR(C18="",C18="NA"),"",C18)),", ",(IF(OR(H17="",H17="NA"),"",H17)),".")</f>
        <v>Montana Phase III, CTS No.514, 531(Pt), 531/1 TO 14, 532A(Pt) &amp; 534, LBS Road, Nahur, Mulund West, Kurla, Mumbai.</v>
      </c>
      <c r="D14" s="160"/>
      <c r="E14" s="160"/>
      <c r="F14" s="160"/>
      <c r="G14" s="160"/>
      <c r="H14" s="160"/>
      <c r="I14" s="160"/>
      <c r="J14" s="161"/>
    </row>
    <row r="15" spans="1:14" ht="15.75" customHeight="1" x14ac:dyDescent="0.25">
      <c r="A15" s="159" t="s">
        <v>198</v>
      </c>
      <c r="B15" s="161"/>
      <c r="C15" s="106" t="s">
        <v>197</v>
      </c>
      <c r="D15" s="107"/>
      <c r="E15" s="107"/>
      <c r="F15" s="107"/>
      <c r="G15" s="107"/>
      <c r="H15" s="107"/>
      <c r="I15" s="107"/>
      <c r="J15" s="108"/>
    </row>
    <row r="16" spans="1:14" ht="15.75" customHeight="1" x14ac:dyDescent="0.25">
      <c r="A16" s="159" t="s">
        <v>12</v>
      </c>
      <c r="B16" s="161"/>
      <c r="C16" s="119" t="s">
        <v>184</v>
      </c>
      <c r="D16" s="119"/>
      <c r="E16" s="119"/>
      <c r="F16" s="206" t="s">
        <v>141</v>
      </c>
      <c r="G16" s="207"/>
      <c r="H16" s="106" t="s">
        <v>177</v>
      </c>
      <c r="I16" s="107"/>
      <c r="J16" s="108"/>
    </row>
    <row r="17" spans="1:10" x14ac:dyDescent="0.25">
      <c r="A17" s="125" t="s">
        <v>14</v>
      </c>
      <c r="B17" s="125"/>
      <c r="C17" s="119" t="s">
        <v>211</v>
      </c>
      <c r="D17" s="119"/>
      <c r="E17" s="119"/>
      <c r="F17" s="206" t="s">
        <v>13</v>
      </c>
      <c r="G17" s="207"/>
      <c r="H17" s="208" t="s">
        <v>178</v>
      </c>
      <c r="I17" s="208"/>
      <c r="J17" s="208"/>
    </row>
    <row r="18" spans="1:10" x14ac:dyDescent="0.25">
      <c r="A18" s="125" t="s">
        <v>142</v>
      </c>
      <c r="B18" s="125"/>
      <c r="C18" s="106" t="s">
        <v>179</v>
      </c>
      <c r="D18" s="107"/>
      <c r="E18" s="108"/>
      <c r="F18" s="206" t="s">
        <v>15</v>
      </c>
      <c r="G18" s="207"/>
      <c r="H18" s="106">
        <v>400080</v>
      </c>
      <c r="I18" s="107"/>
      <c r="J18" s="108"/>
    </row>
    <row r="19" spans="1:10" ht="32.25" customHeight="1" x14ac:dyDescent="0.25">
      <c r="A19" s="125" t="s">
        <v>16</v>
      </c>
      <c r="B19" s="125"/>
      <c r="C19" s="209" t="s">
        <v>185</v>
      </c>
      <c r="D19" s="209"/>
      <c r="E19" s="209"/>
      <c r="F19" s="158" t="s">
        <v>17</v>
      </c>
      <c r="G19" s="158"/>
      <c r="H19" s="107" t="s">
        <v>194</v>
      </c>
      <c r="I19" s="107"/>
      <c r="J19" s="108"/>
    </row>
    <row r="20" spans="1:10" ht="15" customHeight="1" x14ac:dyDescent="0.25">
      <c r="A20" s="206" t="s">
        <v>152</v>
      </c>
      <c r="B20" s="210"/>
      <c r="C20" s="210"/>
      <c r="D20" s="210"/>
      <c r="E20" s="207"/>
      <c r="F20" s="214" t="s">
        <v>18</v>
      </c>
      <c r="G20" s="215"/>
      <c r="H20" s="215"/>
      <c r="I20" s="215"/>
      <c r="J20" s="216"/>
    </row>
    <row r="21" spans="1:10" ht="18.75" customHeight="1" x14ac:dyDescent="0.25">
      <c r="A21" s="211"/>
      <c r="B21" s="212"/>
      <c r="C21" s="212"/>
      <c r="D21" s="212"/>
      <c r="E21" s="213"/>
      <c r="F21" s="217"/>
      <c r="G21" s="218"/>
      <c r="H21" s="218"/>
      <c r="I21" s="218"/>
      <c r="J21" s="219"/>
    </row>
    <row r="22" spans="1:10" ht="15" customHeight="1" x14ac:dyDescent="0.25">
      <c r="A22" s="206" t="s">
        <v>19</v>
      </c>
      <c r="B22" s="210"/>
      <c r="C22" s="210"/>
      <c r="D22" s="210"/>
      <c r="E22" s="207"/>
      <c r="F22" s="206" t="s">
        <v>20</v>
      </c>
      <c r="G22" s="210"/>
      <c r="H22" s="210"/>
      <c r="I22" s="210"/>
      <c r="J22" s="207"/>
    </row>
    <row r="23" spans="1:10" x14ac:dyDescent="0.25">
      <c r="A23" s="211"/>
      <c r="B23" s="212"/>
      <c r="C23" s="212"/>
      <c r="D23" s="212"/>
      <c r="E23" s="213"/>
      <c r="F23" s="211"/>
      <c r="G23" s="212"/>
      <c r="H23" s="212"/>
      <c r="I23" s="212"/>
      <c r="J23" s="213"/>
    </row>
    <row r="24" spans="1:10" ht="15" customHeight="1" x14ac:dyDescent="0.25">
      <c r="A24" s="100" t="s">
        <v>21</v>
      </c>
      <c r="B24" s="103"/>
      <c r="C24" s="103"/>
      <c r="D24" s="103"/>
      <c r="E24" s="101"/>
      <c r="F24" s="203" t="s">
        <v>22</v>
      </c>
      <c r="G24" s="204"/>
      <c r="H24" s="204"/>
      <c r="I24" s="204"/>
      <c r="J24" s="205"/>
    </row>
    <row r="25" spans="1:10" x14ac:dyDescent="0.25">
      <c r="A25" s="100" t="s">
        <v>23</v>
      </c>
      <c r="B25" s="103"/>
      <c r="C25" s="103"/>
      <c r="D25" s="103"/>
      <c r="E25" s="101"/>
      <c r="F25" s="203" t="s">
        <v>24</v>
      </c>
      <c r="G25" s="204"/>
      <c r="H25" s="204"/>
      <c r="I25" s="204"/>
      <c r="J25" s="205"/>
    </row>
    <row r="26" spans="1:10" ht="15" customHeight="1" x14ac:dyDescent="0.25">
      <c r="A26" s="100" t="s">
        <v>25</v>
      </c>
      <c r="B26" s="103"/>
      <c r="C26" s="103"/>
      <c r="D26" s="103"/>
      <c r="E26" s="101"/>
      <c r="F26" s="203" t="s">
        <v>26</v>
      </c>
      <c r="G26" s="204"/>
      <c r="H26" s="204"/>
      <c r="I26" s="204"/>
      <c r="J26" s="205"/>
    </row>
    <row r="27" spans="1:10" x14ac:dyDescent="0.25">
      <c r="A27" s="100" t="s">
        <v>27</v>
      </c>
      <c r="B27" s="103"/>
      <c r="C27" s="103"/>
      <c r="D27" s="103"/>
      <c r="E27" s="101"/>
      <c r="F27" s="203" t="s">
        <v>28</v>
      </c>
      <c r="G27" s="204"/>
      <c r="H27" s="204"/>
      <c r="I27" s="204"/>
      <c r="J27" s="205"/>
    </row>
    <row r="28" spans="1:10" x14ac:dyDescent="0.25">
      <c r="A28" s="153" t="s">
        <v>29</v>
      </c>
      <c r="B28" s="154"/>
      <c r="C28" s="153" t="s">
        <v>30</v>
      </c>
      <c r="D28" s="154"/>
      <c r="E28" s="153" t="s">
        <v>31</v>
      </c>
      <c r="F28" s="154"/>
      <c r="G28" s="153" t="s">
        <v>33</v>
      </c>
      <c r="H28" s="154"/>
      <c r="I28" s="153" t="s">
        <v>32</v>
      </c>
      <c r="J28" s="154"/>
    </row>
    <row r="29" spans="1:10" x14ac:dyDescent="0.25">
      <c r="A29" s="155" t="s">
        <v>34</v>
      </c>
      <c r="B29" s="156"/>
      <c r="C29" s="155" t="s">
        <v>35</v>
      </c>
      <c r="D29" s="156"/>
      <c r="E29" s="155" t="s">
        <v>35</v>
      </c>
      <c r="F29" s="156"/>
      <c r="G29" s="155" t="s">
        <v>35</v>
      </c>
      <c r="H29" s="156"/>
      <c r="I29" s="155" t="s">
        <v>35</v>
      </c>
      <c r="J29" s="156"/>
    </row>
    <row r="30" spans="1:10" x14ac:dyDescent="0.25">
      <c r="A30" s="155" t="s">
        <v>36</v>
      </c>
      <c r="B30" s="156"/>
      <c r="C30" s="155" t="s">
        <v>12</v>
      </c>
      <c r="D30" s="156"/>
      <c r="E30" s="155" t="s">
        <v>186</v>
      </c>
      <c r="F30" s="156"/>
      <c r="G30" s="155" t="s">
        <v>186</v>
      </c>
      <c r="H30" s="156"/>
      <c r="I30" s="155" t="s">
        <v>12</v>
      </c>
      <c r="J30" s="156"/>
    </row>
    <row r="31" spans="1:10" x14ac:dyDescent="0.25">
      <c r="A31" s="100" t="s">
        <v>37</v>
      </c>
      <c r="B31" s="103"/>
      <c r="C31" s="103"/>
      <c r="D31" s="103"/>
      <c r="E31" s="103"/>
      <c r="F31" s="103"/>
      <c r="G31" s="103"/>
      <c r="H31" s="103"/>
      <c r="I31" s="103"/>
      <c r="J31" s="101"/>
    </row>
    <row r="32" spans="1:10" x14ac:dyDescent="0.25">
      <c r="A32" s="100" t="s">
        <v>38</v>
      </c>
      <c r="B32" s="103"/>
      <c r="C32" s="103"/>
      <c r="D32" s="103"/>
      <c r="E32" s="103"/>
      <c r="F32" s="103"/>
      <c r="G32" s="103"/>
      <c r="H32" s="103"/>
      <c r="I32" s="103"/>
      <c r="J32" s="101"/>
    </row>
    <row r="33" spans="1:10" x14ac:dyDescent="0.25">
      <c r="A33" s="100" t="s">
        <v>39</v>
      </c>
      <c r="B33" s="101"/>
      <c r="C33" s="155" t="s">
        <v>40</v>
      </c>
      <c r="D33" s="156"/>
      <c r="E33" s="155">
        <v>19.170395299999999</v>
      </c>
      <c r="F33" s="156"/>
      <c r="G33" s="155" t="s">
        <v>41</v>
      </c>
      <c r="H33" s="156"/>
      <c r="I33" s="155">
        <v>72.936620500000004</v>
      </c>
      <c r="J33" s="156"/>
    </row>
    <row r="34" spans="1:10" x14ac:dyDescent="0.25">
      <c r="A34" s="100" t="s">
        <v>273</v>
      </c>
      <c r="B34" s="101"/>
      <c r="C34" s="102" t="s">
        <v>274</v>
      </c>
      <c r="D34" s="103"/>
      <c r="E34" s="103"/>
      <c r="F34" s="103"/>
      <c r="G34" s="103"/>
      <c r="H34" s="103"/>
      <c r="I34" s="103"/>
      <c r="J34" s="101"/>
    </row>
    <row r="35" spans="1:10" x14ac:dyDescent="0.25">
      <c r="A35" s="157" t="s">
        <v>42</v>
      </c>
      <c r="B35" s="157"/>
      <c r="C35" s="157"/>
      <c r="D35" s="157"/>
      <c r="E35" s="157"/>
      <c r="F35" s="157"/>
      <c r="G35" s="157"/>
      <c r="H35" s="157"/>
      <c r="I35" s="157"/>
      <c r="J35" s="157"/>
    </row>
    <row r="36" spans="1:10" ht="15" customHeight="1" x14ac:dyDescent="0.25">
      <c r="A36" s="158" t="s">
        <v>43</v>
      </c>
      <c r="B36" s="158"/>
      <c r="C36" s="158"/>
      <c r="D36" s="158"/>
      <c r="E36" s="158"/>
      <c r="F36" s="182" t="s">
        <v>183</v>
      </c>
      <c r="G36" s="182"/>
      <c r="H36" s="182"/>
      <c r="I36" s="182"/>
      <c r="J36" s="182"/>
    </row>
    <row r="37" spans="1:10" ht="15" customHeight="1" x14ac:dyDescent="0.25">
      <c r="A37" s="158" t="s">
        <v>44</v>
      </c>
      <c r="B37" s="158"/>
      <c r="C37" s="158"/>
      <c r="D37" s="158"/>
      <c r="E37" s="158"/>
      <c r="F37" s="158" t="s">
        <v>45</v>
      </c>
      <c r="G37" s="158"/>
      <c r="H37" s="158"/>
      <c r="I37" s="158"/>
      <c r="J37" s="158"/>
    </row>
    <row r="38" spans="1:10" x14ac:dyDescent="0.25">
      <c r="A38" s="157" t="s">
        <v>46</v>
      </c>
      <c r="B38" s="157"/>
      <c r="C38" s="157"/>
      <c r="D38" s="157"/>
      <c r="E38" s="157"/>
      <c r="F38" s="157"/>
      <c r="G38" s="157"/>
      <c r="H38" s="157"/>
      <c r="I38" s="157"/>
      <c r="J38" s="157"/>
    </row>
    <row r="39" spans="1:10" x14ac:dyDescent="0.25">
      <c r="A39" s="125" t="s">
        <v>47</v>
      </c>
      <c r="B39" s="125"/>
      <c r="C39" s="125"/>
      <c r="D39" s="125"/>
      <c r="E39" s="125"/>
      <c r="F39" s="126">
        <v>51853.15</v>
      </c>
      <c r="G39" s="126"/>
      <c r="H39" s="126"/>
      <c r="I39" s="126"/>
      <c r="J39" s="126"/>
    </row>
    <row r="40" spans="1:10" x14ac:dyDescent="0.25">
      <c r="A40" s="125" t="s">
        <v>48</v>
      </c>
      <c r="B40" s="125"/>
      <c r="C40" s="125"/>
      <c r="D40" s="125"/>
      <c r="E40" s="125"/>
      <c r="F40" s="181">
        <v>1</v>
      </c>
      <c r="G40" s="181"/>
      <c r="H40" s="181"/>
      <c r="I40" s="181"/>
      <c r="J40" s="181"/>
    </row>
    <row r="41" spans="1:10" x14ac:dyDescent="0.25">
      <c r="A41" s="125" t="s">
        <v>49</v>
      </c>
      <c r="B41" s="125"/>
      <c r="C41" s="125"/>
      <c r="D41" s="125"/>
      <c r="E41" s="125"/>
      <c r="F41" s="181">
        <f>F43/F39-F40</f>
        <v>0.7001850417959179</v>
      </c>
      <c r="G41" s="181"/>
      <c r="H41" s="181"/>
      <c r="I41" s="181"/>
      <c r="J41" s="181"/>
    </row>
    <row r="42" spans="1:10" x14ac:dyDescent="0.25">
      <c r="A42" s="125" t="s">
        <v>50</v>
      </c>
      <c r="B42" s="125"/>
      <c r="C42" s="125"/>
      <c r="D42" s="125"/>
      <c r="E42" s="125"/>
      <c r="F42" s="181">
        <f>F40+F41</f>
        <v>1.7001850417959179</v>
      </c>
      <c r="G42" s="181"/>
      <c r="H42" s="181"/>
      <c r="I42" s="181"/>
      <c r="J42" s="181"/>
    </row>
    <row r="43" spans="1:10" x14ac:dyDescent="0.25">
      <c r="A43" s="125" t="s">
        <v>51</v>
      </c>
      <c r="B43" s="125"/>
      <c r="C43" s="125"/>
      <c r="D43" s="125"/>
      <c r="E43" s="125"/>
      <c r="F43" s="126">
        <v>88159.95</v>
      </c>
      <c r="G43" s="126"/>
      <c r="H43" s="126"/>
      <c r="I43" s="126"/>
      <c r="J43" s="126"/>
    </row>
    <row r="44" spans="1:10" x14ac:dyDescent="0.25">
      <c r="A44" s="100" t="s">
        <v>52</v>
      </c>
      <c r="B44" s="103"/>
      <c r="C44" s="103"/>
      <c r="D44" s="103"/>
      <c r="E44" s="101"/>
      <c r="F44" s="220" t="s">
        <v>188</v>
      </c>
      <c r="G44" s="221"/>
      <c r="H44" s="221"/>
      <c r="I44" s="221"/>
      <c r="J44" s="222"/>
    </row>
    <row r="45" spans="1:10" x14ac:dyDescent="0.25">
      <c r="A45" s="223" t="s">
        <v>53</v>
      </c>
      <c r="B45" s="224"/>
      <c r="C45" s="224"/>
      <c r="D45" s="224"/>
      <c r="E45" s="224"/>
      <c r="F45" s="224"/>
      <c r="G45" s="224"/>
      <c r="H45" s="224"/>
      <c r="I45" s="224"/>
      <c r="J45" s="225"/>
    </row>
    <row r="46" spans="1:10" x14ac:dyDescent="0.25">
      <c r="A46" s="106" t="s">
        <v>54</v>
      </c>
      <c r="B46" s="108"/>
      <c r="C46" s="129" t="s">
        <v>254</v>
      </c>
      <c r="D46" s="130"/>
      <c r="E46" s="130"/>
      <c r="F46" s="131"/>
      <c r="G46" s="67" t="s">
        <v>55</v>
      </c>
      <c r="H46" s="127">
        <v>44596</v>
      </c>
      <c r="I46" s="107"/>
      <c r="J46" s="108"/>
    </row>
    <row r="47" spans="1:10" ht="31.5" customHeight="1" x14ac:dyDescent="0.25">
      <c r="A47" s="106" t="s">
        <v>56</v>
      </c>
      <c r="B47" s="108"/>
      <c r="C47" s="129" t="str">
        <f>C46</f>
        <v>CHE/ES/2036/T/337(NEW )</v>
      </c>
      <c r="D47" s="130"/>
      <c r="E47" s="130"/>
      <c r="F47" s="131"/>
      <c r="G47" s="67" t="s">
        <v>55</v>
      </c>
      <c r="H47" s="127">
        <f>H46</f>
        <v>44596</v>
      </c>
      <c r="I47" s="107"/>
      <c r="J47" s="108"/>
    </row>
    <row r="48" spans="1:10" ht="159.6" customHeight="1" x14ac:dyDescent="0.25">
      <c r="A48" s="106" t="s">
        <v>57</v>
      </c>
      <c r="B48" s="108"/>
      <c r="C48" s="129" t="s">
        <v>282</v>
      </c>
      <c r="D48" s="132"/>
      <c r="E48" s="132"/>
      <c r="F48" s="133"/>
      <c r="G48" s="68" t="s">
        <v>55</v>
      </c>
      <c r="H48" s="71">
        <v>45586</v>
      </c>
      <c r="I48" s="128" t="s">
        <v>283</v>
      </c>
      <c r="J48" s="128"/>
    </row>
    <row r="49" spans="1:12" ht="15" customHeight="1" x14ac:dyDescent="0.25">
      <c r="A49" s="159" t="s">
        <v>58</v>
      </c>
      <c r="B49" s="161"/>
      <c r="C49" s="162" t="s">
        <v>150</v>
      </c>
      <c r="D49" s="163"/>
      <c r="E49" s="163"/>
      <c r="F49" s="164" t="s">
        <v>59</v>
      </c>
      <c r="G49" s="17" t="s">
        <v>55</v>
      </c>
      <c r="H49" s="159" t="s">
        <v>35</v>
      </c>
      <c r="I49" s="160" t="s">
        <v>35</v>
      </c>
      <c r="J49" s="161"/>
    </row>
    <row r="50" spans="1:12" x14ac:dyDescent="0.25">
      <c r="A50" s="119" t="s">
        <v>60</v>
      </c>
      <c r="B50" s="119"/>
      <c r="C50" s="119"/>
      <c r="D50" s="120">
        <v>43354</v>
      </c>
      <c r="E50" s="121"/>
      <c r="F50" s="104" t="s">
        <v>61</v>
      </c>
      <c r="G50" s="122"/>
      <c r="H50" s="123">
        <v>46385</v>
      </c>
      <c r="I50" s="105"/>
      <c r="J50" s="124"/>
    </row>
    <row r="51" spans="1:12" x14ac:dyDescent="0.25">
      <c r="A51" s="226" t="s">
        <v>62</v>
      </c>
      <c r="B51" s="227"/>
      <c r="C51" s="227"/>
      <c r="D51" s="227"/>
      <c r="E51" s="227"/>
      <c r="F51" s="227"/>
      <c r="G51" s="227"/>
      <c r="H51" s="227"/>
      <c r="I51" s="227"/>
      <c r="J51" s="228"/>
    </row>
    <row r="52" spans="1:12" ht="15.75" customHeight="1" x14ac:dyDescent="0.25">
      <c r="A52" s="104" t="s">
        <v>63</v>
      </c>
      <c r="B52" s="105"/>
      <c r="C52" s="124"/>
      <c r="D52" s="229">
        <v>10706.41</v>
      </c>
      <c r="E52" s="230"/>
      <c r="F52" s="231" t="s">
        <v>64</v>
      </c>
      <c r="G52" s="232"/>
      <c r="H52" s="231" t="s">
        <v>267</v>
      </c>
      <c r="I52" s="233"/>
      <c r="J52" s="232"/>
    </row>
    <row r="53" spans="1:12" ht="33" customHeight="1" x14ac:dyDescent="0.25">
      <c r="A53" s="104" t="s">
        <v>65</v>
      </c>
      <c r="B53" s="105"/>
      <c r="C53" s="106" t="s">
        <v>268</v>
      </c>
      <c r="D53" s="107"/>
      <c r="E53" s="107"/>
      <c r="F53" s="107"/>
      <c r="G53" s="107"/>
      <c r="H53" s="107"/>
      <c r="I53" s="107"/>
      <c r="J53" s="108"/>
    </row>
    <row r="54" spans="1:12" ht="33" customHeight="1" x14ac:dyDescent="0.25">
      <c r="A54" s="104" t="s">
        <v>271</v>
      </c>
      <c r="B54" s="105"/>
      <c r="C54" s="106" t="s">
        <v>268</v>
      </c>
      <c r="D54" s="107"/>
      <c r="E54" s="107"/>
      <c r="F54" s="107"/>
      <c r="G54" s="107"/>
      <c r="H54" s="107"/>
      <c r="I54" s="107"/>
      <c r="J54" s="108"/>
    </row>
    <row r="55" spans="1:12" ht="15.75" customHeight="1" x14ac:dyDescent="0.25">
      <c r="A55" s="100" t="s">
        <v>66</v>
      </c>
      <c r="B55" s="103"/>
      <c r="C55" s="103"/>
      <c r="D55" s="159" t="s">
        <v>67</v>
      </c>
      <c r="E55" s="160"/>
      <c r="F55" s="160"/>
      <c r="G55" s="160"/>
      <c r="H55" s="160"/>
      <c r="I55" s="160"/>
      <c r="J55" s="161"/>
    </row>
    <row r="56" spans="1:12" ht="16.5" thickBot="1" x14ac:dyDescent="0.3">
      <c r="A56" s="104" t="s">
        <v>199</v>
      </c>
      <c r="B56" s="105"/>
      <c r="C56" s="105"/>
      <c r="D56" s="105"/>
      <c r="E56" s="105"/>
      <c r="F56" s="105"/>
      <c r="G56" s="105"/>
      <c r="H56" s="105"/>
      <c r="I56" s="105"/>
      <c r="J56" s="124"/>
    </row>
    <row r="57" spans="1:12" ht="32.25" customHeight="1" x14ac:dyDescent="0.25">
      <c r="A57" s="239" t="s">
        <v>228</v>
      </c>
      <c r="B57" s="240"/>
      <c r="C57" s="241" t="s">
        <v>279</v>
      </c>
      <c r="D57" s="242"/>
      <c r="E57" s="242"/>
      <c r="F57" s="242"/>
      <c r="G57" s="242"/>
      <c r="H57" s="242"/>
      <c r="I57" s="242"/>
      <c r="J57" s="243"/>
      <c r="K57" s="49" t="str">
        <f>(IF(F61&gt;99%,"All work completed. Please provide OC.",IF(F61&gt;89.8%,"Plinth, RCC, Brick, Plaster, Flooring, Painting work Completed. Finishing work is in process.",IF(F61&lt;94%,(IF(C61=0,"Work not yet Started.",IF(D61=25%,"Piling work in process",IF(D61=50%,"Excavation work in process",IF(D61=100%,"Excavation work Completed. ","0")))&amp;(IF(C62=0%,"",IF(C62=L63,"Footing work is process",IF(C62=L64,"Footing work Completed",IF(C62=L65,"1st Basement Completed",IF(C62=L66,"1st &amp; 2nd Basement Completed",IF(C62=L67,"1st to 3rd Basement Completed",IF(C62=L68,"1st to 4th Basement Completed",IF(C62=L69,"Plinth work is process",IF(C62=L70,"Plinth work completed","0")))))))))))&amp;(IF(C63=(D58+G58+I58),", RCC Slab",IF(C63&gt;0,", RCC upto "&amp;C63&amp;" Slab",""))&amp;(IF(C64=I58,", Brickwork",IF(C64&gt;0,", Brickwork upto "&amp;C64&amp;" Floor",""))&amp;(IF(C65=I58,", Internal Plaster",IF(C65&gt;0,", Internal Plaster upto "&amp;C65&amp;" Floor",""))&amp;(IF(C66=I58,", External Plaster",IF(C66&gt;0,", External Plaster upto "&amp;C66&amp;" Floor",""))&amp;(IF(C67=I58,", Flooring",IF(C67&gt;0,", Flooring upto "&amp;C67&amp;" Floor",""))&amp;(IF(C68=I58,", Painting",IF(C68&gt;0,", Painting upto "&amp;C68&amp;" Floor",""))&amp;(IF(C69&gt;0,", Finishing upto "&amp;C69&amp;" Floor","")&amp;(IF(C63&gt;0.5," Completed",""))))))))))))))</f>
        <v>Excavation work Completed. Plinth work completed, RCC Slab, Brickwork, Internal Plaster, External Plaster, Flooring upto 37 Floor, Painting upto 23 Floor Completed</v>
      </c>
      <c r="L57" s="50"/>
    </row>
    <row r="58" spans="1:12" x14ac:dyDescent="0.25">
      <c r="A58" s="51" t="s">
        <v>137</v>
      </c>
      <c r="B58" s="52">
        <v>0</v>
      </c>
      <c r="C58" s="52" t="s">
        <v>139</v>
      </c>
      <c r="D58" s="52">
        <v>1</v>
      </c>
      <c r="E58" s="109" t="s">
        <v>138</v>
      </c>
      <c r="F58" s="110"/>
      <c r="G58" s="52">
        <v>6</v>
      </c>
      <c r="H58" s="52" t="s">
        <v>229</v>
      </c>
      <c r="I58" s="109">
        <v>43</v>
      </c>
      <c r="J58" s="111"/>
      <c r="K58" s="53"/>
      <c r="L58" s="54"/>
    </row>
    <row r="59" spans="1:12" ht="48.75" customHeight="1" x14ac:dyDescent="0.25">
      <c r="A59" s="112" t="s">
        <v>230</v>
      </c>
      <c r="B59" s="98"/>
      <c r="C59" s="113" t="str">
        <f>K57</f>
        <v>Excavation work Completed. Plinth work completed, RCC Slab, Brickwork, Internal Plaster, External Plaster, Flooring upto 37 Floor, Painting upto 23 Floor Completed</v>
      </c>
      <c r="D59" s="114"/>
      <c r="E59" s="114"/>
      <c r="F59" s="114"/>
      <c r="G59" s="114"/>
      <c r="H59" s="114"/>
      <c r="I59" s="114"/>
      <c r="J59" s="115"/>
      <c r="K59" s="53" t="s">
        <v>231</v>
      </c>
      <c r="L59" s="54"/>
    </row>
    <row r="60" spans="1:12" x14ac:dyDescent="0.25">
      <c r="A60" s="116" t="s">
        <v>68</v>
      </c>
      <c r="B60" s="117"/>
      <c r="C60" s="62" t="s">
        <v>232</v>
      </c>
      <c r="D60" s="99" t="s">
        <v>233</v>
      </c>
      <c r="E60" s="99"/>
      <c r="F60" s="76" t="s">
        <v>234</v>
      </c>
      <c r="G60" s="76"/>
      <c r="H60" s="76" t="s">
        <v>235</v>
      </c>
      <c r="I60" s="76"/>
      <c r="J60" s="118"/>
      <c r="K60" s="55" t="s">
        <v>236</v>
      </c>
      <c r="L60" s="56">
        <f>I58*25%</f>
        <v>10.75</v>
      </c>
    </row>
    <row r="61" spans="1:12" x14ac:dyDescent="0.25">
      <c r="A61" s="76" t="s">
        <v>237</v>
      </c>
      <c r="B61" s="76"/>
      <c r="C61" s="63">
        <f>L62</f>
        <v>43</v>
      </c>
      <c r="D61" s="79">
        <f>((100/I58)*C61)/100</f>
        <v>1</v>
      </c>
      <c r="E61" s="79"/>
      <c r="F61" s="79">
        <f>(((C62/I58*10)+(40/(D58+G58+I58)*C63)+(7.5/(I58)*C64)+(7.5/(I58)*C65)+(10/I58*C66)+(10/I58*C67)+(5/I58*C68)+(5/I58*C69)+(5/I58*C70))/100)</f>
        <v>0.86279069767441863</v>
      </c>
      <c r="G61" s="79"/>
      <c r="H61" s="79">
        <f>((((C61/I58)*20)+((C62/I58)*25)+(30/(I58+G58+D58)*C63)+(5/I58*C64)+(5/I58*C65)+(5/I58*C66)+(5/I58*C67)+(0/I58*C68)+(0/I58*C69)+(5/I58*C70))/100)</f>
        <v>0.94302325581395352</v>
      </c>
      <c r="I61" s="79"/>
      <c r="J61" s="79"/>
      <c r="K61" s="55" t="s">
        <v>144</v>
      </c>
      <c r="L61" s="57">
        <f>I58*50%</f>
        <v>21.5</v>
      </c>
    </row>
    <row r="62" spans="1:12" x14ac:dyDescent="0.25">
      <c r="A62" s="76" t="s">
        <v>69</v>
      </c>
      <c r="B62" s="76"/>
      <c r="C62" s="64">
        <f>L70</f>
        <v>43</v>
      </c>
      <c r="D62" s="79">
        <f>((100/I58)*C62)/100</f>
        <v>1</v>
      </c>
      <c r="E62" s="79"/>
      <c r="F62" s="79"/>
      <c r="G62" s="79"/>
      <c r="H62" s="79"/>
      <c r="I62" s="79"/>
      <c r="J62" s="79"/>
      <c r="K62" s="55" t="s">
        <v>145</v>
      </c>
      <c r="L62" s="57">
        <f>I58</f>
        <v>43</v>
      </c>
    </row>
    <row r="63" spans="1:12" x14ac:dyDescent="0.25">
      <c r="A63" s="91" t="s">
        <v>238</v>
      </c>
      <c r="B63" s="91"/>
      <c r="C63" s="64">
        <f>D58+G58+43</f>
        <v>50</v>
      </c>
      <c r="D63" s="79">
        <f>((100/(D58+G58+I58))*C63)/100</f>
        <v>1</v>
      </c>
      <c r="E63" s="79"/>
      <c r="F63" s="79"/>
      <c r="G63" s="79"/>
      <c r="H63" s="79"/>
      <c r="I63" s="79"/>
      <c r="J63" s="79"/>
      <c r="K63" s="55" t="s">
        <v>146</v>
      </c>
      <c r="L63" s="58">
        <f>(IF(B58&gt;1,(I58/(B58+2)),I58/4))</f>
        <v>10.75</v>
      </c>
    </row>
    <row r="64" spans="1:12" x14ac:dyDescent="0.25">
      <c r="A64" s="76" t="s">
        <v>239</v>
      </c>
      <c r="B64" s="76" t="s">
        <v>240</v>
      </c>
      <c r="C64" s="64">
        <f>C63-G58-D58</f>
        <v>43</v>
      </c>
      <c r="D64" s="79">
        <f>((100/I58)*C64)/100</f>
        <v>1</v>
      </c>
      <c r="E64" s="79"/>
      <c r="F64" s="79"/>
      <c r="G64" s="79"/>
      <c r="H64" s="79"/>
      <c r="I64" s="79"/>
      <c r="J64" s="79"/>
      <c r="K64" s="55" t="s">
        <v>147</v>
      </c>
      <c r="L64" s="58">
        <f>(IF(B58&gt;1,(I58/(B58+2)+L63),I58/4+L63))</f>
        <v>21.5</v>
      </c>
    </row>
    <row r="65" spans="1:12" ht="15" customHeight="1" x14ac:dyDescent="0.25">
      <c r="A65" s="76" t="s">
        <v>241</v>
      </c>
      <c r="B65" s="76" t="s">
        <v>240</v>
      </c>
      <c r="C65" s="64">
        <v>43</v>
      </c>
      <c r="D65" s="79">
        <f>((100/I58)*C65)/100</f>
        <v>1</v>
      </c>
      <c r="E65" s="79"/>
      <c r="F65" s="79"/>
      <c r="G65" s="79"/>
      <c r="H65" s="79"/>
      <c r="I65" s="79"/>
      <c r="J65" s="79"/>
      <c r="K65" s="55" t="s">
        <v>242</v>
      </c>
      <c r="L65" s="58">
        <f>(IF(B58&gt;1,(I58/(B58+2)+L64),0))</f>
        <v>0</v>
      </c>
    </row>
    <row r="66" spans="1:12" x14ac:dyDescent="0.25">
      <c r="A66" s="76" t="s">
        <v>243</v>
      </c>
      <c r="B66" s="76" t="s">
        <v>244</v>
      </c>
      <c r="C66" s="64">
        <v>43</v>
      </c>
      <c r="D66" s="79">
        <f>((100/(I58))*C66)/100</f>
        <v>1</v>
      </c>
      <c r="E66" s="79"/>
      <c r="F66" s="79"/>
      <c r="G66" s="79"/>
      <c r="H66" s="79"/>
      <c r="I66" s="79"/>
      <c r="J66" s="79"/>
      <c r="K66" s="55" t="s">
        <v>245</v>
      </c>
      <c r="L66" s="58">
        <f>(IF(B58&gt;2,(I58/(B58+2)+L65),0))</f>
        <v>0</v>
      </c>
    </row>
    <row r="67" spans="1:12" x14ac:dyDescent="0.25">
      <c r="A67" s="76" t="s">
        <v>246</v>
      </c>
      <c r="B67" s="76" t="s">
        <v>246</v>
      </c>
      <c r="C67" s="63">
        <v>37</v>
      </c>
      <c r="D67" s="79">
        <f>((100/I58)*C67)/100</f>
        <v>0.86046511627906985</v>
      </c>
      <c r="E67" s="79"/>
      <c r="F67" s="79"/>
      <c r="G67" s="79"/>
      <c r="H67" s="79"/>
      <c r="I67" s="79"/>
      <c r="J67" s="79"/>
      <c r="K67" s="55" t="s">
        <v>247</v>
      </c>
      <c r="L67" s="59">
        <f>(IF(B58&gt;3,(I58/(B58+2)+L66),0))</f>
        <v>0</v>
      </c>
    </row>
    <row r="68" spans="1:12" ht="15" customHeight="1" x14ac:dyDescent="0.25">
      <c r="A68" s="76" t="s">
        <v>248</v>
      </c>
      <c r="B68" s="76"/>
      <c r="C68" s="63">
        <v>23</v>
      </c>
      <c r="D68" s="79">
        <f>((100/I58)*C68)/100</f>
        <v>0.53488372093023262</v>
      </c>
      <c r="E68" s="79"/>
      <c r="F68" s="79"/>
      <c r="G68" s="79"/>
      <c r="H68" s="79"/>
      <c r="I68" s="79"/>
      <c r="J68" s="79"/>
      <c r="K68" s="55" t="s">
        <v>249</v>
      </c>
      <c r="L68" s="58">
        <f>(IF(B58&gt;4,(I58/(B58+2)+L67),0))</f>
        <v>0</v>
      </c>
    </row>
    <row r="69" spans="1:12" x14ac:dyDescent="0.25">
      <c r="A69" s="76" t="s">
        <v>250</v>
      </c>
      <c r="B69" s="76" t="s">
        <v>250</v>
      </c>
      <c r="C69" s="63">
        <v>0</v>
      </c>
      <c r="D69" s="79">
        <f>((100/(I58))*C69)/100</f>
        <v>0</v>
      </c>
      <c r="E69" s="79"/>
      <c r="F69" s="79"/>
      <c r="G69" s="79"/>
      <c r="H69" s="79"/>
      <c r="I69" s="79"/>
      <c r="J69" s="79"/>
      <c r="K69" s="55" t="s">
        <v>148</v>
      </c>
      <c r="L69" s="58">
        <f>(IF(B58=1,(I58/(B58+3)+L64),IF(B58=0,(I58/4+L64),IF(B58&gt;1,0))))</f>
        <v>32.25</v>
      </c>
    </row>
    <row r="70" spans="1:12" ht="16.5" thickBot="1" x14ac:dyDescent="0.3">
      <c r="A70" s="76" t="s">
        <v>251</v>
      </c>
      <c r="B70" s="76"/>
      <c r="C70" s="63">
        <v>0</v>
      </c>
      <c r="D70" s="79">
        <f>((100/(I58))*C70)/100</f>
        <v>0</v>
      </c>
      <c r="E70" s="79"/>
      <c r="F70" s="79"/>
      <c r="G70" s="79"/>
      <c r="H70" s="79"/>
      <c r="I70" s="79"/>
      <c r="J70" s="79"/>
      <c r="K70" s="60" t="s">
        <v>149</v>
      </c>
      <c r="L70" s="61">
        <f>(IF(B58&gt;1.5,(I58/(B58+2)+L64+MAX(0,L65-L64)+MAX(0,L66-L65)+MAX(0,L67-L66)+MAX(0,L68-L67)+MAX(0,L69-L68)),IF(B58=1,(I58/(B58+3)+L69),IF(B58=0,I58/4+L69))))</f>
        <v>43</v>
      </c>
    </row>
    <row r="71" spans="1:12" ht="32.25" customHeight="1" x14ac:dyDescent="0.25">
      <c r="A71" s="96" t="s">
        <v>228</v>
      </c>
      <c r="B71" s="96"/>
      <c r="C71" s="97" t="s">
        <v>280</v>
      </c>
      <c r="D71" s="97"/>
      <c r="E71" s="97"/>
      <c r="F71" s="97"/>
      <c r="G71" s="97"/>
      <c r="H71" s="97"/>
      <c r="I71" s="97"/>
      <c r="J71" s="97"/>
      <c r="K71" s="49" t="str">
        <f>(IF(F75&gt;99%,"All work completed. Please provide OC.",IF(F75&gt;89.8%,"Plinth, RCC, Brick, Plaster, Flooring, Painting work Completed. Finishing work is in process.",IF(F75&lt;94%,(IF(C75=0,"Work not yet Started.",IF(D75=25%,"Piling work in process",IF(D75=50%,"Excavation work in process",IF(D75=100%,"Excavation work Completed. ","0")))&amp;(IF(C76=0%,"",IF(C76=L77,"Footing work is process",IF(C76=L78,"Footing work Completed",IF(C76=L79,"1st Basement Completed",IF(C76=L80,"1st &amp; 2nd Basement Completed",IF(C76=L81,"1st to 3rd Basement Completed",IF(C76=L82,"1st to 4th Basement Completed",IF(C76=L83,"Plinth work is process",IF(C76=L84,"Plinth work completed","0")))))))))))&amp;(IF(C77=(D72+G72+I72),", RCC Slab",IF(C77&gt;0,", RCC upto "&amp;C77&amp;" Slab",""))&amp;(IF(C78=I72,", Brickwork",IF(C78&gt;0,", Brickwork upto "&amp;C78&amp;" Floor",""))&amp;(IF(C79=I72,", Internal Plaster",IF(C79&gt;0,", Internal Plaster upto "&amp;C79&amp;" Floor",""))&amp;(IF(C80=I72,", External Plaster",IF(C80&gt;0,", External Plaster upto "&amp;C80&amp;" Floor",""))&amp;(IF(C81=I72,", Flooring",IF(C81&gt;0,", Flooring upto "&amp;C81&amp;" Floor",""))&amp;(IF(C82=I72,", Painting",IF(C82&gt;0,", Painting upto "&amp;C82&amp;" Floor",""))&amp;(IF(C83&gt;0,", Finishing upto "&amp;C83&amp;" Floor","")&amp;(IF(C77&gt;0.5," Completed",""))))))))))))))</f>
        <v>Excavation work Completed. Plinth work completed, RCC Slab, Brickwork, Internal Plaster, External Plaster, Flooring upto 37 Floor, Painting upto 27 Floor Completed</v>
      </c>
      <c r="L71" s="50"/>
    </row>
    <row r="72" spans="1:12" x14ac:dyDescent="0.25">
      <c r="A72" s="74" t="s">
        <v>137</v>
      </c>
      <c r="B72" s="74">
        <v>0</v>
      </c>
      <c r="C72" s="74" t="s">
        <v>139</v>
      </c>
      <c r="D72" s="74">
        <v>1</v>
      </c>
      <c r="E72" s="91" t="s">
        <v>138</v>
      </c>
      <c r="F72" s="91"/>
      <c r="G72" s="74">
        <v>6</v>
      </c>
      <c r="H72" s="74" t="s">
        <v>229</v>
      </c>
      <c r="I72" s="91">
        <v>43</v>
      </c>
      <c r="J72" s="91"/>
      <c r="K72" s="53"/>
      <c r="L72" s="54"/>
    </row>
    <row r="73" spans="1:12" ht="47.25" customHeight="1" x14ac:dyDescent="0.25">
      <c r="A73" s="98" t="s">
        <v>230</v>
      </c>
      <c r="B73" s="98"/>
      <c r="C73" s="97" t="str">
        <f>K71</f>
        <v>Excavation work Completed. Plinth work completed, RCC Slab, Brickwork, Internal Plaster, External Plaster, Flooring upto 37 Floor, Painting upto 27 Floor Completed</v>
      </c>
      <c r="D73" s="97"/>
      <c r="E73" s="97"/>
      <c r="F73" s="97"/>
      <c r="G73" s="97"/>
      <c r="H73" s="97"/>
      <c r="I73" s="97"/>
      <c r="J73" s="97"/>
      <c r="K73" s="53" t="s">
        <v>231</v>
      </c>
      <c r="L73" s="54"/>
    </row>
    <row r="74" spans="1:12" x14ac:dyDescent="0.25">
      <c r="A74" s="76" t="s">
        <v>68</v>
      </c>
      <c r="B74" s="76"/>
      <c r="C74" s="73" t="s">
        <v>232</v>
      </c>
      <c r="D74" s="99" t="s">
        <v>233</v>
      </c>
      <c r="E74" s="99"/>
      <c r="F74" s="76" t="s">
        <v>234</v>
      </c>
      <c r="G74" s="76"/>
      <c r="H74" s="76" t="s">
        <v>235</v>
      </c>
      <c r="I74" s="76"/>
      <c r="J74" s="76"/>
      <c r="K74" s="55" t="s">
        <v>236</v>
      </c>
      <c r="L74" s="56">
        <f>I72*25%</f>
        <v>10.75</v>
      </c>
    </row>
    <row r="75" spans="1:12" x14ac:dyDescent="0.25">
      <c r="A75" s="75" t="s">
        <v>237</v>
      </c>
      <c r="B75" s="76"/>
      <c r="C75" s="63">
        <f>L76</f>
        <v>43</v>
      </c>
      <c r="D75" s="77">
        <f>((100/I72)*C75)/100</f>
        <v>1</v>
      </c>
      <c r="E75" s="78"/>
      <c r="F75" s="79">
        <f>(((C76/I72*10)+(40/(D72+G72+I72)*C77)+(7.5/(I72)*C78)+(7.5/(I72)*C79)+(10/I72*C80)+(10/I72*C81)+(5/I72*C82)+(5/I72*C83)+(5/I72*C84))/100)</f>
        <v>0.86744186046511629</v>
      </c>
      <c r="G75" s="79"/>
      <c r="H75" s="81">
        <f>((((C75/I72)*20)+((C76/I72)*25)+(30/(I72+G72+D72)*C77)+(5/I72*C78)+(5/I72*C79)+(5/I72*C80)+(5/I72*C81)+(0/I72*C82)+(0/I72*C83)+(5/I72*C84))/100)</f>
        <v>0.94302325581395352</v>
      </c>
      <c r="I75" s="82"/>
      <c r="J75" s="83"/>
      <c r="K75" s="55" t="s">
        <v>144</v>
      </c>
      <c r="L75" s="57">
        <f>I72*50%</f>
        <v>21.5</v>
      </c>
    </row>
    <row r="76" spans="1:12" x14ac:dyDescent="0.25">
      <c r="A76" s="75" t="s">
        <v>69</v>
      </c>
      <c r="B76" s="76"/>
      <c r="C76" s="64">
        <f>L84</f>
        <v>43</v>
      </c>
      <c r="D76" s="77">
        <f>((100/I72)*C76)/100</f>
        <v>1</v>
      </c>
      <c r="E76" s="78"/>
      <c r="F76" s="79"/>
      <c r="G76" s="79"/>
      <c r="H76" s="84"/>
      <c r="I76" s="85"/>
      <c r="J76" s="86"/>
      <c r="K76" s="55" t="s">
        <v>145</v>
      </c>
      <c r="L76" s="57">
        <f>I72</f>
        <v>43</v>
      </c>
    </row>
    <row r="77" spans="1:12" x14ac:dyDescent="0.25">
      <c r="A77" s="90" t="s">
        <v>238</v>
      </c>
      <c r="B77" s="91"/>
      <c r="C77" s="64">
        <f>D72+G72+43</f>
        <v>50</v>
      </c>
      <c r="D77" s="77">
        <f>((100/(D72+G72+I72))*C77)/100</f>
        <v>1</v>
      </c>
      <c r="E77" s="78"/>
      <c r="F77" s="79"/>
      <c r="G77" s="79"/>
      <c r="H77" s="84"/>
      <c r="I77" s="85"/>
      <c r="J77" s="86"/>
      <c r="K77" s="55" t="s">
        <v>146</v>
      </c>
      <c r="L77" s="58">
        <f>(IF(B72&gt;1,(I72/(B72+2)),I72/4))</f>
        <v>10.75</v>
      </c>
    </row>
    <row r="78" spans="1:12" x14ac:dyDescent="0.25">
      <c r="A78" s="75" t="s">
        <v>239</v>
      </c>
      <c r="B78" s="76" t="s">
        <v>240</v>
      </c>
      <c r="C78" s="64">
        <f>C77-G72-D72</f>
        <v>43</v>
      </c>
      <c r="D78" s="77">
        <f>((100/I72)*C78)/100</f>
        <v>1</v>
      </c>
      <c r="E78" s="78"/>
      <c r="F78" s="79"/>
      <c r="G78" s="79"/>
      <c r="H78" s="84"/>
      <c r="I78" s="85"/>
      <c r="J78" s="86"/>
      <c r="K78" s="55" t="s">
        <v>147</v>
      </c>
      <c r="L78" s="58">
        <f>(IF(B72&gt;1,(I72/(B72+2)+L77),I72/4+L77))</f>
        <v>21.5</v>
      </c>
    </row>
    <row r="79" spans="1:12" ht="15" customHeight="1" x14ac:dyDescent="0.25">
      <c r="A79" s="75" t="s">
        <v>241</v>
      </c>
      <c r="B79" s="76" t="s">
        <v>240</v>
      </c>
      <c r="C79" s="64">
        <v>43</v>
      </c>
      <c r="D79" s="77">
        <f>((100/I72)*C79)/100</f>
        <v>1</v>
      </c>
      <c r="E79" s="78"/>
      <c r="F79" s="79"/>
      <c r="G79" s="79"/>
      <c r="H79" s="84"/>
      <c r="I79" s="85"/>
      <c r="J79" s="86"/>
      <c r="K79" s="55" t="s">
        <v>242</v>
      </c>
      <c r="L79" s="58">
        <f>(IF(B72&gt;1,(I72/(B72+2)+L78),0))</f>
        <v>0</v>
      </c>
    </row>
    <row r="80" spans="1:12" x14ac:dyDescent="0.25">
      <c r="A80" s="75" t="s">
        <v>243</v>
      </c>
      <c r="B80" s="76" t="s">
        <v>244</v>
      </c>
      <c r="C80" s="64">
        <v>43</v>
      </c>
      <c r="D80" s="77">
        <f>((100/(I72))*C80)/100</f>
        <v>1</v>
      </c>
      <c r="E80" s="78"/>
      <c r="F80" s="79"/>
      <c r="G80" s="79"/>
      <c r="H80" s="84"/>
      <c r="I80" s="85"/>
      <c r="J80" s="86"/>
      <c r="K80" s="55" t="s">
        <v>245</v>
      </c>
      <c r="L80" s="58">
        <f>(IF(B72&gt;2,(I72/(B72+2)+L79),0))</f>
        <v>0</v>
      </c>
    </row>
    <row r="81" spans="1:12" x14ac:dyDescent="0.25">
      <c r="A81" s="75" t="s">
        <v>246</v>
      </c>
      <c r="B81" s="76" t="s">
        <v>246</v>
      </c>
      <c r="C81" s="63">
        <v>37</v>
      </c>
      <c r="D81" s="77">
        <f>((100/I72)*C81)/100</f>
        <v>0.86046511627906985</v>
      </c>
      <c r="E81" s="78"/>
      <c r="F81" s="79"/>
      <c r="G81" s="79"/>
      <c r="H81" s="84"/>
      <c r="I81" s="85"/>
      <c r="J81" s="86"/>
      <c r="K81" s="55" t="s">
        <v>247</v>
      </c>
      <c r="L81" s="59">
        <f>(IF(B72&gt;3,(I72/(B72+2)+L80),0))</f>
        <v>0</v>
      </c>
    </row>
    <row r="82" spans="1:12" ht="15" customHeight="1" x14ac:dyDescent="0.25">
      <c r="A82" s="75" t="s">
        <v>248</v>
      </c>
      <c r="B82" s="76"/>
      <c r="C82" s="63">
        <v>27</v>
      </c>
      <c r="D82" s="77">
        <f>((100/I72)*C82)/100</f>
        <v>0.62790697674418605</v>
      </c>
      <c r="E82" s="78"/>
      <c r="F82" s="79"/>
      <c r="G82" s="79"/>
      <c r="H82" s="84"/>
      <c r="I82" s="85"/>
      <c r="J82" s="86"/>
      <c r="K82" s="55" t="s">
        <v>249</v>
      </c>
      <c r="L82" s="58">
        <f>(IF(B72&gt;4,(I72/(B72+2)+L81),0))</f>
        <v>0</v>
      </c>
    </row>
    <row r="83" spans="1:12" x14ac:dyDescent="0.25">
      <c r="A83" s="75" t="s">
        <v>250</v>
      </c>
      <c r="B83" s="76" t="s">
        <v>250</v>
      </c>
      <c r="C83" s="63">
        <v>0</v>
      </c>
      <c r="D83" s="77">
        <f>((100/(I72))*C83)/100</f>
        <v>0</v>
      </c>
      <c r="E83" s="78"/>
      <c r="F83" s="79"/>
      <c r="G83" s="79"/>
      <c r="H83" s="84"/>
      <c r="I83" s="85"/>
      <c r="J83" s="86"/>
      <c r="K83" s="55" t="s">
        <v>148</v>
      </c>
      <c r="L83" s="58">
        <f>(IF(B72=1,(I72/(B72+3)+L78),IF(B72=0,(I72/4+L78),IF(B72&gt;1,0))))</f>
        <v>32.25</v>
      </c>
    </row>
    <row r="84" spans="1:12" ht="16.5" thickBot="1" x14ac:dyDescent="0.3">
      <c r="A84" s="92" t="s">
        <v>251</v>
      </c>
      <c r="B84" s="93"/>
      <c r="C84" s="65">
        <v>0</v>
      </c>
      <c r="D84" s="94">
        <f>((100/(I72))*C84)/100</f>
        <v>0</v>
      </c>
      <c r="E84" s="95"/>
      <c r="F84" s="80"/>
      <c r="G84" s="80"/>
      <c r="H84" s="87"/>
      <c r="I84" s="88"/>
      <c r="J84" s="89"/>
      <c r="K84" s="60" t="s">
        <v>149</v>
      </c>
      <c r="L84" s="61">
        <f>(IF(B72&gt;1.5,(I72/(B72+2)+L78+MAX(0,L79-L78)+MAX(0,L80-L79)+MAX(0,L81-L80)+MAX(0,L82-L81)+MAX(0,L83-L82)),IF(B72=1,(I72/(B72+3)+L83),IF(B72=0,I72/4+L83))))</f>
        <v>43</v>
      </c>
    </row>
    <row r="85" spans="1:12" x14ac:dyDescent="0.25">
      <c r="A85" s="104" t="s">
        <v>200</v>
      </c>
      <c r="B85" s="105"/>
      <c r="C85" s="105"/>
      <c r="D85" s="105"/>
      <c r="E85" s="105"/>
      <c r="F85" s="105"/>
      <c r="G85" s="105"/>
      <c r="H85" s="105"/>
      <c r="I85" s="105"/>
      <c r="J85" s="124"/>
    </row>
    <row r="86" spans="1:12" x14ac:dyDescent="0.25">
      <c r="A86" s="100" t="s">
        <v>74</v>
      </c>
      <c r="B86" s="103"/>
      <c r="C86" s="103"/>
      <c r="D86" s="103"/>
      <c r="E86" s="103"/>
      <c r="F86" s="103"/>
      <c r="G86" s="103"/>
      <c r="H86" s="103"/>
      <c r="I86" s="103"/>
      <c r="J86" s="101"/>
    </row>
    <row r="87" spans="1:12" ht="15" hidden="1" customHeight="1" x14ac:dyDescent="0.25">
      <c r="A87" s="234" t="s">
        <v>213</v>
      </c>
      <c r="B87" s="235"/>
      <c r="C87" s="236" t="s">
        <v>143</v>
      </c>
      <c r="D87" s="237"/>
      <c r="E87" s="237"/>
      <c r="F87" s="237"/>
      <c r="G87" s="237"/>
      <c r="H87" s="237"/>
      <c r="I87" s="237"/>
      <c r="J87" s="238"/>
    </row>
    <row r="88" spans="1:12" x14ac:dyDescent="0.25">
      <c r="A88" s="223" t="s">
        <v>75</v>
      </c>
      <c r="B88" s="224"/>
      <c r="C88" s="224"/>
      <c r="D88" s="224"/>
      <c r="E88" s="224"/>
      <c r="F88" s="224"/>
      <c r="G88" s="224"/>
      <c r="H88" s="224"/>
      <c r="I88" s="224"/>
      <c r="J88" s="225"/>
    </row>
    <row r="89" spans="1:12" x14ac:dyDescent="0.25">
      <c r="A89" s="100" t="s">
        <v>210</v>
      </c>
      <c r="B89" s="103"/>
      <c r="C89" s="103"/>
      <c r="D89" s="103"/>
      <c r="E89" s="103"/>
      <c r="F89" s="101"/>
      <c r="G89" s="246">
        <v>15000</v>
      </c>
      <c r="H89" s="163"/>
      <c r="I89" s="163"/>
      <c r="J89" s="164"/>
    </row>
    <row r="90" spans="1:12" x14ac:dyDescent="0.25">
      <c r="A90" s="100" t="s">
        <v>201</v>
      </c>
      <c r="B90" s="103"/>
      <c r="C90" s="103"/>
      <c r="D90" s="103"/>
      <c r="E90" s="103"/>
      <c r="F90" s="101"/>
      <c r="G90" s="162" t="s">
        <v>205</v>
      </c>
      <c r="H90" s="244"/>
      <c r="I90" s="244"/>
      <c r="J90" s="245"/>
    </row>
    <row r="91" spans="1:12" x14ac:dyDescent="0.25">
      <c r="A91" s="100" t="s">
        <v>76</v>
      </c>
      <c r="B91" s="103"/>
      <c r="C91" s="103"/>
      <c r="D91" s="103"/>
      <c r="E91" s="103"/>
      <c r="F91" s="101"/>
      <c r="G91" s="162" t="s">
        <v>206</v>
      </c>
      <c r="H91" s="244"/>
      <c r="I91" s="244"/>
      <c r="J91" s="245"/>
    </row>
    <row r="92" spans="1:12" hidden="1" x14ac:dyDescent="0.25">
      <c r="A92" s="100" t="s">
        <v>202</v>
      </c>
      <c r="B92" s="103"/>
      <c r="C92" s="103"/>
      <c r="D92" s="103"/>
      <c r="E92" s="103"/>
      <c r="F92" s="101"/>
      <c r="G92" s="162" t="s">
        <v>207</v>
      </c>
      <c r="H92" s="244"/>
      <c r="I92" s="244"/>
      <c r="J92" s="245"/>
    </row>
    <row r="93" spans="1:12" ht="15.75" customHeight="1" x14ac:dyDescent="0.25">
      <c r="A93" s="159" t="s">
        <v>203</v>
      </c>
      <c r="B93" s="160"/>
      <c r="C93" s="160"/>
      <c r="D93" s="160"/>
      <c r="E93" s="160"/>
      <c r="F93" s="161"/>
      <c r="G93" s="162" t="s">
        <v>208</v>
      </c>
      <c r="H93" s="244"/>
      <c r="I93" s="244"/>
      <c r="J93" s="245"/>
    </row>
    <row r="94" spans="1:12" x14ac:dyDescent="0.25">
      <c r="A94" s="100" t="s">
        <v>257</v>
      </c>
      <c r="B94" s="103"/>
      <c r="C94" s="103"/>
      <c r="D94" s="103"/>
      <c r="E94" s="103"/>
      <c r="F94" s="101"/>
      <c r="G94" s="162" t="s">
        <v>258</v>
      </c>
      <c r="H94" s="244"/>
      <c r="I94" s="244"/>
      <c r="J94" s="245"/>
    </row>
    <row r="95" spans="1:12" x14ac:dyDescent="0.25">
      <c r="A95" s="159" t="s">
        <v>260</v>
      </c>
      <c r="B95" s="160"/>
      <c r="C95" s="160"/>
      <c r="D95" s="160"/>
      <c r="E95" s="160"/>
      <c r="F95" s="161"/>
      <c r="G95" s="162" t="s">
        <v>259</v>
      </c>
      <c r="H95" s="244"/>
      <c r="I95" s="244"/>
      <c r="J95" s="245"/>
    </row>
    <row r="96" spans="1:12" x14ac:dyDescent="0.25">
      <c r="A96" s="100" t="s">
        <v>261</v>
      </c>
      <c r="B96" s="103"/>
      <c r="C96" s="103"/>
      <c r="D96" s="103"/>
      <c r="E96" s="103"/>
      <c r="F96" s="101"/>
      <c r="G96" s="162" t="s">
        <v>259</v>
      </c>
      <c r="H96" s="244"/>
      <c r="I96" s="244"/>
      <c r="J96" s="245"/>
    </row>
    <row r="97" spans="1:11" x14ac:dyDescent="0.25">
      <c r="A97" s="100" t="s">
        <v>204</v>
      </c>
      <c r="B97" s="103"/>
      <c r="C97" s="103"/>
      <c r="D97" s="103"/>
      <c r="E97" s="103"/>
      <c r="F97" s="101"/>
      <c r="G97" s="162" t="s">
        <v>209</v>
      </c>
      <c r="H97" s="244"/>
      <c r="I97" s="244"/>
      <c r="J97" s="245"/>
    </row>
    <row r="98" spans="1:11" x14ac:dyDescent="0.25">
      <c r="A98" s="100" t="s">
        <v>256</v>
      </c>
      <c r="B98" s="103"/>
      <c r="C98" s="103"/>
      <c r="D98" s="103"/>
      <c r="E98" s="103"/>
      <c r="F98" s="101"/>
      <c r="G98" s="162" t="s">
        <v>212</v>
      </c>
      <c r="H98" s="244"/>
      <c r="I98" s="244"/>
      <c r="J98" s="245"/>
    </row>
    <row r="99" spans="1:11" s="11" customFormat="1" ht="14.45" customHeight="1" x14ac:dyDescent="0.25">
      <c r="A99" s="157" t="s">
        <v>77</v>
      </c>
      <c r="B99" s="157"/>
      <c r="C99" s="157"/>
      <c r="D99" s="157"/>
      <c r="E99" s="157"/>
      <c r="F99" s="157"/>
      <c r="G99" s="149">
        <f>G89*0.8</f>
        <v>12000</v>
      </c>
      <c r="H99" s="149"/>
      <c r="I99" s="149"/>
      <c r="J99" s="149"/>
    </row>
    <row r="100" spans="1:11" s="1" customFormat="1" x14ac:dyDescent="0.25">
      <c r="A100" s="134" t="s">
        <v>136</v>
      </c>
      <c r="B100" s="134"/>
      <c r="C100" s="134"/>
      <c r="D100" s="134"/>
      <c r="E100" s="134"/>
      <c r="F100" s="134"/>
      <c r="G100" s="134"/>
      <c r="H100" s="134"/>
      <c r="I100" s="134"/>
      <c r="J100" s="134"/>
    </row>
    <row r="101" spans="1:11" s="1" customFormat="1" x14ac:dyDescent="0.25">
      <c r="A101" s="247" t="s">
        <v>78</v>
      </c>
      <c r="B101" s="247"/>
      <c r="C101" s="9" t="s">
        <v>175</v>
      </c>
      <c r="D101" s="248" t="s">
        <v>79</v>
      </c>
      <c r="E101" s="248"/>
      <c r="F101" s="248"/>
      <c r="G101" s="247" t="s">
        <v>80</v>
      </c>
      <c r="H101" s="247"/>
      <c r="I101" s="247"/>
      <c r="J101" s="247"/>
    </row>
    <row r="102" spans="1:11" s="1" customFormat="1" x14ac:dyDescent="0.25">
      <c r="A102" s="135" t="s">
        <v>190</v>
      </c>
      <c r="B102" s="135"/>
      <c r="C102" s="69">
        <f>COUNT(D114:E115)*6+COUNT(D117)*6+COUNT(D119:E122)*37</f>
        <v>166</v>
      </c>
      <c r="D102" s="260">
        <f>SUM(D114:E115)*6+SUM(D117)*6+SUM(D119:E122)*37</f>
        <v>147790.36583999998</v>
      </c>
      <c r="E102" s="260"/>
      <c r="F102" s="260"/>
      <c r="G102" s="136">
        <f>SUM(G114:G115)*6+SUM(G117)*6+SUM(G119:G122)*37</f>
        <v>221685.54876000001</v>
      </c>
      <c r="H102" s="136"/>
      <c r="I102" s="136"/>
      <c r="J102" s="136"/>
    </row>
    <row r="103" spans="1:11" s="1" customFormat="1" x14ac:dyDescent="0.25">
      <c r="A103" s="137" t="s">
        <v>193</v>
      </c>
      <c r="B103" s="138"/>
      <c r="C103" s="69">
        <f>COUNT(D128:E129)*6+COUNT(D131)*6+COUNT(D133:E136)*37</f>
        <v>166</v>
      </c>
      <c r="D103" s="249">
        <f>SUM(D128:E129)*6+SUM(D131)*6+SUM(D133:E136)*37</f>
        <v>147642.25319999998</v>
      </c>
      <c r="E103" s="250"/>
      <c r="F103" s="251"/>
      <c r="G103" s="150">
        <f>SUM(G128:G129)*6+SUM(G131)*6+SUM(G133:G136)*37</f>
        <v>221463.3798</v>
      </c>
      <c r="H103" s="151"/>
      <c r="I103" s="151"/>
      <c r="J103" s="152"/>
    </row>
    <row r="104" spans="1:11" s="1" customFormat="1" x14ac:dyDescent="0.25">
      <c r="A104" s="140" t="s">
        <v>82</v>
      </c>
      <c r="B104" s="142"/>
      <c r="C104" s="70">
        <f>SUM(C102:C103)</f>
        <v>332</v>
      </c>
      <c r="D104" s="252">
        <f>SUM(D102:F103)</f>
        <v>295432.61903999996</v>
      </c>
      <c r="E104" s="253"/>
      <c r="F104" s="254"/>
      <c r="G104" s="252">
        <f>SUM(G102:J103)</f>
        <v>443148.92856000003</v>
      </c>
      <c r="H104" s="253"/>
      <c r="I104" s="253"/>
      <c r="J104" s="254"/>
    </row>
    <row r="105" spans="1:11" s="11" customFormat="1" x14ac:dyDescent="0.25">
      <c r="A105" s="195" t="s">
        <v>83</v>
      </c>
      <c r="B105" s="196"/>
      <c r="C105" s="196"/>
      <c r="D105" s="196"/>
      <c r="E105" s="196"/>
      <c r="F105" s="196"/>
      <c r="G105" s="196"/>
      <c r="H105" s="196"/>
      <c r="I105" s="196"/>
      <c r="J105" s="197"/>
    </row>
    <row r="106" spans="1:11" x14ac:dyDescent="0.25">
      <c r="A106" s="195" t="s">
        <v>84</v>
      </c>
      <c r="B106" s="196"/>
      <c r="C106" s="196"/>
      <c r="D106" s="196"/>
      <c r="E106" s="196"/>
      <c r="F106" s="196"/>
      <c r="G106" s="196"/>
      <c r="H106" s="196"/>
      <c r="I106" s="196"/>
      <c r="J106" s="197"/>
    </row>
    <row r="107" spans="1:11" ht="42.75" x14ac:dyDescent="0.25">
      <c r="A107" s="255" t="s">
        <v>151</v>
      </c>
      <c r="B107" s="256"/>
      <c r="C107" s="2" t="s">
        <v>85</v>
      </c>
      <c r="D107" s="255" t="s">
        <v>86</v>
      </c>
      <c r="E107" s="256"/>
      <c r="F107" s="12" t="s">
        <v>87</v>
      </c>
      <c r="G107" s="2" t="s">
        <v>88</v>
      </c>
      <c r="H107" s="2" t="s">
        <v>89</v>
      </c>
      <c r="I107" s="255" t="s">
        <v>90</v>
      </c>
      <c r="J107" s="256"/>
    </row>
    <row r="108" spans="1:11" s="3" customFormat="1" ht="18.75" x14ac:dyDescent="0.25">
      <c r="A108" s="257" t="s">
        <v>189</v>
      </c>
      <c r="B108" s="258"/>
      <c r="C108" s="258"/>
      <c r="D108" s="258"/>
      <c r="E108" s="258"/>
      <c r="F108" s="258"/>
      <c r="G108" s="258"/>
      <c r="H108" s="258"/>
      <c r="I108" s="258"/>
      <c r="J108" s="259"/>
    </row>
    <row r="109" spans="1:11" s="3" customFormat="1" x14ac:dyDescent="0.25">
      <c r="A109" s="140" t="s">
        <v>190</v>
      </c>
      <c r="B109" s="141"/>
      <c r="C109" s="141"/>
      <c r="D109" s="141"/>
      <c r="E109" s="141"/>
      <c r="F109" s="141"/>
      <c r="G109" s="141"/>
      <c r="H109" s="141"/>
      <c r="I109" s="141"/>
      <c r="J109" s="142"/>
    </row>
    <row r="110" spans="1:11" s="3" customFormat="1" x14ac:dyDescent="0.25">
      <c r="A110" s="140" t="s">
        <v>180</v>
      </c>
      <c r="B110" s="141"/>
      <c r="C110" s="141"/>
      <c r="D110" s="141"/>
      <c r="E110" s="141"/>
      <c r="F110" s="141"/>
      <c r="G110" s="141"/>
      <c r="H110" s="141"/>
      <c r="I110" s="141"/>
      <c r="J110" s="142"/>
    </row>
    <row r="111" spans="1:11" s="3" customFormat="1" x14ac:dyDescent="0.25">
      <c r="A111" s="140" t="s">
        <v>181</v>
      </c>
      <c r="B111" s="141"/>
      <c r="C111" s="141"/>
      <c r="D111" s="141"/>
      <c r="E111" s="141"/>
      <c r="F111" s="141"/>
      <c r="G111" s="141"/>
      <c r="H111" s="141"/>
      <c r="I111" s="141"/>
      <c r="J111" s="142"/>
      <c r="K111" s="3">
        <f>84+175</f>
        <v>259</v>
      </c>
    </row>
    <row r="112" spans="1:11" s="3" customFormat="1" ht="15.75" customHeight="1" x14ac:dyDescent="0.25">
      <c r="A112" s="140" t="s">
        <v>255</v>
      </c>
      <c r="B112" s="141"/>
      <c r="C112" s="141"/>
      <c r="D112" s="141"/>
      <c r="E112" s="141"/>
      <c r="F112" s="141"/>
      <c r="G112" s="141"/>
      <c r="H112" s="141"/>
      <c r="I112" s="141"/>
      <c r="J112" s="142"/>
    </row>
    <row r="113" spans="1:13" s="3" customFormat="1" x14ac:dyDescent="0.25">
      <c r="A113" s="140" t="s">
        <v>262</v>
      </c>
      <c r="B113" s="141"/>
      <c r="C113" s="141"/>
      <c r="D113" s="141"/>
      <c r="E113" s="141"/>
      <c r="F113" s="141"/>
      <c r="G113" s="141"/>
      <c r="H113" s="141"/>
      <c r="I113" s="141"/>
      <c r="J113" s="142"/>
      <c r="L113" s="3">
        <f>80*G114</f>
        <v>131725.5264</v>
      </c>
    </row>
    <row r="114" spans="1:13" s="3" customFormat="1" ht="24" customHeight="1" x14ac:dyDescent="0.25">
      <c r="A114" s="137">
        <v>1</v>
      </c>
      <c r="B114" s="138"/>
      <c r="C114" s="35" t="s">
        <v>191</v>
      </c>
      <c r="D114" s="137">
        <f>101.98*10.764</f>
        <v>1097.71272</v>
      </c>
      <c r="E114" s="138"/>
      <c r="F114" s="36">
        <v>0</v>
      </c>
      <c r="G114" s="35">
        <f>D114*1.5+F114</f>
        <v>1646.56908</v>
      </c>
      <c r="H114" s="36" t="s">
        <v>91</v>
      </c>
      <c r="I114" s="143" t="str">
        <f>A113</f>
        <v>1st, 8th, 15th, 22nd, 29th &amp; 36th Floor (Part Refuge Area)</v>
      </c>
      <c r="J114" s="144"/>
      <c r="L114" s="3">
        <f t="shared" ref="L114:L136" si="0">80*G115</f>
        <v>118201.63679999999</v>
      </c>
      <c r="M114" s="3">
        <f>95*G114</f>
        <v>156424.0626</v>
      </c>
    </row>
    <row r="115" spans="1:13" s="3" customFormat="1" ht="24" customHeight="1" x14ac:dyDescent="0.25">
      <c r="A115" s="137">
        <v>2</v>
      </c>
      <c r="B115" s="138"/>
      <c r="C115" s="35" t="s">
        <v>191</v>
      </c>
      <c r="D115" s="137">
        <f>91.51*10.764</f>
        <v>985.01364000000001</v>
      </c>
      <c r="E115" s="138"/>
      <c r="F115" s="36">
        <v>0</v>
      </c>
      <c r="G115" s="35">
        <f>D115*1.5+F115</f>
        <v>1477.52046</v>
      </c>
      <c r="H115" s="36" t="s">
        <v>91</v>
      </c>
      <c r="I115" s="145"/>
      <c r="J115" s="146"/>
      <c r="L115" s="3">
        <f t="shared" si="0"/>
        <v>0</v>
      </c>
      <c r="M115" s="3">
        <f t="shared" ref="M115:M136" si="1">95*G115</f>
        <v>140364.4437</v>
      </c>
    </row>
    <row r="116" spans="1:13" s="3" customFormat="1" ht="24" customHeight="1" x14ac:dyDescent="0.25">
      <c r="A116" s="137">
        <v>3</v>
      </c>
      <c r="B116" s="138"/>
      <c r="C116" s="137" t="s">
        <v>182</v>
      </c>
      <c r="D116" s="139"/>
      <c r="E116" s="139"/>
      <c r="F116" s="139"/>
      <c r="G116" s="139"/>
      <c r="H116" s="138"/>
      <c r="I116" s="145"/>
      <c r="J116" s="146"/>
      <c r="L116" s="3">
        <f t="shared" si="0"/>
        <v>91489.694399999993</v>
      </c>
      <c r="M116" s="3">
        <f t="shared" si="1"/>
        <v>0</v>
      </c>
    </row>
    <row r="117" spans="1:13" s="3" customFormat="1" ht="24" customHeight="1" x14ac:dyDescent="0.25">
      <c r="A117" s="137">
        <v>4</v>
      </c>
      <c r="B117" s="138"/>
      <c r="C117" s="35" t="s">
        <v>192</v>
      </c>
      <c r="D117" s="137">
        <f>70.83*10.764</f>
        <v>762.41411999999991</v>
      </c>
      <c r="E117" s="138"/>
      <c r="F117" s="36">
        <v>0</v>
      </c>
      <c r="G117" s="35">
        <f t="shared" ref="G117" si="2">D117*1.5+F117</f>
        <v>1143.6211799999999</v>
      </c>
      <c r="H117" s="36" t="s">
        <v>91</v>
      </c>
      <c r="I117" s="147"/>
      <c r="J117" s="148"/>
      <c r="L117" s="3">
        <f t="shared" si="0"/>
        <v>0</v>
      </c>
      <c r="M117" s="3">
        <f t="shared" si="1"/>
        <v>108644.01209999999</v>
      </c>
    </row>
    <row r="118" spans="1:13" s="3" customFormat="1" x14ac:dyDescent="0.25">
      <c r="A118" s="140" t="s">
        <v>263</v>
      </c>
      <c r="B118" s="141"/>
      <c r="C118" s="141"/>
      <c r="D118" s="141"/>
      <c r="E118" s="141"/>
      <c r="F118" s="141"/>
      <c r="G118" s="141"/>
      <c r="H118" s="141"/>
      <c r="I118" s="141"/>
      <c r="J118" s="142"/>
      <c r="L118" s="3">
        <f t="shared" si="0"/>
        <v>131725.5264</v>
      </c>
      <c r="M118" s="3">
        <f t="shared" si="1"/>
        <v>0</v>
      </c>
    </row>
    <row r="119" spans="1:13" s="3" customFormat="1" ht="28.5" customHeight="1" x14ac:dyDescent="0.25">
      <c r="A119" s="137">
        <v>1</v>
      </c>
      <c r="B119" s="138"/>
      <c r="C119" s="35" t="s">
        <v>191</v>
      </c>
      <c r="D119" s="137">
        <f>101.98*10.764</f>
        <v>1097.71272</v>
      </c>
      <c r="E119" s="138"/>
      <c r="F119" s="36">
        <v>0</v>
      </c>
      <c r="G119" s="35">
        <f t="shared" ref="G119:G122" si="3">D119*1.5+F119</f>
        <v>1646.56908</v>
      </c>
      <c r="H119" s="36" t="s">
        <v>91</v>
      </c>
      <c r="I119" s="143" t="str">
        <f>A118</f>
        <v>2nd to 7th, 9th to 14th, 16th to 21st &amp; 23rd to 28th, 30th to 35th &amp; 37th to 43rd Floor</v>
      </c>
      <c r="J119" s="144"/>
      <c r="L119" s="3">
        <f t="shared" si="0"/>
        <v>118201.63679999999</v>
      </c>
      <c r="M119" s="3">
        <f t="shared" si="1"/>
        <v>156424.0626</v>
      </c>
    </row>
    <row r="120" spans="1:13" s="3" customFormat="1" ht="28.5" customHeight="1" x14ac:dyDescent="0.25">
      <c r="A120" s="137">
        <v>2</v>
      </c>
      <c r="B120" s="138"/>
      <c r="C120" s="35" t="s">
        <v>191</v>
      </c>
      <c r="D120" s="137">
        <f>91.51*10.764</f>
        <v>985.01364000000001</v>
      </c>
      <c r="E120" s="138"/>
      <c r="F120" s="36">
        <v>0</v>
      </c>
      <c r="G120" s="35">
        <f t="shared" si="3"/>
        <v>1477.52046</v>
      </c>
      <c r="H120" s="36" t="s">
        <v>91</v>
      </c>
      <c r="I120" s="145"/>
      <c r="J120" s="146"/>
      <c r="L120" s="3">
        <f t="shared" si="0"/>
        <v>82538.351999999999</v>
      </c>
      <c r="M120" s="3">
        <f t="shared" si="1"/>
        <v>140364.4437</v>
      </c>
    </row>
    <row r="121" spans="1:13" s="3" customFormat="1" ht="28.5" customHeight="1" x14ac:dyDescent="0.25">
      <c r="A121" s="137">
        <v>3</v>
      </c>
      <c r="B121" s="138"/>
      <c r="C121" s="35" t="s">
        <v>192</v>
      </c>
      <c r="D121" s="137">
        <f>63.9*10.764</f>
        <v>687.81959999999992</v>
      </c>
      <c r="E121" s="138"/>
      <c r="F121" s="36">
        <v>0</v>
      </c>
      <c r="G121" s="35">
        <f t="shared" si="3"/>
        <v>1031.7293999999999</v>
      </c>
      <c r="H121" s="36" t="s">
        <v>91</v>
      </c>
      <c r="I121" s="145"/>
      <c r="J121" s="146"/>
      <c r="L121" s="3">
        <f t="shared" si="0"/>
        <v>91489.694399999993</v>
      </c>
      <c r="M121" s="3">
        <f t="shared" si="1"/>
        <v>98014.292999999991</v>
      </c>
    </row>
    <row r="122" spans="1:13" s="3" customFormat="1" ht="28.5" customHeight="1" x14ac:dyDescent="0.25">
      <c r="A122" s="137">
        <v>4</v>
      </c>
      <c r="B122" s="138"/>
      <c r="C122" s="35" t="s">
        <v>192</v>
      </c>
      <c r="D122" s="137">
        <f>70.83*10.764</f>
        <v>762.41411999999991</v>
      </c>
      <c r="E122" s="138"/>
      <c r="F122" s="36">
        <v>0</v>
      </c>
      <c r="G122" s="35">
        <f t="shared" si="3"/>
        <v>1143.6211799999999</v>
      </c>
      <c r="H122" s="36" t="s">
        <v>91</v>
      </c>
      <c r="I122" s="147"/>
      <c r="J122" s="148"/>
      <c r="L122" s="3">
        <f t="shared" si="0"/>
        <v>0</v>
      </c>
      <c r="M122" s="3">
        <f t="shared" si="1"/>
        <v>108644.01209999999</v>
      </c>
    </row>
    <row r="123" spans="1:13" s="3" customFormat="1" x14ac:dyDescent="0.25">
      <c r="A123" s="140" t="s">
        <v>193</v>
      </c>
      <c r="B123" s="141"/>
      <c r="C123" s="141"/>
      <c r="D123" s="141"/>
      <c r="E123" s="141"/>
      <c r="F123" s="141"/>
      <c r="G123" s="141"/>
      <c r="H123" s="141"/>
      <c r="I123" s="141"/>
      <c r="J123" s="142"/>
      <c r="L123" s="3">
        <f t="shared" si="0"/>
        <v>0</v>
      </c>
      <c r="M123" s="3">
        <f t="shared" si="1"/>
        <v>0</v>
      </c>
    </row>
    <row r="124" spans="1:13" s="3" customFormat="1" x14ac:dyDescent="0.25">
      <c r="A124" s="140" t="s">
        <v>180</v>
      </c>
      <c r="B124" s="141"/>
      <c r="C124" s="141"/>
      <c r="D124" s="141"/>
      <c r="E124" s="141"/>
      <c r="F124" s="141"/>
      <c r="G124" s="141"/>
      <c r="H124" s="141"/>
      <c r="I124" s="141"/>
      <c r="J124" s="142"/>
      <c r="L124" s="3">
        <f t="shared" si="0"/>
        <v>0</v>
      </c>
      <c r="M124" s="3">
        <f t="shared" si="1"/>
        <v>0</v>
      </c>
    </row>
    <row r="125" spans="1:13" s="3" customFormat="1" x14ac:dyDescent="0.25">
      <c r="A125" s="140" t="s">
        <v>181</v>
      </c>
      <c r="B125" s="141"/>
      <c r="C125" s="141"/>
      <c r="D125" s="141"/>
      <c r="E125" s="141"/>
      <c r="F125" s="141"/>
      <c r="G125" s="141"/>
      <c r="H125" s="141"/>
      <c r="I125" s="141"/>
      <c r="J125" s="142"/>
      <c r="L125" s="3">
        <f t="shared" si="0"/>
        <v>0</v>
      </c>
      <c r="M125" s="3">
        <f t="shared" si="1"/>
        <v>0</v>
      </c>
    </row>
    <row r="126" spans="1:13" s="3" customFormat="1" x14ac:dyDescent="0.25">
      <c r="A126" s="140" t="s">
        <v>255</v>
      </c>
      <c r="B126" s="141"/>
      <c r="C126" s="141"/>
      <c r="D126" s="141"/>
      <c r="E126" s="141"/>
      <c r="F126" s="141"/>
      <c r="G126" s="141"/>
      <c r="H126" s="141"/>
      <c r="I126" s="141"/>
      <c r="J126" s="142"/>
      <c r="L126" s="3">
        <f t="shared" si="0"/>
        <v>0</v>
      </c>
      <c r="M126" s="3">
        <f t="shared" si="1"/>
        <v>0</v>
      </c>
    </row>
    <row r="127" spans="1:13" s="3" customFormat="1" x14ac:dyDescent="0.25">
      <c r="A127" s="140" t="s">
        <v>262</v>
      </c>
      <c r="B127" s="141"/>
      <c r="C127" s="141"/>
      <c r="D127" s="141"/>
      <c r="E127" s="141"/>
      <c r="F127" s="141"/>
      <c r="G127" s="141"/>
      <c r="H127" s="141"/>
      <c r="I127" s="141"/>
      <c r="J127" s="142"/>
      <c r="L127" s="3">
        <f t="shared" si="0"/>
        <v>131725.5264</v>
      </c>
      <c r="M127" s="3">
        <f t="shared" si="1"/>
        <v>0</v>
      </c>
    </row>
    <row r="128" spans="1:13" s="3" customFormat="1" ht="24" customHeight="1" x14ac:dyDescent="0.25">
      <c r="A128" s="137">
        <v>1</v>
      </c>
      <c r="B128" s="138"/>
      <c r="C128" s="35" t="s">
        <v>191</v>
      </c>
      <c r="D128" s="137">
        <f>101.98*10.764</f>
        <v>1097.71272</v>
      </c>
      <c r="E128" s="138"/>
      <c r="F128" s="35">
        <v>0</v>
      </c>
      <c r="G128" s="35">
        <f>D128*1.5+F128</f>
        <v>1646.56908</v>
      </c>
      <c r="H128" s="35" t="s">
        <v>91</v>
      </c>
      <c r="I128" s="143" t="str">
        <f>A127</f>
        <v>1st, 8th, 15th, 22nd, 29th &amp; 36th Floor (Part Refuge Area)</v>
      </c>
      <c r="J128" s="144"/>
      <c r="L128" s="3">
        <f t="shared" si="0"/>
        <v>117788.29919999998</v>
      </c>
      <c r="M128" s="3">
        <f t="shared" si="1"/>
        <v>156424.0626</v>
      </c>
    </row>
    <row r="129" spans="1:13" s="3" customFormat="1" ht="24" customHeight="1" x14ac:dyDescent="0.25">
      <c r="A129" s="137">
        <v>2</v>
      </c>
      <c r="B129" s="138"/>
      <c r="C129" s="35" t="s">
        <v>191</v>
      </c>
      <c r="D129" s="137">
        <f>91.19*10.764</f>
        <v>981.5691599999999</v>
      </c>
      <c r="E129" s="138"/>
      <c r="F129" s="35">
        <v>0</v>
      </c>
      <c r="G129" s="35">
        <f>D129*1.5+F129</f>
        <v>1472.3537399999998</v>
      </c>
      <c r="H129" s="35" t="s">
        <v>91</v>
      </c>
      <c r="I129" s="145"/>
      <c r="J129" s="146"/>
      <c r="L129" s="3">
        <f t="shared" si="0"/>
        <v>0</v>
      </c>
      <c r="M129" s="3">
        <f t="shared" si="1"/>
        <v>139873.60529999997</v>
      </c>
    </row>
    <row r="130" spans="1:13" s="3" customFormat="1" ht="24" customHeight="1" x14ac:dyDescent="0.25">
      <c r="A130" s="137">
        <v>3</v>
      </c>
      <c r="B130" s="138"/>
      <c r="C130" s="137" t="s">
        <v>182</v>
      </c>
      <c r="D130" s="139"/>
      <c r="E130" s="139"/>
      <c r="F130" s="139"/>
      <c r="G130" s="139"/>
      <c r="H130" s="138"/>
      <c r="I130" s="145"/>
      <c r="J130" s="146"/>
      <c r="L130" s="3">
        <f t="shared" si="0"/>
        <v>91489.694399999993</v>
      </c>
      <c r="M130" s="3">
        <f t="shared" si="1"/>
        <v>0</v>
      </c>
    </row>
    <row r="131" spans="1:13" s="3" customFormat="1" ht="24" customHeight="1" x14ac:dyDescent="0.25">
      <c r="A131" s="137">
        <v>4</v>
      </c>
      <c r="B131" s="138"/>
      <c r="C131" s="35" t="s">
        <v>192</v>
      </c>
      <c r="D131" s="137">
        <f>70.83*10.764</f>
        <v>762.41411999999991</v>
      </c>
      <c r="E131" s="138"/>
      <c r="F131" s="66">
        <v>0</v>
      </c>
      <c r="G131" s="35">
        <f t="shared" ref="G131" si="4">D131*1.5+F131</f>
        <v>1143.6211799999999</v>
      </c>
      <c r="H131" s="34" t="s">
        <v>91</v>
      </c>
      <c r="I131" s="147"/>
      <c r="J131" s="148"/>
      <c r="L131" s="3">
        <f t="shared" si="0"/>
        <v>0</v>
      </c>
      <c r="M131" s="3">
        <f t="shared" si="1"/>
        <v>108644.01209999999</v>
      </c>
    </row>
    <row r="132" spans="1:13" s="3" customFormat="1" ht="15.75" customHeight="1" x14ac:dyDescent="0.25">
      <c r="A132" s="134" t="s">
        <v>263</v>
      </c>
      <c r="B132" s="134"/>
      <c r="C132" s="134"/>
      <c r="D132" s="134"/>
      <c r="E132" s="134"/>
      <c r="F132" s="134"/>
      <c r="G132" s="134"/>
      <c r="H132" s="134"/>
      <c r="I132" s="134"/>
      <c r="J132" s="134"/>
      <c r="L132" s="3">
        <f t="shared" si="0"/>
        <v>131725.5264</v>
      </c>
      <c r="M132" s="3">
        <f t="shared" si="1"/>
        <v>0</v>
      </c>
    </row>
    <row r="133" spans="1:13" s="3" customFormat="1" ht="28.5" customHeight="1" x14ac:dyDescent="0.25">
      <c r="A133" s="135">
        <v>1</v>
      </c>
      <c r="B133" s="135"/>
      <c r="C133" s="35" t="s">
        <v>191</v>
      </c>
      <c r="D133" s="135">
        <f>101.98*10.764</f>
        <v>1097.71272</v>
      </c>
      <c r="E133" s="135"/>
      <c r="F133" s="35">
        <v>0</v>
      </c>
      <c r="G133" s="35">
        <f t="shared" ref="G133:G136" si="5">D133*1.5+F133</f>
        <v>1646.56908</v>
      </c>
      <c r="H133" s="35" t="s">
        <v>91</v>
      </c>
      <c r="I133" s="136" t="str">
        <f>A132</f>
        <v>2nd to 7th, 9th to 14th, 16th to 21st &amp; 23rd to 28th, 30th to 35th &amp; 37th to 43rd Floor</v>
      </c>
      <c r="J133" s="136"/>
      <c r="L133" s="3">
        <f t="shared" si="0"/>
        <v>117788.29919999998</v>
      </c>
      <c r="M133" s="3">
        <f t="shared" si="1"/>
        <v>156424.0626</v>
      </c>
    </row>
    <row r="134" spans="1:13" s="3" customFormat="1" ht="28.5" customHeight="1" x14ac:dyDescent="0.25">
      <c r="A134" s="135">
        <v>2</v>
      </c>
      <c r="B134" s="135"/>
      <c r="C134" s="35" t="s">
        <v>191</v>
      </c>
      <c r="D134" s="135">
        <f>91.19*10.764</f>
        <v>981.5691599999999</v>
      </c>
      <c r="E134" s="135"/>
      <c r="F134" s="35">
        <v>0</v>
      </c>
      <c r="G134" s="35">
        <f t="shared" si="5"/>
        <v>1472.3537399999998</v>
      </c>
      <c r="H134" s="35" t="s">
        <v>91</v>
      </c>
      <c r="I134" s="136"/>
      <c r="J134" s="136"/>
      <c r="L134" s="3">
        <f t="shared" si="0"/>
        <v>82538.351999999999</v>
      </c>
      <c r="M134" s="3">
        <f t="shared" si="1"/>
        <v>139873.60529999997</v>
      </c>
    </row>
    <row r="135" spans="1:13" s="3" customFormat="1" ht="28.5" customHeight="1" x14ac:dyDescent="0.25">
      <c r="A135" s="135">
        <v>3</v>
      </c>
      <c r="B135" s="135"/>
      <c r="C135" s="35" t="s">
        <v>192</v>
      </c>
      <c r="D135" s="135">
        <f>63.9*10.764</f>
        <v>687.81959999999992</v>
      </c>
      <c r="E135" s="135"/>
      <c r="F135" s="35">
        <v>0</v>
      </c>
      <c r="G135" s="35">
        <f t="shared" si="5"/>
        <v>1031.7293999999999</v>
      </c>
      <c r="H135" s="35" t="s">
        <v>91</v>
      </c>
      <c r="I135" s="136"/>
      <c r="J135" s="136"/>
      <c r="L135" s="3">
        <f t="shared" si="0"/>
        <v>91489.694399999993</v>
      </c>
      <c r="M135" s="3">
        <f t="shared" si="1"/>
        <v>98014.292999999991</v>
      </c>
    </row>
    <row r="136" spans="1:13" s="3" customFormat="1" ht="28.5" customHeight="1" x14ac:dyDescent="0.25">
      <c r="A136" s="135">
        <v>4</v>
      </c>
      <c r="B136" s="135"/>
      <c r="C136" s="35" t="s">
        <v>192</v>
      </c>
      <c r="D136" s="135">
        <f>70.83*10.764</f>
        <v>762.41411999999991</v>
      </c>
      <c r="E136" s="135"/>
      <c r="F136" s="35">
        <v>0</v>
      </c>
      <c r="G136" s="35">
        <f t="shared" si="5"/>
        <v>1143.6211799999999</v>
      </c>
      <c r="H136" s="35" t="s">
        <v>91</v>
      </c>
      <c r="I136" s="136"/>
      <c r="J136" s="136"/>
      <c r="L136" s="3">
        <f t="shared" si="0"/>
        <v>0</v>
      </c>
      <c r="M136" s="3">
        <f t="shared" si="1"/>
        <v>108644.01209999999</v>
      </c>
    </row>
    <row r="137" spans="1:13" s="3" customFormat="1" hidden="1" x14ac:dyDescent="0.25">
      <c r="A137" s="140" t="s">
        <v>252</v>
      </c>
      <c r="B137" s="141"/>
      <c r="C137" s="141"/>
      <c r="D137" s="141"/>
      <c r="E137" s="141"/>
      <c r="F137" s="141"/>
      <c r="G137" s="141"/>
      <c r="H137" s="141"/>
      <c r="I137" s="141"/>
      <c r="J137" s="142"/>
    </row>
    <row r="138" spans="1:13" s="3" customFormat="1" hidden="1" x14ac:dyDescent="0.25">
      <c r="A138" s="140" t="s">
        <v>180</v>
      </c>
      <c r="B138" s="141"/>
      <c r="C138" s="141"/>
      <c r="D138" s="141"/>
      <c r="E138" s="141"/>
      <c r="F138" s="141"/>
      <c r="G138" s="141"/>
      <c r="H138" s="141"/>
      <c r="I138" s="141"/>
      <c r="J138" s="142"/>
    </row>
    <row r="139" spans="1:13" s="3" customFormat="1" hidden="1" x14ac:dyDescent="0.25">
      <c r="A139" s="140" t="s">
        <v>181</v>
      </c>
      <c r="B139" s="141"/>
      <c r="C139" s="141"/>
      <c r="D139" s="141"/>
      <c r="E139" s="141"/>
      <c r="F139" s="141"/>
      <c r="G139" s="141"/>
      <c r="H139" s="141"/>
      <c r="I139" s="141"/>
      <c r="J139" s="142"/>
    </row>
    <row r="140" spans="1:13" s="3" customFormat="1" ht="15.75" hidden="1" customHeight="1" x14ac:dyDescent="0.25">
      <c r="A140" s="140" t="s">
        <v>255</v>
      </c>
      <c r="B140" s="141"/>
      <c r="C140" s="141"/>
      <c r="D140" s="141"/>
      <c r="E140" s="141"/>
      <c r="F140" s="141"/>
      <c r="G140" s="141"/>
      <c r="H140" s="141"/>
      <c r="I140" s="141"/>
      <c r="J140" s="142"/>
    </row>
    <row r="141" spans="1:13" s="3" customFormat="1" ht="15.75" hidden="1" customHeight="1" x14ac:dyDescent="0.25">
      <c r="A141" s="140" t="s">
        <v>265</v>
      </c>
      <c r="B141" s="141"/>
      <c r="C141" s="141"/>
      <c r="D141" s="141"/>
      <c r="E141" s="141"/>
      <c r="F141" s="141"/>
      <c r="G141" s="141"/>
      <c r="H141" s="141"/>
      <c r="I141" s="141"/>
      <c r="J141" s="142"/>
    </row>
    <row r="142" spans="1:13" s="3" customFormat="1" ht="15.75" hidden="1" customHeight="1" x14ac:dyDescent="0.25">
      <c r="A142" s="137">
        <v>1</v>
      </c>
      <c r="B142" s="138"/>
      <c r="C142" s="137" t="s">
        <v>182</v>
      </c>
      <c r="D142" s="139"/>
      <c r="E142" s="139"/>
      <c r="F142" s="139"/>
      <c r="G142" s="139"/>
      <c r="H142" s="138"/>
      <c r="I142" s="143" t="str">
        <f>A141</f>
        <v>1st, 8th, 15th, 22nd &amp; 29th Floor (Part Refuge Area)</v>
      </c>
      <c r="J142" s="144"/>
      <c r="K142" s="3">
        <f>COUNT(D143:E145)*3+COUNT(D147:E150)*18</f>
        <v>81</v>
      </c>
    </row>
    <row r="143" spans="1:13" s="3" customFormat="1" hidden="1" x14ac:dyDescent="0.25">
      <c r="A143" s="137">
        <v>2</v>
      </c>
      <c r="B143" s="138"/>
      <c r="C143" s="35" t="s">
        <v>253</v>
      </c>
      <c r="D143" s="137">
        <f>261.95*10.764</f>
        <v>2819.6297999999997</v>
      </c>
      <c r="E143" s="138"/>
      <c r="F143" s="36">
        <v>0</v>
      </c>
      <c r="G143" s="35">
        <f>D143*1.5+F143</f>
        <v>4229.4447</v>
      </c>
      <c r="H143" s="36" t="s">
        <v>91</v>
      </c>
      <c r="I143" s="145"/>
      <c r="J143" s="146"/>
      <c r="K143" s="3">
        <f>88*3</f>
        <v>264</v>
      </c>
    </row>
    <row r="144" spans="1:13" s="3" customFormat="1" hidden="1" x14ac:dyDescent="0.25">
      <c r="A144" s="137">
        <v>3</v>
      </c>
      <c r="B144" s="138"/>
      <c r="C144" s="35" t="s">
        <v>191</v>
      </c>
      <c r="D144" s="137">
        <f>112.85*10.764</f>
        <v>1214.7173999999998</v>
      </c>
      <c r="E144" s="138"/>
      <c r="F144" s="36">
        <v>0</v>
      </c>
      <c r="G144" s="35">
        <f>D144*1.5+F144</f>
        <v>1822.0760999999998</v>
      </c>
      <c r="H144" s="36" t="s">
        <v>91</v>
      </c>
      <c r="I144" s="145"/>
      <c r="J144" s="146"/>
    </row>
    <row r="145" spans="1:11" s="3" customFormat="1" hidden="1" x14ac:dyDescent="0.25">
      <c r="A145" s="137">
        <v>4</v>
      </c>
      <c r="B145" s="138"/>
      <c r="C145" s="35" t="s">
        <v>191</v>
      </c>
      <c r="D145" s="137">
        <f>112.85*10.764</f>
        <v>1214.7173999999998</v>
      </c>
      <c r="E145" s="138"/>
      <c r="F145" s="66">
        <v>0</v>
      </c>
      <c r="G145" s="35">
        <f t="shared" ref="G145" si="6">D145*1.5+F145</f>
        <v>1822.0760999999998</v>
      </c>
      <c r="H145" s="34" t="s">
        <v>91</v>
      </c>
      <c r="I145" s="147"/>
      <c r="J145" s="148"/>
      <c r="K145" s="3">
        <f>88+88+81</f>
        <v>257</v>
      </c>
    </row>
    <row r="146" spans="1:11" s="3" customFormat="1" ht="15.75" hidden="1" customHeight="1" x14ac:dyDescent="0.25">
      <c r="A146" s="140" t="s">
        <v>264</v>
      </c>
      <c r="B146" s="141"/>
      <c r="C146" s="141"/>
      <c r="D146" s="141"/>
      <c r="E146" s="141"/>
      <c r="F146" s="141"/>
      <c r="G146" s="141"/>
      <c r="H146" s="141"/>
      <c r="I146" s="141"/>
      <c r="J146" s="142"/>
    </row>
    <row r="147" spans="1:11" s="3" customFormat="1" hidden="1" x14ac:dyDescent="0.25">
      <c r="A147" s="137">
        <v>1</v>
      </c>
      <c r="B147" s="138"/>
      <c r="C147" s="35" t="s">
        <v>224</v>
      </c>
      <c r="D147" s="137">
        <f>263.31*10.764</f>
        <v>2834.2688399999997</v>
      </c>
      <c r="E147" s="138"/>
      <c r="F147" s="36">
        <v>0</v>
      </c>
      <c r="G147" s="35">
        <f t="shared" ref="G147:G150" si="7">D147*1.5+F147</f>
        <v>4251.4032599999991</v>
      </c>
      <c r="H147" s="36" t="s">
        <v>91</v>
      </c>
      <c r="I147" s="261" t="str">
        <f>A146</f>
        <v>2nd to 7th, 9th to 14th, 16th to 21st &amp; 23rd to 28th, 30th to 35th &amp; 37th to 39th Floor</v>
      </c>
      <c r="J147" s="262"/>
    </row>
    <row r="148" spans="1:11" s="3" customFormat="1" hidden="1" x14ac:dyDescent="0.25">
      <c r="A148" s="137">
        <v>2</v>
      </c>
      <c r="B148" s="138"/>
      <c r="C148" s="35" t="s">
        <v>224</v>
      </c>
      <c r="D148" s="137">
        <f>189.4*10.764</f>
        <v>2038.7015999999999</v>
      </c>
      <c r="E148" s="138"/>
      <c r="F148" s="35">
        <v>0</v>
      </c>
      <c r="G148" s="35">
        <f t="shared" si="7"/>
        <v>3058.0523999999996</v>
      </c>
      <c r="H148" s="35" t="s">
        <v>91</v>
      </c>
      <c r="I148" s="263"/>
      <c r="J148" s="264"/>
    </row>
    <row r="149" spans="1:11" s="3" customFormat="1" hidden="1" x14ac:dyDescent="0.25">
      <c r="A149" s="137">
        <v>3</v>
      </c>
      <c r="B149" s="138"/>
      <c r="C149" s="35" t="s">
        <v>191</v>
      </c>
      <c r="D149" s="137">
        <f>112.85*10.764</f>
        <v>1214.7173999999998</v>
      </c>
      <c r="E149" s="138"/>
      <c r="F149" s="33">
        <v>0</v>
      </c>
      <c r="G149" s="35">
        <f t="shared" si="7"/>
        <v>1822.0760999999998</v>
      </c>
      <c r="H149" s="34" t="s">
        <v>91</v>
      </c>
      <c r="I149" s="263"/>
      <c r="J149" s="264"/>
    </row>
    <row r="150" spans="1:11" s="3" customFormat="1" hidden="1" x14ac:dyDescent="0.25">
      <c r="A150" s="137">
        <v>4</v>
      </c>
      <c r="B150" s="138"/>
      <c r="C150" s="35" t="s">
        <v>191</v>
      </c>
      <c r="D150" s="137">
        <f>112.85*10.764</f>
        <v>1214.7173999999998</v>
      </c>
      <c r="E150" s="138"/>
      <c r="F150" s="33">
        <v>0</v>
      </c>
      <c r="G150" s="35">
        <f t="shared" si="7"/>
        <v>1822.0760999999998</v>
      </c>
      <c r="H150" s="34" t="s">
        <v>91</v>
      </c>
      <c r="I150" s="265"/>
      <c r="J150" s="266"/>
    </row>
    <row r="151" spans="1:11" s="3" customFormat="1" ht="15.75" hidden="1" customHeight="1" x14ac:dyDescent="0.25">
      <c r="A151" s="140" t="s">
        <v>266</v>
      </c>
      <c r="B151" s="141"/>
      <c r="C151" s="141"/>
      <c r="D151" s="141"/>
      <c r="E151" s="141"/>
      <c r="F151" s="141"/>
      <c r="G151" s="141"/>
      <c r="H151" s="141"/>
      <c r="I151" s="141"/>
      <c r="J151" s="142"/>
    </row>
    <row r="152" spans="1:11" s="3" customFormat="1" ht="15.75" hidden="1" customHeight="1" x14ac:dyDescent="0.25">
      <c r="A152" s="137">
        <v>1</v>
      </c>
      <c r="B152" s="138"/>
      <c r="C152" s="137" t="s">
        <v>182</v>
      </c>
      <c r="D152" s="139"/>
      <c r="E152" s="139"/>
      <c r="F152" s="139"/>
      <c r="G152" s="139"/>
      <c r="H152" s="138"/>
      <c r="I152" s="143" t="str">
        <f>A151</f>
        <v>36th Floor (Part Refuge Area)</v>
      </c>
      <c r="J152" s="144"/>
      <c r="K152" s="3">
        <f>COUNT(D153:E155)*3+COUNT(D157:E160)*18</f>
        <v>9</v>
      </c>
    </row>
    <row r="153" spans="1:11" s="3" customFormat="1" hidden="1" x14ac:dyDescent="0.25">
      <c r="A153" s="137">
        <v>2</v>
      </c>
      <c r="B153" s="138"/>
      <c r="C153" s="35" t="s">
        <v>253</v>
      </c>
      <c r="D153" s="137">
        <f>235.65*10.764</f>
        <v>2536.5365999999999</v>
      </c>
      <c r="E153" s="138"/>
      <c r="F153" s="36">
        <v>0</v>
      </c>
      <c r="G153" s="35">
        <f>D153*1.5+F153</f>
        <v>3804.8049000000001</v>
      </c>
      <c r="H153" s="36" t="s">
        <v>91</v>
      </c>
      <c r="I153" s="145"/>
      <c r="J153" s="146"/>
      <c r="K153" s="3">
        <f>88*3</f>
        <v>264</v>
      </c>
    </row>
    <row r="154" spans="1:11" s="3" customFormat="1" hidden="1" x14ac:dyDescent="0.25">
      <c r="A154" s="137">
        <v>3</v>
      </c>
      <c r="B154" s="138"/>
      <c r="C154" s="35" t="s">
        <v>191</v>
      </c>
      <c r="D154" s="137">
        <f>112.85*10.764</f>
        <v>1214.7173999999998</v>
      </c>
      <c r="E154" s="138"/>
      <c r="F154" s="36">
        <v>0</v>
      </c>
      <c r="G154" s="35">
        <f>D154*1.5+F154</f>
        <v>1822.0760999999998</v>
      </c>
      <c r="H154" s="36" t="s">
        <v>91</v>
      </c>
      <c r="I154" s="145"/>
      <c r="J154" s="146"/>
    </row>
    <row r="155" spans="1:11" s="3" customFormat="1" hidden="1" x14ac:dyDescent="0.25">
      <c r="A155" s="137">
        <v>4</v>
      </c>
      <c r="B155" s="138"/>
      <c r="C155" s="35" t="s">
        <v>191</v>
      </c>
      <c r="D155" s="137">
        <f>112.85*10.764</f>
        <v>1214.7173999999998</v>
      </c>
      <c r="E155" s="138"/>
      <c r="F155" s="66">
        <v>0</v>
      </c>
      <c r="G155" s="35">
        <f t="shared" ref="G155" si="8">D155*1.5+F155</f>
        <v>1822.0760999999998</v>
      </c>
      <c r="H155" s="34" t="s">
        <v>91</v>
      </c>
      <c r="I155" s="147"/>
      <c r="J155" s="148"/>
      <c r="K155" s="3">
        <f>88+88+81</f>
        <v>257</v>
      </c>
    </row>
    <row r="156" spans="1:11" s="1" customFormat="1" x14ac:dyDescent="0.25">
      <c r="A156" s="176" t="s">
        <v>101</v>
      </c>
      <c r="B156" s="176"/>
      <c r="C156" s="176"/>
      <c r="D156" s="176"/>
      <c r="E156" s="176"/>
      <c r="F156" s="176"/>
      <c r="G156" s="176"/>
      <c r="H156" s="176"/>
      <c r="I156" s="176"/>
      <c r="J156" s="176"/>
    </row>
    <row r="157" spans="1:11" s="13" customFormat="1" ht="169.5" customHeight="1" x14ac:dyDescent="0.25">
      <c r="A157" s="177" t="s">
        <v>284</v>
      </c>
      <c r="B157" s="177"/>
      <c r="C157" s="177"/>
      <c r="D157" s="177"/>
      <c r="E157" s="177"/>
      <c r="F157" s="177"/>
      <c r="G157" s="177"/>
      <c r="H157" s="177"/>
      <c r="I157" s="177"/>
      <c r="J157" s="177"/>
    </row>
    <row r="158" spans="1:11" x14ac:dyDescent="0.25">
      <c r="A158" s="178" t="s">
        <v>92</v>
      </c>
      <c r="B158" s="179"/>
      <c r="C158" s="179"/>
      <c r="D158" s="179"/>
      <c r="E158" s="179"/>
      <c r="F158" s="179"/>
      <c r="G158" s="179"/>
      <c r="H158" s="179"/>
      <c r="I158" s="179"/>
      <c r="J158" s="180"/>
    </row>
    <row r="159" spans="1:11" x14ac:dyDescent="0.25">
      <c r="A159" s="100" t="s">
        <v>93</v>
      </c>
      <c r="B159" s="103"/>
      <c r="C159" s="103"/>
      <c r="D159" s="103"/>
      <c r="E159" s="103"/>
      <c r="F159" s="103"/>
      <c r="G159" s="103"/>
      <c r="H159" s="103"/>
      <c r="I159" s="103"/>
      <c r="J159" s="101"/>
    </row>
    <row r="160" spans="1:11" ht="15.75" customHeight="1" x14ac:dyDescent="0.25">
      <c r="A160" s="178" t="s">
        <v>94</v>
      </c>
      <c r="B160" s="179"/>
      <c r="C160" s="179"/>
      <c r="D160" s="179"/>
      <c r="E160" s="179"/>
      <c r="F160" s="179"/>
      <c r="G160" s="179"/>
      <c r="H160" s="179"/>
      <c r="I160" s="179"/>
      <c r="J160" s="180"/>
    </row>
    <row r="161" spans="1:10" x14ac:dyDescent="0.25">
      <c r="A161" s="100" t="s">
        <v>95</v>
      </c>
      <c r="B161" s="103"/>
      <c r="C161" s="103"/>
      <c r="D161" s="103"/>
      <c r="E161" s="103"/>
      <c r="F161" s="103"/>
      <c r="G161" s="103"/>
      <c r="H161" s="103"/>
      <c r="I161" s="103"/>
      <c r="J161" s="101"/>
    </row>
    <row r="162" spans="1:10" x14ac:dyDescent="0.25">
      <c r="A162" s="100" t="s">
        <v>96</v>
      </c>
      <c r="B162" s="103"/>
      <c r="C162" s="103"/>
      <c r="D162" s="103"/>
      <c r="E162" s="103"/>
      <c r="F162" s="103"/>
      <c r="G162" s="103"/>
      <c r="H162" s="103"/>
      <c r="I162" s="103"/>
      <c r="J162" s="101"/>
    </row>
    <row r="163" spans="1:10" x14ac:dyDescent="0.25">
      <c r="A163" s="100" t="s">
        <v>97</v>
      </c>
      <c r="B163" s="103"/>
      <c r="C163" s="103"/>
      <c r="D163" s="103"/>
      <c r="E163" s="103"/>
      <c r="F163" s="103"/>
      <c r="G163" s="103"/>
      <c r="H163" s="103"/>
      <c r="I163" s="103"/>
      <c r="J163" s="101"/>
    </row>
    <row r="164" spans="1:10" ht="35.25" customHeight="1" x14ac:dyDescent="0.25">
      <c r="A164" s="159" t="s">
        <v>98</v>
      </c>
      <c r="B164" s="160"/>
      <c r="C164" s="160"/>
      <c r="D164" s="160"/>
      <c r="E164" s="160"/>
      <c r="F164" s="160"/>
      <c r="G164" s="160"/>
      <c r="H164" s="160"/>
      <c r="I164" s="160"/>
      <c r="J164" s="161"/>
    </row>
    <row r="165" spans="1:10" x14ac:dyDescent="0.25">
      <c r="A165" s="174" t="s">
        <v>173</v>
      </c>
      <c r="B165" s="174"/>
      <c r="C165" s="175" t="s">
        <v>281</v>
      </c>
      <c r="D165" s="175"/>
      <c r="E165" s="174" t="s">
        <v>174</v>
      </c>
      <c r="F165" s="174"/>
      <c r="G165" s="174"/>
      <c r="H165" s="175" t="s">
        <v>285</v>
      </c>
      <c r="I165" s="175"/>
      <c r="J165" s="175"/>
    </row>
    <row r="166" spans="1:10" x14ac:dyDescent="0.25">
      <c r="A166" s="165" t="s">
        <v>176</v>
      </c>
      <c r="B166" s="166"/>
      <c r="C166" s="166"/>
      <c r="D166" s="166"/>
      <c r="E166" s="166"/>
      <c r="F166" s="166"/>
      <c r="G166" s="166"/>
      <c r="H166" s="166"/>
      <c r="I166" s="166"/>
      <c r="J166" s="167"/>
    </row>
    <row r="167" spans="1:10" x14ac:dyDescent="0.25">
      <c r="A167" s="168"/>
      <c r="B167" s="169"/>
      <c r="C167" s="169"/>
      <c r="D167" s="169"/>
      <c r="E167" s="169"/>
      <c r="F167" s="169"/>
      <c r="G167" s="169"/>
      <c r="H167" s="169"/>
      <c r="I167" s="169"/>
      <c r="J167" s="170"/>
    </row>
    <row r="168" spans="1:10" x14ac:dyDescent="0.25">
      <c r="A168" s="168"/>
      <c r="B168" s="169"/>
      <c r="C168" s="169"/>
      <c r="D168" s="169"/>
      <c r="E168" s="169"/>
      <c r="F168" s="169"/>
      <c r="G168" s="169"/>
      <c r="H168" s="169"/>
      <c r="I168" s="169"/>
      <c r="J168" s="170"/>
    </row>
    <row r="169" spans="1:10" x14ac:dyDescent="0.25">
      <c r="A169" s="171"/>
      <c r="B169" s="172"/>
      <c r="C169" s="172"/>
      <c r="D169" s="172"/>
      <c r="E169" s="172"/>
      <c r="F169" s="172"/>
      <c r="G169" s="172"/>
      <c r="H169" s="172"/>
      <c r="I169" s="172"/>
      <c r="J169" s="173"/>
    </row>
    <row r="170" spans="1:10" ht="15" customHeight="1" x14ac:dyDescent="0.25">
      <c r="A170" s="14" t="s">
        <v>99</v>
      </c>
      <c r="B170" s="15"/>
      <c r="C170" s="15"/>
      <c r="D170" s="14" t="str">
        <f>F8</f>
        <v>Montana Phase III</v>
      </c>
      <c r="G170" s="15"/>
      <c r="H170" s="15"/>
      <c r="I170" s="15"/>
      <c r="J170" s="15"/>
    </row>
    <row r="171" spans="1:10" x14ac:dyDescent="0.25">
      <c r="A171" s="15"/>
      <c r="B171" s="15"/>
      <c r="C171" s="15"/>
      <c r="D171" s="15"/>
      <c r="E171" s="15"/>
      <c r="F171" s="15"/>
      <c r="G171" s="15"/>
      <c r="H171" s="15"/>
      <c r="I171" s="15"/>
      <c r="J171" s="15"/>
    </row>
    <row r="172" spans="1:10" x14ac:dyDescent="0.25">
      <c r="G172" s="15"/>
      <c r="H172" s="15"/>
      <c r="I172" s="15"/>
      <c r="J172" s="15"/>
    </row>
    <row r="173" spans="1:10" x14ac:dyDescent="0.25">
      <c r="A173" s="15"/>
      <c r="B173" s="15"/>
      <c r="C173" s="15"/>
      <c r="D173" s="15"/>
      <c r="E173" s="15"/>
      <c r="F173" s="15"/>
      <c r="G173" s="15"/>
      <c r="H173" s="15"/>
      <c r="I173" s="15"/>
      <c r="J173" s="15"/>
    </row>
    <row r="174" spans="1:10" ht="15" customHeight="1" x14ac:dyDescent="0.25"/>
    <row r="213" spans="1:1" x14ac:dyDescent="0.25">
      <c r="A213" s="16" t="s">
        <v>100</v>
      </c>
    </row>
  </sheetData>
  <mergeCells count="333">
    <mergeCell ref="C53:J53"/>
    <mergeCell ref="A151:J151"/>
    <mergeCell ref="A152:B152"/>
    <mergeCell ref="C152:H152"/>
    <mergeCell ref="I152:J155"/>
    <mergeCell ref="A153:B153"/>
    <mergeCell ref="D153:E153"/>
    <mergeCell ref="A154:B154"/>
    <mergeCell ref="D154:E154"/>
    <mergeCell ref="A155:B155"/>
    <mergeCell ref="D155:E155"/>
    <mergeCell ref="A146:J146"/>
    <mergeCell ref="A147:B147"/>
    <mergeCell ref="D147:E147"/>
    <mergeCell ref="I147:J150"/>
    <mergeCell ref="A148:B148"/>
    <mergeCell ref="D148:E148"/>
    <mergeCell ref="A149:B149"/>
    <mergeCell ref="D149:E149"/>
    <mergeCell ref="A150:B150"/>
    <mergeCell ref="D150:E150"/>
    <mergeCell ref="A137:J137"/>
    <mergeCell ref="A138:J138"/>
    <mergeCell ref="A139:J139"/>
    <mergeCell ref="A140:J140"/>
    <mergeCell ref="A141:J141"/>
    <mergeCell ref="A142:B142"/>
    <mergeCell ref="I142:J145"/>
    <mergeCell ref="A143:B143"/>
    <mergeCell ref="D143:E143"/>
    <mergeCell ref="A144:B144"/>
    <mergeCell ref="A145:B145"/>
    <mergeCell ref="D145:E145"/>
    <mergeCell ref="C142:H142"/>
    <mergeCell ref="D144:E144"/>
    <mergeCell ref="A53:B53"/>
    <mergeCell ref="A112:J112"/>
    <mergeCell ref="A113:J113"/>
    <mergeCell ref="A55:C55"/>
    <mergeCell ref="A121:B121"/>
    <mergeCell ref="D121:E121"/>
    <mergeCell ref="A119:B119"/>
    <mergeCell ref="D119:E119"/>
    <mergeCell ref="A118:J118"/>
    <mergeCell ref="A117:B117"/>
    <mergeCell ref="A115:B115"/>
    <mergeCell ref="A116:B116"/>
    <mergeCell ref="D117:E117"/>
    <mergeCell ref="C116:H116"/>
    <mergeCell ref="D115:E115"/>
    <mergeCell ref="A105:J105"/>
    <mergeCell ref="A106:J106"/>
    <mergeCell ref="A102:B102"/>
    <mergeCell ref="A107:B107"/>
    <mergeCell ref="D107:E107"/>
    <mergeCell ref="I107:J107"/>
    <mergeCell ref="A108:J108"/>
    <mergeCell ref="D102:F102"/>
    <mergeCell ref="G102:J102"/>
    <mergeCell ref="A122:B122"/>
    <mergeCell ref="D122:E122"/>
    <mergeCell ref="I119:J122"/>
    <mergeCell ref="A120:B120"/>
    <mergeCell ref="D120:E120"/>
    <mergeCell ref="A97:F97"/>
    <mergeCell ref="G97:J97"/>
    <mergeCell ref="A98:F98"/>
    <mergeCell ref="G98:J98"/>
    <mergeCell ref="I114:J117"/>
    <mergeCell ref="A114:B114"/>
    <mergeCell ref="D114:E114"/>
    <mergeCell ref="A109:J109"/>
    <mergeCell ref="A110:J110"/>
    <mergeCell ref="A111:J111"/>
    <mergeCell ref="A103:B103"/>
    <mergeCell ref="D103:F103"/>
    <mergeCell ref="A104:B104"/>
    <mergeCell ref="D104:F104"/>
    <mergeCell ref="G104:J104"/>
    <mergeCell ref="A91:F91"/>
    <mergeCell ref="G91:J91"/>
    <mergeCell ref="A92:F92"/>
    <mergeCell ref="G92:J92"/>
    <mergeCell ref="A88:J88"/>
    <mergeCell ref="A89:F89"/>
    <mergeCell ref="G89:J89"/>
    <mergeCell ref="A100:J100"/>
    <mergeCell ref="A101:B101"/>
    <mergeCell ref="D101:F101"/>
    <mergeCell ref="G101:J101"/>
    <mergeCell ref="A96:F96"/>
    <mergeCell ref="G96:J96"/>
    <mergeCell ref="A93:F93"/>
    <mergeCell ref="G93:J93"/>
    <mergeCell ref="A94:F94"/>
    <mergeCell ref="G94:J94"/>
    <mergeCell ref="A95:F95"/>
    <mergeCell ref="G95:J95"/>
    <mergeCell ref="A99:F99"/>
    <mergeCell ref="A90:F90"/>
    <mergeCell ref="G90:J90"/>
    <mergeCell ref="A51:J51"/>
    <mergeCell ref="A52:C52"/>
    <mergeCell ref="D52:E52"/>
    <mergeCell ref="F52:G52"/>
    <mergeCell ref="H52:J52"/>
    <mergeCell ref="A86:J86"/>
    <mergeCell ref="A87:B87"/>
    <mergeCell ref="C87:J87"/>
    <mergeCell ref="A56:J56"/>
    <mergeCell ref="F60:G60"/>
    <mergeCell ref="A85:J85"/>
    <mergeCell ref="D70:E70"/>
    <mergeCell ref="D63:E63"/>
    <mergeCell ref="A64:B64"/>
    <mergeCell ref="D64:E64"/>
    <mergeCell ref="A65:B65"/>
    <mergeCell ref="D65:E65"/>
    <mergeCell ref="A66:B66"/>
    <mergeCell ref="D66:E66"/>
    <mergeCell ref="A67:B67"/>
    <mergeCell ref="D67:E67"/>
    <mergeCell ref="D55:J55"/>
    <mergeCell ref="A57:B57"/>
    <mergeCell ref="C57:J57"/>
    <mergeCell ref="A46:B46"/>
    <mergeCell ref="C46:F46"/>
    <mergeCell ref="A41:E41"/>
    <mergeCell ref="F41:J41"/>
    <mergeCell ref="A42:E42"/>
    <mergeCell ref="F42:J42"/>
    <mergeCell ref="F43:J43"/>
    <mergeCell ref="A44:E44"/>
    <mergeCell ref="F44:J44"/>
    <mergeCell ref="A45:J45"/>
    <mergeCell ref="A27:E27"/>
    <mergeCell ref="F27:J27"/>
    <mergeCell ref="A24:E24"/>
    <mergeCell ref="F24:J24"/>
    <mergeCell ref="A18:B18"/>
    <mergeCell ref="C18:E18"/>
    <mergeCell ref="F18:G18"/>
    <mergeCell ref="H18:J18"/>
    <mergeCell ref="A19:B19"/>
    <mergeCell ref="C19:E19"/>
    <mergeCell ref="F19:G19"/>
    <mergeCell ref="H19:J19"/>
    <mergeCell ref="A20:E21"/>
    <mergeCell ref="F20:J21"/>
    <mergeCell ref="A22:E23"/>
    <mergeCell ref="F22:J23"/>
    <mergeCell ref="H16:J16"/>
    <mergeCell ref="A25:E25"/>
    <mergeCell ref="A26:E26"/>
    <mergeCell ref="F26:J26"/>
    <mergeCell ref="F25:J25"/>
    <mergeCell ref="A17:B17"/>
    <mergeCell ref="C17:E17"/>
    <mergeCell ref="F17:G17"/>
    <mergeCell ref="H17:J17"/>
    <mergeCell ref="A16:B16"/>
    <mergeCell ref="C16:E16"/>
    <mergeCell ref="F16:G16"/>
    <mergeCell ref="A1:J1"/>
    <mergeCell ref="A2:J2"/>
    <mergeCell ref="A3:E3"/>
    <mergeCell ref="F3:J3"/>
    <mergeCell ref="A4:E4"/>
    <mergeCell ref="A8:E8"/>
    <mergeCell ref="F8:J8"/>
    <mergeCell ref="A9:E9"/>
    <mergeCell ref="F9:J9"/>
    <mergeCell ref="F4:J4"/>
    <mergeCell ref="A11:E11"/>
    <mergeCell ref="F11:J11"/>
    <mergeCell ref="A5:E5"/>
    <mergeCell ref="F5:J5"/>
    <mergeCell ref="A6:E6"/>
    <mergeCell ref="F6:J6"/>
    <mergeCell ref="A7:E7"/>
    <mergeCell ref="F7:J7"/>
    <mergeCell ref="A15:B15"/>
    <mergeCell ref="A12:E12"/>
    <mergeCell ref="F12:J12"/>
    <mergeCell ref="A13:E13"/>
    <mergeCell ref="F13:J13"/>
    <mergeCell ref="A14:B14"/>
    <mergeCell ref="C14:J14"/>
    <mergeCell ref="C15:J15"/>
    <mergeCell ref="A10:E10"/>
    <mergeCell ref="F10:J10"/>
    <mergeCell ref="A135:B135"/>
    <mergeCell ref="D135:E135"/>
    <mergeCell ref="A136:B136"/>
    <mergeCell ref="D136:E136"/>
    <mergeCell ref="A123:J123"/>
    <mergeCell ref="A124:J124"/>
    <mergeCell ref="A125:J125"/>
    <mergeCell ref="A29:B29"/>
    <mergeCell ref="C29:D29"/>
    <mergeCell ref="E29:F29"/>
    <mergeCell ref="G29:H29"/>
    <mergeCell ref="I29:J29"/>
    <mergeCell ref="A40:E40"/>
    <mergeCell ref="F40:J40"/>
    <mergeCell ref="A36:E36"/>
    <mergeCell ref="F36:J36"/>
    <mergeCell ref="A31:J31"/>
    <mergeCell ref="A30:B30"/>
    <mergeCell ref="C30:D30"/>
    <mergeCell ref="E30:F30"/>
    <mergeCell ref="G30:H30"/>
    <mergeCell ref="I30:J30"/>
    <mergeCell ref="A32:J32"/>
    <mergeCell ref="A33:B33"/>
    <mergeCell ref="A166:J169"/>
    <mergeCell ref="A165:B165"/>
    <mergeCell ref="E165:G165"/>
    <mergeCell ref="C165:D165"/>
    <mergeCell ref="H165:J165"/>
    <mergeCell ref="A162:J162"/>
    <mergeCell ref="A163:J163"/>
    <mergeCell ref="A164:J164"/>
    <mergeCell ref="A156:J156"/>
    <mergeCell ref="A157:J157"/>
    <mergeCell ref="A158:J158"/>
    <mergeCell ref="A159:J159"/>
    <mergeCell ref="A160:J160"/>
    <mergeCell ref="A161:J161"/>
    <mergeCell ref="A129:B129"/>
    <mergeCell ref="D129:E129"/>
    <mergeCell ref="A130:B130"/>
    <mergeCell ref="A131:B131"/>
    <mergeCell ref="A68:B68"/>
    <mergeCell ref="G99:J99"/>
    <mergeCell ref="G103:J103"/>
    <mergeCell ref="A28:B28"/>
    <mergeCell ref="C28:D28"/>
    <mergeCell ref="E28:F28"/>
    <mergeCell ref="G28:H28"/>
    <mergeCell ref="I28:J28"/>
    <mergeCell ref="C33:D33"/>
    <mergeCell ref="E33:F33"/>
    <mergeCell ref="G33:H33"/>
    <mergeCell ref="I33:J33"/>
    <mergeCell ref="A35:J35"/>
    <mergeCell ref="A37:E37"/>
    <mergeCell ref="F37:J37"/>
    <mergeCell ref="A43:E43"/>
    <mergeCell ref="A38:J38"/>
    <mergeCell ref="H49:J49"/>
    <mergeCell ref="A49:B49"/>
    <mergeCell ref="C49:F49"/>
    <mergeCell ref="A61:B61"/>
    <mergeCell ref="D61:E61"/>
    <mergeCell ref="F61:G70"/>
    <mergeCell ref="H61:J70"/>
    <mergeCell ref="A62:B62"/>
    <mergeCell ref="D62:E62"/>
    <mergeCell ref="A63:B63"/>
    <mergeCell ref="A132:J132"/>
    <mergeCell ref="A133:B133"/>
    <mergeCell ref="D133:E133"/>
    <mergeCell ref="I133:J136"/>
    <mergeCell ref="A134:B134"/>
    <mergeCell ref="D134:E134"/>
    <mergeCell ref="D131:E131"/>
    <mergeCell ref="C130:H130"/>
    <mergeCell ref="D68:E68"/>
    <mergeCell ref="A69:B69"/>
    <mergeCell ref="D69:E69"/>
    <mergeCell ref="A70:B70"/>
    <mergeCell ref="A126:J126"/>
    <mergeCell ref="A127:J127"/>
    <mergeCell ref="A128:B128"/>
    <mergeCell ref="D128:E128"/>
    <mergeCell ref="I128:J131"/>
    <mergeCell ref="A34:B34"/>
    <mergeCell ref="C34:J34"/>
    <mergeCell ref="A54:B54"/>
    <mergeCell ref="C54:J54"/>
    <mergeCell ref="E58:F58"/>
    <mergeCell ref="I58:J58"/>
    <mergeCell ref="A59:B59"/>
    <mergeCell ref="C59:J59"/>
    <mergeCell ref="A60:B60"/>
    <mergeCell ref="D60:E60"/>
    <mergeCell ref="H60:J60"/>
    <mergeCell ref="A50:C50"/>
    <mergeCell ref="D50:E50"/>
    <mergeCell ref="F50:G50"/>
    <mergeCell ref="H50:J50"/>
    <mergeCell ref="A39:E39"/>
    <mergeCell ref="F39:J39"/>
    <mergeCell ref="H46:J46"/>
    <mergeCell ref="H47:J47"/>
    <mergeCell ref="I48:J48"/>
    <mergeCell ref="A47:B47"/>
    <mergeCell ref="C47:F47"/>
    <mergeCell ref="A48:B48"/>
    <mergeCell ref="C48:F48"/>
    <mergeCell ref="A71:B71"/>
    <mergeCell ref="C71:J71"/>
    <mergeCell ref="E72:F72"/>
    <mergeCell ref="I72:J72"/>
    <mergeCell ref="A73:B73"/>
    <mergeCell ref="C73:J73"/>
    <mergeCell ref="A74:B74"/>
    <mergeCell ref="D74:E74"/>
    <mergeCell ref="F74:G74"/>
    <mergeCell ref="H74:J74"/>
    <mergeCell ref="A75:B75"/>
    <mergeCell ref="D75:E75"/>
    <mergeCell ref="F75:G84"/>
    <mergeCell ref="H75:J84"/>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83:B83"/>
    <mergeCell ref="D83:E83"/>
    <mergeCell ref="A84:B84"/>
    <mergeCell ref="D84:E84"/>
  </mergeCells>
  <hyperlinks>
    <hyperlink ref="C34" r:id="rId1"/>
  </hyperlinks>
  <pageMargins left="0.39370078740157483" right="0.39370078740157483" top="0.78740157480314965" bottom="0.78740157480314965" header="0.19685039370078741" footer="0.19685039370078741"/>
  <pageSetup paperSize="9" scale="99" fitToHeight="0" orientation="portrait" r:id="rId2"/>
  <headerFooter>
    <oddHeader>&amp;C&amp;G</oddHeader>
    <oddFooter>&amp;L&amp;"Times New Roman,Bold"&amp;12Ref No: &amp;F&amp;C&amp;G&amp;R&amp;"Times New Roman,Bold"&amp;12&amp;P</oddFooter>
  </headerFooter>
  <rowBreaks count="2" manualBreakCount="2">
    <brk id="169" max="16383" man="1"/>
    <brk id="21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3" sqref="D3:E3"/>
    </sheetView>
  </sheetViews>
  <sheetFormatPr defaultRowHeight="15" x14ac:dyDescent="0.25"/>
  <cols>
    <col min="1" max="1" width="20.5703125" style="18" customWidth="1"/>
    <col min="2" max="2" width="11.5703125" style="18" customWidth="1"/>
    <col min="3" max="4" width="9.140625" style="18"/>
    <col min="5" max="5" width="10.140625" style="18" customWidth="1"/>
    <col min="6" max="6" width="10.5703125" style="18" customWidth="1"/>
    <col min="7" max="7" width="9.140625" style="18"/>
    <col min="8" max="8" width="10.42578125" style="18" customWidth="1"/>
    <col min="9" max="9" width="15.42578125" style="18" customWidth="1"/>
    <col min="10" max="258" width="9.140625" style="18"/>
    <col min="259" max="259" width="11.5703125" style="18" customWidth="1"/>
    <col min="260" max="260" width="9.140625" style="18"/>
    <col min="261" max="261" width="14.5703125" style="18" customWidth="1"/>
    <col min="262" max="262" width="10.5703125" style="18" customWidth="1"/>
    <col min="263" max="514" width="9.140625" style="18"/>
    <col min="515" max="515" width="11.5703125" style="18" customWidth="1"/>
    <col min="516" max="516" width="9.140625" style="18"/>
    <col min="517" max="517" width="14.5703125" style="18" customWidth="1"/>
    <col min="518" max="518" width="10.5703125" style="18" customWidth="1"/>
    <col min="519" max="770" width="9.140625" style="18"/>
    <col min="771" max="771" width="11.5703125" style="18" customWidth="1"/>
    <col min="772" max="772" width="9.140625" style="18"/>
    <col min="773" max="773" width="14.5703125" style="18" customWidth="1"/>
    <col min="774" max="774" width="10.5703125" style="18" customWidth="1"/>
    <col min="775" max="1026" width="9.140625" style="18"/>
    <col min="1027" max="1027" width="11.5703125" style="18" customWidth="1"/>
    <col min="1028" max="1028" width="9.140625" style="18"/>
    <col min="1029" max="1029" width="14.5703125" style="18" customWidth="1"/>
    <col min="1030" max="1030" width="10.5703125" style="18" customWidth="1"/>
    <col min="1031" max="1282" width="9.140625" style="18"/>
    <col min="1283" max="1283" width="11.5703125" style="18" customWidth="1"/>
    <col min="1284" max="1284" width="9.140625" style="18"/>
    <col min="1285" max="1285" width="14.5703125" style="18" customWidth="1"/>
    <col min="1286" max="1286" width="10.5703125" style="18" customWidth="1"/>
    <col min="1287" max="1538" width="9.140625" style="18"/>
    <col min="1539" max="1539" width="11.5703125" style="18" customWidth="1"/>
    <col min="1540" max="1540" width="9.140625" style="18"/>
    <col min="1541" max="1541" width="14.5703125" style="18" customWidth="1"/>
    <col min="1542" max="1542" width="10.5703125" style="18" customWidth="1"/>
    <col min="1543" max="1794" width="9.140625" style="18"/>
    <col min="1795" max="1795" width="11.5703125" style="18" customWidth="1"/>
    <col min="1796" max="1796" width="9.140625" style="18"/>
    <col min="1797" max="1797" width="14.5703125" style="18" customWidth="1"/>
    <col min="1798" max="1798" width="10.5703125" style="18" customWidth="1"/>
    <col min="1799" max="2050" width="9.140625" style="18"/>
    <col min="2051" max="2051" width="11.5703125" style="18" customWidth="1"/>
    <col min="2052" max="2052" width="9.140625" style="18"/>
    <col min="2053" max="2053" width="14.5703125" style="18" customWidth="1"/>
    <col min="2054" max="2054" width="10.5703125" style="18" customWidth="1"/>
    <col min="2055" max="2306" width="9.140625" style="18"/>
    <col min="2307" max="2307" width="11.5703125" style="18" customWidth="1"/>
    <col min="2308" max="2308" width="9.140625" style="18"/>
    <col min="2309" max="2309" width="14.5703125" style="18" customWidth="1"/>
    <col min="2310" max="2310" width="10.5703125" style="18" customWidth="1"/>
    <col min="2311" max="2562" width="9.140625" style="18"/>
    <col min="2563" max="2563" width="11.5703125" style="18" customWidth="1"/>
    <col min="2564" max="2564" width="9.140625" style="18"/>
    <col min="2565" max="2565" width="14.5703125" style="18" customWidth="1"/>
    <col min="2566" max="2566" width="10.5703125" style="18" customWidth="1"/>
    <col min="2567" max="2818" width="9.140625" style="18"/>
    <col min="2819" max="2819" width="11.5703125" style="18" customWidth="1"/>
    <col min="2820" max="2820" width="9.140625" style="18"/>
    <col min="2821" max="2821" width="14.5703125" style="18" customWidth="1"/>
    <col min="2822" max="2822" width="10.5703125" style="18" customWidth="1"/>
    <col min="2823" max="3074" width="9.140625" style="18"/>
    <col min="3075" max="3075" width="11.5703125" style="18" customWidth="1"/>
    <col min="3076" max="3076" width="9.140625" style="18"/>
    <col min="3077" max="3077" width="14.5703125" style="18" customWidth="1"/>
    <col min="3078" max="3078" width="10.5703125" style="18" customWidth="1"/>
    <col min="3079" max="3330" width="9.140625" style="18"/>
    <col min="3331" max="3331" width="11.5703125" style="18" customWidth="1"/>
    <col min="3332" max="3332" width="9.140625" style="18"/>
    <col min="3333" max="3333" width="14.5703125" style="18" customWidth="1"/>
    <col min="3334" max="3334" width="10.5703125" style="18" customWidth="1"/>
    <col min="3335" max="3586" width="9.140625" style="18"/>
    <col min="3587" max="3587" width="11.5703125" style="18" customWidth="1"/>
    <col min="3588" max="3588" width="9.140625" style="18"/>
    <col min="3589" max="3589" width="14.5703125" style="18" customWidth="1"/>
    <col min="3590" max="3590" width="10.5703125" style="18" customWidth="1"/>
    <col min="3591" max="3842" width="9.140625" style="18"/>
    <col min="3843" max="3843" width="11.5703125" style="18" customWidth="1"/>
    <col min="3844" max="3844" width="9.140625" style="18"/>
    <col min="3845" max="3845" width="14.5703125" style="18" customWidth="1"/>
    <col min="3846" max="3846" width="10.5703125" style="18" customWidth="1"/>
    <col min="3847" max="4098" width="9.140625" style="18"/>
    <col min="4099" max="4099" width="11.5703125" style="18" customWidth="1"/>
    <col min="4100" max="4100" width="9.140625" style="18"/>
    <col min="4101" max="4101" width="14.5703125" style="18" customWidth="1"/>
    <col min="4102" max="4102" width="10.5703125" style="18" customWidth="1"/>
    <col min="4103" max="4354" width="9.140625" style="18"/>
    <col min="4355" max="4355" width="11.5703125" style="18" customWidth="1"/>
    <col min="4356" max="4356" width="9.140625" style="18"/>
    <col min="4357" max="4357" width="14.5703125" style="18" customWidth="1"/>
    <col min="4358" max="4358" width="10.5703125" style="18" customWidth="1"/>
    <col min="4359" max="4610" width="9.140625" style="18"/>
    <col min="4611" max="4611" width="11.5703125" style="18" customWidth="1"/>
    <col min="4612" max="4612" width="9.140625" style="18"/>
    <col min="4613" max="4613" width="14.5703125" style="18" customWidth="1"/>
    <col min="4614" max="4614" width="10.5703125" style="18" customWidth="1"/>
    <col min="4615" max="4866" width="9.140625" style="18"/>
    <col min="4867" max="4867" width="11.5703125" style="18" customWidth="1"/>
    <col min="4868" max="4868" width="9.140625" style="18"/>
    <col min="4869" max="4869" width="14.5703125" style="18" customWidth="1"/>
    <col min="4870" max="4870" width="10.5703125" style="18" customWidth="1"/>
    <col min="4871" max="5122" width="9.140625" style="18"/>
    <col min="5123" max="5123" width="11.5703125" style="18" customWidth="1"/>
    <col min="5124" max="5124" width="9.140625" style="18"/>
    <col min="5125" max="5125" width="14.5703125" style="18" customWidth="1"/>
    <col min="5126" max="5126" width="10.5703125" style="18" customWidth="1"/>
    <col min="5127" max="5378" width="9.140625" style="18"/>
    <col min="5379" max="5379" width="11.5703125" style="18" customWidth="1"/>
    <col min="5380" max="5380" width="9.140625" style="18"/>
    <col min="5381" max="5381" width="14.5703125" style="18" customWidth="1"/>
    <col min="5382" max="5382" width="10.5703125" style="18" customWidth="1"/>
    <col min="5383" max="5634" width="9.140625" style="18"/>
    <col min="5635" max="5635" width="11.5703125" style="18" customWidth="1"/>
    <col min="5636" max="5636" width="9.140625" style="18"/>
    <col min="5637" max="5637" width="14.5703125" style="18" customWidth="1"/>
    <col min="5638" max="5638" width="10.5703125" style="18" customWidth="1"/>
    <col min="5639" max="5890" width="9.140625" style="18"/>
    <col min="5891" max="5891" width="11.5703125" style="18" customWidth="1"/>
    <col min="5892" max="5892" width="9.140625" style="18"/>
    <col min="5893" max="5893" width="14.5703125" style="18" customWidth="1"/>
    <col min="5894" max="5894" width="10.5703125" style="18" customWidth="1"/>
    <col min="5895" max="6146" width="9.140625" style="18"/>
    <col min="6147" max="6147" width="11.5703125" style="18" customWidth="1"/>
    <col min="6148" max="6148" width="9.140625" style="18"/>
    <col min="6149" max="6149" width="14.5703125" style="18" customWidth="1"/>
    <col min="6150" max="6150" width="10.5703125" style="18" customWidth="1"/>
    <col min="6151" max="6402" width="9.140625" style="18"/>
    <col min="6403" max="6403" width="11.5703125" style="18" customWidth="1"/>
    <col min="6404" max="6404" width="9.140625" style="18"/>
    <col min="6405" max="6405" width="14.5703125" style="18" customWidth="1"/>
    <col min="6406" max="6406" width="10.5703125" style="18" customWidth="1"/>
    <col min="6407" max="6658" width="9.140625" style="18"/>
    <col min="6659" max="6659" width="11.5703125" style="18" customWidth="1"/>
    <col min="6660" max="6660" width="9.140625" style="18"/>
    <col min="6661" max="6661" width="14.5703125" style="18" customWidth="1"/>
    <col min="6662" max="6662" width="10.5703125" style="18" customWidth="1"/>
    <col min="6663" max="6914" width="9.140625" style="18"/>
    <col min="6915" max="6915" width="11.5703125" style="18" customWidth="1"/>
    <col min="6916" max="6916" width="9.140625" style="18"/>
    <col min="6917" max="6917" width="14.5703125" style="18" customWidth="1"/>
    <col min="6918" max="6918" width="10.5703125" style="18" customWidth="1"/>
    <col min="6919" max="7170" width="9.140625" style="18"/>
    <col min="7171" max="7171" width="11.5703125" style="18" customWidth="1"/>
    <col min="7172" max="7172" width="9.140625" style="18"/>
    <col min="7173" max="7173" width="14.5703125" style="18" customWidth="1"/>
    <col min="7174" max="7174" width="10.5703125" style="18" customWidth="1"/>
    <col min="7175" max="7426" width="9.140625" style="18"/>
    <col min="7427" max="7427" width="11.5703125" style="18" customWidth="1"/>
    <col min="7428" max="7428" width="9.140625" style="18"/>
    <col min="7429" max="7429" width="14.5703125" style="18" customWidth="1"/>
    <col min="7430" max="7430" width="10.5703125" style="18" customWidth="1"/>
    <col min="7431" max="7682" width="9.140625" style="18"/>
    <col min="7683" max="7683" width="11.5703125" style="18" customWidth="1"/>
    <col min="7684" max="7684" width="9.140625" style="18"/>
    <col min="7685" max="7685" width="14.5703125" style="18" customWidth="1"/>
    <col min="7686" max="7686" width="10.5703125" style="18" customWidth="1"/>
    <col min="7687" max="7938" width="9.140625" style="18"/>
    <col min="7939" max="7939" width="11.5703125" style="18" customWidth="1"/>
    <col min="7940" max="7940" width="9.140625" style="18"/>
    <col min="7941" max="7941" width="14.5703125" style="18" customWidth="1"/>
    <col min="7942" max="7942" width="10.5703125" style="18" customWidth="1"/>
    <col min="7943" max="8194" width="9.140625" style="18"/>
    <col min="8195" max="8195" width="11.5703125" style="18" customWidth="1"/>
    <col min="8196" max="8196" width="9.140625" style="18"/>
    <col min="8197" max="8197" width="14.5703125" style="18" customWidth="1"/>
    <col min="8198" max="8198" width="10.5703125" style="18" customWidth="1"/>
    <col min="8199" max="8450" width="9.140625" style="18"/>
    <col min="8451" max="8451" width="11.5703125" style="18" customWidth="1"/>
    <col min="8452" max="8452" width="9.140625" style="18"/>
    <col min="8453" max="8453" width="14.5703125" style="18" customWidth="1"/>
    <col min="8454" max="8454" width="10.5703125" style="18" customWidth="1"/>
    <col min="8455" max="8706" width="9.140625" style="18"/>
    <col min="8707" max="8707" width="11.5703125" style="18" customWidth="1"/>
    <col min="8708" max="8708" width="9.140625" style="18"/>
    <col min="8709" max="8709" width="14.5703125" style="18" customWidth="1"/>
    <col min="8710" max="8710" width="10.5703125" style="18" customWidth="1"/>
    <col min="8711" max="8962" width="9.140625" style="18"/>
    <col min="8963" max="8963" width="11.5703125" style="18" customWidth="1"/>
    <col min="8964" max="8964" width="9.140625" style="18"/>
    <col min="8965" max="8965" width="14.5703125" style="18" customWidth="1"/>
    <col min="8966" max="8966" width="10.5703125" style="18" customWidth="1"/>
    <col min="8967" max="9218" width="9.140625" style="18"/>
    <col min="9219" max="9219" width="11.5703125" style="18" customWidth="1"/>
    <col min="9220" max="9220" width="9.140625" style="18"/>
    <col min="9221" max="9221" width="14.5703125" style="18" customWidth="1"/>
    <col min="9222" max="9222" width="10.5703125" style="18" customWidth="1"/>
    <col min="9223" max="9474" width="9.140625" style="18"/>
    <col min="9475" max="9475" width="11.5703125" style="18" customWidth="1"/>
    <col min="9476" max="9476" width="9.140625" style="18"/>
    <col min="9477" max="9477" width="14.5703125" style="18" customWidth="1"/>
    <col min="9478" max="9478" width="10.5703125" style="18" customWidth="1"/>
    <col min="9479" max="9730" width="9.140625" style="18"/>
    <col min="9731" max="9731" width="11.5703125" style="18" customWidth="1"/>
    <col min="9732" max="9732" width="9.140625" style="18"/>
    <col min="9733" max="9733" width="14.5703125" style="18" customWidth="1"/>
    <col min="9734" max="9734" width="10.5703125" style="18" customWidth="1"/>
    <col min="9735" max="9986" width="9.140625" style="18"/>
    <col min="9987" max="9987" width="11.5703125" style="18" customWidth="1"/>
    <col min="9988" max="9988" width="9.140625" style="18"/>
    <col min="9989" max="9989" width="14.5703125" style="18" customWidth="1"/>
    <col min="9990" max="9990" width="10.5703125" style="18" customWidth="1"/>
    <col min="9991" max="10242" width="9.140625" style="18"/>
    <col min="10243" max="10243" width="11.5703125" style="18" customWidth="1"/>
    <col min="10244" max="10244" width="9.140625" style="18"/>
    <col min="10245" max="10245" width="14.5703125" style="18" customWidth="1"/>
    <col min="10246" max="10246" width="10.5703125" style="18" customWidth="1"/>
    <col min="10247" max="10498" width="9.140625" style="18"/>
    <col min="10499" max="10499" width="11.5703125" style="18" customWidth="1"/>
    <col min="10500" max="10500" width="9.140625" style="18"/>
    <col min="10501" max="10501" width="14.5703125" style="18" customWidth="1"/>
    <col min="10502" max="10502" width="10.5703125" style="18" customWidth="1"/>
    <col min="10503" max="10754" width="9.140625" style="18"/>
    <col min="10755" max="10755" width="11.5703125" style="18" customWidth="1"/>
    <col min="10756" max="10756" width="9.140625" style="18"/>
    <col min="10757" max="10757" width="14.5703125" style="18" customWidth="1"/>
    <col min="10758" max="10758" width="10.5703125" style="18" customWidth="1"/>
    <col min="10759" max="11010" width="9.140625" style="18"/>
    <col min="11011" max="11011" width="11.5703125" style="18" customWidth="1"/>
    <col min="11012" max="11012" width="9.140625" style="18"/>
    <col min="11013" max="11013" width="14.5703125" style="18" customWidth="1"/>
    <col min="11014" max="11014" width="10.5703125" style="18" customWidth="1"/>
    <col min="11015" max="11266" width="9.140625" style="18"/>
    <col min="11267" max="11267" width="11.5703125" style="18" customWidth="1"/>
    <col min="11268" max="11268" width="9.140625" style="18"/>
    <col min="11269" max="11269" width="14.5703125" style="18" customWidth="1"/>
    <col min="11270" max="11270" width="10.5703125" style="18" customWidth="1"/>
    <col min="11271" max="11522" width="9.140625" style="18"/>
    <col min="11523" max="11523" width="11.5703125" style="18" customWidth="1"/>
    <col min="11524" max="11524" width="9.140625" style="18"/>
    <col min="11525" max="11525" width="14.5703125" style="18" customWidth="1"/>
    <col min="11526" max="11526" width="10.5703125" style="18" customWidth="1"/>
    <col min="11527" max="11778" width="9.140625" style="18"/>
    <col min="11779" max="11779" width="11.5703125" style="18" customWidth="1"/>
    <col min="11780" max="11780" width="9.140625" style="18"/>
    <col min="11781" max="11781" width="14.5703125" style="18" customWidth="1"/>
    <col min="11782" max="11782" width="10.5703125" style="18" customWidth="1"/>
    <col min="11783" max="12034" width="9.140625" style="18"/>
    <col min="12035" max="12035" width="11.5703125" style="18" customWidth="1"/>
    <col min="12036" max="12036" width="9.140625" style="18"/>
    <col min="12037" max="12037" width="14.5703125" style="18" customWidth="1"/>
    <col min="12038" max="12038" width="10.5703125" style="18" customWidth="1"/>
    <col min="12039" max="12290" width="9.140625" style="18"/>
    <col min="12291" max="12291" width="11.5703125" style="18" customWidth="1"/>
    <col min="12292" max="12292" width="9.140625" style="18"/>
    <col min="12293" max="12293" width="14.5703125" style="18" customWidth="1"/>
    <col min="12294" max="12294" width="10.5703125" style="18" customWidth="1"/>
    <col min="12295" max="12546" width="9.140625" style="18"/>
    <col min="12547" max="12547" width="11.5703125" style="18" customWidth="1"/>
    <col min="12548" max="12548" width="9.140625" style="18"/>
    <col min="12549" max="12549" width="14.5703125" style="18" customWidth="1"/>
    <col min="12550" max="12550" width="10.5703125" style="18" customWidth="1"/>
    <col min="12551" max="12802" width="9.140625" style="18"/>
    <col min="12803" max="12803" width="11.5703125" style="18" customWidth="1"/>
    <col min="12804" max="12804" width="9.140625" style="18"/>
    <col min="12805" max="12805" width="14.5703125" style="18" customWidth="1"/>
    <col min="12806" max="12806" width="10.5703125" style="18" customWidth="1"/>
    <col min="12807" max="13058" width="9.140625" style="18"/>
    <col min="13059" max="13059" width="11.5703125" style="18" customWidth="1"/>
    <col min="13060" max="13060" width="9.140625" style="18"/>
    <col min="13061" max="13061" width="14.5703125" style="18" customWidth="1"/>
    <col min="13062" max="13062" width="10.5703125" style="18" customWidth="1"/>
    <col min="13063" max="13314" width="9.140625" style="18"/>
    <col min="13315" max="13315" width="11.5703125" style="18" customWidth="1"/>
    <col min="13316" max="13316" width="9.140625" style="18"/>
    <col min="13317" max="13317" width="14.5703125" style="18" customWidth="1"/>
    <col min="13318" max="13318" width="10.5703125" style="18" customWidth="1"/>
    <col min="13319" max="13570" width="9.140625" style="18"/>
    <col min="13571" max="13571" width="11.5703125" style="18" customWidth="1"/>
    <col min="13572" max="13572" width="9.140625" style="18"/>
    <col min="13573" max="13573" width="14.5703125" style="18" customWidth="1"/>
    <col min="13574" max="13574" width="10.5703125" style="18" customWidth="1"/>
    <col min="13575" max="13826" width="9.140625" style="18"/>
    <col min="13827" max="13827" width="11.5703125" style="18" customWidth="1"/>
    <col min="13828" max="13828" width="9.140625" style="18"/>
    <col min="13829" max="13829" width="14.5703125" style="18" customWidth="1"/>
    <col min="13830" max="13830" width="10.5703125" style="18" customWidth="1"/>
    <col min="13831" max="14082" width="9.140625" style="18"/>
    <col min="14083" max="14083" width="11.5703125" style="18" customWidth="1"/>
    <col min="14084" max="14084" width="9.140625" style="18"/>
    <col min="14085" max="14085" width="14.5703125" style="18" customWidth="1"/>
    <col min="14086" max="14086" width="10.5703125" style="18" customWidth="1"/>
    <col min="14087" max="14338" width="9.140625" style="18"/>
    <col min="14339" max="14339" width="11.5703125" style="18" customWidth="1"/>
    <col min="14340" max="14340" width="9.140625" style="18"/>
    <col min="14341" max="14341" width="14.5703125" style="18" customWidth="1"/>
    <col min="14342" max="14342" width="10.5703125" style="18" customWidth="1"/>
    <col min="14343" max="14594" width="9.140625" style="18"/>
    <col min="14595" max="14595" width="11.5703125" style="18" customWidth="1"/>
    <col min="14596" max="14596" width="9.140625" style="18"/>
    <col min="14597" max="14597" width="14.5703125" style="18" customWidth="1"/>
    <col min="14598" max="14598" width="10.5703125" style="18" customWidth="1"/>
    <col min="14599" max="14850" width="9.140625" style="18"/>
    <col min="14851" max="14851" width="11.5703125" style="18" customWidth="1"/>
    <col min="14852" max="14852" width="9.140625" style="18"/>
    <col min="14853" max="14853" width="14.5703125" style="18" customWidth="1"/>
    <col min="14854" max="14854" width="10.5703125" style="18" customWidth="1"/>
    <col min="14855" max="15106" width="9.140625" style="18"/>
    <col min="15107" max="15107" width="11.5703125" style="18" customWidth="1"/>
    <col min="15108" max="15108" width="9.140625" style="18"/>
    <col min="15109" max="15109" width="14.5703125" style="18" customWidth="1"/>
    <col min="15110" max="15110" width="10.5703125" style="18" customWidth="1"/>
    <col min="15111" max="15362" width="9.140625" style="18"/>
    <col min="15363" max="15363" width="11.5703125" style="18" customWidth="1"/>
    <col min="15364" max="15364" width="9.140625" style="18"/>
    <col min="15365" max="15365" width="14.5703125" style="18" customWidth="1"/>
    <col min="15366" max="15366" width="10.5703125" style="18" customWidth="1"/>
    <col min="15367" max="15618" width="9.140625" style="18"/>
    <col min="15619" max="15619" width="11.5703125" style="18" customWidth="1"/>
    <col min="15620" max="15620" width="9.140625" style="18"/>
    <col min="15621" max="15621" width="14.5703125" style="18" customWidth="1"/>
    <col min="15622" max="15622" width="10.5703125" style="18" customWidth="1"/>
    <col min="15623" max="15874" width="9.140625" style="18"/>
    <col min="15875" max="15875" width="11.5703125" style="18" customWidth="1"/>
    <col min="15876" max="15876" width="9.140625" style="18"/>
    <col min="15877" max="15877" width="14.5703125" style="18" customWidth="1"/>
    <col min="15878" max="15878" width="10.5703125" style="18" customWidth="1"/>
    <col min="15879" max="16130" width="9.140625" style="18"/>
    <col min="16131" max="16131" width="11.5703125" style="18" customWidth="1"/>
    <col min="16132" max="16132" width="9.140625" style="18"/>
    <col min="16133" max="16133" width="14.5703125" style="18" customWidth="1"/>
    <col min="16134" max="16134" width="10.5703125" style="18" customWidth="1"/>
    <col min="16135" max="16384" width="9.140625" style="18"/>
  </cols>
  <sheetData>
    <row r="2" spans="1:13" x14ac:dyDescent="0.25">
      <c r="A2" s="19" t="s">
        <v>137</v>
      </c>
      <c r="B2" s="19" t="s">
        <v>138</v>
      </c>
      <c r="C2" s="19" t="s">
        <v>139</v>
      </c>
      <c r="D2" s="267" t="s">
        <v>140</v>
      </c>
      <c r="E2" s="267"/>
    </row>
    <row r="3" spans="1:13" x14ac:dyDescent="0.25">
      <c r="A3" s="22">
        <v>0</v>
      </c>
      <c r="B3" s="22">
        <v>6</v>
      </c>
      <c r="C3" s="22">
        <v>1</v>
      </c>
      <c r="D3" s="269">
        <v>15</v>
      </c>
      <c r="E3" s="269"/>
    </row>
    <row r="5" spans="1:13" hidden="1" x14ac:dyDescent="0.25">
      <c r="A5" s="18" t="s">
        <v>102</v>
      </c>
      <c r="B5" s="20" t="s">
        <v>153</v>
      </c>
      <c r="C5" s="20">
        <f>D3</f>
        <v>15</v>
      </c>
      <c r="D5" s="21"/>
    </row>
    <row r="6" spans="1:13" x14ac:dyDescent="0.25">
      <c r="A6" s="18" t="s">
        <v>103</v>
      </c>
      <c r="B6" s="23">
        <v>10</v>
      </c>
      <c r="C6" s="24">
        <v>10</v>
      </c>
      <c r="D6" s="25">
        <f>((100/B6)*C6)/100</f>
        <v>1</v>
      </c>
    </row>
    <row r="7" spans="1:13" x14ac:dyDescent="0.25">
      <c r="A7" s="18" t="s">
        <v>104</v>
      </c>
      <c r="B7" s="23">
        <f>A3+B3+C3+D3</f>
        <v>22</v>
      </c>
      <c r="C7" s="24">
        <v>7</v>
      </c>
      <c r="D7" s="25">
        <f t="shared" ref="D7:D12" si="0">((100/B7)*C7)/100</f>
        <v>0.31818181818181818</v>
      </c>
      <c r="F7" s="270" t="s">
        <v>154</v>
      </c>
      <c r="G7" s="270"/>
      <c r="H7" s="26" t="s">
        <v>155</v>
      </c>
      <c r="J7" s="32"/>
    </row>
    <row r="8" spans="1:13" x14ac:dyDescent="0.25">
      <c r="A8" s="18" t="s">
        <v>109</v>
      </c>
      <c r="B8" s="23">
        <f>A3+B3+C3+D3</f>
        <v>22</v>
      </c>
      <c r="C8" s="24">
        <f>C7-1</f>
        <v>6</v>
      </c>
      <c r="D8" s="25">
        <f t="shared" si="0"/>
        <v>0.27272727272727271</v>
      </c>
      <c r="F8" s="268" t="s">
        <v>156</v>
      </c>
      <c r="G8" s="268"/>
      <c r="H8" s="23" t="s">
        <v>157</v>
      </c>
    </row>
    <row r="9" spans="1:13" x14ac:dyDescent="0.25">
      <c r="A9" s="18" t="s">
        <v>111</v>
      </c>
      <c r="B9" s="23">
        <f>A3+B3+C3+D3</f>
        <v>22</v>
      </c>
      <c r="C9" s="24">
        <f>C8/2</f>
        <v>3</v>
      </c>
      <c r="D9" s="25">
        <f t="shared" si="0"/>
        <v>0.13636363636363635</v>
      </c>
      <c r="F9" s="268" t="s">
        <v>158</v>
      </c>
      <c r="G9" s="268"/>
      <c r="H9" s="23" t="s">
        <v>159</v>
      </c>
    </row>
    <row r="10" spans="1:13" x14ac:dyDescent="0.25">
      <c r="A10" s="18" t="s">
        <v>72</v>
      </c>
      <c r="B10" s="23">
        <f>A3+B3+C3+D3</f>
        <v>22</v>
      </c>
      <c r="C10" s="24">
        <v>0</v>
      </c>
      <c r="D10" s="25">
        <f t="shared" si="0"/>
        <v>0</v>
      </c>
      <c r="F10" s="268" t="s">
        <v>160</v>
      </c>
      <c r="G10" s="268"/>
      <c r="H10" s="23" t="s">
        <v>161</v>
      </c>
    </row>
    <row r="11" spans="1:13" x14ac:dyDescent="0.25">
      <c r="A11" s="27" t="s">
        <v>107</v>
      </c>
      <c r="B11" s="23">
        <f>A3+B3+C3+D3</f>
        <v>22</v>
      </c>
      <c r="C11" s="24">
        <v>0</v>
      </c>
      <c r="D11" s="25">
        <f t="shared" si="0"/>
        <v>0</v>
      </c>
      <c r="F11" s="268" t="s">
        <v>162</v>
      </c>
      <c r="G11" s="268"/>
      <c r="H11" s="23" t="s">
        <v>163</v>
      </c>
    </row>
    <row r="12" spans="1:13" x14ac:dyDescent="0.25">
      <c r="A12" s="18" t="s">
        <v>73</v>
      </c>
      <c r="B12" s="23">
        <f>A3+B3+C3+D3</f>
        <v>22</v>
      </c>
      <c r="C12" s="24">
        <v>0</v>
      </c>
      <c r="D12" s="25">
        <f t="shared" si="0"/>
        <v>0</v>
      </c>
      <c r="F12" s="268" t="s">
        <v>164</v>
      </c>
      <c r="G12" s="268"/>
      <c r="H12" s="23" t="s">
        <v>165</v>
      </c>
    </row>
    <row r="13" spans="1:13" x14ac:dyDescent="0.25">
      <c r="F13" s="268" t="s">
        <v>166</v>
      </c>
      <c r="G13" s="268"/>
      <c r="H13" s="23" t="s">
        <v>167</v>
      </c>
    </row>
    <row r="14" spans="1:13" hidden="1" x14ac:dyDescent="0.25">
      <c r="A14" s="19"/>
      <c r="B14" s="19" t="s">
        <v>108</v>
      </c>
      <c r="C14" s="19" t="s">
        <v>112</v>
      </c>
      <c r="G14" s="19" t="s">
        <v>103</v>
      </c>
      <c r="H14" s="19" t="s">
        <v>105</v>
      </c>
      <c r="I14" s="19" t="s">
        <v>106</v>
      </c>
      <c r="J14" s="19" t="s">
        <v>71</v>
      </c>
      <c r="K14" s="19" t="s">
        <v>72</v>
      </c>
      <c r="L14" s="19" t="s">
        <v>107</v>
      </c>
      <c r="M14" s="19" t="s">
        <v>73</v>
      </c>
    </row>
    <row r="15" spans="1:13" hidden="1" x14ac:dyDescent="0.25">
      <c r="A15" s="19" t="s">
        <v>69</v>
      </c>
      <c r="B15" s="19">
        <f>G15</f>
        <v>10</v>
      </c>
      <c r="C15" s="19">
        <f>G16</f>
        <v>30</v>
      </c>
      <c r="E15" s="267" t="s">
        <v>108</v>
      </c>
      <c r="F15" s="267"/>
      <c r="G15" s="28">
        <f>C6</f>
        <v>10</v>
      </c>
      <c r="H15" s="28">
        <f>40/B7*C7</f>
        <v>12.727272727272727</v>
      </c>
      <c r="I15" s="28">
        <f>15/B8*C8</f>
        <v>4.0909090909090908</v>
      </c>
      <c r="J15" s="28">
        <f>10/B9*C9</f>
        <v>1.3636363636363635</v>
      </c>
      <c r="K15" s="28">
        <f>10/B10*C10</f>
        <v>0</v>
      </c>
      <c r="L15" s="28">
        <f>5/B11*C11</f>
        <v>0</v>
      </c>
      <c r="M15" s="28">
        <f>5/B12*C12</f>
        <v>0</v>
      </c>
    </row>
    <row r="16" spans="1:13" hidden="1" x14ac:dyDescent="0.25">
      <c r="A16" s="19" t="s">
        <v>70</v>
      </c>
      <c r="B16" s="19">
        <f>H15</f>
        <v>12.727272727272727</v>
      </c>
      <c r="C16" s="19">
        <f>H16</f>
        <v>9.545454545454545</v>
      </c>
      <c r="E16" s="267" t="s">
        <v>110</v>
      </c>
      <c r="F16" s="267"/>
      <c r="G16" s="19">
        <f>G15+20</f>
        <v>30</v>
      </c>
      <c r="H16" s="19">
        <f>30/B7*C7</f>
        <v>9.545454545454545</v>
      </c>
      <c r="I16" s="19">
        <f>15/B8*C8</f>
        <v>4.0909090909090908</v>
      </c>
      <c r="J16" s="19">
        <f>10/B9*C9</f>
        <v>1.3636363636363635</v>
      </c>
      <c r="K16" s="19">
        <f>5/B10*C10</f>
        <v>0</v>
      </c>
      <c r="L16" s="19">
        <f>5/B11*C11</f>
        <v>0</v>
      </c>
      <c r="M16" s="19">
        <f>5/B12*C12</f>
        <v>0</v>
      </c>
    </row>
    <row r="17" spans="1:8" hidden="1" x14ac:dyDescent="0.25">
      <c r="A17" s="19" t="s">
        <v>106</v>
      </c>
      <c r="B17" s="19">
        <f>I15</f>
        <v>4.0909090909090908</v>
      </c>
      <c r="C17" s="19">
        <f>I16</f>
        <v>4.0909090909090908</v>
      </c>
    </row>
    <row r="18" spans="1:8" hidden="1" x14ac:dyDescent="0.25">
      <c r="A18" s="19" t="s">
        <v>71</v>
      </c>
      <c r="B18" s="19">
        <f>J15</f>
        <v>1.3636363636363635</v>
      </c>
      <c r="C18" s="19">
        <f>J16</f>
        <v>1.3636363636363635</v>
      </c>
    </row>
    <row r="19" spans="1:8" hidden="1" x14ac:dyDescent="0.25">
      <c r="A19" s="19" t="s">
        <v>72</v>
      </c>
      <c r="B19" s="19">
        <f>K15</f>
        <v>0</v>
      </c>
      <c r="C19" s="19">
        <f>K16</f>
        <v>0</v>
      </c>
    </row>
    <row r="20" spans="1:8" hidden="1" x14ac:dyDescent="0.25">
      <c r="A20" s="29" t="s">
        <v>107</v>
      </c>
      <c r="B20" s="19">
        <f>L15</f>
        <v>0</v>
      </c>
      <c r="C20" s="19">
        <f>L16</f>
        <v>0</v>
      </c>
    </row>
    <row r="21" spans="1:8" hidden="1" x14ac:dyDescent="0.25">
      <c r="A21" s="19" t="s">
        <v>73</v>
      </c>
      <c r="B21" s="19">
        <f>M15</f>
        <v>0</v>
      </c>
      <c r="C21" s="19">
        <f>M16</f>
        <v>0</v>
      </c>
    </row>
    <row r="22" spans="1:8" x14ac:dyDescent="0.25">
      <c r="A22" s="19" t="s">
        <v>113</v>
      </c>
      <c r="B22" s="30">
        <f>(B15+B16+B17+B18+B19+B20+B21)/100</f>
        <v>0.2818181818181818</v>
      </c>
      <c r="C22" s="30">
        <f>(C15+C16+C17+C18+C19+C20+C21)/100</f>
        <v>0.45000000000000007</v>
      </c>
      <c r="F22" s="268" t="s">
        <v>168</v>
      </c>
      <c r="G22" s="268"/>
      <c r="H22" s="23" t="s">
        <v>159</v>
      </c>
    </row>
    <row r="23" spans="1:8" x14ac:dyDescent="0.25">
      <c r="F23" s="268" t="s">
        <v>169</v>
      </c>
      <c r="G23" s="268"/>
      <c r="H23" s="23" t="s">
        <v>170</v>
      </c>
    </row>
    <row r="24" spans="1:8" x14ac:dyDescent="0.25">
      <c r="A24" s="18" t="s">
        <v>144</v>
      </c>
      <c r="B24" s="31">
        <v>0.01</v>
      </c>
      <c r="C24" s="31">
        <v>0.02</v>
      </c>
      <c r="F24" s="268" t="s">
        <v>171</v>
      </c>
      <c r="G24" s="268"/>
      <c r="H24" s="23" t="s">
        <v>172</v>
      </c>
    </row>
    <row r="25" spans="1:8" x14ac:dyDescent="0.25">
      <c r="A25" s="18" t="s">
        <v>145</v>
      </c>
      <c r="B25" s="31">
        <v>0.01</v>
      </c>
      <c r="C25" s="31">
        <v>0.03</v>
      </c>
    </row>
    <row r="26" spans="1:8" x14ac:dyDescent="0.25">
      <c r="A26" s="18" t="s">
        <v>146</v>
      </c>
      <c r="B26" s="31">
        <v>0.03</v>
      </c>
      <c r="C26" s="31">
        <v>0.08</v>
      </c>
    </row>
    <row r="27" spans="1:8" x14ac:dyDescent="0.25">
      <c r="A27" s="18" t="s">
        <v>147</v>
      </c>
      <c r="B27" s="31">
        <v>0.05</v>
      </c>
      <c r="C27" s="31">
        <v>0.15</v>
      </c>
    </row>
    <row r="28" spans="1:8" x14ac:dyDescent="0.25">
      <c r="A28" s="18" t="s">
        <v>148</v>
      </c>
      <c r="B28" s="31">
        <v>7.0000000000000007E-2</v>
      </c>
      <c r="C28" s="31">
        <v>0.2</v>
      </c>
    </row>
    <row r="29" spans="1:8" x14ac:dyDescent="0.25">
      <c r="A29" s="18" t="s">
        <v>149</v>
      </c>
      <c r="B29" s="31">
        <v>0.1</v>
      </c>
      <c r="C29" s="31">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topLeftCell="A4" workbookViewId="0">
      <selection sqref="A1:XFD1048576"/>
    </sheetView>
  </sheetViews>
  <sheetFormatPr defaultRowHeight="15" x14ac:dyDescent="0.25"/>
  <cols>
    <col min="1" max="1" width="10.42578125" bestFit="1" customWidth="1"/>
  </cols>
  <sheetData>
    <row r="2" spans="1:2" x14ac:dyDescent="0.25">
      <c r="A2" s="37">
        <v>44158</v>
      </c>
      <c r="B2" t="s">
        <v>214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J22" sqref="J22"/>
    </sheetView>
  </sheetViews>
  <sheetFormatPr defaultColWidth="8.5703125" defaultRowHeight="15" x14ac:dyDescent="0.25"/>
  <cols>
    <col min="1" max="1" width="8.5703125" style="38"/>
    <col min="2" max="2" width="22.140625" style="38" customWidth="1"/>
    <col min="3" max="3" width="37" style="38" customWidth="1"/>
    <col min="4" max="5" width="11.42578125" style="38" customWidth="1"/>
    <col min="6" max="6" width="14" style="38" customWidth="1"/>
    <col min="7" max="7" width="20" style="38" customWidth="1"/>
    <col min="8" max="8" width="16.42578125" style="38" customWidth="1"/>
    <col min="9" max="9" width="8.5703125" style="38"/>
    <col min="10" max="10" width="8.85546875" style="38" customWidth="1"/>
    <col min="11" max="257" width="8.5703125" style="38"/>
    <col min="258" max="258" width="22.140625" style="38" customWidth="1"/>
    <col min="259" max="259" width="37" style="38" customWidth="1"/>
    <col min="260" max="261" width="11.42578125" style="38" customWidth="1"/>
    <col min="262" max="262" width="14" style="38" customWidth="1"/>
    <col min="263" max="263" width="20" style="38" customWidth="1"/>
    <col min="264" max="264" width="16.42578125" style="38" customWidth="1"/>
    <col min="265" max="513" width="8.5703125" style="38"/>
    <col min="514" max="514" width="22.140625" style="38" customWidth="1"/>
    <col min="515" max="515" width="37" style="38" customWidth="1"/>
    <col min="516" max="517" width="11.42578125" style="38" customWidth="1"/>
    <col min="518" max="518" width="14" style="38" customWidth="1"/>
    <col min="519" max="519" width="20" style="38" customWidth="1"/>
    <col min="520" max="520" width="16.42578125" style="38" customWidth="1"/>
    <col min="521" max="769" width="8.5703125" style="38"/>
    <col min="770" max="770" width="22.140625" style="38" customWidth="1"/>
    <col min="771" max="771" width="37" style="38" customWidth="1"/>
    <col min="772" max="773" width="11.42578125" style="38" customWidth="1"/>
    <col min="774" max="774" width="14" style="38" customWidth="1"/>
    <col min="775" max="775" width="20" style="38" customWidth="1"/>
    <col min="776" max="776" width="16.42578125" style="38" customWidth="1"/>
    <col min="777" max="1025" width="8.5703125" style="38"/>
    <col min="1026" max="1026" width="22.140625" style="38" customWidth="1"/>
    <col min="1027" max="1027" width="37" style="38" customWidth="1"/>
    <col min="1028" max="1029" width="11.42578125" style="38" customWidth="1"/>
    <col min="1030" max="1030" width="14" style="38" customWidth="1"/>
    <col min="1031" max="1031" width="20" style="38" customWidth="1"/>
    <col min="1032" max="1032" width="16.42578125" style="38" customWidth="1"/>
    <col min="1033" max="1281" width="8.5703125" style="38"/>
    <col min="1282" max="1282" width="22.140625" style="38" customWidth="1"/>
    <col min="1283" max="1283" width="37" style="38" customWidth="1"/>
    <col min="1284" max="1285" width="11.42578125" style="38" customWidth="1"/>
    <col min="1286" max="1286" width="14" style="38" customWidth="1"/>
    <col min="1287" max="1287" width="20" style="38" customWidth="1"/>
    <col min="1288" max="1288" width="16.42578125" style="38" customWidth="1"/>
    <col min="1289" max="1537" width="8.5703125" style="38"/>
    <col min="1538" max="1538" width="22.140625" style="38" customWidth="1"/>
    <col min="1539" max="1539" width="37" style="38" customWidth="1"/>
    <col min="1540" max="1541" width="11.42578125" style="38" customWidth="1"/>
    <col min="1542" max="1542" width="14" style="38" customWidth="1"/>
    <col min="1543" max="1543" width="20" style="38" customWidth="1"/>
    <col min="1544" max="1544" width="16.42578125" style="38" customWidth="1"/>
    <col min="1545" max="1793" width="8.5703125" style="38"/>
    <col min="1794" max="1794" width="22.140625" style="38" customWidth="1"/>
    <col min="1795" max="1795" width="37" style="38" customWidth="1"/>
    <col min="1796" max="1797" width="11.42578125" style="38" customWidth="1"/>
    <col min="1798" max="1798" width="14" style="38" customWidth="1"/>
    <col min="1799" max="1799" width="20" style="38" customWidth="1"/>
    <col min="1800" max="1800" width="16.42578125" style="38" customWidth="1"/>
    <col min="1801" max="2049" width="8.5703125" style="38"/>
    <col min="2050" max="2050" width="22.140625" style="38" customWidth="1"/>
    <col min="2051" max="2051" width="37" style="38" customWidth="1"/>
    <col min="2052" max="2053" width="11.42578125" style="38" customWidth="1"/>
    <col min="2054" max="2054" width="14" style="38" customWidth="1"/>
    <col min="2055" max="2055" width="20" style="38" customWidth="1"/>
    <col min="2056" max="2056" width="16.42578125" style="38" customWidth="1"/>
    <col min="2057" max="2305" width="8.5703125" style="38"/>
    <col min="2306" max="2306" width="22.140625" style="38" customWidth="1"/>
    <col min="2307" max="2307" width="37" style="38" customWidth="1"/>
    <col min="2308" max="2309" width="11.42578125" style="38" customWidth="1"/>
    <col min="2310" max="2310" width="14" style="38" customWidth="1"/>
    <col min="2311" max="2311" width="20" style="38" customWidth="1"/>
    <col min="2312" max="2312" width="16.42578125" style="38" customWidth="1"/>
    <col min="2313" max="2561" width="8.5703125" style="38"/>
    <col min="2562" max="2562" width="22.140625" style="38" customWidth="1"/>
    <col min="2563" max="2563" width="37" style="38" customWidth="1"/>
    <col min="2564" max="2565" width="11.42578125" style="38" customWidth="1"/>
    <col min="2566" max="2566" width="14" style="38" customWidth="1"/>
    <col min="2567" max="2567" width="20" style="38" customWidth="1"/>
    <col min="2568" max="2568" width="16.42578125" style="38" customWidth="1"/>
    <col min="2569" max="2817" width="8.5703125" style="38"/>
    <col min="2818" max="2818" width="22.140625" style="38" customWidth="1"/>
    <col min="2819" max="2819" width="37" style="38" customWidth="1"/>
    <col min="2820" max="2821" width="11.42578125" style="38" customWidth="1"/>
    <col min="2822" max="2822" width="14" style="38" customWidth="1"/>
    <col min="2823" max="2823" width="20" style="38" customWidth="1"/>
    <col min="2824" max="2824" width="16.42578125" style="38" customWidth="1"/>
    <col min="2825" max="3073" width="8.5703125" style="38"/>
    <col min="3074" max="3074" width="22.140625" style="38" customWidth="1"/>
    <col min="3075" max="3075" width="37" style="38" customWidth="1"/>
    <col min="3076" max="3077" width="11.42578125" style="38" customWidth="1"/>
    <col min="3078" max="3078" width="14" style="38" customWidth="1"/>
    <col min="3079" max="3079" width="20" style="38" customWidth="1"/>
    <col min="3080" max="3080" width="16.42578125" style="38" customWidth="1"/>
    <col min="3081" max="3329" width="8.5703125" style="38"/>
    <col min="3330" max="3330" width="22.140625" style="38" customWidth="1"/>
    <col min="3331" max="3331" width="37" style="38" customWidth="1"/>
    <col min="3332" max="3333" width="11.42578125" style="38" customWidth="1"/>
    <col min="3334" max="3334" width="14" style="38" customWidth="1"/>
    <col min="3335" max="3335" width="20" style="38" customWidth="1"/>
    <col min="3336" max="3336" width="16.42578125" style="38" customWidth="1"/>
    <col min="3337" max="3585" width="8.5703125" style="38"/>
    <col min="3586" max="3586" width="22.140625" style="38" customWidth="1"/>
    <col min="3587" max="3587" width="37" style="38" customWidth="1"/>
    <col min="3588" max="3589" width="11.42578125" style="38" customWidth="1"/>
    <col min="3590" max="3590" width="14" style="38" customWidth="1"/>
    <col min="3591" max="3591" width="20" style="38" customWidth="1"/>
    <col min="3592" max="3592" width="16.42578125" style="38" customWidth="1"/>
    <col min="3593" max="3841" width="8.5703125" style="38"/>
    <col min="3842" max="3842" width="22.140625" style="38" customWidth="1"/>
    <col min="3843" max="3843" width="37" style="38" customWidth="1"/>
    <col min="3844" max="3845" width="11.42578125" style="38" customWidth="1"/>
    <col min="3846" max="3846" width="14" style="38" customWidth="1"/>
    <col min="3847" max="3847" width="20" style="38" customWidth="1"/>
    <col min="3848" max="3848" width="16.42578125" style="38" customWidth="1"/>
    <col min="3849" max="4097" width="8.5703125" style="38"/>
    <col min="4098" max="4098" width="22.140625" style="38" customWidth="1"/>
    <col min="4099" max="4099" width="37" style="38" customWidth="1"/>
    <col min="4100" max="4101" width="11.42578125" style="38" customWidth="1"/>
    <col min="4102" max="4102" width="14" style="38" customWidth="1"/>
    <col min="4103" max="4103" width="20" style="38" customWidth="1"/>
    <col min="4104" max="4104" width="16.42578125" style="38" customWidth="1"/>
    <col min="4105" max="4353" width="8.5703125" style="38"/>
    <col min="4354" max="4354" width="22.140625" style="38" customWidth="1"/>
    <col min="4355" max="4355" width="37" style="38" customWidth="1"/>
    <col min="4356" max="4357" width="11.42578125" style="38" customWidth="1"/>
    <col min="4358" max="4358" width="14" style="38" customWidth="1"/>
    <col min="4359" max="4359" width="20" style="38" customWidth="1"/>
    <col min="4360" max="4360" width="16.42578125" style="38" customWidth="1"/>
    <col min="4361" max="4609" width="8.5703125" style="38"/>
    <col min="4610" max="4610" width="22.140625" style="38" customWidth="1"/>
    <col min="4611" max="4611" width="37" style="38" customWidth="1"/>
    <col min="4612" max="4613" width="11.42578125" style="38" customWidth="1"/>
    <col min="4614" max="4614" width="14" style="38" customWidth="1"/>
    <col min="4615" max="4615" width="20" style="38" customWidth="1"/>
    <col min="4616" max="4616" width="16.42578125" style="38" customWidth="1"/>
    <col min="4617" max="4865" width="8.5703125" style="38"/>
    <col min="4866" max="4866" width="22.140625" style="38" customWidth="1"/>
    <col min="4867" max="4867" width="37" style="38" customWidth="1"/>
    <col min="4868" max="4869" width="11.42578125" style="38" customWidth="1"/>
    <col min="4870" max="4870" width="14" style="38" customWidth="1"/>
    <col min="4871" max="4871" width="20" style="38" customWidth="1"/>
    <col min="4872" max="4872" width="16.42578125" style="38" customWidth="1"/>
    <col min="4873" max="5121" width="8.5703125" style="38"/>
    <col min="5122" max="5122" width="22.140625" style="38" customWidth="1"/>
    <col min="5123" max="5123" width="37" style="38" customWidth="1"/>
    <col min="5124" max="5125" width="11.42578125" style="38" customWidth="1"/>
    <col min="5126" max="5126" width="14" style="38" customWidth="1"/>
    <col min="5127" max="5127" width="20" style="38" customWidth="1"/>
    <col min="5128" max="5128" width="16.42578125" style="38" customWidth="1"/>
    <col min="5129" max="5377" width="8.5703125" style="38"/>
    <col min="5378" max="5378" width="22.140625" style="38" customWidth="1"/>
    <col min="5379" max="5379" width="37" style="38" customWidth="1"/>
    <col min="5380" max="5381" width="11.42578125" style="38" customWidth="1"/>
    <col min="5382" max="5382" width="14" style="38" customWidth="1"/>
    <col min="5383" max="5383" width="20" style="38" customWidth="1"/>
    <col min="5384" max="5384" width="16.42578125" style="38" customWidth="1"/>
    <col min="5385" max="5633" width="8.5703125" style="38"/>
    <col min="5634" max="5634" width="22.140625" style="38" customWidth="1"/>
    <col min="5635" max="5635" width="37" style="38" customWidth="1"/>
    <col min="5636" max="5637" width="11.42578125" style="38" customWidth="1"/>
    <col min="5638" max="5638" width="14" style="38" customWidth="1"/>
    <col min="5639" max="5639" width="20" style="38" customWidth="1"/>
    <col min="5640" max="5640" width="16.42578125" style="38" customWidth="1"/>
    <col min="5641" max="5889" width="8.5703125" style="38"/>
    <col min="5890" max="5890" width="22.140625" style="38" customWidth="1"/>
    <col min="5891" max="5891" width="37" style="38" customWidth="1"/>
    <col min="5892" max="5893" width="11.42578125" style="38" customWidth="1"/>
    <col min="5894" max="5894" width="14" style="38" customWidth="1"/>
    <col min="5895" max="5895" width="20" style="38" customWidth="1"/>
    <col min="5896" max="5896" width="16.42578125" style="38" customWidth="1"/>
    <col min="5897" max="6145" width="8.5703125" style="38"/>
    <col min="6146" max="6146" width="22.140625" style="38" customWidth="1"/>
    <col min="6147" max="6147" width="37" style="38" customWidth="1"/>
    <col min="6148" max="6149" width="11.42578125" style="38" customWidth="1"/>
    <col min="6150" max="6150" width="14" style="38" customWidth="1"/>
    <col min="6151" max="6151" width="20" style="38" customWidth="1"/>
    <col min="6152" max="6152" width="16.42578125" style="38" customWidth="1"/>
    <col min="6153" max="6401" width="8.5703125" style="38"/>
    <col min="6402" max="6402" width="22.140625" style="38" customWidth="1"/>
    <col min="6403" max="6403" width="37" style="38" customWidth="1"/>
    <col min="6404" max="6405" width="11.42578125" style="38" customWidth="1"/>
    <col min="6406" max="6406" width="14" style="38" customWidth="1"/>
    <col min="6407" max="6407" width="20" style="38" customWidth="1"/>
    <col min="6408" max="6408" width="16.42578125" style="38" customWidth="1"/>
    <col min="6409" max="6657" width="8.5703125" style="38"/>
    <col min="6658" max="6658" width="22.140625" style="38" customWidth="1"/>
    <col min="6659" max="6659" width="37" style="38" customWidth="1"/>
    <col min="6660" max="6661" width="11.42578125" style="38" customWidth="1"/>
    <col min="6662" max="6662" width="14" style="38" customWidth="1"/>
    <col min="6663" max="6663" width="20" style="38" customWidth="1"/>
    <col min="6664" max="6664" width="16.42578125" style="38" customWidth="1"/>
    <col min="6665" max="6913" width="8.5703125" style="38"/>
    <col min="6914" max="6914" width="22.140625" style="38" customWidth="1"/>
    <col min="6915" max="6915" width="37" style="38" customWidth="1"/>
    <col min="6916" max="6917" width="11.42578125" style="38" customWidth="1"/>
    <col min="6918" max="6918" width="14" style="38" customWidth="1"/>
    <col min="6919" max="6919" width="20" style="38" customWidth="1"/>
    <col min="6920" max="6920" width="16.42578125" style="38" customWidth="1"/>
    <col min="6921" max="7169" width="8.5703125" style="38"/>
    <col min="7170" max="7170" width="22.140625" style="38" customWidth="1"/>
    <col min="7171" max="7171" width="37" style="38" customWidth="1"/>
    <col min="7172" max="7173" width="11.42578125" style="38" customWidth="1"/>
    <col min="7174" max="7174" width="14" style="38" customWidth="1"/>
    <col min="7175" max="7175" width="20" style="38" customWidth="1"/>
    <col min="7176" max="7176" width="16.42578125" style="38" customWidth="1"/>
    <col min="7177" max="7425" width="8.5703125" style="38"/>
    <col min="7426" max="7426" width="22.140625" style="38" customWidth="1"/>
    <col min="7427" max="7427" width="37" style="38" customWidth="1"/>
    <col min="7428" max="7429" width="11.42578125" style="38" customWidth="1"/>
    <col min="7430" max="7430" width="14" style="38" customWidth="1"/>
    <col min="7431" max="7431" width="20" style="38" customWidth="1"/>
    <col min="7432" max="7432" width="16.42578125" style="38" customWidth="1"/>
    <col min="7433" max="7681" width="8.5703125" style="38"/>
    <col min="7682" max="7682" width="22.140625" style="38" customWidth="1"/>
    <col min="7683" max="7683" width="37" style="38" customWidth="1"/>
    <col min="7684" max="7685" width="11.42578125" style="38" customWidth="1"/>
    <col min="7686" max="7686" width="14" style="38" customWidth="1"/>
    <col min="7687" max="7687" width="20" style="38" customWidth="1"/>
    <col min="7688" max="7688" width="16.42578125" style="38" customWidth="1"/>
    <col min="7689" max="7937" width="8.5703125" style="38"/>
    <col min="7938" max="7938" width="22.140625" style="38" customWidth="1"/>
    <col min="7939" max="7939" width="37" style="38" customWidth="1"/>
    <col min="7940" max="7941" width="11.42578125" style="38" customWidth="1"/>
    <col min="7942" max="7942" width="14" style="38" customWidth="1"/>
    <col min="7943" max="7943" width="20" style="38" customWidth="1"/>
    <col min="7944" max="7944" width="16.42578125" style="38" customWidth="1"/>
    <col min="7945" max="8193" width="8.5703125" style="38"/>
    <col min="8194" max="8194" width="22.140625" style="38" customWidth="1"/>
    <col min="8195" max="8195" width="37" style="38" customWidth="1"/>
    <col min="8196" max="8197" width="11.42578125" style="38" customWidth="1"/>
    <col min="8198" max="8198" width="14" style="38" customWidth="1"/>
    <col min="8199" max="8199" width="20" style="38" customWidth="1"/>
    <col min="8200" max="8200" width="16.42578125" style="38" customWidth="1"/>
    <col min="8201" max="8449" width="8.5703125" style="38"/>
    <col min="8450" max="8450" width="22.140625" style="38" customWidth="1"/>
    <col min="8451" max="8451" width="37" style="38" customWidth="1"/>
    <col min="8452" max="8453" width="11.42578125" style="38" customWidth="1"/>
    <col min="8454" max="8454" width="14" style="38" customWidth="1"/>
    <col min="8455" max="8455" width="20" style="38" customWidth="1"/>
    <col min="8456" max="8456" width="16.42578125" style="38" customWidth="1"/>
    <col min="8457" max="8705" width="8.5703125" style="38"/>
    <col min="8706" max="8706" width="22.140625" style="38" customWidth="1"/>
    <col min="8707" max="8707" width="37" style="38" customWidth="1"/>
    <col min="8708" max="8709" width="11.42578125" style="38" customWidth="1"/>
    <col min="8710" max="8710" width="14" style="38" customWidth="1"/>
    <col min="8711" max="8711" width="20" style="38" customWidth="1"/>
    <col min="8712" max="8712" width="16.42578125" style="38" customWidth="1"/>
    <col min="8713" max="8961" width="8.5703125" style="38"/>
    <col min="8962" max="8962" width="22.140625" style="38" customWidth="1"/>
    <col min="8963" max="8963" width="37" style="38" customWidth="1"/>
    <col min="8964" max="8965" width="11.42578125" style="38" customWidth="1"/>
    <col min="8966" max="8966" width="14" style="38" customWidth="1"/>
    <col min="8967" max="8967" width="20" style="38" customWidth="1"/>
    <col min="8968" max="8968" width="16.42578125" style="38" customWidth="1"/>
    <col min="8969" max="9217" width="8.5703125" style="38"/>
    <col min="9218" max="9218" width="22.140625" style="38" customWidth="1"/>
    <col min="9219" max="9219" width="37" style="38" customWidth="1"/>
    <col min="9220" max="9221" width="11.42578125" style="38" customWidth="1"/>
    <col min="9222" max="9222" width="14" style="38" customWidth="1"/>
    <col min="9223" max="9223" width="20" style="38" customWidth="1"/>
    <col min="9224" max="9224" width="16.42578125" style="38" customWidth="1"/>
    <col min="9225" max="9473" width="8.5703125" style="38"/>
    <col min="9474" max="9474" width="22.140625" style="38" customWidth="1"/>
    <col min="9475" max="9475" width="37" style="38" customWidth="1"/>
    <col min="9476" max="9477" width="11.42578125" style="38" customWidth="1"/>
    <col min="9478" max="9478" width="14" style="38" customWidth="1"/>
    <col min="9479" max="9479" width="20" style="38" customWidth="1"/>
    <col min="9480" max="9480" width="16.42578125" style="38" customWidth="1"/>
    <col min="9481" max="9729" width="8.5703125" style="38"/>
    <col min="9730" max="9730" width="22.140625" style="38" customWidth="1"/>
    <col min="9731" max="9731" width="37" style="38" customWidth="1"/>
    <col min="9732" max="9733" width="11.42578125" style="38" customWidth="1"/>
    <col min="9734" max="9734" width="14" style="38" customWidth="1"/>
    <col min="9735" max="9735" width="20" style="38" customWidth="1"/>
    <col min="9736" max="9736" width="16.42578125" style="38" customWidth="1"/>
    <col min="9737" max="9985" width="8.5703125" style="38"/>
    <col min="9986" max="9986" width="22.140625" style="38" customWidth="1"/>
    <col min="9987" max="9987" width="37" style="38" customWidth="1"/>
    <col min="9988" max="9989" width="11.42578125" style="38" customWidth="1"/>
    <col min="9990" max="9990" width="14" style="38" customWidth="1"/>
    <col min="9991" max="9991" width="20" style="38" customWidth="1"/>
    <col min="9992" max="9992" width="16.42578125" style="38" customWidth="1"/>
    <col min="9993" max="10241" width="8.5703125" style="38"/>
    <col min="10242" max="10242" width="22.140625" style="38" customWidth="1"/>
    <col min="10243" max="10243" width="37" style="38" customWidth="1"/>
    <col min="10244" max="10245" width="11.42578125" style="38" customWidth="1"/>
    <col min="10246" max="10246" width="14" style="38" customWidth="1"/>
    <col min="10247" max="10247" width="20" style="38" customWidth="1"/>
    <col min="10248" max="10248" width="16.42578125" style="38" customWidth="1"/>
    <col min="10249" max="10497" width="8.5703125" style="38"/>
    <col min="10498" max="10498" width="22.140625" style="38" customWidth="1"/>
    <col min="10499" max="10499" width="37" style="38" customWidth="1"/>
    <col min="10500" max="10501" width="11.42578125" style="38" customWidth="1"/>
    <col min="10502" max="10502" width="14" style="38" customWidth="1"/>
    <col min="10503" max="10503" width="20" style="38" customWidth="1"/>
    <col min="10504" max="10504" width="16.42578125" style="38" customWidth="1"/>
    <col min="10505" max="10753" width="8.5703125" style="38"/>
    <col min="10754" max="10754" width="22.140625" style="38" customWidth="1"/>
    <col min="10755" max="10755" width="37" style="38" customWidth="1"/>
    <col min="10756" max="10757" width="11.42578125" style="38" customWidth="1"/>
    <col min="10758" max="10758" width="14" style="38" customWidth="1"/>
    <col min="10759" max="10759" width="20" style="38" customWidth="1"/>
    <col min="10760" max="10760" width="16.42578125" style="38" customWidth="1"/>
    <col min="10761" max="11009" width="8.5703125" style="38"/>
    <col min="11010" max="11010" width="22.140625" style="38" customWidth="1"/>
    <col min="11011" max="11011" width="37" style="38" customWidth="1"/>
    <col min="11012" max="11013" width="11.42578125" style="38" customWidth="1"/>
    <col min="11014" max="11014" width="14" style="38" customWidth="1"/>
    <col min="11015" max="11015" width="20" style="38" customWidth="1"/>
    <col min="11016" max="11016" width="16.42578125" style="38" customWidth="1"/>
    <col min="11017" max="11265" width="8.5703125" style="38"/>
    <col min="11266" max="11266" width="22.140625" style="38" customWidth="1"/>
    <col min="11267" max="11267" width="37" style="38" customWidth="1"/>
    <col min="11268" max="11269" width="11.42578125" style="38" customWidth="1"/>
    <col min="11270" max="11270" width="14" style="38" customWidth="1"/>
    <col min="11271" max="11271" width="20" style="38" customWidth="1"/>
    <col min="11272" max="11272" width="16.42578125" style="38" customWidth="1"/>
    <col min="11273" max="11521" width="8.5703125" style="38"/>
    <col min="11522" max="11522" width="22.140625" style="38" customWidth="1"/>
    <col min="11523" max="11523" width="37" style="38" customWidth="1"/>
    <col min="11524" max="11525" width="11.42578125" style="38" customWidth="1"/>
    <col min="11526" max="11526" width="14" style="38" customWidth="1"/>
    <col min="11527" max="11527" width="20" style="38" customWidth="1"/>
    <col min="11528" max="11528" width="16.42578125" style="38" customWidth="1"/>
    <col min="11529" max="11777" width="8.5703125" style="38"/>
    <col min="11778" max="11778" width="22.140625" style="38" customWidth="1"/>
    <col min="11779" max="11779" width="37" style="38" customWidth="1"/>
    <col min="11780" max="11781" width="11.42578125" style="38" customWidth="1"/>
    <col min="11782" max="11782" width="14" style="38" customWidth="1"/>
    <col min="11783" max="11783" width="20" style="38" customWidth="1"/>
    <col min="11784" max="11784" width="16.42578125" style="38" customWidth="1"/>
    <col min="11785" max="12033" width="8.5703125" style="38"/>
    <col min="12034" max="12034" width="22.140625" style="38" customWidth="1"/>
    <col min="12035" max="12035" width="37" style="38" customWidth="1"/>
    <col min="12036" max="12037" width="11.42578125" style="38" customWidth="1"/>
    <col min="12038" max="12038" width="14" style="38" customWidth="1"/>
    <col min="12039" max="12039" width="20" style="38" customWidth="1"/>
    <col min="12040" max="12040" width="16.42578125" style="38" customWidth="1"/>
    <col min="12041" max="12289" width="8.5703125" style="38"/>
    <col min="12290" max="12290" width="22.140625" style="38" customWidth="1"/>
    <col min="12291" max="12291" width="37" style="38" customWidth="1"/>
    <col min="12292" max="12293" width="11.42578125" style="38" customWidth="1"/>
    <col min="12294" max="12294" width="14" style="38" customWidth="1"/>
    <col min="12295" max="12295" width="20" style="38" customWidth="1"/>
    <col min="12296" max="12296" width="16.42578125" style="38" customWidth="1"/>
    <col min="12297" max="12545" width="8.5703125" style="38"/>
    <col min="12546" max="12546" width="22.140625" style="38" customWidth="1"/>
    <col min="12547" max="12547" width="37" style="38" customWidth="1"/>
    <col min="12548" max="12549" width="11.42578125" style="38" customWidth="1"/>
    <col min="12550" max="12550" width="14" style="38" customWidth="1"/>
    <col min="12551" max="12551" width="20" style="38" customWidth="1"/>
    <col min="12552" max="12552" width="16.42578125" style="38" customWidth="1"/>
    <col min="12553" max="12801" width="8.5703125" style="38"/>
    <col min="12802" max="12802" width="22.140625" style="38" customWidth="1"/>
    <col min="12803" max="12803" width="37" style="38" customWidth="1"/>
    <col min="12804" max="12805" width="11.42578125" style="38" customWidth="1"/>
    <col min="12806" max="12806" width="14" style="38" customWidth="1"/>
    <col min="12807" max="12807" width="20" style="38" customWidth="1"/>
    <col min="12808" max="12808" width="16.42578125" style="38" customWidth="1"/>
    <col min="12809" max="13057" width="8.5703125" style="38"/>
    <col min="13058" max="13058" width="22.140625" style="38" customWidth="1"/>
    <col min="13059" max="13059" width="37" style="38" customWidth="1"/>
    <col min="13060" max="13061" width="11.42578125" style="38" customWidth="1"/>
    <col min="13062" max="13062" width="14" style="38" customWidth="1"/>
    <col min="13063" max="13063" width="20" style="38" customWidth="1"/>
    <col min="13064" max="13064" width="16.42578125" style="38" customWidth="1"/>
    <col min="13065" max="13313" width="8.5703125" style="38"/>
    <col min="13314" max="13314" width="22.140625" style="38" customWidth="1"/>
    <col min="13315" max="13315" width="37" style="38" customWidth="1"/>
    <col min="13316" max="13317" width="11.42578125" style="38" customWidth="1"/>
    <col min="13318" max="13318" width="14" style="38" customWidth="1"/>
    <col min="13319" max="13319" width="20" style="38" customWidth="1"/>
    <col min="13320" max="13320" width="16.42578125" style="38" customWidth="1"/>
    <col min="13321" max="13569" width="8.5703125" style="38"/>
    <col min="13570" max="13570" width="22.140625" style="38" customWidth="1"/>
    <col min="13571" max="13571" width="37" style="38" customWidth="1"/>
    <col min="13572" max="13573" width="11.42578125" style="38" customWidth="1"/>
    <col min="13574" max="13574" width="14" style="38" customWidth="1"/>
    <col min="13575" max="13575" width="20" style="38" customWidth="1"/>
    <col min="13576" max="13576" width="16.42578125" style="38" customWidth="1"/>
    <col min="13577" max="13825" width="8.5703125" style="38"/>
    <col min="13826" max="13826" width="22.140625" style="38" customWidth="1"/>
    <col min="13827" max="13827" width="37" style="38" customWidth="1"/>
    <col min="13828" max="13829" width="11.42578125" style="38" customWidth="1"/>
    <col min="13830" max="13830" width="14" style="38" customWidth="1"/>
    <col min="13831" max="13831" width="20" style="38" customWidth="1"/>
    <col min="13832" max="13832" width="16.42578125" style="38" customWidth="1"/>
    <col min="13833" max="14081" width="8.5703125" style="38"/>
    <col min="14082" max="14082" width="22.140625" style="38" customWidth="1"/>
    <col min="14083" max="14083" width="37" style="38" customWidth="1"/>
    <col min="14084" max="14085" width="11.42578125" style="38" customWidth="1"/>
    <col min="14086" max="14086" width="14" style="38" customWidth="1"/>
    <col min="14087" max="14087" width="20" style="38" customWidth="1"/>
    <col min="14088" max="14088" width="16.42578125" style="38" customWidth="1"/>
    <col min="14089" max="14337" width="8.5703125" style="38"/>
    <col min="14338" max="14338" width="22.140625" style="38" customWidth="1"/>
    <col min="14339" max="14339" width="37" style="38" customWidth="1"/>
    <col min="14340" max="14341" width="11.42578125" style="38" customWidth="1"/>
    <col min="14342" max="14342" width="14" style="38" customWidth="1"/>
    <col min="14343" max="14343" width="20" style="38" customWidth="1"/>
    <col min="14344" max="14344" width="16.42578125" style="38" customWidth="1"/>
    <col min="14345" max="14593" width="8.5703125" style="38"/>
    <col min="14594" max="14594" width="22.140625" style="38" customWidth="1"/>
    <col min="14595" max="14595" width="37" style="38" customWidth="1"/>
    <col min="14596" max="14597" width="11.42578125" style="38" customWidth="1"/>
    <col min="14598" max="14598" width="14" style="38" customWidth="1"/>
    <col min="14599" max="14599" width="20" style="38" customWidth="1"/>
    <col min="14600" max="14600" width="16.42578125" style="38" customWidth="1"/>
    <col min="14601" max="14849" width="8.5703125" style="38"/>
    <col min="14850" max="14850" width="22.140625" style="38" customWidth="1"/>
    <col min="14851" max="14851" width="37" style="38" customWidth="1"/>
    <col min="14852" max="14853" width="11.42578125" style="38" customWidth="1"/>
    <col min="14854" max="14854" width="14" style="38" customWidth="1"/>
    <col min="14855" max="14855" width="20" style="38" customWidth="1"/>
    <col min="14856" max="14856" width="16.42578125" style="38" customWidth="1"/>
    <col min="14857" max="15105" width="8.5703125" style="38"/>
    <col min="15106" max="15106" width="22.140625" style="38" customWidth="1"/>
    <col min="15107" max="15107" width="37" style="38" customWidth="1"/>
    <col min="15108" max="15109" width="11.42578125" style="38" customWidth="1"/>
    <col min="15110" max="15110" width="14" style="38" customWidth="1"/>
    <col min="15111" max="15111" width="20" style="38" customWidth="1"/>
    <col min="15112" max="15112" width="16.42578125" style="38" customWidth="1"/>
    <col min="15113" max="15361" width="8.5703125" style="38"/>
    <col min="15362" max="15362" width="22.140625" style="38" customWidth="1"/>
    <col min="15363" max="15363" width="37" style="38" customWidth="1"/>
    <col min="15364" max="15365" width="11.42578125" style="38" customWidth="1"/>
    <col min="15366" max="15366" width="14" style="38" customWidth="1"/>
    <col min="15367" max="15367" width="20" style="38" customWidth="1"/>
    <col min="15368" max="15368" width="16.42578125" style="38" customWidth="1"/>
    <col min="15369" max="15617" width="8.5703125" style="38"/>
    <col min="15618" max="15618" width="22.140625" style="38" customWidth="1"/>
    <col min="15619" max="15619" width="37" style="38" customWidth="1"/>
    <col min="15620" max="15621" width="11.42578125" style="38" customWidth="1"/>
    <col min="15622" max="15622" width="14" style="38" customWidth="1"/>
    <col min="15623" max="15623" width="20" style="38" customWidth="1"/>
    <col min="15624" max="15624" width="16.42578125" style="38" customWidth="1"/>
    <col min="15625" max="15873" width="8.5703125" style="38"/>
    <col min="15874" max="15874" width="22.140625" style="38" customWidth="1"/>
    <col min="15875" max="15875" width="37" style="38" customWidth="1"/>
    <col min="15876" max="15877" width="11.42578125" style="38" customWidth="1"/>
    <col min="15878" max="15878" width="14" style="38" customWidth="1"/>
    <col min="15879" max="15879" width="20" style="38" customWidth="1"/>
    <col min="15880" max="15880" width="16.42578125" style="38" customWidth="1"/>
    <col min="15881" max="16129" width="8.5703125" style="38"/>
    <col min="16130" max="16130" width="22.140625" style="38" customWidth="1"/>
    <col min="16131" max="16131" width="37" style="38" customWidth="1"/>
    <col min="16132" max="16133" width="11.42578125" style="38" customWidth="1"/>
    <col min="16134" max="16134" width="14" style="38" customWidth="1"/>
    <col min="16135" max="16135" width="20" style="38" customWidth="1"/>
    <col min="16136" max="16136" width="16.42578125" style="38" customWidth="1"/>
    <col min="16137" max="16384" width="8.5703125" style="38"/>
  </cols>
  <sheetData>
    <row r="1" spans="1:9" ht="15" customHeight="1" x14ac:dyDescent="0.25"/>
    <row r="2" spans="1:9" ht="15" customHeight="1" x14ac:dyDescent="0.25">
      <c r="A2" s="39"/>
      <c r="B2" s="39"/>
      <c r="C2" s="39"/>
      <c r="D2" s="39"/>
      <c r="E2" s="39"/>
      <c r="F2" s="39"/>
      <c r="G2" s="39"/>
      <c r="H2" s="39"/>
    </row>
    <row r="3" spans="1:9" ht="15.75" customHeight="1" x14ac:dyDescent="0.25">
      <c r="A3" s="39"/>
      <c r="B3" s="271" t="s">
        <v>215</v>
      </c>
      <c r="C3" s="271"/>
      <c r="D3" s="271"/>
      <c r="E3" s="271"/>
      <c r="F3" s="271"/>
      <c r="G3" s="271"/>
      <c r="H3" s="271"/>
    </row>
    <row r="4" spans="1:9" x14ac:dyDescent="0.25">
      <c r="A4" s="39"/>
      <c r="B4" s="40" t="s">
        <v>216</v>
      </c>
      <c r="C4" s="40" t="s">
        <v>217</v>
      </c>
      <c r="D4" s="40" t="s">
        <v>115</v>
      </c>
      <c r="E4" s="40" t="s">
        <v>218</v>
      </c>
      <c r="F4" s="40" t="s">
        <v>219</v>
      </c>
      <c r="G4" s="40" t="s">
        <v>220</v>
      </c>
      <c r="H4" s="40" t="s">
        <v>221</v>
      </c>
    </row>
    <row r="5" spans="1:9" ht="15" customHeight="1" x14ac:dyDescent="0.25">
      <c r="A5" s="39"/>
      <c r="B5" s="41" t="s">
        <v>222</v>
      </c>
      <c r="C5" s="42" t="s">
        <v>223</v>
      </c>
      <c r="D5" s="41" t="s">
        <v>192</v>
      </c>
      <c r="E5" s="41">
        <v>696</v>
      </c>
      <c r="F5" s="43">
        <f>E5*1.6</f>
        <v>1113.6000000000001</v>
      </c>
      <c r="G5" s="43">
        <f>H5/F5</f>
        <v>13020.833333333332</v>
      </c>
      <c r="H5" s="44">
        <v>14500000</v>
      </c>
    </row>
    <row r="6" spans="1:9" x14ac:dyDescent="0.25">
      <c r="A6" s="39"/>
      <c r="B6" s="41" t="s">
        <v>222</v>
      </c>
      <c r="C6" s="42" t="s">
        <v>223</v>
      </c>
      <c r="D6" s="41" t="s">
        <v>224</v>
      </c>
      <c r="E6" s="41">
        <v>1670</v>
      </c>
      <c r="F6" s="43">
        <f>E6*1.6</f>
        <v>2672</v>
      </c>
      <c r="G6" s="43">
        <f t="shared" ref="G6:G11" si="0">H6/F6</f>
        <v>13660.179640718563</v>
      </c>
      <c r="H6" s="44">
        <v>36500000</v>
      </c>
    </row>
    <row r="7" spans="1:9" ht="15" customHeight="1" x14ac:dyDescent="0.25">
      <c r="A7" s="39"/>
      <c r="B7" s="41" t="s">
        <v>225</v>
      </c>
      <c r="C7" s="42" t="s">
        <v>223</v>
      </c>
      <c r="D7" s="41" t="s">
        <v>192</v>
      </c>
      <c r="E7" s="41">
        <v>722</v>
      </c>
      <c r="F7" s="43">
        <v>1500</v>
      </c>
      <c r="G7" s="43">
        <f t="shared" si="0"/>
        <v>10333.333333333334</v>
      </c>
      <c r="H7" s="44">
        <v>15500000</v>
      </c>
    </row>
    <row r="8" spans="1:9" x14ac:dyDescent="0.25">
      <c r="A8" s="39"/>
      <c r="B8" s="41" t="s">
        <v>225</v>
      </c>
      <c r="C8" s="42" t="s">
        <v>223</v>
      </c>
      <c r="D8" s="41" t="s">
        <v>191</v>
      </c>
      <c r="E8" s="41">
        <v>923</v>
      </c>
      <c r="F8" s="43">
        <f>E8*1.6</f>
        <v>1476.8000000000002</v>
      </c>
      <c r="G8" s="43">
        <f t="shared" si="0"/>
        <v>15574.214517876488</v>
      </c>
      <c r="H8" s="44">
        <v>23000000</v>
      </c>
    </row>
    <row r="9" spans="1:9" ht="15" customHeight="1" x14ac:dyDescent="0.25">
      <c r="A9" s="39"/>
      <c r="B9" s="41" t="s">
        <v>225</v>
      </c>
      <c r="C9" s="42" t="s">
        <v>223</v>
      </c>
      <c r="D9" s="41" t="s">
        <v>224</v>
      </c>
      <c r="E9" s="41">
        <v>1665</v>
      </c>
      <c r="F9" s="43">
        <f>E9*1.6</f>
        <v>2664</v>
      </c>
      <c r="G9" s="43">
        <f t="shared" si="0"/>
        <v>14977.477477477478</v>
      </c>
      <c r="H9" s="44">
        <v>39900000</v>
      </c>
    </row>
    <row r="10" spans="1:9" ht="15" customHeight="1" x14ac:dyDescent="0.25">
      <c r="A10" s="39"/>
      <c r="B10" s="41" t="s">
        <v>222</v>
      </c>
      <c r="C10" s="42" t="s">
        <v>223</v>
      </c>
      <c r="D10" s="41" t="s">
        <v>191</v>
      </c>
      <c r="E10" s="41">
        <v>1065</v>
      </c>
      <c r="F10" s="43">
        <f>E10*1.6</f>
        <v>1704</v>
      </c>
      <c r="G10" s="43">
        <f t="shared" si="0"/>
        <v>13145.539906103286</v>
      </c>
      <c r="H10" s="44">
        <v>22400000</v>
      </c>
    </row>
    <row r="11" spans="1:9" ht="15" customHeight="1" x14ac:dyDescent="0.25">
      <c r="A11" s="39"/>
      <c r="B11" s="41" t="s">
        <v>222</v>
      </c>
      <c r="C11" s="42" t="s">
        <v>223</v>
      </c>
      <c r="D11" s="41" t="s">
        <v>224</v>
      </c>
      <c r="E11" s="41">
        <v>1884</v>
      </c>
      <c r="F11" s="43">
        <f>E11*1.6</f>
        <v>3014.4</v>
      </c>
      <c r="G11" s="43">
        <f t="shared" si="0"/>
        <v>13136.942675159235</v>
      </c>
      <c r="H11" s="44">
        <v>39600000</v>
      </c>
    </row>
    <row r="12" spans="1:9" ht="15" customHeight="1" x14ac:dyDescent="0.25">
      <c r="A12" s="39"/>
      <c r="B12" s="45" t="s">
        <v>226</v>
      </c>
      <c r="C12" s="41"/>
      <c r="D12" s="41"/>
      <c r="E12" s="41"/>
      <c r="F12" s="41"/>
      <c r="G12" s="46">
        <f>AVERAGE(G5:G11)</f>
        <v>13406.93155485739</v>
      </c>
      <c r="H12" s="41"/>
    </row>
    <row r="13" spans="1:9" ht="15" customHeight="1" x14ac:dyDescent="0.25">
      <c r="B13" s="45" t="s">
        <v>227</v>
      </c>
      <c r="C13" s="41"/>
      <c r="D13" s="41"/>
      <c r="E13" s="41"/>
      <c r="F13" s="47"/>
      <c r="G13" s="45">
        <v>13500</v>
      </c>
      <c r="H13" s="45"/>
      <c r="I13" s="48"/>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5" x14ac:dyDescent="0.25"/>
  <cols>
    <col min="2" max="2" width="12.42578125" customWidth="1"/>
  </cols>
  <sheetData>
    <row r="2" spans="1:12" x14ac:dyDescent="0.25">
      <c r="B2" s="4" t="s">
        <v>114</v>
      </c>
      <c r="C2" s="272"/>
      <c r="D2" s="272"/>
    </row>
    <row r="3" spans="1:12" x14ac:dyDescent="0.25">
      <c r="D3" s="5"/>
      <c r="E3" s="5"/>
      <c r="F3" s="5"/>
      <c r="G3" s="5"/>
      <c r="H3" s="5"/>
      <c r="I3" s="5"/>
    </row>
    <row r="4" spans="1:12" x14ac:dyDescent="0.25">
      <c r="A4" s="4" t="s">
        <v>115</v>
      </c>
      <c r="B4" s="6" t="s">
        <v>116</v>
      </c>
      <c r="C4" s="273" t="s">
        <v>117</v>
      </c>
      <c r="D4" s="273"/>
      <c r="E4" s="273"/>
      <c r="F4" s="7"/>
      <c r="G4" s="273" t="s">
        <v>118</v>
      </c>
      <c r="H4" s="273"/>
      <c r="I4" s="273"/>
      <c r="J4" s="273" t="s">
        <v>119</v>
      </c>
      <c r="K4" s="273"/>
      <c r="L4" s="273"/>
    </row>
    <row r="5" spans="1:12" x14ac:dyDescent="0.25">
      <c r="A5" s="4">
        <v>1</v>
      </c>
      <c r="B5" s="6"/>
      <c r="C5" s="6" t="s">
        <v>120</v>
      </c>
      <c r="D5" s="6" t="s">
        <v>121</v>
      </c>
      <c r="E5" s="6" t="s">
        <v>81</v>
      </c>
      <c r="F5" s="6"/>
      <c r="G5" s="6" t="s">
        <v>120</v>
      </c>
      <c r="H5" s="6" t="s">
        <v>121</v>
      </c>
      <c r="I5" s="6" t="s">
        <v>81</v>
      </c>
      <c r="J5" s="6" t="s">
        <v>120</v>
      </c>
      <c r="K5" s="6" t="s">
        <v>121</v>
      </c>
      <c r="L5" s="6" t="s">
        <v>81</v>
      </c>
    </row>
    <row r="6" spans="1:12" x14ac:dyDescent="0.25">
      <c r="B6" s="8" t="s">
        <v>122</v>
      </c>
      <c r="C6" s="8"/>
      <c r="D6" s="8"/>
      <c r="E6" s="8">
        <f>C6*D6</f>
        <v>0</v>
      </c>
      <c r="F6" s="8" t="s">
        <v>123</v>
      </c>
      <c r="G6" s="8"/>
      <c r="H6" s="8"/>
      <c r="I6" s="8">
        <f>G6*H6</f>
        <v>0</v>
      </c>
      <c r="J6" s="8"/>
      <c r="K6" s="8"/>
      <c r="L6" s="8">
        <f>J6*K6</f>
        <v>0</v>
      </c>
    </row>
    <row r="7" spans="1:12" x14ac:dyDescent="0.25">
      <c r="B7" s="8"/>
      <c r="C7" s="8"/>
      <c r="D7" s="8"/>
      <c r="E7" s="8">
        <f t="shared" ref="E7:E33" si="0">C7*D7</f>
        <v>0</v>
      </c>
      <c r="F7" s="8" t="s">
        <v>124</v>
      </c>
      <c r="G7" s="8"/>
      <c r="H7" s="8"/>
      <c r="I7" s="8">
        <f t="shared" ref="I7:I29" si="1">G7*H7</f>
        <v>0</v>
      </c>
      <c r="J7" s="8"/>
      <c r="K7" s="8"/>
      <c r="L7" s="8">
        <f t="shared" ref="L7:L29" si="2">J7*K7</f>
        <v>0</v>
      </c>
    </row>
    <row r="8" spans="1:12" x14ac:dyDescent="0.25">
      <c r="B8" s="8"/>
      <c r="C8" s="8"/>
      <c r="D8" s="8"/>
      <c r="E8" s="8">
        <f t="shared" si="0"/>
        <v>0</v>
      </c>
      <c r="F8" s="8"/>
      <c r="G8" s="8"/>
      <c r="H8" s="8"/>
      <c r="I8" s="8">
        <f t="shared" si="1"/>
        <v>0</v>
      </c>
      <c r="J8" s="8"/>
      <c r="K8" s="8"/>
      <c r="L8" s="8">
        <f t="shared" si="2"/>
        <v>0</v>
      </c>
    </row>
    <row r="9" spans="1:12" x14ac:dyDescent="0.25">
      <c r="B9" s="8" t="s">
        <v>125</v>
      </c>
      <c r="C9" s="8"/>
      <c r="D9" s="8"/>
      <c r="E9" s="8">
        <f t="shared" si="0"/>
        <v>0</v>
      </c>
      <c r="F9" s="8" t="s">
        <v>123</v>
      </c>
      <c r="G9" s="8"/>
      <c r="H9" s="8"/>
      <c r="I9" s="8">
        <f t="shared" si="1"/>
        <v>0</v>
      </c>
      <c r="J9" s="8"/>
      <c r="K9" s="8"/>
      <c r="L9" s="8">
        <f t="shared" si="2"/>
        <v>0</v>
      </c>
    </row>
    <row r="10" spans="1:12" x14ac:dyDescent="0.25">
      <c r="B10" s="8"/>
      <c r="C10" s="8"/>
      <c r="D10" s="8"/>
      <c r="E10" s="8">
        <f t="shared" si="0"/>
        <v>0</v>
      </c>
      <c r="F10" s="8" t="s">
        <v>124</v>
      </c>
      <c r="G10" s="8"/>
      <c r="H10" s="8"/>
      <c r="I10" s="8">
        <f t="shared" si="1"/>
        <v>0</v>
      </c>
      <c r="J10" s="8"/>
      <c r="K10" s="8"/>
      <c r="L10" s="8">
        <f t="shared" si="2"/>
        <v>0</v>
      </c>
    </row>
    <row r="11" spans="1:12" x14ac:dyDescent="0.25">
      <c r="B11" s="8"/>
      <c r="C11" s="8"/>
      <c r="D11" s="8"/>
      <c r="E11" s="8">
        <f t="shared" si="0"/>
        <v>0</v>
      </c>
      <c r="F11" s="8"/>
      <c r="G11" s="8"/>
      <c r="H11" s="8"/>
      <c r="I11" s="8">
        <f t="shared" si="1"/>
        <v>0</v>
      </c>
      <c r="J11" s="8"/>
      <c r="K11" s="8"/>
      <c r="L11" s="8">
        <f t="shared" si="2"/>
        <v>0</v>
      </c>
    </row>
    <row r="12" spans="1:12" x14ac:dyDescent="0.25">
      <c r="B12" s="8"/>
      <c r="C12" s="8"/>
      <c r="D12" s="8"/>
      <c r="E12" s="8">
        <f t="shared" si="0"/>
        <v>0</v>
      </c>
      <c r="F12" s="8"/>
      <c r="G12" s="8"/>
      <c r="H12" s="8"/>
      <c r="I12" s="8">
        <f t="shared" si="1"/>
        <v>0</v>
      </c>
      <c r="J12" s="8"/>
      <c r="K12" s="8"/>
      <c r="L12" s="8">
        <f t="shared" si="2"/>
        <v>0</v>
      </c>
    </row>
    <row r="13" spans="1:12" x14ac:dyDescent="0.25">
      <c r="B13" s="8" t="s">
        <v>126</v>
      </c>
      <c r="C13" s="8"/>
      <c r="D13" s="8"/>
      <c r="E13" s="8">
        <f t="shared" si="0"/>
        <v>0</v>
      </c>
      <c r="F13" s="8" t="s">
        <v>123</v>
      </c>
      <c r="G13" s="8"/>
      <c r="H13" s="8"/>
      <c r="I13" s="8">
        <f t="shared" si="1"/>
        <v>0</v>
      </c>
      <c r="J13" s="8"/>
      <c r="K13" s="8"/>
      <c r="L13" s="8">
        <f t="shared" si="2"/>
        <v>0</v>
      </c>
    </row>
    <row r="14" spans="1:12" x14ac:dyDescent="0.25">
      <c r="B14" s="8"/>
      <c r="C14" s="8"/>
      <c r="D14" s="8"/>
      <c r="E14" s="8">
        <f t="shared" si="0"/>
        <v>0</v>
      </c>
      <c r="F14" s="8" t="s">
        <v>124</v>
      </c>
      <c r="G14" s="8"/>
      <c r="H14" s="8"/>
      <c r="I14" s="8">
        <f t="shared" si="1"/>
        <v>0</v>
      </c>
      <c r="J14" s="8"/>
      <c r="K14" s="8"/>
      <c r="L14" s="8">
        <f t="shared" si="2"/>
        <v>0</v>
      </c>
    </row>
    <row r="15" spans="1:12" x14ac:dyDescent="0.25">
      <c r="B15" s="8"/>
      <c r="C15" s="8"/>
      <c r="D15" s="8"/>
      <c r="E15" s="8">
        <f t="shared" si="0"/>
        <v>0</v>
      </c>
      <c r="F15" s="8"/>
      <c r="G15" s="8"/>
      <c r="H15" s="8"/>
      <c r="I15" s="8">
        <f t="shared" si="1"/>
        <v>0</v>
      </c>
      <c r="J15" s="8"/>
      <c r="K15" s="8"/>
      <c r="L15" s="8">
        <f t="shared" si="2"/>
        <v>0</v>
      </c>
    </row>
    <row r="16" spans="1:12" x14ac:dyDescent="0.25">
      <c r="B16" s="8"/>
      <c r="C16" s="8"/>
      <c r="D16" s="8"/>
      <c r="E16" s="8">
        <f t="shared" si="0"/>
        <v>0</v>
      </c>
      <c r="F16" s="8"/>
      <c r="G16" s="8"/>
      <c r="H16" s="8"/>
      <c r="I16" s="8">
        <f t="shared" si="1"/>
        <v>0</v>
      </c>
      <c r="J16" s="8"/>
      <c r="K16" s="8"/>
      <c r="L16" s="8">
        <f t="shared" si="2"/>
        <v>0</v>
      </c>
    </row>
    <row r="17" spans="2:12" x14ac:dyDescent="0.25">
      <c r="B17" s="8" t="s">
        <v>127</v>
      </c>
      <c r="C17" s="8"/>
      <c r="D17" s="8"/>
      <c r="E17" s="8">
        <f t="shared" si="0"/>
        <v>0</v>
      </c>
      <c r="F17" s="8" t="s">
        <v>123</v>
      </c>
      <c r="G17" s="8"/>
      <c r="H17" s="8"/>
      <c r="I17" s="8">
        <f t="shared" si="1"/>
        <v>0</v>
      </c>
      <c r="J17" s="8"/>
      <c r="K17" s="8"/>
      <c r="L17" s="8">
        <f t="shared" si="2"/>
        <v>0</v>
      </c>
    </row>
    <row r="18" spans="2:12" x14ac:dyDescent="0.25">
      <c r="B18" s="8"/>
      <c r="C18" s="8"/>
      <c r="D18" s="8"/>
      <c r="E18" s="8">
        <f t="shared" si="0"/>
        <v>0</v>
      </c>
      <c r="F18" s="8" t="s">
        <v>124</v>
      </c>
      <c r="G18" s="8"/>
      <c r="H18" s="8"/>
      <c r="I18" s="8">
        <f t="shared" si="1"/>
        <v>0</v>
      </c>
      <c r="J18" s="8"/>
      <c r="K18" s="8"/>
      <c r="L18" s="8">
        <f t="shared" si="2"/>
        <v>0</v>
      </c>
    </row>
    <row r="19" spans="2:12" x14ac:dyDescent="0.25">
      <c r="B19" s="8"/>
      <c r="C19" s="8"/>
      <c r="D19" s="8"/>
      <c r="E19" s="8">
        <f t="shared" si="0"/>
        <v>0</v>
      </c>
      <c r="F19" s="8"/>
      <c r="G19" s="8"/>
      <c r="H19" s="8"/>
      <c r="I19" s="8">
        <f t="shared" si="1"/>
        <v>0</v>
      </c>
      <c r="J19" s="8"/>
      <c r="K19" s="8"/>
      <c r="L19" s="8">
        <f t="shared" si="2"/>
        <v>0</v>
      </c>
    </row>
    <row r="20" spans="2:12" x14ac:dyDescent="0.25">
      <c r="B20" s="8" t="s">
        <v>127</v>
      </c>
      <c r="C20" s="8"/>
      <c r="D20" s="8"/>
      <c r="E20" s="8">
        <f t="shared" si="0"/>
        <v>0</v>
      </c>
      <c r="F20" s="8" t="s">
        <v>123</v>
      </c>
      <c r="G20" s="8"/>
      <c r="H20" s="8"/>
      <c r="I20" s="8">
        <f t="shared" si="1"/>
        <v>0</v>
      </c>
      <c r="J20" s="8"/>
      <c r="K20" s="8"/>
      <c r="L20" s="8">
        <f t="shared" si="2"/>
        <v>0</v>
      </c>
    </row>
    <row r="21" spans="2:12" x14ac:dyDescent="0.25">
      <c r="B21" s="8"/>
      <c r="C21" s="8"/>
      <c r="D21" s="8"/>
      <c r="E21" s="8">
        <f t="shared" si="0"/>
        <v>0</v>
      </c>
      <c r="F21" s="8" t="s">
        <v>124</v>
      </c>
      <c r="G21" s="8"/>
      <c r="H21" s="8"/>
      <c r="I21" s="8">
        <f t="shared" si="1"/>
        <v>0</v>
      </c>
      <c r="J21" s="8"/>
      <c r="K21" s="8"/>
      <c r="L21" s="8">
        <f t="shared" si="2"/>
        <v>0</v>
      </c>
    </row>
    <row r="22" spans="2:12" x14ac:dyDescent="0.25">
      <c r="B22" s="8"/>
      <c r="C22" s="8"/>
      <c r="D22" s="8"/>
      <c r="E22" s="8">
        <f t="shared" si="0"/>
        <v>0</v>
      </c>
      <c r="F22" s="8"/>
      <c r="G22" s="8"/>
      <c r="H22" s="8"/>
      <c r="I22" s="8">
        <f t="shared" si="1"/>
        <v>0</v>
      </c>
      <c r="J22" s="8"/>
      <c r="K22" s="8"/>
      <c r="L22" s="8">
        <f t="shared" si="2"/>
        <v>0</v>
      </c>
    </row>
    <row r="23" spans="2:12" x14ac:dyDescent="0.25">
      <c r="B23" s="8" t="s">
        <v>128</v>
      </c>
      <c r="C23" s="8"/>
      <c r="D23" s="8"/>
      <c r="E23" s="8">
        <f t="shared" si="0"/>
        <v>0</v>
      </c>
      <c r="F23" s="8" t="s">
        <v>129</v>
      </c>
      <c r="G23" s="8"/>
      <c r="H23" s="8"/>
      <c r="I23" s="8">
        <f t="shared" si="1"/>
        <v>0</v>
      </c>
      <c r="J23" s="8"/>
      <c r="K23" s="8"/>
      <c r="L23" s="8">
        <f t="shared" si="2"/>
        <v>0</v>
      </c>
    </row>
    <row r="24" spans="2:12" x14ac:dyDescent="0.25">
      <c r="B24" s="8" t="s">
        <v>130</v>
      </c>
      <c r="C24" s="8"/>
      <c r="D24" s="8"/>
      <c r="E24" s="8">
        <f t="shared" si="0"/>
        <v>0</v>
      </c>
      <c r="F24" s="8" t="s">
        <v>129</v>
      </c>
      <c r="G24" s="8"/>
      <c r="H24" s="8"/>
      <c r="I24" s="8">
        <f t="shared" si="1"/>
        <v>0</v>
      </c>
      <c r="J24" s="8"/>
      <c r="K24" s="8"/>
      <c r="L24" s="8">
        <f t="shared" si="2"/>
        <v>0</v>
      </c>
    </row>
    <row r="25" spans="2:12" x14ac:dyDescent="0.25">
      <c r="B25" s="8" t="s">
        <v>131</v>
      </c>
      <c r="C25" s="8"/>
      <c r="D25" s="8"/>
      <c r="E25" s="8">
        <f t="shared" si="0"/>
        <v>0</v>
      </c>
      <c r="F25" s="8" t="s">
        <v>129</v>
      </c>
      <c r="G25" s="8"/>
      <c r="H25" s="8"/>
      <c r="I25" s="8">
        <f t="shared" si="1"/>
        <v>0</v>
      </c>
      <c r="J25" s="8"/>
      <c r="K25" s="8"/>
      <c r="L25" s="8">
        <f t="shared" si="2"/>
        <v>0</v>
      </c>
    </row>
    <row r="26" spans="2:12" x14ac:dyDescent="0.25">
      <c r="B26" s="8"/>
      <c r="C26" s="8"/>
      <c r="D26" s="8"/>
      <c r="E26" s="8">
        <f t="shared" si="0"/>
        <v>0</v>
      </c>
      <c r="F26" s="8"/>
      <c r="G26" s="8"/>
      <c r="H26" s="8"/>
      <c r="I26" s="8">
        <f t="shared" si="1"/>
        <v>0</v>
      </c>
      <c r="J26" s="8"/>
      <c r="K26" s="8"/>
      <c r="L26" s="8">
        <f t="shared" si="2"/>
        <v>0</v>
      </c>
    </row>
    <row r="27" spans="2:12" x14ac:dyDescent="0.25">
      <c r="B27" s="8" t="s">
        <v>132</v>
      </c>
      <c r="C27" s="8"/>
      <c r="D27" s="8"/>
      <c r="E27" s="8">
        <f t="shared" si="0"/>
        <v>0</v>
      </c>
      <c r="F27" s="8"/>
      <c r="G27" s="8"/>
      <c r="H27" s="8"/>
      <c r="I27" s="8">
        <f t="shared" si="1"/>
        <v>0</v>
      </c>
      <c r="J27" s="8"/>
      <c r="K27" s="8"/>
      <c r="L27" s="8">
        <f t="shared" si="2"/>
        <v>0</v>
      </c>
    </row>
    <row r="28" spans="2:12" x14ac:dyDescent="0.25">
      <c r="B28" s="8" t="s">
        <v>133</v>
      </c>
      <c r="C28" s="8"/>
      <c r="D28" s="8"/>
      <c r="E28" s="8">
        <f t="shared" si="0"/>
        <v>0</v>
      </c>
      <c r="F28" s="8"/>
      <c r="G28" s="8"/>
      <c r="H28" s="8"/>
      <c r="I28" s="8">
        <f t="shared" si="1"/>
        <v>0</v>
      </c>
      <c r="J28" s="8"/>
      <c r="K28" s="8"/>
      <c r="L28" s="8">
        <f t="shared" si="2"/>
        <v>0</v>
      </c>
    </row>
    <row r="29" spans="2:12" x14ac:dyDescent="0.25">
      <c r="B29" s="8" t="s">
        <v>134</v>
      </c>
      <c r="C29" s="8"/>
      <c r="D29" s="8"/>
      <c r="E29" s="8">
        <f t="shared" si="0"/>
        <v>0</v>
      </c>
      <c r="F29" s="8"/>
      <c r="G29" s="8"/>
      <c r="H29" s="8"/>
      <c r="I29" s="8">
        <f t="shared" si="1"/>
        <v>0</v>
      </c>
      <c r="J29" s="8"/>
      <c r="K29" s="8"/>
      <c r="L29" s="8">
        <f t="shared" si="2"/>
        <v>0</v>
      </c>
    </row>
    <row r="30" spans="2:12" x14ac:dyDescent="0.25">
      <c r="B30" s="8" t="s">
        <v>135</v>
      </c>
      <c r="C30" s="8"/>
      <c r="D30" s="8"/>
      <c r="E30" s="8">
        <f t="shared" si="0"/>
        <v>0</v>
      </c>
      <c r="F30" s="8"/>
      <c r="G30" s="8"/>
      <c r="H30" s="8"/>
      <c r="I30" s="8">
        <f>G30*H30</f>
        <v>0</v>
      </c>
      <c r="J30" s="8"/>
      <c r="K30" s="8"/>
      <c r="L30" s="8">
        <f>J30*K30</f>
        <v>0</v>
      </c>
    </row>
    <row r="31" spans="2:12" x14ac:dyDescent="0.25">
      <c r="B31" s="8"/>
      <c r="C31" s="8"/>
      <c r="D31" s="8"/>
      <c r="E31" s="8">
        <f t="shared" si="0"/>
        <v>0</v>
      </c>
      <c r="F31" s="8"/>
      <c r="G31" s="8"/>
      <c r="H31" s="8"/>
      <c r="I31" s="8">
        <f>G31*H31</f>
        <v>0</v>
      </c>
      <c r="J31" s="8"/>
      <c r="K31" s="8"/>
      <c r="L31" s="8">
        <f>J31*K31</f>
        <v>0</v>
      </c>
    </row>
    <row r="32" spans="2:12" x14ac:dyDescent="0.25">
      <c r="B32" s="8"/>
      <c r="C32" s="8"/>
      <c r="D32" s="8"/>
      <c r="E32" s="8">
        <f t="shared" si="0"/>
        <v>0</v>
      </c>
      <c r="F32" s="8"/>
      <c r="G32" s="8"/>
      <c r="H32" s="8"/>
      <c r="I32" s="8">
        <f>G32*H32</f>
        <v>0</v>
      </c>
      <c r="J32" s="8"/>
      <c r="K32" s="8"/>
      <c r="L32" s="8">
        <f>J32*K32</f>
        <v>0</v>
      </c>
    </row>
    <row r="33" spans="2:12" x14ac:dyDescent="0.25">
      <c r="B33" s="8"/>
      <c r="C33" s="8"/>
      <c r="D33" s="8"/>
      <c r="E33" s="8">
        <f t="shared" si="0"/>
        <v>0</v>
      </c>
      <c r="F33" s="8"/>
      <c r="G33" s="8"/>
      <c r="H33" s="8"/>
      <c r="I33" s="8">
        <f>G33*H33</f>
        <v>0</v>
      </c>
      <c r="J33" s="8"/>
      <c r="K33" s="8"/>
      <c r="L33" s="8">
        <f>J33*K33</f>
        <v>0</v>
      </c>
    </row>
    <row r="34" spans="2:12" x14ac:dyDescent="0.25">
      <c r="B34" s="8" t="s">
        <v>82</v>
      </c>
      <c r="C34" s="8"/>
      <c r="D34" s="8">
        <f>E34*10.764</f>
        <v>0</v>
      </c>
      <c r="E34" s="8">
        <f>SUM(E6:E33)</f>
        <v>0</v>
      </c>
      <c r="F34" s="8"/>
      <c r="G34" s="8"/>
      <c r="H34" s="8">
        <f>I34*10.764</f>
        <v>0</v>
      </c>
      <c r="I34" s="8">
        <f>SUM(I6:I33)</f>
        <v>0</v>
      </c>
      <c r="J34" s="8"/>
      <c r="K34" s="8">
        <f>L34*10.764</f>
        <v>0</v>
      </c>
      <c r="L34" s="8">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C%</vt:lpstr>
      <vt:lpstr>Note</vt:lpstr>
      <vt:lpstr>Valuation</vt:lpstr>
      <vt:lpstr>Flat detail</vt:lpstr>
      <vt:lpstr>'Report (2)'!Print_Area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2025-09-17T08:24:50Z</cp:lastPrinted>
  <dcterms:created xsi:type="dcterms:W3CDTF">2019-07-16T09:29:46Z</dcterms:created>
  <dcterms:modified xsi:type="dcterms:W3CDTF">2025-09-17T08:25:10Z</dcterms:modified>
</cp:coreProperties>
</file>