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Shruti\Sept 25\21446 - Puraniks Unicorn Phase I &amp; II\"/>
    </mc:Choice>
  </mc:AlternateContent>
  <bookViews>
    <workbookView xWindow="0" yWindow="0" windowWidth="20490" windowHeight="7455"/>
  </bookViews>
  <sheets>
    <sheet name="Report" sheetId="1" r:id="rId1"/>
    <sheet name="C%" sheetId="4" r:id="rId2"/>
  </sheets>
  <definedNames>
    <definedName name="_xlnm.Print_Area" localSheetId="0">Report!$A$1:$H$456</definedName>
  </definedNames>
  <calcPr calcId="152511"/>
</workbook>
</file>

<file path=xl/calcChain.xml><?xml version="1.0" encoding="utf-8"?>
<calcChain xmlns="http://schemas.openxmlformats.org/spreadsheetml/2006/main">
  <c r="H196" i="1" l="1"/>
  <c r="H197" i="1"/>
  <c r="J197" i="1"/>
  <c r="J196" i="1"/>
  <c r="A296" i="1" l="1"/>
  <c r="A297" i="1" s="1"/>
  <c r="K165" i="1" l="1"/>
  <c r="K203" i="1"/>
  <c r="J87" i="1" l="1"/>
  <c r="J86" i="1"/>
  <c r="J85" i="1"/>
  <c r="E85" i="1"/>
  <c r="E87" i="1" s="1"/>
  <c r="J84" i="1"/>
  <c r="E70" i="1"/>
  <c r="E72" i="1" s="1"/>
  <c r="G28" i="1"/>
  <c r="K198" i="1"/>
  <c r="D225" i="1"/>
  <c r="D224" i="1"/>
  <c r="D223" i="1"/>
  <c r="D222" i="1"/>
  <c r="D219" i="1"/>
  <c r="D217" i="1"/>
  <c r="D216" i="1"/>
  <c r="D215" i="1"/>
  <c r="D214" i="1"/>
  <c r="D213" i="1"/>
  <c r="D212" i="1"/>
  <c r="D210" i="1"/>
  <c r="D209" i="1"/>
  <c r="D208" i="1"/>
  <c r="D207" i="1"/>
  <c r="D206" i="1"/>
  <c r="D205" i="1"/>
  <c r="D204" i="1"/>
  <c r="D203" i="1"/>
  <c r="D201" i="1"/>
  <c r="D200" i="1"/>
  <c r="D199" i="1"/>
  <c r="D198" i="1"/>
  <c r="D197" i="1"/>
  <c r="D196" i="1"/>
  <c r="D195" i="1"/>
  <c r="D194" i="1"/>
  <c r="D192" i="1"/>
  <c r="D191" i="1"/>
  <c r="D190" i="1"/>
  <c r="D181" i="1"/>
  <c r="D179" i="1"/>
  <c r="D178" i="1"/>
  <c r="D177" i="1"/>
  <c r="D176" i="1"/>
  <c r="D175" i="1"/>
  <c r="D174" i="1"/>
  <c r="D172" i="1"/>
  <c r="D171" i="1"/>
  <c r="D170" i="1"/>
  <c r="D169" i="1"/>
  <c r="D168" i="1"/>
  <c r="D167" i="1"/>
  <c r="D166" i="1"/>
  <c r="D165" i="1"/>
  <c r="D163" i="1"/>
  <c r="D162" i="1"/>
  <c r="E135" i="1"/>
  <c r="D135" i="1"/>
  <c r="E134" i="1"/>
  <c r="D134" i="1"/>
  <c r="E133" i="1"/>
  <c r="D133" i="1"/>
  <c r="E132" i="1"/>
  <c r="D132" i="1"/>
  <c r="E131" i="1"/>
  <c r="D131" i="1"/>
  <c r="E130" i="1"/>
  <c r="D130" i="1"/>
  <c r="E129" i="1"/>
  <c r="D129" i="1"/>
  <c r="E128" i="1"/>
  <c r="D128" i="1"/>
  <c r="E127" i="1"/>
  <c r="D127" i="1"/>
  <c r="E126" i="1"/>
  <c r="D126" i="1"/>
  <c r="E125" i="1"/>
  <c r="D125" i="1"/>
  <c r="E124" i="1"/>
  <c r="D124" i="1"/>
  <c r="E123" i="1"/>
  <c r="D123" i="1"/>
  <c r="E122" i="1"/>
  <c r="D122" i="1"/>
  <c r="E121" i="1"/>
  <c r="D121" i="1"/>
  <c r="K122" i="1"/>
  <c r="H79" i="1"/>
  <c r="F91" i="1" l="1"/>
  <c r="F84" i="1"/>
  <c r="J81" i="1"/>
  <c r="E82" i="1" s="1"/>
  <c r="F82" i="1" s="1"/>
  <c r="J80" i="1"/>
  <c r="F90" i="1"/>
  <c r="J82" i="1"/>
  <c r="J83" i="1" s="1"/>
  <c r="J88" i="1" s="1"/>
  <c r="J89" i="1" s="1"/>
  <c r="E83" i="1" s="1"/>
  <c r="F87" i="1"/>
  <c r="F89" i="1"/>
  <c r="J79" i="1"/>
  <c r="F88" i="1"/>
  <c r="F85" i="1"/>
  <c r="E86" i="1"/>
  <c r="F86" i="1" s="1"/>
  <c r="C109" i="1"/>
  <c r="C110" i="1"/>
  <c r="C105" i="1"/>
  <c r="E71" i="1"/>
  <c r="F222" i="1"/>
  <c r="H222" i="1" s="1"/>
  <c r="F223" i="1"/>
  <c r="H223" i="1" s="1"/>
  <c r="I227" i="1"/>
  <c r="F225" i="1"/>
  <c r="H225" i="1" s="1"/>
  <c r="F224" i="1"/>
  <c r="H224" i="1" s="1"/>
  <c r="I223" i="1"/>
  <c r="A222" i="1"/>
  <c r="A223" i="1" s="1"/>
  <c r="A224" i="1" s="1"/>
  <c r="A225" i="1" s="1"/>
  <c r="A226" i="1" s="1"/>
  <c r="A227" i="1" s="1"/>
  <c r="A228" i="1" s="1"/>
  <c r="I209" i="1"/>
  <c r="I205" i="1"/>
  <c r="F201" i="1"/>
  <c r="H201" i="1" s="1"/>
  <c r="F200" i="1"/>
  <c r="H200" i="1" s="1"/>
  <c r="F199" i="1"/>
  <c r="H199" i="1" s="1"/>
  <c r="F198" i="1"/>
  <c r="H198" i="1" s="1"/>
  <c r="F197" i="1"/>
  <c r="F196" i="1"/>
  <c r="F195" i="1"/>
  <c r="H195" i="1" s="1"/>
  <c r="A195" i="1"/>
  <c r="A196" i="1" s="1"/>
  <c r="A197" i="1" s="1"/>
  <c r="A198" i="1" s="1"/>
  <c r="A199" i="1" s="1"/>
  <c r="A200" i="1" s="1"/>
  <c r="A201" i="1" s="1"/>
  <c r="F194" i="1"/>
  <c r="H194" i="1" s="1"/>
  <c r="F215" i="1"/>
  <c r="H215" i="1" s="1"/>
  <c r="F214" i="1"/>
  <c r="H214" i="1" s="1"/>
  <c r="F210" i="1"/>
  <c r="H210" i="1" s="1"/>
  <c r="K210" i="1" s="1"/>
  <c r="F205" i="1"/>
  <c r="H205" i="1" s="1"/>
  <c r="K205" i="1" s="1"/>
  <c r="F219" i="1"/>
  <c r="H219" i="1" s="1"/>
  <c r="F217" i="1"/>
  <c r="H217" i="1" s="1"/>
  <c r="F216" i="1"/>
  <c r="H216" i="1" s="1"/>
  <c r="F213" i="1"/>
  <c r="H213" i="1" s="1"/>
  <c r="A213" i="1"/>
  <c r="A214" i="1" s="1"/>
  <c r="A215" i="1" s="1"/>
  <c r="A216" i="1" s="1"/>
  <c r="A217" i="1" s="1"/>
  <c r="A218" i="1" s="1"/>
  <c r="A219" i="1" s="1"/>
  <c r="F212" i="1"/>
  <c r="H212" i="1" s="1"/>
  <c r="F209" i="1"/>
  <c r="H209" i="1" s="1"/>
  <c r="K209" i="1" s="1"/>
  <c r="F208" i="1"/>
  <c r="H208" i="1" s="1"/>
  <c r="K208" i="1" s="1"/>
  <c r="F207" i="1"/>
  <c r="H207" i="1" s="1"/>
  <c r="K207" i="1" s="1"/>
  <c r="F206" i="1"/>
  <c r="H206" i="1" s="1"/>
  <c r="K206" i="1" s="1"/>
  <c r="F204" i="1"/>
  <c r="H204" i="1" s="1"/>
  <c r="K204" i="1" s="1"/>
  <c r="A204" i="1"/>
  <c r="A205" i="1" s="1"/>
  <c r="A206" i="1" s="1"/>
  <c r="A207" i="1" s="1"/>
  <c r="A208" i="1" s="1"/>
  <c r="A209" i="1" s="1"/>
  <c r="A210" i="1" s="1"/>
  <c r="F203" i="1"/>
  <c r="H203" i="1" s="1"/>
  <c r="F192" i="1"/>
  <c r="H192" i="1" s="1"/>
  <c r="F191" i="1"/>
  <c r="H191" i="1" s="1"/>
  <c r="F190" i="1"/>
  <c r="A186" i="1"/>
  <c r="A187" i="1" s="1"/>
  <c r="A188" i="1" s="1"/>
  <c r="A189" i="1" s="1"/>
  <c r="A190" i="1" s="1"/>
  <c r="A191" i="1" s="1"/>
  <c r="A192" i="1" s="1"/>
  <c r="F181" i="1"/>
  <c r="H181" i="1" s="1"/>
  <c r="F179" i="1"/>
  <c r="H179" i="1" s="1"/>
  <c r="F178" i="1"/>
  <c r="H178" i="1" s="1"/>
  <c r="F177" i="1"/>
  <c r="H177" i="1" s="1"/>
  <c r="F176" i="1"/>
  <c r="H176" i="1" s="1"/>
  <c r="F175" i="1"/>
  <c r="H175" i="1" s="1"/>
  <c r="A175" i="1"/>
  <c r="A176" i="1" s="1"/>
  <c r="A177" i="1" s="1"/>
  <c r="A178" i="1" s="1"/>
  <c r="A179" i="1" s="1"/>
  <c r="A180" i="1" s="1"/>
  <c r="A181" i="1" s="1"/>
  <c r="F174" i="1"/>
  <c r="H174" i="1" s="1"/>
  <c r="I168" i="1"/>
  <c r="F172" i="1"/>
  <c r="H172" i="1" s="1"/>
  <c r="K172" i="1" s="1"/>
  <c r="F171" i="1"/>
  <c r="H171" i="1" s="1"/>
  <c r="K171" i="1" s="1"/>
  <c r="F170" i="1"/>
  <c r="H170" i="1" s="1"/>
  <c r="K170" i="1" s="1"/>
  <c r="F169" i="1"/>
  <c r="H169" i="1" s="1"/>
  <c r="K169" i="1" s="1"/>
  <c r="F168" i="1"/>
  <c r="H168" i="1" s="1"/>
  <c r="K168" i="1" s="1"/>
  <c r="F167" i="1"/>
  <c r="H167" i="1" s="1"/>
  <c r="K167" i="1" s="1"/>
  <c r="F166" i="1"/>
  <c r="H166" i="1" s="1"/>
  <c r="K166" i="1" s="1"/>
  <c r="F165" i="1"/>
  <c r="H165" i="1" s="1"/>
  <c r="A166" i="1"/>
  <c r="A167" i="1" s="1"/>
  <c r="A168" i="1" s="1"/>
  <c r="A169" i="1" s="1"/>
  <c r="A170" i="1" s="1"/>
  <c r="A171" i="1" s="1"/>
  <c r="A172" i="1" s="1"/>
  <c r="I162" i="1"/>
  <c r="I163" i="1"/>
  <c r="F163" i="1"/>
  <c r="H163" i="1" s="1"/>
  <c r="F162" i="1"/>
  <c r="A157" i="1"/>
  <c r="A158" i="1" s="1"/>
  <c r="A159" i="1" s="1"/>
  <c r="A160" i="1" s="1"/>
  <c r="A161" i="1" s="1"/>
  <c r="A162" i="1" s="1"/>
  <c r="A163" i="1" s="1"/>
  <c r="I125" i="1"/>
  <c r="I121" i="1"/>
  <c r="F134" i="1"/>
  <c r="H134" i="1" s="1"/>
  <c r="F127" i="1"/>
  <c r="H127" i="1" s="1"/>
  <c r="F125" i="1"/>
  <c r="H125" i="1" s="1"/>
  <c r="A122" i="1"/>
  <c r="A123" i="1" s="1"/>
  <c r="A124" i="1" s="1"/>
  <c r="A125" i="1" s="1"/>
  <c r="A126" i="1" s="1"/>
  <c r="A127" i="1" s="1"/>
  <c r="A128" i="1" s="1"/>
  <c r="A129" i="1" s="1"/>
  <c r="A130" i="1" s="1"/>
  <c r="A131" i="1" s="1"/>
  <c r="A132" i="1" s="1"/>
  <c r="A133" i="1" s="1"/>
  <c r="A134" i="1" s="1"/>
  <c r="A135" i="1" s="1"/>
  <c r="G82" i="1" l="1"/>
  <c r="I77" i="1" s="1"/>
  <c r="C80" i="1" s="1"/>
  <c r="F83" i="1"/>
  <c r="H190" i="1"/>
  <c r="G110" i="1" s="1"/>
  <c r="E110" i="1"/>
  <c r="H162" i="1"/>
  <c r="G109" i="1" s="1"/>
  <c r="E109" i="1"/>
  <c r="F135" i="1"/>
  <c r="H135" i="1" s="1"/>
  <c r="F130" i="1"/>
  <c r="H130" i="1" s="1"/>
  <c r="F133" i="1"/>
  <c r="H133" i="1" s="1"/>
  <c r="F122" i="1"/>
  <c r="H122" i="1" s="1"/>
  <c r="F123" i="1"/>
  <c r="H123" i="1" s="1"/>
  <c r="F129" i="1"/>
  <c r="H129" i="1" s="1"/>
  <c r="F131" i="1"/>
  <c r="H131" i="1" s="1"/>
  <c r="F132" i="1"/>
  <c r="H132" i="1" s="1"/>
  <c r="F128" i="1"/>
  <c r="H128" i="1" s="1"/>
  <c r="F126" i="1"/>
  <c r="H126" i="1" s="1"/>
  <c r="F124" i="1"/>
  <c r="H124" i="1" s="1"/>
  <c r="F121" i="1"/>
  <c r="G41" i="1"/>
  <c r="H121" i="1" l="1"/>
  <c r="G105" i="1" s="1"/>
  <c r="E105" i="1"/>
  <c r="C111" i="1"/>
  <c r="F290" i="1"/>
  <c r="A286" i="1"/>
  <c r="A270" i="1"/>
  <c r="A271" i="1" s="1"/>
  <c r="A272" i="1" s="1"/>
  <c r="A273" i="1" s="1"/>
  <c r="A274" i="1" s="1"/>
  <c r="A275" i="1" s="1"/>
  <c r="A276" i="1" s="1"/>
  <c r="A277" i="1" s="1"/>
  <c r="A278" i="1" s="1"/>
  <c r="A279" i="1" s="1"/>
  <c r="A280" i="1" s="1"/>
  <c r="A257" i="1"/>
  <c r="A258" i="1" s="1"/>
  <c r="A259" i="1" s="1"/>
  <c r="A260" i="1" s="1"/>
  <c r="A261" i="1" s="1"/>
  <c r="A262" i="1" s="1"/>
  <c r="A263" i="1" s="1"/>
  <c r="A264" i="1" s="1"/>
  <c r="A265" i="1" s="1"/>
  <c r="A266" i="1" s="1"/>
  <c r="A267" i="1" s="1"/>
  <c r="A244" i="1"/>
  <c r="A245" i="1" s="1"/>
  <c r="A246" i="1" s="1"/>
  <c r="A247" i="1" s="1"/>
  <c r="A248" i="1" s="1"/>
  <c r="A249" i="1" s="1"/>
  <c r="A250" i="1" s="1"/>
  <c r="A251" i="1" s="1"/>
  <c r="A252" i="1" s="1"/>
  <c r="A253" i="1" s="1"/>
  <c r="A254" i="1" s="1"/>
  <c r="A231" i="1"/>
  <c r="A232" i="1" s="1"/>
  <c r="A233" i="1" s="1"/>
  <c r="A234" i="1" s="1"/>
  <c r="A235" i="1" s="1"/>
  <c r="A236" i="1" s="1"/>
  <c r="A237" i="1" s="1"/>
  <c r="A238" i="1" s="1"/>
  <c r="A239" i="1" s="1"/>
  <c r="A240" i="1" s="1"/>
  <c r="A241" i="1" s="1"/>
  <c r="A138" i="1"/>
  <c r="A139" i="1" s="1"/>
  <c r="A140" i="1" s="1"/>
  <c r="A141" i="1" s="1"/>
  <c r="A142" i="1" s="1"/>
  <c r="A143" i="1" s="1"/>
  <c r="A144" i="1" s="1"/>
  <c r="A145" i="1" s="1"/>
  <c r="A146" i="1" s="1"/>
  <c r="A147" i="1" s="1"/>
  <c r="A148" i="1" s="1"/>
  <c r="F280" i="1"/>
  <c r="H280" i="1" s="1"/>
  <c r="F279" i="1"/>
  <c r="H279" i="1" s="1"/>
  <c r="F278" i="1"/>
  <c r="H278" i="1" s="1"/>
  <c r="F277" i="1"/>
  <c r="H277" i="1" s="1"/>
  <c r="F276" i="1"/>
  <c r="H276" i="1" s="1"/>
  <c r="F275" i="1"/>
  <c r="H275" i="1" s="1"/>
  <c r="F274" i="1"/>
  <c r="H274" i="1" s="1"/>
  <c r="F273" i="1"/>
  <c r="H273" i="1" s="1"/>
  <c r="F272" i="1"/>
  <c r="H272" i="1" s="1"/>
  <c r="F271" i="1"/>
  <c r="H271" i="1" s="1"/>
  <c r="F270" i="1"/>
  <c r="H270" i="1" s="1"/>
  <c r="F269" i="1"/>
  <c r="H269" i="1" s="1"/>
  <c r="F267" i="1"/>
  <c r="H267" i="1" s="1"/>
  <c r="F266" i="1"/>
  <c r="H266" i="1" s="1"/>
  <c r="F265" i="1"/>
  <c r="H265" i="1" s="1"/>
  <c r="F264" i="1"/>
  <c r="H264" i="1" s="1"/>
  <c r="F263" i="1"/>
  <c r="H263" i="1" s="1"/>
  <c r="F262" i="1"/>
  <c r="H262" i="1" s="1"/>
  <c r="F261" i="1"/>
  <c r="H261" i="1" s="1"/>
  <c r="F260" i="1"/>
  <c r="H260" i="1" s="1"/>
  <c r="F259" i="1"/>
  <c r="H259" i="1" s="1"/>
  <c r="F258" i="1"/>
  <c r="H258" i="1" s="1"/>
  <c r="F257" i="1"/>
  <c r="H257" i="1" s="1"/>
  <c r="F256" i="1"/>
  <c r="H256" i="1" s="1"/>
  <c r="F254" i="1"/>
  <c r="H254" i="1" s="1"/>
  <c r="F253" i="1"/>
  <c r="H253" i="1" s="1"/>
  <c r="F252" i="1"/>
  <c r="H252" i="1" s="1"/>
  <c r="F251" i="1"/>
  <c r="H251" i="1" s="1"/>
  <c r="F250" i="1"/>
  <c r="H250" i="1" s="1"/>
  <c r="F249" i="1"/>
  <c r="H249" i="1" s="1"/>
  <c r="F248" i="1"/>
  <c r="H248" i="1" s="1"/>
  <c r="F247" i="1"/>
  <c r="H247" i="1" s="1"/>
  <c r="F246" i="1"/>
  <c r="H246" i="1" s="1"/>
  <c r="F245" i="1"/>
  <c r="H245" i="1" s="1"/>
  <c r="F244" i="1"/>
  <c r="H244" i="1" s="1"/>
  <c r="F243" i="1"/>
  <c r="H243" i="1" s="1"/>
  <c r="F138" i="1"/>
  <c r="H138" i="1" s="1"/>
  <c r="F139" i="1"/>
  <c r="F140" i="1"/>
  <c r="H140" i="1" s="1"/>
  <c r="F141" i="1"/>
  <c r="F142" i="1"/>
  <c r="F143" i="1"/>
  <c r="F144" i="1"/>
  <c r="F145" i="1"/>
  <c r="F146" i="1"/>
  <c r="F147" i="1"/>
  <c r="F148" i="1"/>
  <c r="F137" i="1"/>
  <c r="H137" i="1" s="1"/>
  <c r="F241" i="1"/>
  <c r="H241" i="1" s="1"/>
  <c r="F240" i="1"/>
  <c r="H240" i="1" s="1"/>
  <c r="F239" i="1"/>
  <c r="H239" i="1" s="1"/>
  <c r="F238" i="1"/>
  <c r="H238" i="1" s="1"/>
  <c r="F237" i="1"/>
  <c r="H237" i="1" s="1"/>
  <c r="F236" i="1"/>
  <c r="H236" i="1" s="1"/>
  <c r="F235" i="1"/>
  <c r="H235" i="1" s="1"/>
  <c r="F234" i="1"/>
  <c r="H234" i="1" s="1"/>
  <c r="F233" i="1"/>
  <c r="H233" i="1" s="1"/>
  <c r="F232" i="1"/>
  <c r="H232" i="1" s="1"/>
  <c r="F231" i="1"/>
  <c r="H231" i="1" s="1"/>
  <c r="F230" i="1"/>
  <c r="H230" i="1" s="1"/>
  <c r="A287" i="1" l="1"/>
  <c r="A289" i="1" s="1"/>
  <c r="A290" i="1" s="1"/>
  <c r="A291" i="1" s="1"/>
  <c r="E106" i="1"/>
  <c r="C106" i="1"/>
  <c r="C112" i="1" s="1"/>
  <c r="A292" i="1" l="1"/>
  <c r="E111" i="1"/>
  <c r="E112" i="1" s="1"/>
  <c r="C8" i="1"/>
  <c r="A293" i="1" l="1"/>
  <c r="J72" i="1"/>
  <c r="J71" i="1"/>
  <c r="J70" i="1"/>
  <c r="J69" i="1"/>
  <c r="H64" i="1"/>
  <c r="A294" i="1" l="1"/>
  <c r="J66" i="1"/>
  <c r="E67" i="1" s="1"/>
  <c r="F67" i="1" s="1"/>
  <c r="J64" i="1"/>
  <c r="F71" i="1"/>
  <c r="F76" i="1"/>
  <c r="F70" i="1"/>
  <c r="J67" i="1"/>
  <c r="J68" i="1" s="1"/>
  <c r="J73" i="1" s="1"/>
  <c r="J74" i="1" s="1"/>
  <c r="E68" i="1" s="1"/>
  <c r="G67" i="1" s="1"/>
  <c r="F72" i="1"/>
  <c r="F75" i="1"/>
  <c r="F69" i="1"/>
  <c r="F73" i="1"/>
  <c r="F74" i="1"/>
  <c r="J65" i="1"/>
  <c r="A298" i="1" l="1"/>
  <c r="A295" i="1"/>
  <c r="F68" i="1"/>
  <c r="I62" i="1"/>
  <c r="C65" i="1" s="1"/>
  <c r="H139" i="1" l="1"/>
  <c r="H141" i="1"/>
  <c r="H142" i="1"/>
  <c r="H143" i="1"/>
  <c r="H144" i="1"/>
  <c r="H145" i="1"/>
  <c r="H146" i="1"/>
  <c r="H147" i="1"/>
  <c r="H148" i="1"/>
  <c r="G106" i="1" l="1"/>
  <c r="G42" i="1"/>
  <c r="G111" i="1" l="1"/>
  <c r="G112" i="1" s="1"/>
  <c r="G5" i="1"/>
  <c r="G43" i="1" l="1"/>
  <c r="H11" i="4" l="1"/>
  <c r="H10" i="4"/>
  <c r="H9" i="4"/>
  <c r="H8" i="4"/>
  <c r="F2" i="4"/>
  <c r="C12" i="4" l="1"/>
  <c r="C8" i="4"/>
  <c r="C11" i="4"/>
  <c r="C7" i="4"/>
  <c r="H6" i="4"/>
  <c r="H7" i="4" s="1"/>
  <c r="H12" i="4" s="1"/>
  <c r="H13" i="4" s="1"/>
  <c r="B5" i="4" s="1"/>
  <c r="C13" i="4"/>
  <c r="H3" i="4"/>
  <c r="H4" i="4"/>
  <c r="C10" i="4"/>
  <c r="D12" i="4"/>
  <c r="C9" i="4"/>
  <c r="H5" i="4"/>
  <c r="B4" i="4" s="1"/>
  <c r="C4" i="4" l="1"/>
  <c r="D9" i="4" s="1"/>
  <c r="C6" i="4"/>
  <c r="D13" i="4"/>
  <c r="D8" i="4"/>
  <c r="C5" i="4"/>
  <c r="D10" i="4" l="1"/>
  <c r="D11" i="4" l="1"/>
  <c r="D4" i="4" s="1"/>
  <c r="E4" i="4" s="1"/>
  <c r="C299" i="1" l="1"/>
</calcChain>
</file>

<file path=xl/comments1.xml><?xml version="1.0" encoding="utf-8"?>
<comments xmlns="http://schemas.openxmlformats.org/spreadsheetml/2006/main">
  <authors>
    <author>SACHIN</author>
    <author>Windows User</author>
  </authors>
  <commentList>
    <comment ref="A9" authorId="0" shapeId="0">
      <text>
        <r>
          <rPr>
            <b/>
            <sz val="9"/>
            <color indexed="81"/>
            <rFont val="Tahoma"/>
            <family val="2"/>
          </rPr>
          <t>SACHIN:</t>
        </r>
        <r>
          <rPr>
            <sz val="9"/>
            <color indexed="81"/>
            <rFont val="Tahoma"/>
            <family val="2"/>
          </rPr>
          <t xml:space="preserve">
As per CC</t>
        </r>
      </text>
    </comment>
    <comment ref="C9" authorId="0" shapeId="0">
      <text>
        <r>
          <rPr>
            <b/>
            <sz val="9"/>
            <color indexed="81"/>
            <rFont val="Tahoma"/>
            <family val="2"/>
          </rPr>
          <t>Take address from CC</t>
        </r>
      </text>
    </comment>
    <comment ref="C21" authorId="0" shapeId="0">
      <text>
        <r>
          <rPr>
            <b/>
            <sz val="9"/>
            <color indexed="81"/>
            <rFont val="Tahoma"/>
            <family val="2"/>
          </rPr>
          <t>Builder's office address from RERA</t>
        </r>
        <r>
          <rPr>
            <sz val="9"/>
            <color indexed="81"/>
            <rFont val="Tahoma"/>
            <family val="2"/>
          </rPr>
          <t xml:space="preserve">
</t>
        </r>
      </text>
    </comment>
    <comment ref="C24" authorId="0" shapeId="0">
      <text>
        <r>
          <rPr>
            <b/>
            <sz val="9"/>
            <color indexed="81"/>
            <rFont val="Tahoma"/>
            <family val="2"/>
          </rPr>
          <t>Provided during initiation</t>
        </r>
        <r>
          <rPr>
            <sz val="9"/>
            <color indexed="81"/>
            <rFont val="Tahoma"/>
            <family val="2"/>
          </rPr>
          <t xml:space="preserve">
</t>
        </r>
      </text>
    </comment>
    <comment ref="C25" authorId="1" shapeId="0">
      <text>
        <r>
          <rPr>
            <b/>
            <sz val="11"/>
            <color indexed="81"/>
            <rFont val="Tahoma"/>
            <family val="2"/>
          </rPr>
          <t xml:space="preserve">Authority
</t>
        </r>
      </text>
    </comment>
    <comment ref="C26" authorId="0" shapeId="0">
      <text>
        <r>
          <rPr>
            <b/>
            <sz val="9"/>
            <color indexed="81"/>
            <rFont val="Tahoma"/>
            <family val="2"/>
          </rPr>
          <t>Apartments or 
Apartments + Shops</t>
        </r>
      </text>
    </comment>
    <comment ref="G28" authorId="0" shapeId="0">
      <text>
        <r>
          <rPr>
            <b/>
            <sz val="9"/>
            <color indexed="81"/>
            <rFont val="Tahoma"/>
            <family val="2"/>
          </rPr>
          <t>15% of Total No of Flats</t>
        </r>
        <r>
          <rPr>
            <sz val="9"/>
            <color indexed="81"/>
            <rFont val="Tahoma"/>
            <family val="2"/>
          </rPr>
          <t xml:space="preserve">
</t>
        </r>
      </text>
    </comment>
    <comment ref="E32" authorId="0" shapeId="0">
      <text>
        <r>
          <rPr>
            <b/>
            <sz val="9"/>
            <color indexed="81"/>
            <rFont val="Tahoma"/>
            <family val="2"/>
          </rPr>
          <t>If Sale deed is provided</t>
        </r>
        <r>
          <rPr>
            <sz val="9"/>
            <color indexed="81"/>
            <rFont val="Tahoma"/>
            <family val="2"/>
          </rPr>
          <t xml:space="preserve">
</t>
        </r>
      </text>
    </comment>
    <comment ref="F32" authorId="0" shapeId="0">
      <text>
        <r>
          <rPr>
            <b/>
            <sz val="9"/>
            <color indexed="81"/>
            <rFont val="Tahoma"/>
            <family val="2"/>
          </rPr>
          <t>If Sale deed is provided</t>
        </r>
        <r>
          <rPr>
            <sz val="9"/>
            <color indexed="81"/>
            <rFont val="Tahoma"/>
            <family val="2"/>
          </rPr>
          <t xml:space="preserve">
</t>
        </r>
      </text>
    </comment>
    <comment ref="G32" authorId="0" shapeId="0">
      <text>
        <r>
          <rPr>
            <b/>
            <sz val="9"/>
            <color indexed="81"/>
            <rFont val="Tahoma"/>
            <family val="2"/>
          </rPr>
          <t>If Sale deed is provided</t>
        </r>
        <r>
          <rPr>
            <sz val="9"/>
            <color indexed="81"/>
            <rFont val="Tahoma"/>
            <family val="2"/>
          </rPr>
          <t xml:space="preserve">
</t>
        </r>
      </text>
    </comment>
    <comment ref="H32" authorId="0" shapeId="0">
      <text>
        <r>
          <rPr>
            <b/>
            <sz val="9"/>
            <color indexed="81"/>
            <rFont val="Tahoma"/>
            <family val="2"/>
          </rPr>
          <t>If Sale deed is provided</t>
        </r>
        <r>
          <rPr>
            <sz val="9"/>
            <color indexed="81"/>
            <rFont val="Tahoma"/>
            <family val="2"/>
          </rPr>
          <t xml:space="preserve">
</t>
        </r>
      </text>
    </comment>
    <comment ref="C47" authorId="0" shapeId="0">
      <text>
        <r>
          <rPr>
            <b/>
            <sz val="9"/>
            <color indexed="81"/>
            <rFont val="Tahoma"/>
            <family val="2"/>
          </rPr>
          <t>height should also be mentioned</t>
        </r>
      </text>
    </comment>
    <comment ref="C61" authorId="0" shapeId="0">
      <text>
        <r>
          <rPr>
            <b/>
            <sz val="9"/>
            <color indexed="81"/>
            <rFont val="Tahoma"/>
            <family val="2"/>
          </rPr>
          <t>RERA Start date</t>
        </r>
      </text>
    </comment>
    <comment ref="H94" authorId="0" shapeId="0">
      <text>
        <r>
          <rPr>
            <b/>
            <sz val="9"/>
            <color indexed="81"/>
            <rFont val="Tahoma"/>
            <family val="2"/>
          </rPr>
          <t>if multiple buildings are in project and are connected internally</t>
        </r>
      </text>
    </comment>
    <comment ref="C96" authorId="0" shapeId="0">
      <text>
        <r>
          <rPr>
            <b/>
            <sz val="9"/>
            <color indexed="81"/>
            <rFont val="Tahoma"/>
            <family val="2"/>
          </rPr>
          <t>AAC Block or Brick</t>
        </r>
      </text>
    </comment>
    <comment ref="H98" authorId="0" shapeId="0">
      <text>
        <r>
          <rPr>
            <b/>
            <sz val="9"/>
            <color indexed="81"/>
            <rFont val="Tahoma"/>
            <family val="2"/>
          </rPr>
          <t>If present on slopy area</t>
        </r>
        <r>
          <rPr>
            <sz val="9"/>
            <color indexed="81"/>
            <rFont val="Tahoma"/>
            <family val="2"/>
          </rPr>
          <t xml:space="preserve">
</t>
        </r>
      </text>
    </comment>
  </commentList>
</comments>
</file>

<file path=xl/sharedStrings.xml><?xml version="1.0" encoding="utf-8"?>
<sst xmlns="http://schemas.openxmlformats.org/spreadsheetml/2006/main" count="567" uniqueCount="317">
  <si>
    <t>Name of the project</t>
  </si>
  <si>
    <t xml:space="preserve">Address </t>
  </si>
  <si>
    <t>Name of the builder / developer</t>
  </si>
  <si>
    <t xml:space="preserve">Office address (agreement) </t>
  </si>
  <si>
    <t>Builder Bank Details</t>
  </si>
  <si>
    <t>Contact No.</t>
  </si>
  <si>
    <t>Village</t>
  </si>
  <si>
    <t>Other HFC's Approval / Funding</t>
  </si>
  <si>
    <t>No. of Tenements / Units in Project</t>
  </si>
  <si>
    <t>Verification of the schedule of the property</t>
  </si>
  <si>
    <t>Sale deed</t>
  </si>
  <si>
    <t>Physical on site</t>
  </si>
  <si>
    <t>North</t>
  </si>
  <si>
    <t>South</t>
  </si>
  <si>
    <t>East</t>
  </si>
  <si>
    <t>West</t>
  </si>
  <si>
    <t>Verification of survey No. (Title document)</t>
  </si>
  <si>
    <t xml:space="preserve">Approach road </t>
  </si>
  <si>
    <t>Yes/No</t>
  </si>
  <si>
    <t>Layout approval if applicable</t>
  </si>
  <si>
    <t>Building height / No. of Floors</t>
  </si>
  <si>
    <t>NA / Land conversion</t>
  </si>
  <si>
    <t>CONSTRUCTION PROGRESS</t>
  </si>
  <si>
    <t>Baseline start date</t>
  </si>
  <si>
    <t>Baseline finish date</t>
  </si>
  <si>
    <t>General comment on progress</t>
  </si>
  <si>
    <t>QUALITY/NDMC Parameters</t>
  </si>
  <si>
    <t>Type of Structure</t>
  </si>
  <si>
    <t>Expansion Joint Available</t>
  </si>
  <si>
    <t>Mortar Type</t>
  </si>
  <si>
    <t>Flood Prone Area</t>
  </si>
  <si>
    <t>Masonry Type</t>
  </si>
  <si>
    <t>Projected Parts Available</t>
  </si>
  <si>
    <t>Footing Type</t>
  </si>
  <si>
    <t>Fire Exit Available</t>
  </si>
  <si>
    <t>Soil Type</t>
  </si>
  <si>
    <t>Ground Slope &gt;20%</t>
  </si>
  <si>
    <t>Concrete Grade</t>
  </si>
  <si>
    <t>Ground Slope Vulnerable to land slide</t>
  </si>
  <si>
    <t>Steel Grade</t>
  </si>
  <si>
    <t>Soil liquefiable</t>
  </si>
  <si>
    <t>Cyclone Zone-Wind speed (m/s)</t>
  </si>
  <si>
    <t>Coastal regulatory Zone</t>
  </si>
  <si>
    <t>Seismic Zone</t>
  </si>
  <si>
    <t>Environment exposure condition</t>
  </si>
  <si>
    <t>BUILDING / BLOCK - Configuration Details</t>
  </si>
  <si>
    <t>Floors</t>
  </si>
  <si>
    <t>REMARKS ON RECOMMENDATION</t>
  </si>
  <si>
    <t>RERA No.-</t>
  </si>
  <si>
    <t>Cement &amp; Sand</t>
  </si>
  <si>
    <t>RCC</t>
  </si>
  <si>
    <t>Yes</t>
  </si>
  <si>
    <t>No</t>
  </si>
  <si>
    <t>Moderate</t>
  </si>
  <si>
    <t>III</t>
  </si>
  <si>
    <t>1BHK</t>
  </si>
  <si>
    <t>Progress %</t>
  </si>
  <si>
    <t>Construction details:</t>
  </si>
  <si>
    <t>Basement</t>
  </si>
  <si>
    <t>Ground</t>
  </si>
  <si>
    <t>Podium</t>
  </si>
  <si>
    <t>Type of Work</t>
  </si>
  <si>
    <t>Slab/Floor</t>
  </si>
  <si>
    <t>Complition %</t>
  </si>
  <si>
    <t>Piling Work in process</t>
  </si>
  <si>
    <t>Excavation</t>
  </si>
  <si>
    <t>Excavation in process</t>
  </si>
  <si>
    <t>Plinth</t>
  </si>
  <si>
    <t>Excavation Completed</t>
  </si>
  <si>
    <t>RCC (Including podiums)</t>
  </si>
  <si>
    <t>Footing in Process</t>
  </si>
  <si>
    <t>Brickwork</t>
  </si>
  <si>
    <t>Footing Completed</t>
  </si>
  <si>
    <t>Internal Plaster</t>
  </si>
  <si>
    <t>Basement 1</t>
  </si>
  <si>
    <t>Ext. Plaster &amp; Plumbing</t>
  </si>
  <si>
    <t>Basement 2</t>
  </si>
  <si>
    <t>Flooring &amp; Fitting</t>
  </si>
  <si>
    <t>Basement 3</t>
  </si>
  <si>
    <t>Painting &amp; Wooden</t>
  </si>
  <si>
    <t>Basement 4</t>
  </si>
  <si>
    <t>Building Common Amenities</t>
  </si>
  <si>
    <t>Plinth in process</t>
  </si>
  <si>
    <t>Possession</t>
  </si>
  <si>
    <t>Plinth completed</t>
  </si>
  <si>
    <t xml:space="preserve">APF Valuation Report </t>
  </si>
  <si>
    <t>Approved Plan</t>
  </si>
  <si>
    <t>Location of the project 
Municipal Limit :</t>
  </si>
  <si>
    <t>Project Type
(Apartments/Plot/ Combined)</t>
  </si>
  <si>
    <t>Geo Coordinates</t>
  </si>
  <si>
    <t>Landmark</t>
  </si>
  <si>
    <t>None</t>
  </si>
  <si>
    <t>No of Wings / Buildings</t>
  </si>
  <si>
    <t>Description</t>
  </si>
  <si>
    <t xml:space="preserve">Approval Detail : Plan approval </t>
  </si>
  <si>
    <t>Total land area of the project in Sq. Mt.</t>
  </si>
  <si>
    <t>Permissible FSI</t>
  </si>
  <si>
    <t>Permissible TDR/Paid FSI</t>
  </si>
  <si>
    <t>Total FSI availaible for the project</t>
  </si>
  <si>
    <t>Total Approved Builtup area of the project (Sq.Mt)</t>
  </si>
  <si>
    <t>Building plan approvals - Approval No :</t>
  </si>
  <si>
    <t>Project Details</t>
  </si>
  <si>
    <t xml:space="preserve">Name of Valuation Agency </t>
  </si>
  <si>
    <t>Date of
Initiation</t>
  </si>
  <si>
    <t>Date &amp; Time of Site Visit</t>
  </si>
  <si>
    <t>Date of Report
Release</t>
  </si>
  <si>
    <t xml:space="preserve">Branch Name/ID </t>
  </si>
  <si>
    <t>Name of the person met at site &amp; Contact No</t>
  </si>
  <si>
    <t>V.S.JADON &amp; CO VALUERS LLP</t>
  </si>
  <si>
    <t>Builder Office Verified</t>
  </si>
  <si>
    <t>Name of the authority :</t>
  </si>
  <si>
    <t>Reference No :</t>
  </si>
  <si>
    <t xml:space="preserve"> Building No.4 = G + 3rd Floor</t>
  </si>
  <si>
    <t xml:space="preserve">Speed of Construction is Average. </t>
  </si>
  <si>
    <t>Recommended Rates of the Property :</t>
  </si>
  <si>
    <t>Recommended rate of the flat Per Sq. Ft. ( on Saleable area)</t>
  </si>
  <si>
    <t>Recommended of Parking ( If Available)</t>
  </si>
  <si>
    <t>Name of Engineer Visited the property</t>
  </si>
  <si>
    <t xml:space="preserve">Authorized Signatory
Name &amp; Seal of the agency
                                               </t>
  </si>
  <si>
    <t>Photographs Of Property :</t>
  </si>
  <si>
    <t xml:space="preserve">Google Map : </t>
  </si>
  <si>
    <t>Isolated Footing</t>
  </si>
  <si>
    <t>FE415</t>
  </si>
  <si>
    <t>Connectivity</t>
  </si>
  <si>
    <t>Exposure Limit
(Proposed)</t>
  </si>
  <si>
    <t>1st Floor</t>
  </si>
  <si>
    <t>2nd Floor</t>
  </si>
  <si>
    <t>44 meter per sec</t>
  </si>
  <si>
    <t>Alluvial Soil</t>
  </si>
  <si>
    <t>Total Permissible Builtup area of the project (Sq.Mt)</t>
  </si>
  <si>
    <t>Plot area mentioned in the sale deed (As per 7/12)</t>
  </si>
  <si>
    <t>Plot area mentioned in the approved drg. on which FSI/FAR calculations computed (Net Plot Area)</t>
  </si>
  <si>
    <t>Stage of construction</t>
  </si>
  <si>
    <t>Taluka</t>
  </si>
  <si>
    <t>District</t>
  </si>
  <si>
    <t>Pincode</t>
  </si>
  <si>
    <t>Geo Link</t>
  </si>
  <si>
    <t xml:space="preserve">Stage of construction: </t>
  </si>
  <si>
    <t>All work Completed. OC Received.</t>
  </si>
  <si>
    <t>Project Progress %</t>
  </si>
  <si>
    <t>AAC Block/ Brick</t>
  </si>
  <si>
    <t>M20</t>
  </si>
  <si>
    <t>Saleable Area Sq.Ft.
Loading:</t>
  </si>
  <si>
    <t>Layout Of Property :</t>
  </si>
  <si>
    <t>Office No. 1031, Wing J, Akshar Business Park, Plot No. 03 Sector 25, Near APMC Market, Vashi, Navi Mumbai, Maharashtra 400703 TEL: 022-46090378/79/80                                                                       
E mail : vsjcapf@gmail.com. Web site : www.vsjadon.com</t>
  </si>
  <si>
    <t xml:space="preserve">Latitude, Longitude   </t>
  </si>
  <si>
    <t>Road</t>
  </si>
  <si>
    <t>City</t>
  </si>
  <si>
    <t xml:space="preserve">Thane </t>
  </si>
  <si>
    <t>Palghar</t>
  </si>
  <si>
    <t>Mumbai</t>
  </si>
  <si>
    <t>Raigad</t>
  </si>
  <si>
    <t>Pune</t>
  </si>
  <si>
    <t>Thane</t>
  </si>
  <si>
    <t>Mokhada</t>
  </si>
  <si>
    <t>Andheri</t>
  </si>
  <si>
    <t>Alibag</t>
  </si>
  <si>
    <t>Pune City</t>
  </si>
  <si>
    <t>Shahpur</t>
  </si>
  <si>
    <t>Talasari</t>
  </si>
  <si>
    <t>Borivali</t>
  </si>
  <si>
    <t>Panvel</t>
  </si>
  <si>
    <t>Haveli</t>
  </si>
  <si>
    <t>Kalyan</t>
  </si>
  <si>
    <t>Vasai</t>
  </si>
  <si>
    <t>Kurla</t>
  </si>
  <si>
    <t>Uran</t>
  </si>
  <si>
    <t>Khed</t>
  </si>
  <si>
    <t>Bhiwandi</t>
  </si>
  <si>
    <t>Vikramgad</t>
  </si>
  <si>
    <t>Karjat</t>
  </si>
  <si>
    <t>Baramati</t>
  </si>
  <si>
    <t>Ulhasnagar</t>
  </si>
  <si>
    <t>Khalapur</t>
  </si>
  <si>
    <t>Junnar</t>
  </si>
  <si>
    <t>Ambernath</t>
  </si>
  <si>
    <t>Dahanu</t>
  </si>
  <si>
    <t>Pen</t>
  </si>
  <si>
    <t>Shirur</t>
  </si>
  <si>
    <t>Murbad</t>
  </si>
  <si>
    <t>Wada</t>
  </si>
  <si>
    <t>Sudhagad</t>
  </si>
  <si>
    <t>Indapur</t>
  </si>
  <si>
    <t>Mahad</t>
  </si>
  <si>
    <t>Daund</t>
  </si>
  <si>
    <t>Roha</t>
  </si>
  <si>
    <t>Mawal</t>
  </si>
  <si>
    <t>Mangaon</t>
  </si>
  <si>
    <t>Ambegaon</t>
  </si>
  <si>
    <t>Poladpur</t>
  </si>
  <si>
    <t>Purandhar</t>
  </si>
  <si>
    <t>Mahasala</t>
  </si>
  <si>
    <t>Bhor</t>
  </si>
  <si>
    <t>Shriwardhan</t>
  </si>
  <si>
    <t>Mulshi</t>
  </si>
  <si>
    <t>Murud</t>
  </si>
  <si>
    <t>Velhe</t>
  </si>
  <si>
    <t>Commercial Area Details :</t>
  </si>
  <si>
    <t>Building &amp; Wing</t>
  </si>
  <si>
    <t>No. of Units</t>
  </si>
  <si>
    <t>Total Carpet Area</t>
  </si>
  <si>
    <t>Total Saleable Area</t>
  </si>
  <si>
    <t>Total</t>
  </si>
  <si>
    <t>Residential Area Details :</t>
  </si>
  <si>
    <t>Grand Total</t>
  </si>
  <si>
    <t>Approved No. of Floor</t>
  </si>
  <si>
    <t>Proposed No. of Floor</t>
  </si>
  <si>
    <t>Ground Floor</t>
  </si>
  <si>
    <t>Flat No.
(Approved
Plan)</t>
  </si>
  <si>
    <t>Flat No. (Sale Plan)</t>
  </si>
  <si>
    <t>Carpet area</t>
  </si>
  <si>
    <t>Fungible area</t>
  </si>
  <si>
    <t>Gross Carpet area</t>
  </si>
  <si>
    <t>Attached Terrace area</t>
  </si>
  <si>
    <t>Attached Loft area</t>
  </si>
  <si>
    <t>Shop</t>
  </si>
  <si>
    <t xml:space="preserve">Details of Residential &amp; Commercials in Building   </t>
  </si>
  <si>
    <t>Shop No.
(Approved
Plan)</t>
  </si>
  <si>
    <t>Shop No. (Sale Plan)</t>
  </si>
  <si>
    <t>AAC block or Bricks, Cement bags, aggregate, Sand, etc found on site in average quantity.</t>
  </si>
  <si>
    <t xml:space="preserve">Labours found on site at the time of visit. </t>
  </si>
  <si>
    <t>We considered Carpet area as per Approved Plan.</t>
  </si>
  <si>
    <t>We have considered rate by verifying it from market inquire.</t>
  </si>
  <si>
    <t>Recommended rate should be considered as all inclusive rate if other charges are not mentioned. (Excluding GST &amp; other government Taxes)</t>
  </si>
  <si>
    <t>Car parking is subjected to authentic documentation.</t>
  </si>
  <si>
    <t>On Site, we meet Mr. .....</t>
  </si>
  <si>
    <t>We considered  Saleable area  as per our calculation. Loading</t>
  </si>
  <si>
    <t xml:space="preserve">Date </t>
  </si>
  <si>
    <t>Other statutory permissions</t>
  </si>
  <si>
    <t>NA</t>
  </si>
  <si>
    <t xml:space="preserve">Fire Noc No
Valid Up to: </t>
  </si>
  <si>
    <t xml:space="preserve">Environmental Clearance Certificate (EC) No
Valid Up for: </t>
  </si>
  <si>
    <t xml:space="preserve">Airport Noc No
Valid Up for: </t>
  </si>
  <si>
    <t xml:space="preserve">Valid upto Dated </t>
  </si>
  <si>
    <t xml:space="preserve">Site Elevation (AMSL) = 
Permissible Top Elevation (AMSL) = </t>
  </si>
  <si>
    <t xml:space="preserve">Date - - Valid For one Year
Area - </t>
  </si>
  <si>
    <t>``</t>
  </si>
  <si>
    <t>Validity &amp; Area mentioned:</t>
  </si>
  <si>
    <t>Mahindra Rural Housing Finance - Thane</t>
  </si>
  <si>
    <t>Puraniks Unicorn Phase I &amp; II</t>
  </si>
  <si>
    <t>55/1/C &amp; 55/1/G</t>
  </si>
  <si>
    <t>Survey No</t>
  </si>
  <si>
    <t>Mogharpada</t>
  </si>
  <si>
    <t>Ghodbunder Road</t>
  </si>
  <si>
    <t>Thane West</t>
  </si>
  <si>
    <t>Phase I = P51700032292
Phase II = P51700047561</t>
  </si>
  <si>
    <t>Puranik City Reserva</t>
  </si>
  <si>
    <t>19.2785976,72.9662376</t>
  </si>
  <si>
    <t>https://maps.app.goo.gl/e7tjfmHNEGAZC7bz6</t>
  </si>
  <si>
    <t>M/s.Puranik Builders Limited</t>
  </si>
  <si>
    <t>Thane Municipal Corporation (TMC)</t>
  </si>
  <si>
    <t>Apartments + Shop</t>
  </si>
  <si>
    <t>1. 2.1Km from Arunodaya Public School
2. 2.7Km from Ryan International School, Thane
3. 1.0Km from Brahmand Multispeciality Hospital
4. 1.6Km from Oscar Hospital
5. 1.2Km from Mahalaxmi Super Market
6. 2.4Km from Eden Super Market
7. 0.95Km from Ratneshwar Shiv Temple
8. 1.6Km from Om Vitthal Rakhumai Mandir
9. 1.7Km from Poushmata Mandir Bus Stop
10. 13.9Km from Thane Railway Station</t>
  </si>
  <si>
    <t>Yes, Approx 65ft</t>
  </si>
  <si>
    <t>Other Plot/ Nala</t>
  </si>
  <si>
    <t>Nala</t>
  </si>
  <si>
    <t>Other Plot</t>
  </si>
  <si>
    <t>20 M W DP Raod</t>
  </si>
  <si>
    <t>Open Plot</t>
  </si>
  <si>
    <t>Raod</t>
  </si>
  <si>
    <t>S06/0367/21 TMC/TD-DP/TPS/4309/23</t>
  </si>
  <si>
    <t>Survey No. 55, Hissa No. 1C &amp; Survey No. 55, Hissa No. 1G</t>
  </si>
  <si>
    <t>Puraniks One, Ghodbunder Road, Near Kanchan Pushpa, Opp. Suraj Water Par, Thane, 400615</t>
  </si>
  <si>
    <t>HDFC BANK
IFSC Code : HDFC0001440</t>
  </si>
  <si>
    <t>Mr. Pankaj Mhatre 8169147639</t>
  </si>
  <si>
    <t>SIA/MH/MIS/243404/2021</t>
  </si>
  <si>
    <t>Survey No. 55/1/C &amp; 55/1/G
Total Builtup Area = 40146.83 Sq.m.</t>
  </si>
  <si>
    <t xml:space="preserve">NA
</t>
  </si>
  <si>
    <t>Construction/Building Permission
Valid Upto</t>
  </si>
  <si>
    <t>Phase I - 22/12/2021
Phase II - 09/11/2022</t>
  </si>
  <si>
    <t>Phase I - 31/12/2028
Phase II - 31/12/2029</t>
  </si>
  <si>
    <t>Phase I - T6A = LG + UG + 1st to 32nd Floor (Total Height = 96.60 Mtrs)
Phase II  - T6B = LG + UG + 1st to 32nd Floor (Total Height = 96.60 Mtrs)</t>
  </si>
  <si>
    <t>Phase I - T6A = LG + UG + 1st to 32nd Floor
Phase II  - T6B = LG + UG + 1st to 32nd Floor</t>
  </si>
  <si>
    <r>
      <t xml:space="preserve">Phase I - T6A = LG + UG + 1st to 32nd Floor
</t>
    </r>
    <r>
      <rPr>
        <sz val="10"/>
        <rFont val="Times New Roman"/>
        <family val="1"/>
      </rPr>
      <t>Phase II  - T6B = LG + UG + 1st to 33rd Floor</t>
    </r>
  </si>
  <si>
    <t xml:space="preserve">Phase II </t>
  </si>
  <si>
    <t>Building T6B</t>
  </si>
  <si>
    <t>Lower Ground Floor For Society Office/Letter Box Room, Meter Room, Drivers Room, Fire Control Room, 
Entrance Lobby &amp; Parking</t>
  </si>
  <si>
    <t>Upper Ground Floor For Commercial, Residential, Creche/Fit Center, LV Room &amp; Parking</t>
  </si>
  <si>
    <t>Building T6A</t>
  </si>
  <si>
    <t>Phase I</t>
  </si>
  <si>
    <t>Lower Ground Floor For Meter Room, Letter Room, Fire Control Room &amp; Parking</t>
  </si>
  <si>
    <t>Upper Ground Floor For Residential, Driver Room, Society Office, Creche/Fit Center, 
Electric Room, LV Room &amp; Parking</t>
  </si>
  <si>
    <t>-</t>
  </si>
  <si>
    <t>Parking</t>
  </si>
  <si>
    <t>Electric Room/ LV Room/Parking</t>
  </si>
  <si>
    <t>Society Office/Parking</t>
  </si>
  <si>
    <t>Driver Room/Parking</t>
  </si>
  <si>
    <t>Creche/Fit Center</t>
  </si>
  <si>
    <t>2BHK</t>
  </si>
  <si>
    <t>1st to 5th, 7th to 10th, 12th to 15th, 17th to 20th, 22nd to 25th, 27th to 30th &amp; 32nd Floor For Residential</t>
  </si>
  <si>
    <t>6th, 11th, 16th, 21st, 26th &amp; 31st Floor (Part Refuge Area)</t>
  </si>
  <si>
    <t>Refuge Area</t>
  </si>
  <si>
    <t>Phase I - Celestia T6A
Phase II  - Asta T6B</t>
  </si>
  <si>
    <t>Upper Ground Floor For Residential, Commercial, Creche/Fit Center, Electrical Room, 
LV Room &amp; Parking</t>
  </si>
  <si>
    <t>Electrical Room/LV Room/Parking</t>
  </si>
  <si>
    <t>Commercial</t>
  </si>
  <si>
    <t>1st Floor For Residential</t>
  </si>
  <si>
    <t>2nd to 7th, 9th to 12th, 14th to 17th, 19th to 22nd, 24th to 27th &amp; 29th to 31st Floor For Residential</t>
  </si>
  <si>
    <t>8th, 13th, 18th, 23rd &amp; 28th  Floor (Part Refuge Area)</t>
  </si>
  <si>
    <t>32nd Floor (Part Terrace Area)</t>
  </si>
  <si>
    <t>Terrace Area</t>
  </si>
  <si>
    <r>
      <t>Remark (</t>
    </r>
    <r>
      <rPr>
        <sz val="10"/>
        <rFont val="Times New Roman"/>
        <family val="1"/>
      </rPr>
      <t>Flat configuration /Bungalows, etc.)</t>
    </r>
  </si>
  <si>
    <t>Flats = 502, Shop = 15</t>
  </si>
  <si>
    <t xml:space="preserve">Phase I - T6A = LG + UG + 1st to 32nd Floor </t>
  </si>
  <si>
    <t>We considered Gross carpet area = Net carpet .</t>
  </si>
  <si>
    <t>We have referred Environmental Clearance Certificate from Official Parivesh site.</t>
  </si>
  <si>
    <t xml:space="preserve">Construction work is in process at the time of Visit.
Construction work was not active at the time of Visit. (labour Not found)
All work completed. Wait for OC / OC received.
Work not yet Started.
</t>
  </si>
  <si>
    <t>Phase II - T6B = LG + UG + 1st to 32nd Floor</t>
  </si>
  <si>
    <t>Mr. Ajay Songare</t>
  </si>
  <si>
    <t>Nala is located at north &amp; east side of the project.</t>
  </si>
  <si>
    <t>3,00,000/-</t>
  </si>
  <si>
    <t xml:space="preserve">We have not drafted Terrace Area of Building T6B, Flat no. 103 &amp; 104 due to improper dimentions.
</t>
  </si>
  <si>
    <t xml:space="preserve">S06/0367/21 TMC/TDD/TPS/4309/23
Phase I - T6A =LG + UG + 1st to 32nd Floor 
Phase II  - T6B = LG + UG + 1st to 31st Floor </t>
  </si>
  <si>
    <t>Please provide Fire NOC for Building T6A.</t>
  </si>
  <si>
    <t>12/09/2025 at 15:30</t>
  </si>
  <si>
    <r>
      <t xml:space="preserve">TMC/CFO/M/HR/141/110
Valid Upto : </t>
    </r>
    <r>
      <rPr>
        <b/>
        <sz val="10"/>
        <color rgb="FF000000"/>
        <rFont val="Times New Roman"/>
        <family val="1"/>
      </rPr>
      <t>T6B</t>
    </r>
    <r>
      <rPr>
        <sz val="10"/>
        <color rgb="FF000000"/>
        <rFont val="Times New Roman"/>
        <family val="1"/>
      </rPr>
      <t xml:space="preserve"> = LG + UG + 1st to 33rd Floor (Total Height = 103.85 Mtrs)</t>
    </r>
  </si>
  <si>
    <r>
      <t xml:space="preserve">TMC/CFO/M/HR/97/112
Valid Upto : </t>
    </r>
    <r>
      <rPr>
        <b/>
        <sz val="10"/>
        <color rgb="FF000000"/>
        <rFont val="Times New Roman"/>
        <family val="1"/>
      </rPr>
      <t>T6A</t>
    </r>
    <r>
      <rPr>
        <sz val="10"/>
        <color rgb="FF000000"/>
        <rFont val="Times New Roman"/>
        <family val="1"/>
      </rPr>
      <t xml:space="preserve"> = LG + G + 1P + 1st to 32nd Floor (Total Height = 101 Mtrs)</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</si>
</sst>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0.0"/>
  </numFmts>
  <fonts count="17" x14ac:knownFonts="1">
    <font>
      <sz val="11"/>
      <color theme="1"/>
      <name val="Calibri"/>
      <family val="2"/>
      <scheme val="minor"/>
    </font>
    <font>
      <b/>
      <sz val="10"/>
      <color theme="1"/>
      <name val="Times New Roman"/>
      <family val="1"/>
    </font>
    <font>
      <sz val="11"/>
      <color theme="1"/>
      <name val="Calibri"/>
      <family val="2"/>
      <scheme val="minor"/>
    </font>
    <font>
      <b/>
      <sz val="11"/>
      <color theme="1"/>
      <name val="Times New Roman"/>
      <family val="1"/>
    </font>
    <font>
      <sz val="10"/>
      <color theme="1"/>
      <name val="Calibri"/>
      <family val="2"/>
      <scheme val="minor"/>
    </font>
    <font>
      <sz val="10"/>
      <color rgb="FF000000"/>
      <name val="Times New Roman"/>
      <family val="1"/>
    </font>
    <font>
      <sz val="10"/>
      <color theme="1"/>
      <name val="Times New Roman"/>
      <family val="1"/>
    </font>
    <font>
      <b/>
      <sz val="10"/>
      <name val="Times New Roman"/>
      <family val="1"/>
    </font>
    <font>
      <sz val="10"/>
      <name val="Times New Roman"/>
      <family val="1"/>
    </font>
    <font>
      <b/>
      <sz val="10"/>
      <color rgb="FF000000"/>
      <name val="Times New Roman"/>
      <family val="1"/>
    </font>
    <font>
      <b/>
      <sz val="11"/>
      <color rgb="FF000000"/>
      <name val="Times New Roman"/>
      <family val="1"/>
    </font>
    <font>
      <b/>
      <sz val="10"/>
      <color rgb="FFFF0000"/>
      <name val="Times New Roman"/>
      <family val="1"/>
    </font>
    <font>
      <sz val="10"/>
      <color rgb="FFE3F2F3"/>
      <name val="Times New Roman"/>
      <family val="1"/>
    </font>
    <font>
      <sz val="9"/>
      <color indexed="81"/>
      <name val="Tahoma"/>
      <family val="2"/>
    </font>
    <font>
      <b/>
      <sz val="9"/>
      <color indexed="81"/>
      <name val="Tahoma"/>
      <family val="2"/>
    </font>
    <font>
      <b/>
      <sz val="11"/>
      <color indexed="81"/>
      <name val="Tahoma"/>
      <family val="2"/>
    </font>
    <font>
      <u/>
      <sz val="11"/>
      <color theme="10"/>
      <name val="Calibri"/>
      <family val="2"/>
      <scheme val="minor"/>
    </font>
  </fonts>
  <fills count="6">
    <fill>
      <patternFill patternType="none"/>
    </fill>
    <fill>
      <patternFill patternType="gray125"/>
    </fill>
    <fill>
      <patternFill patternType="solid">
        <fgColor theme="8" tint="0.59999389629810485"/>
        <bgColor indexed="64"/>
      </patternFill>
    </fill>
    <fill>
      <patternFill patternType="solid">
        <fgColor rgb="FFE3F2F3"/>
        <bgColor indexed="64"/>
      </patternFill>
    </fill>
    <fill>
      <patternFill patternType="solid">
        <fgColor rgb="FFE5EEF1"/>
        <bgColor indexed="64"/>
      </patternFill>
    </fill>
    <fill>
      <patternFill patternType="solid">
        <fgColor theme="8" tint="0.79998168889431442"/>
        <bgColor indexed="64"/>
      </patternFill>
    </fill>
  </fills>
  <borders count="36">
    <border>
      <left/>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s>
  <cellStyleXfs count="4">
    <xf numFmtId="0" fontId="0" fillId="0" borderId="0"/>
    <xf numFmtId="0" fontId="2" fillId="0" borderId="0"/>
    <xf numFmtId="9" fontId="2" fillId="0" borderId="0" applyFont="0" applyFill="0" applyBorder="0" applyAlignment="0" applyProtection="0"/>
    <xf numFmtId="0" fontId="16" fillId="0" borderId="0" applyNumberFormat="0" applyFill="0" applyBorder="0" applyAlignment="0" applyProtection="0"/>
  </cellStyleXfs>
  <cellXfs count="289">
    <xf numFmtId="0" fontId="0" fillId="0" borderId="0" xfId="0"/>
    <xf numFmtId="0" fontId="5" fillId="0" borderId="0" xfId="0" applyFont="1" applyFill="1" applyBorder="1" applyProtection="1">
      <protection hidden="1"/>
    </xf>
    <xf numFmtId="0" fontId="8" fillId="4" borderId="5" xfId="1" applyFont="1" applyFill="1" applyBorder="1" applyAlignment="1" applyProtection="1">
      <alignment horizontal="center" vertical="top" wrapText="1"/>
      <protection locked="0"/>
    </xf>
    <xf numFmtId="0" fontId="8" fillId="4" borderId="4" xfId="1" applyFont="1" applyFill="1" applyBorder="1" applyAlignment="1" applyProtection="1">
      <alignment horizontal="center" vertical="top" wrapText="1"/>
      <protection locked="0"/>
    </xf>
    <xf numFmtId="0" fontId="8" fillId="4" borderId="4" xfId="1" applyFont="1" applyFill="1" applyBorder="1" applyAlignment="1" applyProtection="1">
      <alignment horizontal="center" wrapText="1"/>
      <protection locked="0"/>
    </xf>
    <xf numFmtId="1" fontId="8" fillId="4" borderId="4" xfId="1" applyNumberFormat="1" applyFont="1" applyFill="1" applyBorder="1" applyAlignment="1" applyProtection="1">
      <alignment horizontal="center" wrapText="1"/>
      <protection locked="0"/>
    </xf>
    <xf numFmtId="0" fontId="6" fillId="0" borderId="0" xfId="0" applyFont="1"/>
    <xf numFmtId="0" fontId="8" fillId="2" borderId="4" xfId="1" applyFont="1" applyFill="1" applyBorder="1" applyAlignment="1" applyProtection="1">
      <alignment horizontal="center" vertical="center"/>
      <protection locked="0"/>
    </xf>
    <xf numFmtId="0" fontId="8" fillId="2" borderId="6" xfId="1" applyFont="1" applyFill="1" applyBorder="1" applyAlignment="1" applyProtection="1">
      <alignment horizontal="center" vertical="center"/>
      <protection locked="0"/>
    </xf>
    <xf numFmtId="0" fontId="8" fillId="2" borderId="16" xfId="1" applyFont="1" applyFill="1" applyBorder="1" applyAlignment="1" applyProtection="1">
      <alignment horizontal="center" vertical="center"/>
      <protection locked="0"/>
    </xf>
    <xf numFmtId="0" fontId="8" fillId="2" borderId="17" xfId="1" applyFont="1" applyFill="1" applyBorder="1" applyAlignment="1" applyProtection="1">
      <alignment horizontal="center" vertical="center"/>
      <protection locked="0"/>
    </xf>
    <xf numFmtId="0" fontId="1" fillId="2" borderId="4" xfId="0" applyFont="1" applyFill="1" applyBorder="1" applyAlignment="1">
      <alignment horizontal="left" vertical="center" wrapText="1"/>
    </xf>
    <xf numFmtId="0" fontId="1" fillId="2" borderId="4" xfId="0" applyFont="1" applyFill="1" applyBorder="1" applyAlignment="1">
      <alignment horizontal="left" vertical="center"/>
    </xf>
    <xf numFmtId="0" fontId="9" fillId="3" borderId="4" xfId="0" applyFont="1" applyFill="1" applyBorder="1" applyAlignment="1">
      <alignment horizontal="left" vertical="top" wrapText="1"/>
    </xf>
    <xf numFmtId="0" fontId="9" fillId="2" borderId="4" xfId="0" applyFont="1" applyFill="1" applyBorder="1" applyAlignment="1">
      <alignment horizontal="center" vertical="top" wrapText="1"/>
    </xf>
    <xf numFmtId="0" fontId="5" fillId="3" borderId="4" xfId="0" applyFont="1" applyFill="1" applyBorder="1" applyAlignment="1">
      <alignment horizontal="center" vertical="center" wrapText="1"/>
    </xf>
    <xf numFmtId="0" fontId="5" fillId="3" borderId="4" xfId="0" applyFont="1" applyFill="1" applyBorder="1" applyAlignment="1">
      <alignment horizontal="center" vertical="center"/>
    </xf>
    <xf numFmtId="1" fontId="5" fillId="3" borderId="4" xfId="0" applyNumberFormat="1" applyFont="1" applyFill="1" applyBorder="1" applyAlignment="1">
      <alignment horizontal="center" vertical="center"/>
    </xf>
    <xf numFmtId="0" fontId="6" fillId="0" borderId="0" xfId="0" applyFont="1" applyFill="1"/>
    <xf numFmtId="0" fontId="5" fillId="3" borderId="4"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4"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9" fillId="2" borderId="14" xfId="0" applyFont="1" applyFill="1" applyBorder="1" applyAlignment="1">
      <alignment horizontal="center" vertical="top" wrapText="1"/>
    </xf>
    <xf numFmtId="9" fontId="9" fillId="2" borderId="13" xfId="0" applyNumberFormat="1" applyFont="1" applyFill="1" applyBorder="1" applyAlignment="1">
      <alignment horizontal="center" vertical="top" wrapText="1"/>
    </xf>
    <xf numFmtId="0" fontId="8" fillId="4" borderId="7" xfId="1" applyFont="1" applyFill="1" applyBorder="1" applyAlignment="1" applyProtection="1">
      <alignment horizontal="center" vertical="top" wrapText="1"/>
      <protection locked="0"/>
    </xf>
    <xf numFmtId="9" fontId="8" fillId="4" borderId="7" xfId="1" applyNumberFormat="1" applyFont="1" applyFill="1" applyBorder="1" applyAlignment="1" applyProtection="1">
      <alignment horizontal="center" vertical="center" wrapText="1"/>
      <protection hidden="1"/>
    </xf>
    <xf numFmtId="0" fontId="8" fillId="2" borderId="14" xfId="1" applyFont="1" applyFill="1" applyBorder="1" applyAlignment="1" applyProtection="1">
      <alignment horizontal="center" vertical="center"/>
      <protection locked="0"/>
    </xf>
    <xf numFmtId="0" fontId="8" fillId="4" borderId="14" xfId="1" applyFont="1" applyFill="1" applyBorder="1" applyAlignment="1" applyProtection="1">
      <alignment horizontal="center" vertical="top" wrapText="1"/>
      <protection locked="0"/>
    </xf>
    <xf numFmtId="9" fontId="8" fillId="4" borderId="26" xfId="1" applyNumberFormat="1" applyFont="1" applyFill="1" applyBorder="1" applyAlignment="1" applyProtection="1">
      <alignment horizontal="center" vertical="center"/>
      <protection hidden="1"/>
    </xf>
    <xf numFmtId="9" fontId="12" fillId="4" borderId="14" xfId="1" applyNumberFormat="1" applyFont="1" applyFill="1" applyBorder="1" applyAlignment="1" applyProtection="1">
      <alignment horizontal="left" vertical="center"/>
      <protection hidden="1"/>
    </xf>
    <xf numFmtId="9" fontId="12" fillId="4" borderId="26" xfId="1" applyNumberFormat="1" applyFont="1" applyFill="1" applyBorder="1" applyAlignment="1" applyProtection="1">
      <alignment horizontal="left" vertical="center"/>
      <protection hidden="1"/>
    </xf>
    <xf numFmtId="0" fontId="6" fillId="0" borderId="24" xfId="1" applyFont="1" applyBorder="1"/>
    <xf numFmtId="0" fontId="5" fillId="0" borderId="19" xfId="0" applyNumberFormat="1" applyFont="1" applyBorder="1" applyProtection="1">
      <protection hidden="1"/>
    </xf>
    <xf numFmtId="1" fontId="4" fillId="0" borderId="19" xfId="0" applyNumberFormat="1" applyFont="1" applyBorder="1"/>
    <xf numFmtId="1" fontId="4" fillId="0" borderId="19" xfId="0" applyNumberFormat="1" applyFont="1" applyBorder="1" applyAlignment="1">
      <alignment horizontal="right"/>
    </xf>
    <xf numFmtId="1" fontId="4" fillId="0" borderId="22" xfId="0" applyNumberFormat="1" applyFont="1" applyBorder="1"/>
    <xf numFmtId="0" fontId="5" fillId="0" borderId="25" xfId="0" applyFont="1" applyFill="1" applyBorder="1" applyProtection="1">
      <protection hidden="1"/>
    </xf>
    <xf numFmtId="0" fontId="5" fillId="0" borderId="21" xfId="0" applyFont="1" applyFill="1" applyBorder="1" applyProtection="1">
      <protection hidden="1"/>
    </xf>
    <xf numFmtId="0" fontId="8" fillId="4" borderId="11" xfId="1" applyFont="1" applyFill="1" applyBorder="1" applyAlignment="1" applyProtection="1">
      <alignment horizontal="center" vertical="top" wrapText="1"/>
      <protection locked="0"/>
    </xf>
    <xf numFmtId="0" fontId="8" fillId="4" borderId="12" xfId="1" applyFont="1" applyFill="1" applyBorder="1" applyAlignment="1" applyProtection="1">
      <alignment horizontal="center" wrapText="1"/>
      <protection locked="0"/>
    </xf>
    <xf numFmtId="9" fontId="8" fillId="4" borderId="27" xfId="1" applyNumberFormat="1" applyFont="1" applyFill="1" applyBorder="1" applyAlignment="1" applyProtection="1">
      <alignment horizontal="center" vertical="center" wrapText="1"/>
      <protection hidden="1"/>
    </xf>
    <xf numFmtId="9" fontId="12" fillId="4" borderId="28" xfId="1" applyNumberFormat="1" applyFont="1" applyFill="1" applyBorder="1" applyAlignment="1" applyProtection="1">
      <alignment horizontal="left" vertical="center"/>
      <protection hidden="1"/>
    </xf>
    <xf numFmtId="0" fontId="6" fillId="2" borderId="16" xfId="1" applyFont="1" applyFill="1" applyBorder="1" applyAlignment="1" applyProtection="1">
      <alignment horizontal="center" vertical="center"/>
      <protection locked="0"/>
    </xf>
    <xf numFmtId="0" fontId="6" fillId="2" borderId="17" xfId="1" applyFont="1" applyFill="1" applyBorder="1" applyAlignment="1" applyProtection="1">
      <alignment horizontal="center" vertical="center"/>
      <protection locked="0"/>
    </xf>
    <xf numFmtId="0" fontId="6" fillId="0" borderId="30" xfId="1" applyFont="1" applyFill="1" applyBorder="1" applyProtection="1">
      <protection hidden="1"/>
    </xf>
    <xf numFmtId="0" fontId="6" fillId="0" borderId="31" xfId="1" applyFont="1" applyBorder="1" applyProtection="1">
      <protection hidden="1"/>
    </xf>
    <xf numFmtId="0" fontId="6" fillId="2" borderId="4" xfId="1" applyFont="1" applyFill="1" applyBorder="1" applyAlignment="1" applyProtection="1">
      <alignment horizontal="center" vertical="center"/>
      <protection locked="0"/>
    </xf>
    <xf numFmtId="0" fontId="6" fillId="2" borderId="6" xfId="1" applyFont="1" applyFill="1" applyBorder="1" applyAlignment="1" applyProtection="1">
      <alignment horizontal="center" vertical="center"/>
      <protection locked="0"/>
    </xf>
    <xf numFmtId="0" fontId="6" fillId="0" borderId="0" xfId="1" applyFont="1" applyFill="1" applyBorder="1" applyProtection="1">
      <protection hidden="1"/>
    </xf>
    <xf numFmtId="0" fontId="6" fillId="0" borderId="3" xfId="1" applyFont="1" applyBorder="1" applyProtection="1">
      <protection hidden="1"/>
    </xf>
    <xf numFmtId="0" fontId="6" fillId="3" borderId="4" xfId="1" applyFont="1" applyFill="1" applyBorder="1" applyAlignment="1" applyProtection="1">
      <alignment horizontal="center" vertical="top" wrapText="1"/>
      <protection locked="0"/>
    </xf>
    <xf numFmtId="0" fontId="6" fillId="0" borderId="3" xfId="1" applyFont="1" applyBorder="1"/>
    <xf numFmtId="0" fontId="6" fillId="3" borderId="4" xfId="1" applyFont="1" applyFill="1" applyBorder="1" applyAlignment="1" applyProtection="1">
      <alignment horizontal="center" wrapText="1"/>
      <protection locked="0"/>
    </xf>
    <xf numFmtId="9" fontId="6" fillId="3" borderId="4" xfId="1" applyNumberFormat="1" applyFont="1" applyFill="1" applyBorder="1" applyAlignment="1" applyProtection="1">
      <alignment horizontal="center" vertical="center" wrapText="1"/>
      <protection hidden="1"/>
    </xf>
    <xf numFmtId="0" fontId="5" fillId="0" borderId="3" xfId="0" applyNumberFormat="1" applyFont="1" applyBorder="1" applyProtection="1">
      <protection hidden="1"/>
    </xf>
    <xf numFmtId="1" fontId="6" fillId="3" borderId="4" xfId="1" applyNumberFormat="1" applyFont="1" applyFill="1" applyBorder="1" applyAlignment="1" applyProtection="1">
      <alignment horizontal="center" wrapText="1"/>
      <protection locked="0"/>
    </xf>
    <xf numFmtId="1" fontId="6" fillId="0" borderId="3" xfId="0" applyNumberFormat="1" applyFont="1" applyBorder="1"/>
    <xf numFmtId="1" fontId="6" fillId="0" borderId="3" xfId="0" applyNumberFormat="1" applyFont="1" applyBorder="1" applyAlignment="1">
      <alignment horizontal="right"/>
    </xf>
    <xf numFmtId="0" fontId="6" fillId="3" borderId="12" xfId="1" applyFont="1" applyFill="1" applyBorder="1" applyAlignment="1" applyProtection="1">
      <alignment horizontal="center" wrapText="1"/>
      <protection locked="0"/>
    </xf>
    <xf numFmtId="9" fontId="6" fillId="3" borderId="12" xfId="1" applyNumberFormat="1" applyFont="1" applyFill="1" applyBorder="1" applyAlignment="1" applyProtection="1">
      <alignment horizontal="center" vertical="center" wrapText="1"/>
      <protection hidden="1"/>
    </xf>
    <xf numFmtId="0" fontId="5" fillId="0" borderId="2" xfId="0" applyFont="1" applyFill="1" applyBorder="1" applyProtection="1">
      <protection hidden="1"/>
    </xf>
    <xf numFmtId="1" fontId="6" fillId="0" borderId="1" xfId="0" applyNumberFormat="1" applyFont="1" applyBorder="1"/>
    <xf numFmtId="0" fontId="0" fillId="0" borderId="4" xfId="0" applyBorder="1" applyAlignment="1">
      <alignment horizontal="center" vertical="center"/>
    </xf>
    <xf numFmtId="0" fontId="9" fillId="2" borderId="14" xfId="0" applyFont="1" applyFill="1" applyBorder="1" applyAlignment="1">
      <alignment horizontal="center" vertical="top" wrapText="1"/>
    </xf>
    <xf numFmtId="0" fontId="1" fillId="3" borderId="4" xfId="0" applyFont="1" applyFill="1" applyBorder="1" applyAlignment="1">
      <alignment horizontal="left" vertical="top"/>
    </xf>
    <xf numFmtId="0" fontId="1" fillId="3" borderId="5" xfId="0" applyFont="1" applyFill="1" applyBorder="1" applyAlignment="1">
      <alignment horizontal="left" vertical="top"/>
    </xf>
    <xf numFmtId="0" fontId="7" fillId="3" borderId="8" xfId="0" applyFont="1" applyFill="1" applyBorder="1" applyAlignment="1">
      <alignment vertical="top" wrapText="1"/>
    </xf>
    <xf numFmtId="0" fontId="7" fillId="3" borderId="10" xfId="0" applyFont="1" applyFill="1" applyBorder="1" applyAlignment="1">
      <alignment vertical="top" wrapText="1"/>
    </xf>
    <xf numFmtId="0" fontId="9" fillId="2" borderId="4" xfId="0" applyFont="1" applyFill="1" applyBorder="1" applyAlignment="1">
      <alignment vertical="top" wrapText="1"/>
    </xf>
    <xf numFmtId="14" fontId="5" fillId="3" borderId="4" xfId="0" applyNumberFormat="1" applyFont="1" applyFill="1" applyBorder="1" applyAlignment="1">
      <alignment horizontal="left" vertical="top" wrapText="1"/>
    </xf>
    <xf numFmtId="0" fontId="6" fillId="0" borderId="0" xfId="0" applyFont="1" applyAlignment="1">
      <alignment wrapText="1"/>
    </xf>
    <xf numFmtId="0" fontId="8" fillId="3" borderId="4" xfId="0" applyFont="1" applyFill="1" applyBorder="1" applyAlignment="1">
      <alignment vertical="center"/>
    </xf>
    <xf numFmtId="0" fontId="9" fillId="2" borderId="14" xfId="0" applyFont="1" applyFill="1" applyBorder="1" applyAlignment="1">
      <alignment horizontal="center" vertical="top" wrapText="1"/>
    </xf>
    <xf numFmtId="9" fontId="9" fillId="2" borderId="20" xfId="0" applyNumberFormat="1" applyFont="1" applyFill="1" applyBorder="1" applyAlignment="1">
      <alignment horizontal="center" vertical="top" wrapText="1"/>
    </xf>
    <xf numFmtId="0" fontId="9" fillId="2" borderId="29" xfId="0" applyFont="1" applyFill="1" applyBorder="1" applyAlignment="1">
      <alignment horizontal="center" vertical="top" wrapText="1"/>
    </xf>
    <xf numFmtId="0" fontId="5" fillId="3" borderId="4" xfId="0" applyFont="1" applyFill="1" applyBorder="1" applyAlignment="1">
      <alignment horizontal="center" vertical="center" wrapText="1"/>
    </xf>
    <xf numFmtId="0" fontId="9" fillId="2" borderId="4" xfId="0" applyFont="1" applyFill="1" applyBorder="1" applyAlignment="1">
      <alignment horizontal="left" vertical="center" wrapText="1"/>
    </xf>
    <xf numFmtId="14" fontId="5" fillId="3" borderId="4" xfId="0" applyNumberFormat="1" applyFont="1" applyFill="1" applyBorder="1" applyAlignment="1">
      <alignment horizontal="left" vertical="center" wrapText="1"/>
    </xf>
    <xf numFmtId="0" fontId="9" fillId="2" borderId="4" xfId="0" applyFont="1" applyFill="1" applyBorder="1" applyAlignment="1">
      <alignment vertical="center" wrapText="1"/>
    </xf>
    <xf numFmtId="0" fontId="8" fillId="3" borderId="4" xfId="0" applyFont="1" applyFill="1" applyBorder="1" applyAlignment="1">
      <alignment horizontal="center" vertical="center" wrapText="1"/>
    </xf>
    <xf numFmtId="1" fontId="6" fillId="0" borderId="0" xfId="0" applyNumberFormat="1" applyFont="1"/>
    <xf numFmtId="0" fontId="6" fillId="3" borderId="4" xfId="1" applyFont="1" applyFill="1" applyBorder="1" applyAlignment="1" applyProtection="1">
      <alignment horizontal="center" vertical="top" wrapText="1"/>
      <protection locked="0"/>
    </xf>
    <xf numFmtId="9" fontId="6" fillId="3" borderId="4" xfId="1" applyNumberFormat="1" applyFont="1" applyFill="1" applyBorder="1" applyAlignment="1" applyProtection="1">
      <alignment horizontal="center" vertical="center" wrapText="1"/>
      <protection hidden="1"/>
    </xf>
    <xf numFmtId="9" fontId="6" fillId="3" borderId="12" xfId="1" applyNumberFormat="1" applyFont="1" applyFill="1" applyBorder="1" applyAlignment="1" applyProtection="1">
      <alignment horizontal="center" vertical="center" wrapText="1"/>
      <protection hidden="1"/>
    </xf>
    <xf numFmtId="9" fontId="7" fillId="2" borderId="13" xfId="2" applyFont="1" applyFill="1" applyBorder="1" applyAlignment="1" applyProtection="1">
      <alignment horizontal="center" vertical="top" wrapText="1"/>
      <protection locked="0"/>
    </xf>
    <xf numFmtId="1" fontId="8" fillId="3" borderId="4" xfId="0" applyNumberFormat="1" applyFont="1" applyFill="1" applyBorder="1" applyAlignment="1">
      <alignment horizontal="center" vertical="center"/>
    </xf>
    <xf numFmtId="0" fontId="7" fillId="3" borderId="4" xfId="0" applyFont="1" applyFill="1" applyBorder="1" applyAlignment="1">
      <alignment horizontal="left" vertical="top" wrapText="1"/>
    </xf>
    <xf numFmtId="9" fontId="7" fillId="3" borderId="8" xfId="0" applyNumberFormat="1" applyFont="1" applyFill="1" applyBorder="1" applyAlignment="1">
      <alignment horizontal="left" vertical="top"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7" fillId="3" borderId="18" xfId="0" applyFont="1" applyFill="1" applyBorder="1" applyAlignment="1">
      <alignment horizontal="left" vertical="top" wrapText="1"/>
    </xf>
    <xf numFmtId="0" fontId="7" fillId="3" borderId="0" xfId="0" applyFont="1" applyFill="1" applyBorder="1" applyAlignment="1">
      <alignment horizontal="left" vertical="top" wrapText="1"/>
    </xf>
    <xf numFmtId="0" fontId="7" fillId="3" borderId="19" xfId="0" applyFont="1" applyFill="1" applyBorder="1" applyAlignment="1">
      <alignment horizontal="left" vertical="top" wrapText="1"/>
    </xf>
    <xf numFmtId="0" fontId="9" fillId="2" borderId="7"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9" fillId="2" borderId="4" xfId="0" applyFont="1" applyFill="1" applyBorder="1" applyAlignment="1">
      <alignment horizontal="center" vertical="center" wrapText="1"/>
    </xf>
    <xf numFmtId="0" fontId="7" fillId="3" borderId="7"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10" xfId="0" applyFont="1" applyFill="1" applyBorder="1" applyAlignment="1">
      <alignment horizontal="left" vertical="top" wrapText="1"/>
    </xf>
    <xf numFmtId="0" fontId="11" fillId="3" borderId="7" xfId="0" applyFont="1" applyFill="1" applyBorder="1" applyAlignment="1">
      <alignment horizontal="left" vertical="top" wrapText="1"/>
    </xf>
    <xf numFmtId="1" fontId="5" fillId="5" borderId="7" xfId="0" applyNumberFormat="1" applyFont="1" applyFill="1" applyBorder="1" applyAlignment="1">
      <alignment horizontal="center" vertical="center" wrapText="1"/>
    </xf>
    <xf numFmtId="1" fontId="5" fillId="5" borderId="10" xfId="0" applyNumberFormat="1" applyFont="1" applyFill="1" applyBorder="1" applyAlignment="1">
      <alignment horizontal="center" vertical="center" wrapText="1"/>
    </xf>
    <xf numFmtId="0" fontId="6" fillId="3" borderId="5" xfId="1" applyFont="1" applyFill="1" applyBorder="1" applyAlignment="1" applyProtection="1">
      <alignment horizontal="center" vertical="top" wrapText="1"/>
      <protection locked="0"/>
    </xf>
    <xf numFmtId="0" fontId="6" fillId="3" borderId="4" xfId="1" applyFont="1" applyFill="1" applyBorder="1" applyAlignment="1" applyProtection="1">
      <alignment horizontal="center" vertical="top" wrapText="1"/>
      <protection locked="0"/>
    </xf>
    <xf numFmtId="0" fontId="9" fillId="2" borderId="8" xfId="0" applyFont="1" applyFill="1" applyBorder="1" applyAlignment="1">
      <alignment horizontal="left" vertical="center" wrapText="1"/>
    </xf>
    <xf numFmtId="0" fontId="5" fillId="3" borderId="4"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9" fontId="6" fillId="3" borderId="4" xfId="0" applyNumberFormat="1" applyFont="1" applyFill="1" applyBorder="1" applyAlignment="1">
      <alignment horizontal="center"/>
    </xf>
    <xf numFmtId="0" fontId="5" fillId="3" borderId="4" xfId="0" applyFont="1" applyFill="1" applyBorder="1" applyAlignment="1">
      <alignment horizontal="left" vertical="top" wrapText="1"/>
    </xf>
    <xf numFmtId="0" fontId="5" fillId="3" borderId="4" xfId="0" applyFont="1" applyFill="1" applyBorder="1" applyAlignment="1">
      <alignment horizontal="left" vertical="center" wrapText="1"/>
    </xf>
    <xf numFmtId="0" fontId="5" fillId="3" borderId="4" xfId="0" applyFont="1" applyFill="1" applyBorder="1" applyAlignment="1">
      <alignment horizontal="left" vertical="center"/>
    </xf>
    <xf numFmtId="0" fontId="8" fillId="3" borderId="4" xfId="0" applyFont="1" applyFill="1" applyBorder="1" applyAlignment="1">
      <alignment horizontal="left" vertical="center"/>
    </xf>
    <xf numFmtId="165" fontId="8" fillId="3" borderId="4" xfId="0" applyNumberFormat="1" applyFont="1" applyFill="1" applyBorder="1" applyAlignment="1">
      <alignment horizontal="center" vertical="center"/>
    </xf>
    <xf numFmtId="0" fontId="5" fillId="3" borderId="4" xfId="0" applyFont="1" applyFill="1" applyBorder="1" applyAlignment="1">
      <alignment horizontal="left" vertical="top"/>
    </xf>
    <xf numFmtId="0" fontId="9" fillId="2" borderId="4" xfId="0" applyFont="1" applyFill="1" applyBorder="1" applyAlignment="1">
      <alignment horizontal="left" vertical="top" wrapText="1"/>
    </xf>
    <xf numFmtId="0" fontId="8" fillId="3" borderId="4" xfId="0" applyFont="1" applyFill="1" applyBorder="1" applyAlignment="1">
      <alignment horizontal="left" vertical="top"/>
    </xf>
    <xf numFmtId="0" fontId="8" fillId="3" borderId="4" xfId="0" applyFont="1" applyFill="1" applyBorder="1" applyAlignment="1">
      <alignment horizontal="center" vertical="center"/>
    </xf>
    <xf numFmtId="0" fontId="9" fillId="2" borderId="4" xfId="0" applyFont="1" applyFill="1" applyBorder="1" applyAlignment="1">
      <alignment horizontal="center" vertical="top" wrapText="1"/>
    </xf>
    <xf numFmtId="0" fontId="8" fillId="3" borderId="4" xfId="0" applyFont="1" applyFill="1" applyBorder="1" applyAlignment="1">
      <alignment horizontal="left" vertical="top" wrapText="1"/>
    </xf>
    <xf numFmtId="0" fontId="9" fillId="3" borderId="7" xfId="0" applyFont="1" applyFill="1" applyBorder="1" applyAlignment="1">
      <alignment horizontal="center" vertical="top" wrapText="1"/>
    </xf>
    <xf numFmtId="0" fontId="9" fillId="3" borderId="10" xfId="0" applyFont="1" applyFill="1" applyBorder="1" applyAlignment="1">
      <alignment horizontal="center" vertical="top" wrapText="1"/>
    </xf>
    <xf numFmtId="0" fontId="8" fillId="3" borderId="7"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1" fillId="2" borderId="4" xfId="0" applyFont="1" applyFill="1" applyBorder="1" applyAlignment="1">
      <alignment horizontal="center" vertical="top" wrapText="1"/>
    </xf>
    <xf numFmtId="0" fontId="1" fillId="2" borderId="4" xfId="0" applyFont="1" applyFill="1" applyBorder="1" applyAlignment="1">
      <alignment horizontal="center" vertical="top"/>
    </xf>
    <xf numFmtId="0" fontId="5" fillId="3" borderId="4" xfId="0" applyFont="1" applyFill="1" applyBorder="1" applyAlignment="1">
      <alignment vertical="top" wrapText="1"/>
    </xf>
    <xf numFmtId="0" fontId="5" fillId="3" borderId="4" xfId="0" applyFont="1" applyFill="1" applyBorder="1" applyAlignment="1">
      <alignment vertical="top"/>
    </xf>
    <xf numFmtId="0" fontId="3" fillId="2" borderId="4" xfId="0" applyFont="1" applyFill="1" applyBorder="1" applyAlignment="1">
      <alignment horizontal="center" vertical="center"/>
    </xf>
    <xf numFmtId="0" fontId="8" fillId="3" borderId="4" xfId="0" applyFont="1" applyFill="1" applyBorder="1" applyAlignment="1">
      <alignment vertical="top" wrapText="1"/>
    </xf>
    <xf numFmtId="0" fontId="10" fillId="3" borderId="4" xfId="0" applyFont="1" applyFill="1" applyBorder="1" applyAlignment="1">
      <alignment vertical="top" wrapText="1"/>
    </xf>
    <xf numFmtId="0" fontId="16" fillId="3" borderId="7" xfId="3" applyFill="1" applyBorder="1" applyAlignment="1">
      <alignment horizontal="center" vertical="top" wrapText="1"/>
    </xf>
    <xf numFmtId="0" fontId="5" fillId="3" borderId="8" xfId="0" applyFont="1" applyFill="1" applyBorder="1" applyAlignment="1">
      <alignment horizontal="center" vertical="top" wrapText="1"/>
    </xf>
    <xf numFmtId="0" fontId="5" fillId="3" borderId="10" xfId="0" applyFont="1" applyFill="1" applyBorder="1" applyAlignment="1">
      <alignment horizontal="center" vertical="top" wrapText="1"/>
    </xf>
    <xf numFmtId="0" fontId="5" fillId="3" borderId="7" xfId="0" applyFont="1" applyFill="1" applyBorder="1" applyAlignment="1">
      <alignment horizontal="center" vertical="top" wrapText="1"/>
    </xf>
    <xf numFmtId="0" fontId="1" fillId="2" borderId="7"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8" fillId="3" borderId="13" xfId="0" applyFont="1" applyFill="1" applyBorder="1" applyAlignment="1">
      <alignment horizontal="left" vertical="center"/>
    </xf>
    <xf numFmtId="0" fontId="9" fillId="3" borderId="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10" xfId="0" applyFont="1" applyFill="1" applyBorder="1" applyAlignment="1">
      <alignment horizontal="left" vertical="center" wrapText="1"/>
    </xf>
    <xf numFmtId="0" fontId="9" fillId="3" borderId="4" xfId="0" applyFont="1" applyFill="1" applyBorder="1" applyAlignment="1">
      <alignment horizontal="center" vertical="center" wrapText="1"/>
    </xf>
    <xf numFmtId="0" fontId="9" fillId="2" borderId="7" xfId="0" applyFont="1" applyFill="1" applyBorder="1" applyAlignment="1">
      <alignment horizontal="left" vertical="top" wrapText="1"/>
    </xf>
    <xf numFmtId="0" fontId="9" fillId="2" borderId="10" xfId="0" applyFont="1" applyFill="1" applyBorder="1" applyAlignment="1">
      <alignment horizontal="left" vertical="top" wrapText="1"/>
    </xf>
    <xf numFmtId="1" fontId="9" fillId="5" borderId="4" xfId="0" applyNumberFormat="1" applyFont="1" applyFill="1" applyBorder="1" applyAlignment="1">
      <alignment horizontal="center" vertical="center" wrapText="1"/>
    </xf>
    <xf numFmtId="1" fontId="9" fillId="2" borderId="4" xfId="0" applyNumberFormat="1" applyFont="1" applyFill="1" applyBorder="1" applyAlignment="1">
      <alignment horizontal="center" vertical="center" wrapText="1"/>
    </xf>
    <xf numFmtId="0" fontId="5" fillId="3" borderId="7" xfId="0" applyFont="1" applyFill="1" applyBorder="1" applyAlignment="1">
      <alignment horizontal="left" vertical="top" wrapText="1"/>
    </xf>
    <xf numFmtId="0" fontId="5" fillId="3" borderId="8" xfId="0" applyFont="1" applyFill="1" applyBorder="1" applyAlignment="1">
      <alignment horizontal="left" vertical="top" wrapText="1"/>
    </xf>
    <xf numFmtId="0" fontId="5" fillId="3" borderId="8" xfId="0" applyFont="1" applyFill="1" applyBorder="1" applyAlignment="1">
      <alignment horizontal="left" vertical="top"/>
    </xf>
    <xf numFmtId="0" fontId="5" fillId="3" borderId="10" xfId="0" applyFont="1" applyFill="1" applyBorder="1" applyAlignment="1">
      <alignment horizontal="left" vertical="top"/>
    </xf>
    <xf numFmtId="0" fontId="9" fillId="2" borderId="29"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7" fillId="2" borderId="7" xfId="0" applyFont="1" applyFill="1" applyBorder="1" applyAlignment="1">
      <alignment horizontal="left" vertical="top" wrapText="1"/>
    </xf>
    <xf numFmtId="0" fontId="7" fillId="2" borderId="10" xfId="0" applyFont="1" applyFill="1" applyBorder="1" applyAlignment="1">
      <alignment horizontal="left" vertical="top" wrapText="1"/>
    </xf>
    <xf numFmtId="0" fontId="9" fillId="2" borderId="29"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9" fillId="2" borderId="20" xfId="0" applyFont="1" applyFill="1" applyBorder="1" applyAlignment="1">
      <alignment horizontal="left" vertical="center" wrapText="1"/>
    </xf>
    <xf numFmtId="0" fontId="9" fillId="2" borderId="22" xfId="0" applyFont="1" applyFill="1" applyBorder="1" applyAlignment="1">
      <alignment horizontal="left" vertical="center" wrapText="1"/>
    </xf>
    <xf numFmtId="0" fontId="6" fillId="3" borderId="4" xfId="1" applyFont="1" applyFill="1" applyBorder="1" applyAlignment="1" applyProtection="1">
      <alignment horizontal="center" vertical="center" wrapText="1"/>
      <protection locked="0"/>
    </xf>
    <xf numFmtId="0" fontId="6" fillId="3" borderId="6" xfId="1" applyFont="1" applyFill="1" applyBorder="1" applyAlignment="1" applyProtection="1">
      <alignment horizontal="center" vertical="center" wrapText="1"/>
      <protection locked="0"/>
    </xf>
    <xf numFmtId="9" fontId="6" fillId="3" borderId="4" xfId="1" applyNumberFormat="1" applyFont="1" applyFill="1" applyBorder="1" applyAlignment="1" applyProtection="1">
      <alignment horizontal="center" vertical="center" wrapText="1"/>
      <protection hidden="1"/>
    </xf>
    <xf numFmtId="9" fontId="6" fillId="3" borderId="6" xfId="1" applyNumberFormat="1" applyFont="1" applyFill="1" applyBorder="1" applyAlignment="1" applyProtection="1">
      <alignment horizontal="center" vertical="center" wrapText="1"/>
      <protection hidden="1"/>
    </xf>
    <xf numFmtId="9" fontId="6" fillId="3" borderId="12" xfId="1" applyNumberFormat="1" applyFont="1" applyFill="1" applyBorder="1" applyAlignment="1" applyProtection="1">
      <alignment horizontal="center" vertical="center" wrapText="1"/>
      <protection hidden="1"/>
    </xf>
    <xf numFmtId="9" fontId="6" fillId="3" borderId="32" xfId="1" applyNumberFormat="1" applyFont="1" applyFill="1" applyBorder="1" applyAlignment="1" applyProtection="1">
      <alignment horizontal="center" vertical="center" wrapText="1"/>
      <protection hidden="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6" fillId="3" borderId="11" xfId="1" applyFont="1" applyFill="1" applyBorder="1" applyAlignment="1" applyProtection="1">
      <alignment horizontal="center" vertical="top" wrapText="1"/>
      <protection locked="0"/>
    </xf>
    <xf numFmtId="0" fontId="6" fillId="3" borderId="12" xfId="1" applyFont="1" applyFill="1" applyBorder="1" applyAlignment="1" applyProtection="1">
      <alignment horizontal="center" vertical="top" wrapText="1"/>
      <protection locked="0"/>
    </xf>
    <xf numFmtId="0" fontId="9" fillId="3" borderId="7" xfId="0" applyFont="1" applyFill="1" applyBorder="1" applyAlignment="1">
      <alignment horizontal="center" vertical="center"/>
    </xf>
    <xf numFmtId="0" fontId="9" fillId="3" borderId="10" xfId="0" applyFont="1" applyFill="1" applyBorder="1" applyAlignment="1">
      <alignment horizontal="center" vertical="center"/>
    </xf>
    <xf numFmtId="0" fontId="6" fillId="3" borderId="7" xfId="0" applyFont="1" applyFill="1" applyBorder="1" applyAlignment="1">
      <alignment horizontal="left" vertical="center"/>
    </xf>
    <xf numFmtId="0" fontId="6" fillId="3" borderId="8" xfId="0" applyFont="1" applyFill="1" applyBorder="1" applyAlignment="1">
      <alignment horizontal="left" vertical="center"/>
    </xf>
    <xf numFmtId="0" fontId="6" fillId="3" borderId="10" xfId="0" applyFont="1" applyFill="1" applyBorder="1" applyAlignment="1">
      <alignment horizontal="left" vertical="center"/>
    </xf>
    <xf numFmtId="0" fontId="8" fillId="3" borderId="7" xfId="0" applyFont="1" applyFill="1" applyBorder="1" applyAlignment="1">
      <alignment horizontal="left" vertical="center"/>
    </xf>
    <xf numFmtId="0" fontId="8" fillId="3" borderId="8" xfId="0" applyFont="1" applyFill="1" applyBorder="1" applyAlignment="1">
      <alignment horizontal="left" vertical="center"/>
    </xf>
    <xf numFmtId="0" fontId="8" fillId="3" borderId="10" xfId="0" applyFont="1" applyFill="1" applyBorder="1" applyAlignment="1">
      <alignment horizontal="left" vertical="center"/>
    </xf>
    <xf numFmtId="164" fontId="8" fillId="3" borderId="4" xfId="1" applyNumberFormat="1" applyFont="1" applyFill="1" applyBorder="1" applyAlignment="1" applyProtection="1">
      <alignment horizontal="left" vertical="center" wrapText="1"/>
      <protection locked="0"/>
    </xf>
    <xf numFmtId="22" fontId="8" fillId="3" borderId="4" xfId="0" applyNumberFormat="1" applyFont="1" applyFill="1" applyBorder="1" applyAlignment="1">
      <alignment horizontal="left" vertical="center" wrapText="1"/>
    </xf>
    <xf numFmtId="0" fontId="9" fillId="2" borderId="7" xfId="0" applyFont="1" applyFill="1" applyBorder="1" applyAlignment="1">
      <alignment horizontal="center" vertical="top" wrapText="1"/>
    </xf>
    <xf numFmtId="0" fontId="9" fillId="2" borderId="10" xfId="0" applyFont="1" applyFill="1" applyBorder="1" applyAlignment="1">
      <alignment horizontal="center" vertical="top" wrapText="1"/>
    </xf>
    <xf numFmtId="0" fontId="9" fillId="2" borderId="29" xfId="0" applyFont="1" applyFill="1" applyBorder="1" applyAlignment="1">
      <alignment horizontal="left" vertical="top" wrapText="1"/>
    </xf>
    <xf numFmtId="0" fontId="9" fillId="2" borderId="24" xfId="0" applyFont="1" applyFill="1" applyBorder="1" applyAlignment="1">
      <alignment horizontal="left" vertical="top" wrapText="1"/>
    </xf>
    <xf numFmtId="0" fontId="9" fillId="2" borderId="18" xfId="0" applyFont="1" applyFill="1" applyBorder="1" applyAlignment="1">
      <alignment horizontal="left" vertical="top" wrapText="1"/>
    </xf>
    <xf numFmtId="0" fontId="9" fillId="2" borderId="19" xfId="0" applyFont="1" applyFill="1" applyBorder="1" applyAlignment="1">
      <alignment horizontal="left" vertical="top" wrapText="1"/>
    </xf>
    <xf numFmtId="0" fontId="9" fillId="2" borderId="20" xfId="0" applyFont="1" applyFill="1" applyBorder="1" applyAlignment="1">
      <alignment horizontal="left" vertical="top" wrapText="1"/>
    </xf>
    <xf numFmtId="0" fontId="9" fillId="2" borderId="22" xfId="0" applyFont="1" applyFill="1" applyBorder="1" applyAlignment="1">
      <alignment horizontal="left" vertical="top" wrapText="1"/>
    </xf>
    <xf numFmtId="0" fontId="5"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1" fillId="2" borderId="33" xfId="1" applyFont="1" applyFill="1" applyBorder="1" applyAlignment="1" applyProtection="1">
      <alignment horizontal="left" vertical="top" wrapText="1"/>
      <protection locked="0"/>
    </xf>
    <xf numFmtId="0" fontId="1" fillId="2" borderId="30" xfId="1" applyFont="1" applyFill="1" applyBorder="1" applyAlignment="1" applyProtection="1">
      <alignment horizontal="left" vertical="top" wrapText="1"/>
      <protection locked="0"/>
    </xf>
    <xf numFmtId="0" fontId="1" fillId="2" borderId="34" xfId="1" applyFont="1" applyFill="1" applyBorder="1" applyAlignment="1" applyProtection="1">
      <alignment horizontal="left" vertical="top" wrapText="1"/>
      <protection locked="0"/>
    </xf>
    <xf numFmtId="0" fontId="1" fillId="2" borderId="35" xfId="1" applyFont="1" applyFill="1" applyBorder="1" applyAlignment="1" applyProtection="1">
      <alignment horizontal="left" vertical="top" wrapText="1"/>
      <protection locked="0"/>
    </xf>
    <xf numFmtId="0" fontId="1" fillId="2" borderId="21" xfId="1" applyFont="1" applyFill="1" applyBorder="1" applyAlignment="1" applyProtection="1">
      <alignment horizontal="left" vertical="top" wrapText="1"/>
      <protection locked="0"/>
    </xf>
    <xf numFmtId="0" fontId="1" fillId="2" borderId="22" xfId="1" applyFont="1" applyFill="1" applyBorder="1" applyAlignment="1" applyProtection="1">
      <alignment horizontal="left" vertical="top" wrapText="1"/>
      <protection locked="0"/>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7" fillId="2" borderId="29" xfId="0" applyFont="1" applyFill="1" applyBorder="1" applyAlignment="1">
      <alignment horizontal="left" vertical="top" wrapText="1"/>
    </xf>
    <xf numFmtId="0" fontId="7" fillId="2" borderId="24" xfId="0" applyFont="1" applyFill="1" applyBorder="1" applyAlignment="1">
      <alignment horizontal="left" vertical="top" wrapText="1"/>
    </xf>
    <xf numFmtId="0" fontId="7" fillId="2" borderId="20" xfId="0" applyFont="1" applyFill="1" applyBorder="1" applyAlignment="1">
      <alignment horizontal="left" vertical="top" wrapText="1"/>
    </xf>
    <xf numFmtId="0" fontId="7" fillId="2" borderId="22" xfId="0" applyFont="1" applyFill="1" applyBorder="1" applyAlignment="1">
      <alignment horizontal="left" vertical="top" wrapText="1"/>
    </xf>
    <xf numFmtId="0" fontId="11" fillId="2" borderId="29" xfId="0" applyFont="1" applyFill="1" applyBorder="1" applyAlignment="1">
      <alignment horizontal="left" vertical="top" wrapText="1"/>
    </xf>
    <xf numFmtId="0" fontId="11" fillId="2" borderId="24" xfId="0" applyFont="1" applyFill="1" applyBorder="1" applyAlignment="1">
      <alignment horizontal="left" vertical="top" wrapText="1"/>
    </xf>
    <xf numFmtId="0" fontId="11" fillId="2" borderId="18" xfId="0" applyFont="1" applyFill="1" applyBorder="1" applyAlignment="1">
      <alignment horizontal="left" vertical="top" wrapText="1"/>
    </xf>
    <xf numFmtId="0" fontId="11" fillId="2" borderId="19" xfId="0" applyFont="1" applyFill="1" applyBorder="1" applyAlignment="1">
      <alignment horizontal="left" vertical="top" wrapText="1"/>
    </xf>
    <xf numFmtId="0" fontId="11" fillId="2" borderId="20" xfId="0" applyFont="1" applyFill="1" applyBorder="1" applyAlignment="1">
      <alignment horizontal="left" vertical="top" wrapText="1"/>
    </xf>
    <xf numFmtId="0" fontId="11" fillId="2" borderId="22" xfId="0" applyFont="1" applyFill="1" applyBorder="1" applyAlignment="1">
      <alignment horizontal="left" vertical="top" wrapText="1"/>
    </xf>
    <xf numFmtId="0" fontId="5" fillId="3" borderId="29"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9" fillId="5" borderId="4" xfId="0" applyFont="1" applyFill="1" applyBorder="1" applyAlignment="1">
      <alignment horizontal="center" vertical="center" wrapText="1"/>
    </xf>
    <xf numFmtId="14" fontId="8" fillId="3" borderId="7" xfId="0" applyNumberFormat="1" applyFont="1" applyFill="1" applyBorder="1" applyAlignment="1">
      <alignment horizontal="center" vertical="center" wrapText="1"/>
    </xf>
    <xf numFmtId="14" fontId="8" fillId="3" borderId="10" xfId="0" applyNumberFormat="1" applyFont="1" applyFill="1" applyBorder="1" applyAlignment="1">
      <alignment horizontal="center" vertical="center"/>
    </xf>
    <xf numFmtId="0" fontId="8" fillId="3" borderId="10" xfId="0" applyFont="1" applyFill="1" applyBorder="1" applyAlignment="1">
      <alignment horizontal="center" vertical="center"/>
    </xf>
    <xf numFmtId="9" fontId="6" fillId="3" borderId="12" xfId="0" applyNumberFormat="1" applyFont="1" applyFill="1" applyBorder="1" applyAlignment="1">
      <alignment horizontal="center"/>
    </xf>
    <xf numFmtId="0" fontId="7" fillId="3" borderId="7"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5" fillId="3" borderId="10" xfId="0" applyFont="1" applyFill="1" applyBorder="1" applyAlignment="1">
      <alignment horizontal="center" vertical="center"/>
    </xf>
    <xf numFmtId="0" fontId="6" fillId="3" borderId="4" xfId="0" applyFont="1" applyFill="1" applyBorder="1" applyAlignment="1">
      <alignment horizontal="center"/>
    </xf>
    <xf numFmtId="0" fontId="1" fillId="3" borderId="4" xfId="1" applyFont="1" applyFill="1" applyBorder="1" applyAlignment="1" applyProtection="1">
      <alignment horizontal="left" vertical="top" wrapText="1"/>
      <protection locked="0"/>
    </xf>
    <xf numFmtId="0" fontId="1" fillId="3" borderId="6" xfId="1" applyFont="1" applyFill="1" applyBorder="1" applyAlignment="1" applyProtection="1">
      <alignment horizontal="left" vertical="top" wrapText="1"/>
      <protection locked="0"/>
    </xf>
    <xf numFmtId="0" fontId="9" fillId="3" borderId="7"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2" borderId="14" xfId="0" applyFont="1" applyFill="1" applyBorder="1" applyAlignment="1">
      <alignment horizontal="center" vertical="top" wrapText="1"/>
    </xf>
    <xf numFmtId="0" fontId="9" fillId="2" borderId="13" xfId="0" applyFont="1" applyFill="1" applyBorder="1" applyAlignment="1">
      <alignment horizontal="center" vertical="top" wrapText="1"/>
    </xf>
    <xf numFmtId="0" fontId="7" fillId="2" borderId="14" xfId="0" applyFont="1" applyFill="1" applyBorder="1" applyAlignment="1">
      <alignment horizontal="center" vertical="top" wrapText="1"/>
    </xf>
    <xf numFmtId="0" fontId="7" fillId="2" borderId="13" xfId="0" applyFont="1" applyFill="1" applyBorder="1" applyAlignment="1">
      <alignment horizontal="center" vertical="top" wrapText="1"/>
    </xf>
    <xf numFmtId="0" fontId="5" fillId="3" borderId="7" xfId="0" applyFont="1" applyFill="1" applyBorder="1" applyAlignment="1">
      <alignment horizontal="center" vertical="center"/>
    </xf>
    <xf numFmtId="1" fontId="9" fillId="5" borderId="7" xfId="0" applyNumberFormat="1" applyFont="1" applyFill="1" applyBorder="1" applyAlignment="1">
      <alignment horizontal="center" vertical="center" wrapText="1"/>
    </xf>
    <xf numFmtId="1" fontId="9" fillId="5" borderId="10" xfId="0" applyNumberFormat="1" applyFont="1" applyFill="1" applyBorder="1" applyAlignment="1">
      <alignment horizontal="center" vertical="center" wrapText="1"/>
    </xf>
    <xf numFmtId="1" fontId="9" fillId="2" borderId="7" xfId="0" applyNumberFormat="1" applyFont="1" applyFill="1" applyBorder="1" applyAlignment="1">
      <alignment horizontal="center" vertical="center" wrapText="1"/>
    </xf>
    <xf numFmtId="1" fontId="9" fillId="2" borderId="10" xfId="0" applyNumberFormat="1" applyFont="1" applyFill="1" applyBorder="1" applyAlignment="1">
      <alignment horizontal="center" vertical="center" wrapText="1"/>
    </xf>
    <xf numFmtId="0" fontId="5" fillId="3" borderId="8" xfId="0" applyFont="1" applyFill="1" applyBorder="1" applyAlignment="1">
      <alignment horizontal="center" vertical="center"/>
    </xf>
    <xf numFmtId="0" fontId="9" fillId="3" borderId="8" xfId="0" applyFont="1" applyFill="1" applyBorder="1" applyAlignment="1">
      <alignment horizontal="center" vertical="center" wrapText="1"/>
    </xf>
    <xf numFmtId="0" fontId="7" fillId="3" borderId="7"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29" xfId="0" applyFont="1" applyFill="1" applyBorder="1" applyAlignment="1">
      <alignment horizontal="left" vertical="top" wrapText="1"/>
    </xf>
    <xf numFmtId="0" fontId="7" fillId="3" borderId="25" xfId="0" applyFont="1" applyFill="1" applyBorder="1" applyAlignment="1">
      <alignment horizontal="left" vertical="top" wrapText="1"/>
    </xf>
    <xf numFmtId="0" fontId="7" fillId="3" borderId="24" xfId="0" applyFont="1" applyFill="1" applyBorder="1" applyAlignment="1">
      <alignment horizontal="left" vertical="top" wrapText="1"/>
    </xf>
    <xf numFmtId="0" fontId="8" fillId="3" borderId="4" xfId="0" applyFont="1" applyFill="1" applyBorder="1" applyAlignment="1">
      <alignment horizontal="left" vertical="center" wrapText="1"/>
    </xf>
    <xf numFmtId="0" fontId="7" fillId="3" borderId="20" xfId="0" applyFont="1" applyFill="1" applyBorder="1" applyAlignment="1">
      <alignment horizontal="left" vertical="top" wrapText="1"/>
    </xf>
    <xf numFmtId="0" fontId="7" fillId="3" borderId="21" xfId="0" applyFont="1" applyFill="1" applyBorder="1" applyAlignment="1">
      <alignment horizontal="left" vertical="top" wrapText="1"/>
    </xf>
    <xf numFmtId="0" fontId="7" fillId="3" borderId="22" xfId="0" applyFont="1" applyFill="1" applyBorder="1" applyAlignment="1">
      <alignment horizontal="left" vertical="top" wrapText="1"/>
    </xf>
    <xf numFmtId="0" fontId="5" fillId="3" borderId="29"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24"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2" xfId="0" applyFont="1" applyFill="1" applyBorder="1" applyAlignment="1">
      <alignment horizontal="center" vertical="center"/>
    </xf>
    <xf numFmtId="1" fontId="5" fillId="3" borderId="7" xfId="0" applyNumberFormat="1" applyFont="1" applyFill="1" applyBorder="1" applyAlignment="1">
      <alignment horizontal="center" vertical="center"/>
    </xf>
    <xf numFmtId="1" fontId="5" fillId="3" borderId="8" xfId="0" applyNumberFormat="1" applyFont="1" applyFill="1" applyBorder="1" applyAlignment="1">
      <alignment horizontal="center" vertical="center"/>
    </xf>
    <xf numFmtId="1" fontId="5" fillId="3" borderId="10" xfId="0" applyNumberFormat="1" applyFont="1" applyFill="1" applyBorder="1" applyAlignment="1">
      <alignment horizontal="center" vertical="center"/>
    </xf>
    <xf numFmtId="1" fontId="5" fillId="3" borderId="29" xfId="0" applyNumberFormat="1" applyFont="1" applyFill="1" applyBorder="1" applyAlignment="1">
      <alignment horizontal="center" vertical="center"/>
    </xf>
    <xf numFmtId="1" fontId="5" fillId="3" borderId="25" xfId="0" applyNumberFormat="1" applyFont="1" applyFill="1" applyBorder="1" applyAlignment="1">
      <alignment horizontal="center" vertical="center"/>
    </xf>
    <xf numFmtId="1" fontId="5" fillId="3" borderId="24" xfId="0" applyNumberFormat="1" applyFont="1" applyFill="1" applyBorder="1" applyAlignment="1">
      <alignment horizontal="center" vertical="center"/>
    </xf>
    <xf numFmtId="1" fontId="5" fillId="3" borderId="18" xfId="0" applyNumberFormat="1" applyFont="1" applyFill="1" applyBorder="1" applyAlignment="1">
      <alignment horizontal="center" vertical="center"/>
    </xf>
    <xf numFmtId="1" fontId="5" fillId="3" borderId="0" xfId="0" applyNumberFormat="1" applyFont="1" applyFill="1" applyBorder="1" applyAlignment="1">
      <alignment horizontal="center" vertical="center"/>
    </xf>
    <xf numFmtId="1" fontId="5" fillId="3" borderId="19" xfId="0" applyNumberFormat="1" applyFont="1" applyFill="1" applyBorder="1" applyAlignment="1">
      <alignment horizontal="center" vertical="center"/>
    </xf>
    <xf numFmtId="1" fontId="5" fillId="3" borderId="20" xfId="0" applyNumberFormat="1" applyFont="1" applyFill="1" applyBorder="1" applyAlignment="1">
      <alignment horizontal="center" vertical="center"/>
    </xf>
    <xf numFmtId="1" fontId="5" fillId="3" borderId="21" xfId="0" applyNumberFormat="1" applyFont="1" applyFill="1" applyBorder="1" applyAlignment="1">
      <alignment horizontal="center" vertical="center"/>
    </xf>
    <xf numFmtId="1" fontId="5" fillId="3" borderId="22" xfId="0" applyNumberFormat="1" applyFont="1" applyFill="1" applyBorder="1" applyAlignment="1">
      <alignment horizontal="center" vertical="center"/>
    </xf>
    <xf numFmtId="0" fontId="7" fillId="2" borderId="14" xfId="1" applyFont="1" applyFill="1" applyBorder="1" applyAlignment="1" applyProtection="1">
      <alignment horizontal="center" vertical="top" wrapText="1"/>
      <protection locked="0"/>
    </xf>
    <xf numFmtId="0" fontId="7" fillId="2" borderId="15" xfId="1" applyFont="1" applyFill="1" applyBorder="1" applyAlignment="1" applyProtection="1">
      <alignment horizontal="left" vertical="top" wrapText="1"/>
      <protection locked="0"/>
    </xf>
    <xf numFmtId="0" fontId="7" fillId="2" borderId="16" xfId="1" applyFont="1" applyFill="1" applyBorder="1" applyAlignment="1" applyProtection="1">
      <alignment horizontal="left" vertical="top" wrapText="1"/>
      <protection locked="0"/>
    </xf>
    <xf numFmtId="0" fontId="7" fillId="2" borderId="5" xfId="1" applyFont="1" applyFill="1" applyBorder="1" applyAlignment="1" applyProtection="1">
      <alignment horizontal="left" vertical="top" wrapText="1"/>
      <protection locked="0"/>
    </xf>
    <xf numFmtId="0" fontId="7" fillId="2" borderId="4" xfId="1" applyFont="1" applyFill="1" applyBorder="1" applyAlignment="1" applyProtection="1">
      <alignment horizontal="left" vertical="top" wrapText="1"/>
      <protection locked="0"/>
    </xf>
    <xf numFmtId="0" fontId="8" fillId="4" borderId="8" xfId="1" applyFont="1" applyFill="1" applyBorder="1" applyAlignment="1" applyProtection="1">
      <alignment horizontal="center" vertical="center" wrapText="1"/>
      <protection locked="0"/>
    </xf>
    <xf numFmtId="0" fontId="8" fillId="4" borderId="9" xfId="1" applyFont="1" applyFill="1" applyBorder="1" applyAlignment="1" applyProtection="1">
      <alignment horizontal="center" vertical="center" wrapText="1"/>
      <protection locked="0"/>
    </xf>
    <xf numFmtId="9" fontId="8" fillId="4" borderId="25" xfId="1" applyNumberFormat="1" applyFont="1" applyFill="1" applyBorder="1" applyAlignment="1" applyProtection="1">
      <alignment horizontal="center" vertical="center" wrapText="1"/>
      <protection hidden="1"/>
    </xf>
    <xf numFmtId="9" fontId="8" fillId="4" borderId="23" xfId="1" applyNumberFormat="1" applyFont="1" applyFill="1" applyBorder="1" applyAlignment="1" applyProtection="1">
      <alignment horizontal="center" vertical="center" wrapText="1"/>
      <protection hidden="1"/>
    </xf>
    <xf numFmtId="9" fontId="8" fillId="4" borderId="0" xfId="1" applyNumberFormat="1" applyFont="1" applyFill="1" applyBorder="1" applyAlignment="1" applyProtection="1">
      <alignment horizontal="center" vertical="center" wrapText="1"/>
      <protection hidden="1"/>
    </xf>
    <xf numFmtId="9" fontId="8" fillId="4" borderId="3" xfId="1" applyNumberFormat="1" applyFont="1" applyFill="1" applyBorder="1" applyAlignment="1" applyProtection="1">
      <alignment horizontal="center" vertical="center" wrapText="1"/>
      <protection hidden="1"/>
    </xf>
    <xf numFmtId="9" fontId="8" fillId="4" borderId="2" xfId="1" applyNumberFormat="1" applyFont="1" applyFill="1" applyBorder="1" applyAlignment="1" applyProtection="1">
      <alignment horizontal="center" vertical="center" wrapText="1"/>
      <protection hidden="1"/>
    </xf>
    <xf numFmtId="9" fontId="8" fillId="4" borderId="1" xfId="1" applyNumberFormat="1" applyFont="1" applyFill="1" applyBorder="1" applyAlignment="1" applyProtection="1">
      <alignment horizontal="center" vertical="center" wrapText="1"/>
      <protection hidden="1"/>
    </xf>
  </cellXfs>
  <cellStyles count="4">
    <cellStyle name="Hyperlink" xfId="3" builtinId="8"/>
    <cellStyle name="Normal" xfId="0" builtinId="0"/>
    <cellStyle name="Normal 3" xfId="1"/>
    <cellStyle name="Percent" xfId="2" builtinId="5"/>
  </cellStyles>
  <dxfs count="0"/>
  <tableStyles count="0" defaultTableStyle="TableStyleMedium2" defaultPivotStyle="PivotStyleLight16"/>
  <colors>
    <mruColors>
      <color rgb="FFE3F2F3"/>
      <color rgb="FFE5EEF1"/>
      <color rgb="FFBBDDBD"/>
      <color rgb="FFE1F5E7"/>
      <color rgb="FFF2FCDA"/>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8</xdr:col>
      <xdr:colOff>123825</xdr:colOff>
      <xdr:row>28</xdr:row>
      <xdr:rowOff>165040</xdr:rowOff>
    </xdr:from>
    <xdr:to>
      <xdr:col>16</xdr:col>
      <xdr:colOff>504825</xdr:colOff>
      <xdr:row>37</xdr:row>
      <xdr:rowOff>371088</xdr:rowOff>
    </xdr:to>
    <xdr:pic>
      <xdr:nvPicPr>
        <xdr:cNvPr id="2" name="Picture 1"/>
        <xdr:cNvPicPr>
          <a:picLocks noChangeAspect="1"/>
        </xdr:cNvPicPr>
      </xdr:nvPicPr>
      <xdr:blipFill>
        <a:blip xmlns:r="http://schemas.openxmlformats.org/officeDocument/2006/relationships" r:embed="rId1"/>
        <a:stretch>
          <a:fillRect/>
        </a:stretch>
      </xdr:blipFill>
      <xdr:spPr>
        <a:xfrm>
          <a:off x="6867525" y="7604065"/>
          <a:ext cx="5572125" cy="2739698"/>
        </a:xfrm>
        <a:prstGeom prst="rect">
          <a:avLst/>
        </a:prstGeom>
      </xdr:spPr>
    </xdr:pic>
    <xdr:clientData/>
  </xdr:twoCellAnchor>
  <xdr:twoCellAnchor editAs="oneCell">
    <xdr:from>
      <xdr:col>8</xdr:col>
      <xdr:colOff>414130</xdr:colOff>
      <xdr:row>104</xdr:row>
      <xdr:rowOff>128063</xdr:rowOff>
    </xdr:from>
    <xdr:to>
      <xdr:col>13</xdr:col>
      <xdr:colOff>448289</xdr:colOff>
      <xdr:row>113</xdr:row>
      <xdr:rowOff>31866</xdr:rowOff>
    </xdr:to>
    <xdr:pic>
      <xdr:nvPicPr>
        <xdr:cNvPr id="3" name="Picture 2"/>
        <xdr:cNvPicPr>
          <a:picLocks noChangeAspect="1"/>
        </xdr:cNvPicPr>
      </xdr:nvPicPr>
      <xdr:blipFill>
        <a:blip xmlns:r="http://schemas.openxmlformats.org/officeDocument/2006/relationships" r:embed="rId2"/>
        <a:stretch>
          <a:fillRect/>
        </a:stretch>
      </xdr:blipFill>
      <xdr:spPr>
        <a:xfrm>
          <a:off x="7189304" y="22515954"/>
          <a:ext cx="3413463" cy="1427803"/>
        </a:xfrm>
        <a:prstGeom prst="rect">
          <a:avLst/>
        </a:prstGeom>
      </xdr:spPr>
    </xdr:pic>
    <xdr:clientData/>
  </xdr:twoCellAnchor>
  <xdr:twoCellAnchor editAs="oneCell">
    <xdr:from>
      <xdr:col>1</xdr:col>
      <xdr:colOff>716616</xdr:colOff>
      <xdr:row>406</xdr:row>
      <xdr:rowOff>123282</xdr:rowOff>
    </xdr:from>
    <xdr:to>
      <xdr:col>6</xdr:col>
      <xdr:colOff>224118</xdr:colOff>
      <xdr:row>427</xdr:row>
      <xdr:rowOff>79561</xdr:rowOff>
    </xdr:to>
    <xdr:pic>
      <xdr:nvPicPr>
        <xdr:cNvPr id="4" name="Picture 3"/>
        <xdr:cNvPicPr>
          <a:picLocks noChangeAspect="1"/>
        </xdr:cNvPicPr>
      </xdr:nvPicPr>
      <xdr:blipFill>
        <a:blip xmlns:r="http://schemas.openxmlformats.org/officeDocument/2006/relationships" r:embed="rId3"/>
        <a:stretch>
          <a:fillRect/>
        </a:stretch>
      </xdr:blipFill>
      <xdr:spPr>
        <a:xfrm>
          <a:off x="1512234" y="60276458"/>
          <a:ext cx="3754531" cy="3250809"/>
        </a:xfrm>
        <a:prstGeom prst="rect">
          <a:avLst/>
        </a:prstGeom>
        <a:ln>
          <a:solidFill>
            <a:schemeClr val="tx1"/>
          </a:solidFill>
        </a:ln>
      </xdr:spPr>
    </xdr:pic>
    <xdr:clientData/>
  </xdr:twoCellAnchor>
  <xdr:twoCellAnchor editAs="oneCell">
    <xdr:from>
      <xdr:col>2</xdr:col>
      <xdr:colOff>182744</xdr:colOff>
      <xdr:row>352</xdr:row>
      <xdr:rowOff>100854</xdr:rowOff>
    </xdr:from>
    <xdr:to>
      <xdr:col>5</xdr:col>
      <xdr:colOff>336176</xdr:colOff>
      <xdr:row>376</xdr:row>
      <xdr:rowOff>68471</xdr:rowOff>
    </xdr:to>
    <xdr:pic>
      <xdr:nvPicPr>
        <xdr:cNvPr id="6" name="Picture 5"/>
        <xdr:cNvPicPr>
          <a:picLocks noChangeAspect="1"/>
        </xdr:cNvPicPr>
      </xdr:nvPicPr>
      <xdr:blipFill>
        <a:blip xmlns:r="http://schemas.openxmlformats.org/officeDocument/2006/relationships" r:embed="rId4"/>
        <a:stretch>
          <a:fillRect/>
        </a:stretch>
      </xdr:blipFill>
      <xdr:spPr>
        <a:xfrm>
          <a:off x="1773979" y="51782383"/>
          <a:ext cx="2741991" cy="3732794"/>
        </a:xfrm>
        <a:prstGeom prst="rect">
          <a:avLst/>
        </a:prstGeom>
        <a:ln>
          <a:solidFill>
            <a:schemeClr val="tx1"/>
          </a:solidFill>
        </a:ln>
      </xdr:spPr>
    </xdr:pic>
    <xdr:clientData/>
  </xdr:twoCellAnchor>
  <xdr:twoCellAnchor editAs="oneCell">
    <xdr:from>
      <xdr:col>1</xdr:col>
      <xdr:colOff>310682</xdr:colOff>
      <xdr:row>377</xdr:row>
      <xdr:rowOff>1128</xdr:rowOff>
    </xdr:from>
    <xdr:to>
      <xdr:col>6</xdr:col>
      <xdr:colOff>263173</xdr:colOff>
      <xdr:row>403</xdr:row>
      <xdr:rowOff>89650</xdr:rowOff>
    </xdr:to>
    <xdr:pic>
      <xdr:nvPicPr>
        <xdr:cNvPr id="7" name="Picture 6"/>
        <xdr:cNvPicPr>
          <a:picLocks noChangeAspect="1"/>
        </xdr:cNvPicPr>
      </xdr:nvPicPr>
      <xdr:blipFill>
        <a:blip xmlns:r="http://schemas.openxmlformats.org/officeDocument/2006/relationships" r:embed="rId5"/>
        <a:stretch>
          <a:fillRect/>
        </a:stretch>
      </xdr:blipFill>
      <xdr:spPr>
        <a:xfrm rot="5400000">
          <a:off x="1122328" y="55588688"/>
          <a:ext cx="4167463" cy="4199520"/>
        </a:xfrm>
        <a:prstGeom prst="rect">
          <a:avLst/>
        </a:prstGeom>
        <a:ln>
          <a:solidFill>
            <a:schemeClr val="accent3">
              <a:lumMod val="50000"/>
            </a:schemeClr>
          </a:solidFill>
        </a:ln>
      </xdr:spPr>
    </xdr:pic>
    <xdr:clientData/>
  </xdr:twoCellAnchor>
  <xdr:twoCellAnchor>
    <xdr:from>
      <xdr:col>3</xdr:col>
      <xdr:colOff>0</xdr:colOff>
      <xdr:row>388</xdr:row>
      <xdr:rowOff>100853</xdr:rowOff>
    </xdr:from>
    <xdr:to>
      <xdr:col>4</xdr:col>
      <xdr:colOff>112059</xdr:colOff>
      <xdr:row>395</xdr:row>
      <xdr:rowOff>33617</xdr:rowOff>
    </xdr:to>
    <xdr:sp macro="" textlink="">
      <xdr:nvSpPr>
        <xdr:cNvPr id="8" name="Rectangle 7"/>
        <xdr:cNvSpPr/>
      </xdr:nvSpPr>
      <xdr:spPr>
        <a:xfrm>
          <a:off x="2454088" y="57430147"/>
          <a:ext cx="974912" cy="103094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3</xdr:col>
      <xdr:colOff>859771</xdr:colOff>
      <xdr:row>382</xdr:row>
      <xdr:rowOff>67235</xdr:rowOff>
    </xdr:from>
    <xdr:to>
      <xdr:col>5</xdr:col>
      <xdr:colOff>108977</xdr:colOff>
      <xdr:row>388</xdr:row>
      <xdr:rowOff>89647</xdr:rowOff>
    </xdr:to>
    <xdr:sp macro="" textlink="">
      <xdr:nvSpPr>
        <xdr:cNvPr id="9" name="Rectangle 8"/>
        <xdr:cNvSpPr/>
      </xdr:nvSpPr>
      <xdr:spPr>
        <a:xfrm>
          <a:off x="3313859" y="56455235"/>
          <a:ext cx="974912" cy="96370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4</xdr:col>
      <xdr:colOff>448236</xdr:colOff>
      <xdr:row>386</xdr:row>
      <xdr:rowOff>78442</xdr:rowOff>
    </xdr:from>
    <xdr:to>
      <xdr:col>5</xdr:col>
      <xdr:colOff>201707</xdr:colOff>
      <xdr:row>388</xdr:row>
      <xdr:rowOff>89647</xdr:rowOff>
    </xdr:to>
    <xdr:sp macro="" textlink="">
      <xdr:nvSpPr>
        <xdr:cNvPr id="10" name="TextBox 9"/>
        <xdr:cNvSpPr txBox="1"/>
      </xdr:nvSpPr>
      <xdr:spPr>
        <a:xfrm>
          <a:off x="3765177" y="57093971"/>
          <a:ext cx="616324" cy="3249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a:solidFill>
                <a:srgbClr val="FF0000"/>
              </a:solidFill>
            </a:rPr>
            <a:t>T6A</a:t>
          </a:r>
        </a:p>
      </xdr:txBody>
    </xdr:sp>
    <xdr:clientData/>
  </xdr:twoCellAnchor>
  <xdr:twoCellAnchor>
    <xdr:from>
      <xdr:col>3</xdr:col>
      <xdr:colOff>268941</xdr:colOff>
      <xdr:row>393</xdr:row>
      <xdr:rowOff>11206</xdr:rowOff>
    </xdr:from>
    <xdr:to>
      <xdr:col>4</xdr:col>
      <xdr:colOff>22412</xdr:colOff>
      <xdr:row>395</xdr:row>
      <xdr:rowOff>22411</xdr:rowOff>
    </xdr:to>
    <xdr:sp macro="" textlink="">
      <xdr:nvSpPr>
        <xdr:cNvPr id="11" name="TextBox 10"/>
        <xdr:cNvSpPr txBox="1"/>
      </xdr:nvSpPr>
      <xdr:spPr>
        <a:xfrm>
          <a:off x="2723029" y="58124912"/>
          <a:ext cx="616324" cy="3249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a:solidFill>
                <a:srgbClr val="FF0000"/>
              </a:solidFill>
            </a:rPr>
            <a:t>T6B</a:t>
          </a:r>
        </a:p>
      </xdr:txBody>
    </xdr:sp>
    <xdr:clientData/>
  </xdr:twoCellAnchor>
  <xdr:twoCellAnchor>
    <xdr:from>
      <xdr:col>0</xdr:col>
      <xdr:colOff>595312</xdr:colOff>
      <xdr:row>428</xdr:row>
      <xdr:rowOff>15240</xdr:rowOff>
    </xdr:from>
    <xdr:to>
      <xdr:col>7</xdr:col>
      <xdr:colOff>179294</xdr:colOff>
      <xdr:row>453</xdr:row>
      <xdr:rowOff>59794</xdr:rowOff>
    </xdr:to>
    <xdr:grpSp>
      <xdr:nvGrpSpPr>
        <xdr:cNvPr id="19" name="Group 18"/>
        <xdr:cNvGrpSpPr/>
      </xdr:nvGrpSpPr>
      <xdr:grpSpPr>
        <a:xfrm>
          <a:off x="595312" y="69821066"/>
          <a:ext cx="5497765" cy="4185858"/>
          <a:chOff x="595312" y="63619828"/>
          <a:chExt cx="5489482" cy="3966613"/>
        </a:xfrm>
      </xdr:grpSpPr>
      <xdr:grpSp>
        <xdr:nvGrpSpPr>
          <xdr:cNvPr id="16" name="Group 15"/>
          <xdr:cNvGrpSpPr/>
        </xdr:nvGrpSpPr>
        <xdr:grpSpPr>
          <a:xfrm>
            <a:off x="595312" y="63619828"/>
            <a:ext cx="5489482" cy="3966613"/>
            <a:chOff x="595312" y="63619828"/>
            <a:chExt cx="5489482" cy="3966613"/>
          </a:xfrm>
        </xdr:grpSpPr>
        <xdr:pic>
          <xdr:nvPicPr>
            <xdr:cNvPr id="5" name="Picture 4"/>
            <xdr:cNvPicPr>
              <a:picLocks noChangeAspect="1"/>
            </xdr:cNvPicPr>
          </xdr:nvPicPr>
          <xdr:blipFill>
            <a:blip xmlns:r="http://schemas.openxmlformats.org/officeDocument/2006/relationships" r:embed="rId6"/>
            <a:stretch>
              <a:fillRect/>
            </a:stretch>
          </xdr:blipFill>
          <xdr:spPr>
            <a:xfrm>
              <a:off x="595312" y="63619828"/>
              <a:ext cx="5489482" cy="3966613"/>
            </a:xfrm>
            <a:prstGeom prst="rect">
              <a:avLst/>
            </a:prstGeom>
            <a:ln>
              <a:solidFill>
                <a:schemeClr val="tx1"/>
              </a:solidFill>
            </a:ln>
          </xdr:spPr>
        </xdr:pic>
        <xdr:sp macro="" textlink="">
          <xdr:nvSpPr>
            <xdr:cNvPr id="13" name="Freeform 12"/>
            <xdr:cNvSpPr/>
          </xdr:nvSpPr>
          <xdr:spPr>
            <a:xfrm>
              <a:off x="2454088" y="64339792"/>
              <a:ext cx="1999032" cy="2708413"/>
            </a:xfrm>
            <a:custGeom>
              <a:avLst/>
              <a:gdLst>
                <a:gd name="connsiteX0" fmla="*/ 472109 w 1996109"/>
                <a:gd name="connsiteY0" fmla="*/ 2824369 h 2857500"/>
                <a:gd name="connsiteX1" fmla="*/ 0 w 1996109"/>
                <a:gd name="connsiteY1" fmla="*/ 911087 h 2857500"/>
                <a:gd name="connsiteX2" fmla="*/ 795131 w 1996109"/>
                <a:gd name="connsiteY2" fmla="*/ 977348 h 2857500"/>
                <a:gd name="connsiteX3" fmla="*/ 1051892 w 1996109"/>
                <a:gd name="connsiteY3" fmla="*/ 422413 h 2857500"/>
                <a:gd name="connsiteX4" fmla="*/ 1805609 w 1996109"/>
                <a:gd name="connsiteY4" fmla="*/ 0 h 2857500"/>
                <a:gd name="connsiteX5" fmla="*/ 1996109 w 1996109"/>
                <a:gd name="connsiteY5" fmla="*/ 298174 h 2857500"/>
                <a:gd name="connsiteX6" fmla="*/ 1962979 w 1996109"/>
                <a:gd name="connsiteY6" fmla="*/ 1341782 h 2857500"/>
                <a:gd name="connsiteX7" fmla="*/ 1772479 w 1996109"/>
                <a:gd name="connsiteY7" fmla="*/ 1772478 h 2857500"/>
                <a:gd name="connsiteX8" fmla="*/ 1871870 w 1996109"/>
                <a:gd name="connsiteY8" fmla="*/ 2153478 h 2857500"/>
                <a:gd name="connsiteX9" fmla="*/ 1830457 w 1996109"/>
                <a:gd name="connsiteY9" fmla="*/ 2310848 h 2857500"/>
                <a:gd name="connsiteX10" fmla="*/ 1242392 w 1996109"/>
                <a:gd name="connsiteY10" fmla="*/ 2228021 h 2857500"/>
                <a:gd name="connsiteX11" fmla="*/ 1176131 w 1996109"/>
                <a:gd name="connsiteY11" fmla="*/ 2426804 h 2857500"/>
                <a:gd name="connsiteX12" fmla="*/ 1167848 w 1996109"/>
                <a:gd name="connsiteY12" fmla="*/ 2600739 h 2857500"/>
                <a:gd name="connsiteX13" fmla="*/ 1027044 w 1996109"/>
                <a:gd name="connsiteY13" fmla="*/ 2617304 h 2857500"/>
                <a:gd name="connsiteX14" fmla="*/ 861392 w 1996109"/>
                <a:gd name="connsiteY14" fmla="*/ 2774674 h 2857500"/>
                <a:gd name="connsiteX15" fmla="*/ 596348 w 1996109"/>
                <a:gd name="connsiteY15" fmla="*/ 2857500 h 2857500"/>
                <a:gd name="connsiteX16" fmla="*/ 472109 w 1996109"/>
                <a:gd name="connsiteY16" fmla="*/ 2824369 h 28575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1996109" h="2857500">
                  <a:moveTo>
                    <a:pt x="472109" y="2824369"/>
                  </a:moveTo>
                  <a:lnTo>
                    <a:pt x="0" y="911087"/>
                  </a:lnTo>
                  <a:lnTo>
                    <a:pt x="795131" y="977348"/>
                  </a:lnTo>
                  <a:lnTo>
                    <a:pt x="1051892" y="422413"/>
                  </a:lnTo>
                  <a:lnTo>
                    <a:pt x="1805609" y="0"/>
                  </a:lnTo>
                  <a:lnTo>
                    <a:pt x="1996109" y="298174"/>
                  </a:lnTo>
                  <a:lnTo>
                    <a:pt x="1962979" y="1341782"/>
                  </a:lnTo>
                  <a:lnTo>
                    <a:pt x="1772479" y="1772478"/>
                  </a:lnTo>
                  <a:lnTo>
                    <a:pt x="1871870" y="2153478"/>
                  </a:lnTo>
                  <a:lnTo>
                    <a:pt x="1830457" y="2310848"/>
                  </a:lnTo>
                  <a:lnTo>
                    <a:pt x="1242392" y="2228021"/>
                  </a:lnTo>
                  <a:lnTo>
                    <a:pt x="1176131" y="2426804"/>
                  </a:lnTo>
                  <a:lnTo>
                    <a:pt x="1167848" y="2600739"/>
                  </a:lnTo>
                  <a:lnTo>
                    <a:pt x="1027044" y="2617304"/>
                  </a:lnTo>
                  <a:lnTo>
                    <a:pt x="861392" y="2774674"/>
                  </a:lnTo>
                  <a:lnTo>
                    <a:pt x="596348" y="2857500"/>
                  </a:lnTo>
                  <a:lnTo>
                    <a:pt x="472109" y="2824369"/>
                  </a:lnTo>
                  <a:close/>
                </a:path>
              </a:pathLst>
            </a:custGeom>
            <a:no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sp macro="" textlink="">
        <xdr:nvSpPr>
          <xdr:cNvPr id="17" name="TextBox 16"/>
          <xdr:cNvSpPr txBox="1"/>
        </xdr:nvSpPr>
        <xdr:spPr>
          <a:xfrm>
            <a:off x="3709147" y="64657941"/>
            <a:ext cx="616324" cy="3249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a:solidFill>
                  <a:srgbClr val="FFFF00"/>
                </a:solidFill>
              </a:rPr>
              <a:t>T6A</a:t>
            </a:r>
          </a:p>
        </xdr:txBody>
      </xdr:sp>
      <xdr:sp macro="" textlink="">
        <xdr:nvSpPr>
          <xdr:cNvPr id="18" name="TextBox 17"/>
          <xdr:cNvSpPr txBox="1"/>
        </xdr:nvSpPr>
        <xdr:spPr>
          <a:xfrm>
            <a:off x="3234018" y="66143841"/>
            <a:ext cx="616324" cy="3249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a:solidFill>
                  <a:srgbClr val="FFFF00"/>
                </a:solidFill>
              </a:rPr>
              <a:t>T6B</a:t>
            </a:r>
          </a:p>
        </xdr:txBody>
      </xdr:sp>
    </xdr:grpSp>
    <xdr:clientData/>
  </xdr:twoCellAnchor>
  <xdr:twoCellAnchor>
    <xdr:from>
      <xdr:col>0</xdr:col>
      <xdr:colOff>210378</xdr:colOff>
      <xdr:row>300</xdr:row>
      <xdr:rowOff>28574</xdr:rowOff>
    </xdr:from>
    <xdr:to>
      <xdr:col>7</xdr:col>
      <xdr:colOff>709542</xdr:colOff>
      <xdr:row>344</xdr:row>
      <xdr:rowOff>57150</xdr:rowOff>
    </xdr:to>
    <xdr:grpSp>
      <xdr:nvGrpSpPr>
        <xdr:cNvPr id="26" name="Group 25"/>
        <xdr:cNvGrpSpPr/>
      </xdr:nvGrpSpPr>
      <xdr:grpSpPr>
        <a:xfrm>
          <a:off x="210378" y="48630922"/>
          <a:ext cx="6412947" cy="7317271"/>
          <a:chOff x="152400" y="47802661"/>
          <a:chExt cx="6412947" cy="7317272"/>
        </a:xfrm>
      </xdr:grpSpPr>
      <xdr:pic>
        <xdr:nvPicPr>
          <xdr:cNvPr id="20" name="Picture 19" descr="https://vsjcllp.vsjadon.com/upload/insp-246738-1525.jpg"/>
          <xdr:cNvPicPr>
            <a:picLocks noChangeAspect="1" noChangeArrowheads="1"/>
          </xdr:cNvPicPr>
        </xdr:nvPicPr>
        <xdr:blipFill rotWithShape="1">
          <a:blip xmlns:r="http://schemas.openxmlformats.org/officeDocument/2006/relationships" r:embed="rId7" cstate="print">
            <a:extLst>
              <a:ext uri="{28A0092B-C50C-407E-A947-70E740481C1C}">
                <a14:useLocalDpi xmlns:a14="http://schemas.microsoft.com/office/drawing/2010/main"/>
              </a:ext>
            </a:extLst>
          </a:blip>
          <a:srcRect b="5033"/>
          <a:stretch/>
        </xdr:blipFill>
        <xdr:spPr bwMode="auto">
          <a:xfrm>
            <a:off x="4167810" y="52204868"/>
            <a:ext cx="2139044" cy="291506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1" name="Picture 20" descr="https://vsjcllp.vsjadon.com/upload/insp-246738-843.jpg"/>
          <xdr:cNvPicPr>
            <a:picLocks noChangeAspect="1" noChangeArrowheads="1"/>
          </xdr:cNvPicPr>
        </xdr:nvPicPr>
        <xdr:blipFill rotWithShape="1">
          <a:blip xmlns:r="http://schemas.openxmlformats.org/officeDocument/2006/relationships" r:embed="rId8" cstate="print">
            <a:extLst>
              <a:ext uri="{28A0092B-C50C-407E-A947-70E740481C1C}">
                <a14:useLocalDpi xmlns:a14="http://schemas.microsoft.com/office/drawing/2010/main"/>
              </a:ext>
            </a:extLst>
          </a:blip>
          <a:srcRect b="4535"/>
          <a:stretch/>
        </xdr:blipFill>
        <xdr:spPr bwMode="auto">
          <a:xfrm>
            <a:off x="152400" y="47802662"/>
            <a:ext cx="3157881" cy="430695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2" name="Picture 21" descr="https://vsjcllp.vsjadon.com/upload/insp-246738-849.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290306" y="52202590"/>
            <a:ext cx="3796003" cy="290553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3" name="Picture 22" descr="https://vsjcllp.vsjadon.com/upload/insp-246738-851.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3405809" y="47802661"/>
            <a:ext cx="3159538" cy="429743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24" name="TextBox 23"/>
          <xdr:cNvSpPr txBox="1"/>
        </xdr:nvSpPr>
        <xdr:spPr>
          <a:xfrm>
            <a:off x="447675" y="48181590"/>
            <a:ext cx="614034" cy="3425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a:solidFill>
                  <a:srgbClr val="FF0000"/>
                </a:solidFill>
              </a:rPr>
              <a:t>T6A</a:t>
            </a:r>
          </a:p>
        </xdr:txBody>
      </xdr:sp>
      <xdr:sp macro="" textlink="">
        <xdr:nvSpPr>
          <xdr:cNvPr id="25" name="TextBox 24"/>
          <xdr:cNvSpPr txBox="1"/>
        </xdr:nvSpPr>
        <xdr:spPr>
          <a:xfrm>
            <a:off x="2083076" y="48328192"/>
            <a:ext cx="614862" cy="3425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a:solidFill>
                  <a:srgbClr val="FF0000"/>
                </a:solidFill>
              </a:rPr>
              <a:t>T6B</a:t>
            </a:r>
          </a:p>
        </xdr:txBody>
      </xdr:sp>
    </xdr:grpSp>
    <xdr:clientData/>
  </xdr:twoCellAnchor>
  <xdr:twoCellAnchor>
    <xdr:from>
      <xdr:col>3</xdr:col>
      <xdr:colOff>339587</xdr:colOff>
      <xdr:row>378</xdr:row>
      <xdr:rowOff>82826</xdr:rowOff>
    </xdr:from>
    <xdr:to>
      <xdr:col>5</xdr:col>
      <xdr:colOff>687457</xdr:colOff>
      <xdr:row>397</xdr:row>
      <xdr:rowOff>24848</xdr:rowOff>
    </xdr:to>
    <xdr:sp macro="" textlink="">
      <xdr:nvSpPr>
        <xdr:cNvPr id="27" name="Freeform 26"/>
        <xdr:cNvSpPr/>
      </xdr:nvSpPr>
      <xdr:spPr>
        <a:xfrm>
          <a:off x="2807804" y="60777783"/>
          <a:ext cx="2070653" cy="3089413"/>
        </a:xfrm>
        <a:custGeom>
          <a:avLst/>
          <a:gdLst>
            <a:gd name="connsiteX0" fmla="*/ 0 w 2070653"/>
            <a:gd name="connsiteY0" fmla="*/ 0 h 3097695"/>
            <a:gd name="connsiteX1" fmla="*/ 654326 w 2070653"/>
            <a:gd name="connsiteY1" fmla="*/ 381000 h 3097695"/>
            <a:gd name="connsiteX2" fmla="*/ 828261 w 2070653"/>
            <a:gd name="connsiteY2" fmla="*/ 364434 h 3097695"/>
            <a:gd name="connsiteX3" fmla="*/ 1192696 w 2070653"/>
            <a:gd name="connsiteY3" fmla="*/ 140804 h 3097695"/>
            <a:gd name="connsiteX4" fmla="*/ 1913283 w 2070653"/>
            <a:gd name="connsiteY4" fmla="*/ 91108 h 3097695"/>
            <a:gd name="connsiteX5" fmla="*/ 2070653 w 2070653"/>
            <a:gd name="connsiteY5" fmla="*/ 430695 h 3097695"/>
            <a:gd name="connsiteX6" fmla="*/ 1590261 w 2070653"/>
            <a:gd name="connsiteY6" fmla="*/ 2153478 h 3097695"/>
            <a:gd name="connsiteX7" fmla="*/ 1325218 w 2070653"/>
            <a:gd name="connsiteY7" fmla="*/ 2700130 h 3097695"/>
            <a:gd name="connsiteX8" fmla="*/ 1242392 w 2070653"/>
            <a:gd name="connsiteY8" fmla="*/ 3097695 h 30976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070653" h="3097695">
              <a:moveTo>
                <a:pt x="0" y="0"/>
              </a:moveTo>
              <a:lnTo>
                <a:pt x="654326" y="381000"/>
              </a:lnTo>
              <a:lnTo>
                <a:pt x="828261" y="364434"/>
              </a:lnTo>
              <a:lnTo>
                <a:pt x="1192696" y="140804"/>
              </a:lnTo>
              <a:lnTo>
                <a:pt x="1913283" y="91108"/>
              </a:lnTo>
              <a:lnTo>
                <a:pt x="2070653" y="430695"/>
              </a:lnTo>
              <a:lnTo>
                <a:pt x="1590261" y="2153478"/>
              </a:lnTo>
              <a:lnTo>
                <a:pt x="1325218" y="2700130"/>
              </a:lnTo>
              <a:lnTo>
                <a:pt x="1242392" y="3097695"/>
              </a:lnTo>
            </a:path>
          </a:pathLst>
        </a:custGeom>
        <a:no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3</xdr:col>
      <xdr:colOff>762000</xdr:colOff>
      <xdr:row>377</xdr:row>
      <xdr:rowOff>107674</xdr:rowOff>
    </xdr:from>
    <xdr:to>
      <xdr:col>6</xdr:col>
      <xdr:colOff>41413</xdr:colOff>
      <xdr:row>398</xdr:row>
      <xdr:rowOff>157370</xdr:rowOff>
    </xdr:to>
    <xdr:sp macro="" textlink="">
      <xdr:nvSpPr>
        <xdr:cNvPr id="29" name="Freeform 28"/>
        <xdr:cNvSpPr/>
      </xdr:nvSpPr>
      <xdr:spPr>
        <a:xfrm>
          <a:off x="3230217" y="60636978"/>
          <a:ext cx="1863587" cy="3528392"/>
        </a:xfrm>
        <a:custGeom>
          <a:avLst/>
          <a:gdLst>
            <a:gd name="connsiteX0" fmla="*/ 0 w 1863587"/>
            <a:gd name="connsiteY0" fmla="*/ 57979 h 3528392"/>
            <a:gd name="connsiteX1" fmla="*/ 347870 w 1863587"/>
            <a:gd name="connsiteY1" fmla="*/ 273326 h 3528392"/>
            <a:gd name="connsiteX2" fmla="*/ 670892 w 1863587"/>
            <a:gd name="connsiteY2" fmla="*/ 66261 h 3528392"/>
            <a:gd name="connsiteX3" fmla="*/ 1300370 w 1863587"/>
            <a:gd name="connsiteY3" fmla="*/ 0 h 3528392"/>
            <a:gd name="connsiteX4" fmla="*/ 1557131 w 1863587"/>
            <a:gd name="connsiteY4" fmla="*/ 0 h 3528392"/>
            <a:gd name="connsiteX5" fmla="*/ 1706218 w 1863587"/>
            <a:gd name="connsiteY5" fmla="*/ 91109 h 3528392"/>
            <a:gd name="connsiteX6" fmla="*/ 1764196 w 1863587"/>
            <a:gd name="connsiteY6" fmla="*/ 190500 h 3528392"/>
            <a:gd name="connsiteX7" fmla="*/ 1863587 w 1863587"/>
            <a:gd name="connsiteY7" fmla="*/ 563218 h 3528392"/>
            <a:gd name="connsiteX8" fmla="*/ 1772479 w 1863587"/>
            <a:gd name="connsiteY8" fmla="*/ 985631 h 3528392"/>
            <a:gd name="connsiteX9" fmla="*/ 1540566 w 1863587"/>
            <a:gd name="connsiteY9" fmla="*/ 1764196 h 3528392"/>
            <a:gd name="connsiteX10" fmla="*/ 1209261 w 1863587"/>
            <a:gd name="connsiteY10" fmla="*/ 2766392 h 3528392"/>
            <a:gd name="connsiteX11" fmla="*/ 1093305 w 1863587"/>
            <a:gd name="connsiteY11" fmla="*/ 2990022 h 3528392"/>
            <a:gd name="connsiteX12" fmla="*/ 1018761 w 1863587"/>
            <a:gd name="connsiteY12" fmla="*/ 3387587 h 3528392"/>
            <a:gd name="connsiteX13" fmla="*/ 969066 w 1863587"/>
            <a:gd name="connsiteY13" fmla="*/ 3528392 h 352839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863587" h="3528392">
              <a:moveTo>
                <a:pt x="0" y="57979"/>
              </a:moveTo>
              <a:lnTo>
                <a:pt x="347870" y="273326"/>
              </a:lnTo>
              <a:lnTo>
                <a:pt x="670892" y="66261"/>
              </a:lnTo>
              <a:lnTo>
                <a:pt x="1300370" y="0"/>
              </a:lnTo>
              <a:lnTo>
                <a:pt x="1557131" y="0"/>
              </a:lnTo>
              <a:lnTo>
                <a:pt x="1706218" y="91109"/>
              </a:lnTo>
              <a:lnTo>
                <a:pt x="1764196" y="190500"/>
              </a:lnTo>
              <a:lnTo>
                <a:pt x="1863587" y="563218"/>
              </a:lnTo>
              <a:lnTo>
                <a:pt x="1772479" y="985631"/>
              </a:lnTo>
              <a:lnTo>
                <a:pt x="1540566" y="1764196"/>
              </a:lnTo>
              <a:lnTo>
                <a:pt x="1209261" y="2766392"/>
              </a:lnTo>
              <a:lnTo>
                <a:pt x="1093305" y="2990022"/>
              </a:lnTo>
              <a:lnTo>
                <a:pt x="1018761" y="3387587"/>
              </a:lnTo>
              <a:lnTo>
                <a:pt x="969066" y="3528392"/>
              </a:lnTo>
            </a:path>
          </a:pathLst>
        </a:custGeom>
        <a:no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5</xdr:col>
      <xdr:colOff>397565</xdr:colOff>
      <xdr:row>385</xdr:row>
      <xdr:rowOff>91108</xdr:rowOff>
    </xdr:from>
    <xdr:to>
      <xdr:col>5</xdr:col>
      <xdr:colOff>654326</xdr:colOff>
      <xdr:row>388</xdr:row>
      <xdr:rowOff>49695</xdr:rowOff>
    </xdr:to>
    <xdr:sp macro="" textlink="">
      <xdr:nvSpPr>
        <xdr:cNvPr id="30" name="TextBox 29"/>
        <xdr:cNvSpPr txBox="1"/>
      </xdr:nvSpPr>
      <xdr:spPr>
        <a:xfrm rot="5592499">
          <a:off x="4489174" y="62045021"/>
          <a:ext cx="455543" cy="2567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solidFill>
                <a:srgbClr val="002060"/>
              </a:solidFill>
            </a:rPr>
            <a:t>Nala</a:t>
          </a:r>
        </a:p>
      </xdr:txBody>
    </xdr:sp>
    <xdr:clientData/>
  </xdr:twoCellAnchor>
  <xdr:twoCellAnchor>
    <xdr:from>
      <xdr:col>4</xdr:col>
      <xdr:colOff>425725</xdr:colOff>
      <xdr:row>378</xdr:row>
      <xdr:rowOff>3313</xdr:rowOff>
    </xdr:from>
    <xdr:to>
      <xdr:col>5</xdr:col>
      <xdr:colOff>19877</xdr:colOff>
      <xdr:row>379</xdr:row>
      <xdr:rowOff>94422</xdr:rowOff>
    </xdr:to>
    <xdr:sp macro="" textlink="">
      <xdr:nvSpPr>
        <xdr:cNvPr id="31" name="TextBox 30"/>
        <xdr:cNvSpPr txBox="1"/>
      </xdr:nvSpPr>
      <xdr:spPr>
        <a:xfrm rot="20668853">
          <a:off x="3755334" y="60698270"/>
          <a:ext cx="455543" cy="2567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solidFill>
                <a:srgbClr val="002060"/>
              </a:solidFill>
            </a:rPr>
            <a:t>Nala</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356152</xdr:colOff>
      <xdr:row>15</xdr:row>
      <xdr:rowOff>132521</xdr:rowOff>
    </xdr:from>
    <xdr:to>
      <xdr:col>8</xdr:col>
      <xdr:colOff>267766</xdr:colOff>
      <xdr:row>28</xdr:row>
      <xdr:rowOff>132211</xdr:rowOff>
    </xdr:to>
    <xdr:pic>
      <xdr:nvPicPr>
        <xdr:cNvPr id="2" name="Picture 1"/>
        <xdr:cNvPicPr>
          <a:picLocks noChangeAspect="1"/>
        </xdr:cNvPicPr>
      </xdr:nvPicPr>
      <xdr:blipFill>
        <a:blip xmlns:r="http://schemas.openxmlformats.org/officeDocument/2006/relationships" r:embed="rId1"/>
        <a:stretch>
          <a:fillRect/>
        </a:stretch>
      </xdr:blipFill>
      <xdr:spPr>
        <a:xfrm>
          <a:off x="4298674" y="2998304"/>
          <a:ext cx="4723809" cy="2476190"/>
        </a:xfrm>
        <a:prstGeom prst="rect">
          <a:avLst/>
        </a:prstGeom>
      </xdr:spPr>
    </xdr:pic>
    <xdr:clientData/>
  </xdr:twoCellAnchor>
  <xdr:twoCellAnchor editAs="oneCell">
    <xdr:from>
      <xdr:col>0</xdr:col>
      <xdr:colOff>530088</xdr:colOff>
      <xdr:row>29</xdr:row>
      <xdr:rowOff>151742</xdr:rowOff>
    </xdr:from>
    <xdr:to>
      <xdr:col>4</xdr:col>
      <xdr:colOff>803414</xdr:colOff>
      <xdr:row>50</xdr:row>
      <xdr:rowOff>113642</xdr:rowOff>
    </xdr:to>
    <xdr:pic>
      <xdr:nvPicPr>
        <xdr:cNvPr id="3" name="Picture 2"/>
        <xdr:cNvPicPr>
          <a:picLocks noChangeAspect="1"/>
        </xdr:cNvPicPr>
      </xdr:nvPicPr>
      <xdr:blipFill>
        <a:blip xmlns:r="http://schemas.openxmlformats.org/officeDocument/2006/relationships" r:embed="rId2"/>
        <a:stretch>
          <a:fillRect/>
        </a:stretch>
      </xdr:blipFill>
      <xdr:spPr>
        <a:xfrm>
          <a:off x="530088" y="5684525"/>
          <a:ext cx="5383696" cy="3962400"/>
        </a:xfrm>
        <a:prstGeom prst="rect">
          <a:avLst/>
        </a:prstGeom>
      </xdr:spPr>
    </xdr:pic>
    <xdr:clientData/>
  </xdr:twoCellAnchor>
  <xdr:twoCellAnchor editAs="oneCell">
    <xdr:from>
      <xdr:col>4</xdr:col>
      <xdr:colOff>1025692</xdr:colOff>
      <xdr:row>31</xdr:row>
      <xdr:rowOff>91108</xdr:rowOff>
    </xdr:from>
    <xdr:to>
      <xdr:col>11</xdr:col>
      <xdr:colOff>272874</xdr:colOff>
      <xdr:row>48</xdr:row>
      <xdr:rowOff>8290</xdr:rowOff>
    </xdr:to>
    <xdr:pic>
      <xdr:nvPicPr>
        <xdr:cNvPr id="4" name="Picture 3"/>
        <xdr:cNvPicPr>
          <a:picLocks noChangeAspect="1"/>
        </xdr:cNvPicPr>
      </xdr:nvPicPr>
      <xdr:blipFill>
        <a:blip xmlns:r="http://schemas.openxmlformats.org/officeDocument/2006/relationships" r:embed="rId3"/>
        <a:stretch>
          <a:fillRect/>
        </a:stretch>
      </xdr:blipFill>
      <xdr:spPr>
        <a:xfrm>
          <a:off x="6136062" y="6004891"/>
          <a:ext cx="4730269" cy="31556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e7tjfmHNEGAZC7bz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456"/>
  <sheetViews>
    <sheetView tabSelected="1" view="pageBreakPreview" zoomScale="115" zoomScaleNormal="115" zoomScaleSheetLayoutView="115" workbookViewId="0">
      <selection activeCell="M7" sqref="M7"/>
    </sheetView>
  </sheetViews>
  <sheetFormatPr defaultRowHeight="12.75" x14ac:dyDescent="0.2"/>
  <cols>
    <col min="1" max="2" width="12" style="6" customWidth="1"/>
    <col min="3" max="8" width="12.85546875" style="6" customWidth="1"/>
    <col min="9" max="9" width="13.85546875" style="6" customWidth="1"/>
    <col min="10" max="16384" width="9.140625" style="6"/>
  </cols>
  <sheetData>
    <row r="1" spans="1:20" ht="41.25" customHeight="1" x14ac:dyDescent="0.2">
      <c r="A1" s="126" t="s">
        <v>144</v>
      </c>
      <c r="B1" s="126"/>
      <c r="C1" s="127"/>
      <c r="D1" s="127"/>
      <c r="E1" s="127"/>
      <c r="F1" s="127"/>
      <c r="G1" s="127"/>
      <c r="H1" s="127"/>
    </row>
    <row r="2" spans="1:20" ht="14.25" x14ac:dyDescent="0.2">
      <c r="A2" s="130" t="s">
        <v>85</v>
      </c>
      <c r="B2" s="130"/>
      <c r="C2" s="130"/>
      <c r="D2" s="130"/>
      <c r="E2" s="130"/>
      <c r="F2" s="130"/>
      <c r="G2" s="130"/>
      <c r="H2" s="130"/>
    </row>
    <row r="3" spans="1:20" ht="25.5" x14ac:dyDescent="0.2">
      <c r="A3" s="12" t="s">
        <v>102</v>
      </c>
      <c r="B3" s="12"/>
      <c r="C3" s="179" t="s">
        <v>108</v>
      </c>
      <c r="D3" s="180"/>
      <c r="E3" s="181"/>
      <c r="F3" s="11" t="s">
        <v>103</v>
      </c>
      <c r="G3" s="185">
        <v>45912</v>
      </c>
      <c r="H3" s="185"/>
    </row>
    <row r="4" spans="1:20" ht="25.5" x14ac:dyDescent="0.2">
      <c r="A4" s="12" t="s">
        <v>106</v>
      </c>
      <c r="B4" s="12"/>
      <c r="C4" s="182" t="s">
        <v>238</v>
      </c>
      <c r="D4" s="183"/>
      <c r="E4" s="184"/>
      <c r="F4" s="11" t="s">
        <v>104</v>
      </c>
      <c r="G4" s="186" t="s">
        <v>314</v>
      </c>
      <c r="H4" s="186"/>
    </row>
    <row r="5" spans="1:20" ht="25.5" x14ac:dyDescent="0.2">
      <c r="A5" s="137" t="s">
        <v>107</v>
      </c>
      <c r="B5" s="138"/>
      <c r="C5" s="179" t="s">
        <v>229</v>
      </c>
      <c r="D5" s="180"/>
      <c r="E5" s="181"/>
      <c r="F5" s="11" t="s">
        <v>105</v>
      </c>
      <c r="G5" s="185" t="str">
        <f ca="1">TEXT(TODAY(),"DD/MM/YYYY")</f>
        <v>26/09/2025</v>
      </c>
      <c r="H5" s="185"/>
    </row>
    <row r="6" spans="1:20" ht="14.25" x14ac:dyDescent="0.2">
      <c r="A6" s="130" t="s">
        <v>101</v>
      </c>
      <c r="B6" s="130"/>
      <c r="C6" s="130"/>
      <c r="D6" s="130"/>
      <c r="E6" s="130"/>
      <c r="F6" s="130"/>
      <c r="G6" s="130"/>
      <c r="H6" s="130"/>
    </row>
    <row r="7" spans="1:20" ht="14.25" x14ac:dyDescent="0.2">
      <c r="A7" s="144" t="s">
        <v>0</v>
      </c>
      <c r="B7" s="145"/>
      <c r="C7" s="132" t="s">
        <v>239</v>
      </c>
      <c r="D7" s="132"/>
      <c r="E7" s="132"/>
      <c r="F7" s="132"/>
      <c r="G7" s="132"/>
      <c r="H7" s="132"/>
    </row>
    <row r="8" spans="1:20" ht="25.5" customHeight="1" x14ac:dyDescent="0.2">
      <c r="A8" s="144" t="s">
        <v>1</v>
      </c>
      <c r="B8" s="145"/>
      <c r="C8" s="128" t="str">
        <f>CONCATENATE((IF(OR(C7="",C7="NA"),"",C7)),", ",(IF(OR(A9="",A9="NA"),"",A9)),".",(IF(OR(C9="",C9="NA"),"",C9)),", near ",(IF(OR(C17="",C17="NA"),"",C17)),", ",(IF(OR(C11="",C11="NA"),"",C11)),", ",(IF(OR(C10="",C10="NA"),"",C10)),", ",(IF(OR(C12="",C12="NA"),"",C12)),", ",(IF(OR(C13="",C13="NA"),"",C13)),", ",(IF(OR(C14="",C14="NA"),"",C14))," - ",(IF(OR(C15="",C15="NA"),"",C15)),".")</f>
        <v>Puraniks Unicorn Phase I &amp; II, Survey No.55/1/C &amp; 55/1/G, near Puranik City Reserva, Ghodbunder Road, Mogharpada, Thane West, Thane, Thane - 400615.</v>
      </c>
      <c r="D8" s="128"/>
      <c r="E8" s="128"/>
      <c r="F8" s="128"/>
      <c r="G8" s="128"/>
      <c r="H8" s="128"/>
      <c r="P8" s="63" t="s">
        <v>148</v>
      </c>
      <c r="Q8" s="63" t="s">
        <v>149</v>
      </c>
      <c r="R8" s="63" t="s">
        <v>150</v>
      </c>
      <c r="S8" s="63" t="s">
        <v>151</v>
      </c>
      <c r="T8" s="63" t="s">
        <v>152</v>
      </c>
    </row>
    <row r="9" spans="1:20" ht="15" x14ac:dyDescent="0.2">
      <c r="A9" s="144" t="s">
        <v>241</v>
      </c>
      <c r="B9" s="145"/>
      <c r="C9" s="128" t="s">
        <v>240</v>
      </c>
      <c r="D9" s="128"/>
      <c r="E9" s="128"/>
      <c r="F9" s="128"/>
      <c r="G9" s="128"/>
      <c r="H9" s="128"/>
      <c r="P9" s="63" t="s">
        <v>153</v>
      </c>
      <c r="Q9" s="63" t="s">
        <v>154</v>
      </c>
      <c r="R9" s="63" t="s">
        <v>155</v>
      </c>
      <c r="S9" s="63" t="s">
        <v>156</v>
      </c>
      <c r="T9" s="63" t="s">
        <v>157</v>
      </c>
    </row>
    <row r="10" spans="1:20" ht="15" x14ac:dyDescent="0.2">
      <c r="A10" s="144" t="s">
        <v>6</v>
      </c>
      <c r="B10" s="145"/>
      <c r="C10" s="129" t="s">
        <v>242</v>
      </c>
      <c r="D10" s="129"/>
      <c r="E10" s="129"/>
      <c r="F10" s="129"/>
      <c r="G10" s="129"/>
      <c r="H10" s="129"/>
      <c r="P10" s="63" t="s">
        <v>158</v>
      </c>
      <c r="Q10" s="63" t="s">
        <v>159</v>
      </c>
      <c r="R10" s="63" t="s">
        <v>160</v>
      </c>
      <c r="S10" s="63" t="s">
        <v>161</v>
      </c>
      <c r="T10" s="63" t="s">
        <v>162</v>
      </c>
    </row>
    <row r="11" spans="1:20" ht="15" x14ac:dyDescent="0.2">
      <c r="A11" s="144" t="s">
        <v>146</v>
      </c>
      <c r="B11" s="145"/>
      <c r="C11" s="129" t="s">
        <v>243</v>
      </c>
      <c r="D11" s="129"/>
      <c r="E11" s="129"/>
      <c r="F11" s="129"/>
      <c r="G11" s="129"/>
      <c r="H11" s="129"/>
      <c r="P11" s="63" t="s">
        <v>163</v>
      </c>
      <c r="Q11" s="63" t="s">
        <v>164</v>
      </c>
      <c r="R11" s="63" t="s">
        <v>165</v>
      </c>
      <c r="S11" s="63" t="s">
        <v>166</v>
      </c>
      <c r="T11" s="63" t="s">
        <v>167</v>
      </c>
    </row>
    <row r="12" spans="1:20" ht="15" x14ac:dyDescent="0.2">
      <c r="A12" s="144" t="s">
        <v>147</v>
      </c>
      <c r="B12" s="145"/>
      <c r="C12" s="129" t="s">
        <v>244</v>
      </c>
      <c r="D12" s="129"/>
      <c r="E12" s="129"/>
      <c r="F12" s="129"/>
      <c r="G12" s="129"/>
      <c r="H12" s="129"/>
      <c r="P12" s="63" t="s">
        <v>168</v>
      </c>
      <c r="Q12" s="63" t="s">
        <v>169</v>
      </c>
      <c r="R12" s="63" t="s">
        <v>150</v>
      </c>
      <c r="S12" s="63" t="s">
        <v>170</v>
      </c>
      <c r="T12" s="63" t="s">
        <v>171</v>
      </c>
    </row>
    <row r="13" spans="1:20" ht="15" x14ac:dyDescent="0.2">
      <c r="A13" s="144" t="s">
        <v>133</v>
      </c>
      <c r="B13" s="145"/>
      <c r="C13" s="129" t="s">
        <v>153</v>
      </c>
      <c r="D13" s="129"/>
      <c r="E13" s="129"/>
      <c r="F13" s="129"/>
      <c r="G13" s="129"/>
      <c r="H13" s="129"/>
      <c r="P13" s="63" t="s">
        <v>172</v>
      </c>
      <c r="Q13" s="63" t="s">
        <v>149</v>
      </c>
      <c r="R13" s="63"/>
      <c r="S13" s="63" t="s">
        <v>173</v>
      </c>
      <c r="T13" s="63" t="s">
        <v>174</v>
      </c>
    </row>
    <row r="14" spans="1:20" ht="15" x14ac:dyDescent="0.2">
      <c r="A14" s="144" t="s">
        <v>134</v>
      </c>
      <c r="B14" s="145"/>
      <c r="C14" s="129" t="s">
        <v>153</v>
      </c>
      <c r="D14" s="129"/>
      <c r="E14" s="129"/>
      <c r="F14" s="129"/>
      <c r="G14" s="129"/>
      <c r="H14" s="129"/>
      <c r="P14" s="63" t="s">
        <v>175</v>
      </c>
      <c r="Q14" s="63" t="s">
        <v>176</v>
      </c>
      <c r="R14" s="63"/>
      <c r="S14" s="63" t="s">
        <v>177</v>
      </c>
      <c r="T14" s="63" t="s">
        <v>178</v>
      </c>
    </row>
    <row r="15" spans="1:20" ht="15" x14ac:dyDescent="0.2">
      <c r="A15" s="144" t="s">
        <v>135</v>
      </c>
      <c r="B15" s="145"/>
      <c r="C15" s="116">
        <v>400615</v>
      </c>
      <c r="D15" s="116"/>
      <c r="E15" s="116"/>
      <c r="F15" s="116"/>
      <c r="G15" s="116"/>
      <c r="H15" s="116"/>
      <c r="P15" s="63" t="s">
        <v>179</v>
      </c>
      <c r="Q15" s="63" t="s">
        <v>180</v>
      </c>
      <c r="R15" s="63"/>
      <c r="S15" s="63" t="s">
        <v>181</v>
      </c>
      <c r="T15" s="63" t="s">
        <v>182</v>
      </c>
    </row>
    <row r="16" spans="1:20" ht="30" customHeight="1" x14ac:dyDescent="0.2">
      <c r="A16" s="144" t="s">
        <v>48</v>
      </c>
      <c r="B16" s="145"/>
      <c r="C16" s="128" t="s">
        <v>245</v>
      </c>
      <c r="D16" s="128"/>
      <c r="E16" s="128"/>
      <c r="F16" s="128"/>
      <c r="G16" s="128"/>
      <c r="H16" s="128"/>
      <c r="P16" s="63"/>
      <c r="Q16" s="63"/>
      <c r="R16" s="63"/>
      <c r="S16" s="63" t="s">
        <v>183</v>
      </c>
      <c r="T16" s="63" t="s">
        <v>184</v>
      </c>
    </row>
    <row r="17" spans="1:20" ht="15" x14ac:dyDescent="0.2">
      <c r="A17" s="144" t="s">
        <v>90</v>
      </c>
      <c r="B17" s="145"/>
      <c r="C17" s="121" t="s">
        <v>246</v>
      </c>
      <c r="D17" s="121"/>
      <c r="E17" s="121"/>
      <c r="F17" s="121"/>
      <c r="G17" s="121"/>
      <c r="H17" s="121"/>
      <c r="P17" s="63"/>
      <c r="Q17" s="63"/>
      <c r="R17" s="63"/>
      <c r="S17" s="63" t="s">
        <v>185</v>
      </c>
      <c r="T17" s="63" t="s">
        <v>186</v>
      </c>
    </row>
    <row r="18" spans="1:20" ht="15" x14ac:dyDescent="0.2">
      <c r="A18" s="144" t="s">
        <v>89</v>
      </c>
      <c r="B18" s="145"/>
      <c r="C18" s="136" t="s">
        <v>145</v>
      </c>
      <c r="D18" s="134"/>
      <c r="E18" s="135"/>
      <c r="F18" s="136" t="s">
        <v>247</v>
      </c>
      <c r="G18" s="134"/>
      <c r="H18" s="135"/>
      <c r="P18" s="63"/>
      <c r="Q18" s="63"/>
      <c r="R18" s="63"/>
      <c r="S18" s="63" t="s">
        <v>187</v>
      </c>
      <c r="T18" s="63" t="s">
        <v>188</v>
      </c>
    </row>
    <row r="19" spans="1:20" ht="15" x14ac:dyDescent="0.2">
      <c r="A19" s="144" t="s">
        <v>136</v>
      </c>
      <c r="B19" s="145"/>
      <c r="C19" s="133" t="s">
        <v>248</v>
      </c>
      <c r="D19" s="134"/>
      <c r="E19" s="134"/>
      <c r="F19" s="134"/>
      <c r="G19" s="134"/>
      <c r="H19" s="135"/>
      <c r="P19" s="63"/>
      <c r="Q19" s="63"/>
      <c r="R19" s="63"/>
      <c r="S19" s="63" t="s">
        <v>189</v>
      </c>
      <c r="T19" s="63" t="s">
        <v>190</v>
      </c>
    </row>
    <row r="20" spans="1:20" ht="15" x14ac:dyDescent="0.2">
      <c r="A20" s="144" t="s">
        <v>2</v>
      </c>
      <c r="B20" s="145"/>
      <c r="C20" s="128" t="s">
        <v>249</v>
      </c>
      <c r="D20" s="128"/>
      <c r="E20" s="128"/>
      <c r="F20" s="128"/>
      <c r="G20" s="128"/>
      <c r="H20" s="128"/>
      <c r="P20" s="63"/>
      <c r="Q20" s="63"/>
      <c r="R20" s="63"/>
      <c r="S20" s="63" t="s">
        <v>191</v>
      </c>
      <c r="T20" s="63" t="s">
        <v>192</v>
      </c>
    </row>
    <row r="21" spans="1:20" ht="15" x14ac:dyDescent="0.2">
      <c r="A21" s="144" t="s">
        <v>3</v>
      </c>
      <c r="B21" s="145"/>
      <c r="C21" s="131" t="s">
        <v>262</v>
      </c>
      <c r="D21" s="131"/>
      <c r="E21" s="131"/>
      <c r="F21" s="131"/>
      <c r="G21" s="131"/>
      <c r="H21" s="131"/>
      <c r="P21" s="63"/>
      <c r="Q21" s="63"/>
      <c r="R21" s="63"/>
      <c r="S21" s="63" t="s">
        <v>193</v>
      </c>
      <c r="T21" s="63" t="s">
        <v>194</v>
      </c>
    </row>
    <row r="22" spans="1:20" ht="15" customHeight="1" x14ac:dyDescent="0.2">
      <c r="A22" s="144" t="s">
        <v>109</v>
      </c>
      <c r="B22" s="145"/>
      <c r="C22" s="116" t="s">
        <v>52</v>
      </c>
      <c r="D22" s="116"/>
      <c r="E22" s="116"/>
      <c r="F22" s="116"/>
      <c r="G22" s="116"/>
      <c r="H22" s="116"/>
      <c r="P22" s="63"/>
      <c r="Q22" s="63"/>
      <c r="R22" s="63"/>
      <c r="S22" s="63" t="s">
        <v>195</v>
      </c>
      <c r="T22" s="63" t="s">
        <v>196</v>
      </c>
    </row>
    <row r="23" spans="1:20" ht="25.5" customHeight="1" x14ac:dyDescent="0.2">
      <c r="A23" s="144" t="s">
        <v>4</v>
      </c>
      <c r="B23" s="145"/>
      <c r="C23" s="128" t="s">
        <v>263</v>
      </c>
      <c r="D23" s="129"/>
      <c r="E23" s="129"/>
      <c r="F23" s="129"/>
      <c r="G23" s="129"/>
      <c r="H23" s="129"/>
    </row>
    <row r="24" spans="1:20" x14ac:dyDescent="0.2">
      <c r="A24" s="144" t="s">
        <v>5</v>
      </c>
      <c r="B24" s="145"/>
      <c r="C24" s="128" t="s">
        <v>264</v>
      </c>
      <c r="D24" s="129"/>
      <c r="E24" s="129"/>
      <c r="F24" s="129"/>
      <c r="G24" s="129"/>
      <c r="H24" s="129"/>
    </row>
    <row r="25" spans="1:20" ht="27.75" customHeight="1" x14ac:dyDescent="0.2">
      <c r="A25" s="144" t="s">
        <v>87</v>
      </c>
      <c r="B25" s="145"/>
      <c r="C25" s="129" t="s">
        <v>250</v>
      </c>
      <c r="D25" s="129"/>
      <c r="E25" s="129"/>
      <c r="F25" s="129"/>
      <c r="G25" s="129"/>
      <c r="H25" s="129"/>
    </row>
    <row r="26" spans="1:20" ht="45.75" customHeight="1" x14ac:dyDescent="0.2">
      <c r="A26" s="158" t="s">
        <v>88</v>
      </c>
      <c r="B26" s="159"/>
      <c r="C26" s="118" t="s">
        <v>251</v>
      </c>
      <c r="D26" s="118"/>
      <c r="E26" s="118"/>
      <c r="F26" s="118"/>
      <c r="G26" s="118"/>
      <c r="H26" s="118"/>
    </row>
    <row r="27" spans="1:20" ht="38.25" x14ac:dyDescent="0.2">
      <c r="A27" s="144" t="s">
        <v>92</v>
      </c>
      <c r="B27" s="145"/>
      <c r="C27" s="111" t="s">
        <v>292</v>
      </c>
      <c r="D27" s="111"/>
      <c r="E27" s="111"/>
      <c r="F27" s="13" t="s">
        <v>7</v>
      </c>
      <c r="G27" s="118" t="s">
        <v>91</v>
      </c>
      <c r="H27" s="118"/>
    </row>
    <row r="28" spans="1:20" ht="25.5" x14ac:dyDescent="0.2">
      <c r="A28" s="158" t="s">
        <v>8</v>
      </c>
      <c r="B28" s="159"/>
      <c r="C28" s="116" t="s">
        <v>302</v>
      </c>
      <c r="D28" s="116"/>
      <c r="E28" s="116"/>
      <c r="F28" s="87" t="s">
        <v>124</v>
      </c>
      <c r="G28" s="118">
        <f>0.15*502</f>
        <v>75.3</v>
      </c>
      <c r="H28" s="118"/>
    </row>
    <row r="29" spans="1:20" ht="28.5" customHeight="1" x14ac:dyDescent="0.2">
      <c r="A29" s="144" t="s">
        <v>205</v>
      </c>
      <c r="B29" s="145"/>
      <c r="C29" s="148" t="s">
        <v>272</v>
      </c>
      <c r="D29" s="149"/>
      <c r="E29" s="150"/>
      <c r="F29" s="150"/>
      <c r="G29" s="150"/>
      <c r="H29" s="151"/>
    </row>
    <row r="30" spans="1:20" ht="27" customHeight="1" x14ac:dyDescent="0.2">
      <c r="A30" s="144" t="s">
        <v>206</v>
      </c>
      <c r="B30" s="145"/>
      <c r="C30" s="148" t="s">
        <v>273</v>
      </c>
      <c r="D30" s="149"/>
      <c r="E30" s="150"/>
      <c r="F30" s="150"/>
      <c r="G30" s="150"/>
      <c r="H30" s="151"/>
    </row>
    <row r="31" spans="1:20" ht="12.75" customHeight="1" x14ac:dyDescent="0.2">
      <c r="A31" s="189" t="s">
        <v>9</v>
      </c>
      <c r="B31" s="190"/>
      <c r="C31" s="187" t="s">
        <v>93</v>
      </c>
      <c r="D31" s="188"/>
      <c r="E31" s="14" t="s">
        <v>12</v>
      </c>
      <c r="F31" s="14" t="s">
        <v>13</v>
      </c>
      <c r="G31" s="14" t="s">
        <v>14</v>
      </c>
      <c r="H31" s="14" t="s">
        <v>15</v>
      </c>
    </row>
    <row r="32" spans="1:20" x14ac:dyDescent="0.2">
      <c r="A32" s="191"/>
      <c r="B32" s="192"/>
      <c r="C32" s="122" t="s">
        <v>10</v>
      </c>
      <c r="D32" s="123"/>
      <c r="E32" s="15" t="s">
        <v>229</v>
      </c>
      <c r="F32" s="21" t="s">
        <v>229</v>
      </c>
      <c r="G32" s="21" t="s">
        <v>229</v>
      </c>
      <c r="H32" s="21" t="s">
        <v>229</v>
      </c>
    </row>
    <row r="33" spans="1:11" ht="25.5" x14ac:dyDescent="0.2">
      <c r="A33" s="191"/>
      <c r="B33" s="192"/>
      <c r="C33" s="122" t="s">
        <v>86</v>
      </c>
      <c r="D33" s="123"/>
      <c r="E33" s="16" t="s">
        <v>254</v>
      </c>
      <c r="F33" s="16" t="s">
        <v>256</v>
      </c>
      <c r="G33" s="16" t="s">
        <v>255</v>
      </c>
      <c r="H33" s="76" t="s">
        <v>257</v>
      </c>
    </row>
    <row r="34" spans="1:11" ht="12.75" customHeight="1" x14ac:dyDescent="0.2">
      <c r="A34" s="193"/>
      <c r="B34" s="194"/>
      <c r="C34" s="122" t="s">
        <v>11</v>
      </c>
      <c r="D34" s="123"/>
      <c r="E34" s="20" t="s">
        <v>255</v>
      </c>
      <c r="F34" s="20" t="s">
        <v>258</v>
      </c>
      <c r="G34" s="20" t="s">
        <v>255</v>
      </c>
      <c r="H34" s="15" t="s">
        <v>259</v>
      </c>
    </row>
    <row r="35" spans="1:11" ht="29.25" customHeight="1" x14ac:dyDescent="0.2">
      <c r="A35" s="144" t="s">
        <v>16</v>
      </c>
      <c r="B35" s="145"/>
      <c r="C35" s="112" t="s">
        <v>261</v>
      </c>
      <c r="D35" s="112"/>
      <c r="E35" s="112"/>
      <c r="F35" s="112"/>
      <c r="G35" s="112"/>
      <c r="H35" s="112"/>
    </row>
    <row r="36" spans="1:11" ht="38.25" customHeight="1" x14ac:dyDescent="0.2">
      <c r="A36" s="144" t="s">
        <v>130</v>
      </c>
      <c r="B36" s="145"/>
      <c r="C36" s="124">
        <v>8350</v>
      </c>
      <c r="D36" s="125"/>
      <c r="E36" s="117" t="s">
        <v>131</v>
      </c>
      <c r="F36" s="117"/>
      <c r="G36" s="119">
        <v>7054.51</v>
      </c>
      <c r="H36" s="119"/>
    </row>
    <row r="37" spans="1:11" x14ac:dyDescent="0.2">
      <c r="A37" s="144" t="s">
        <v>17</v>
      </c>
      <c r="B37" s="145"/>
      <c r="C37" s="114" t="s">
        <v>253</v>
      </c>
      <c r="D37" s="114"/>
      <c r="E37" s="114"/>
      <c r="F37" s="114"/>
      <c r="G37" s="114"/>
      <c r="H37" s="114"/>
    </row>
    <row r="38" spans="1:11" ht="133.5" customHeight="1" x14ac:dyDescent="0.2">
      <c r="A38" s="144" t="s">
        <v>123</v>
      </c>
      <c r="B38" s="145"/>
      <c r="C38" s="121" t="s">
        <v>252</v>
      </c>
      <c r="D38" s="121"/>
      <c r="E38" s="118"/>
      <c r="F38" s="118"/>
      <c r="G38" s="118"/>
      <c r="H38" s="118"/>
      <c r="I38" s="71"/>
    </row>
    <row r="39" spans="1:11" x14ac:dyDescent="0.2">
      <c r="A39" s="120" t="s">
        <v>94</v>
      </c>
      <c r="B39" s="120"/>
      <c r="C39" s="120"/>
      <c r="D39" s="120"/>
      <c r="E39" s="120"/>
      <c r="F39" s="120"/>
      <c r="G39" s="120"/>
      <c r="H39" s="120"/>
    </row>
    <row r="40" spans="1:11" ht="12.75" customHeight="1" x14ac:dyDescent="0.2">
      <c r="A40" s="152" t="s">
        <v>19</v>
      </c>
      <c r="B40" s="153"/>
      <c r="C40" s="113" t="s">
        <v>95</v>
      </c>
      <c r="D40" s="113"/>
      <c r="E40" s="113"/>
      <c r="F40" s="113"/>
      <c r="G40" s="119">
        <v>7054.51</v>
      </c>
      <c r="H40" s="119"/>
    </row>
    <row r="41" spans="1:11" x14ac:dyDescent="0.2">
      <c r="A41" s="154"/>
      <c r="B41" s="155"/>
      <c r="C41" s="113" t="s">
        <v>96</v>
      </c>
      <c r="D41" s="113"/>
      <c r="E41" s="113"/>
      <c r="F41" s="113"/>
      <c r="G41" s="115">
        <f>7759.96/G40</f>
        <v>1.0999998582467103</v>
      </c>
      <c r="H41" s="115"/>
    </row>
    <row r="42" spans="1:11" x14ac:dyDescent="0.2">
      <c r="A42" s="154"/>
      <c r="B42" s="155"/>
      <c r="C42" s="113" t="s">
        <v>97</v>
      </c>
      <c r="D42" s="113"/>
      <c r="E42" s="113"/>
      <c r="F42" s="113"/>
      <c r="G42" s="115">
        <f>G45/G40-G41</f>
        <v>2.9091361412769983</v>
      </c>
      <c r="H42" s="115"/>
    </row>
    <row r="43" spans="1:11" x14ac:dyDescent="0.2">
      <c r="A43" s="154"/>
      <c r="B43" s="155"/>
      <c r="C43" s="113" t="s">
        <v>98</v>
      </c>
      <c r="D43" s="113"/>
      <c r="E43" s="113"/>
      <c r="F43" s="113"/>
      <c r="G43" s="115">
        <f>G41+G42</f>
        <v>4.0091359995237088</v>
      </c>
      <c r="H43" s="115"/>
    </row>
    <row r="44" spans="1:11" x14ac:dyDescent="0.2">
      <c r="A44" s="154"/>
      <c r="B44" s="155"/>
      <c r="C44" s="114" t="s">
        <v>129</v>
      </c>
      <c r="D44" s="114"/>
      <c r="E44" s="114"/>
      <c r="F44" s="114"/>
      <c r="G44" s="119">
        <v>28283.31</v>
      </c>
      <c r="H44" s="119"/>
    </row>
    <row r="45" spans="1:11" x14ac:dyDescent="0.2">
      <c r="A45" s="156"/>
      <c r="B45" s="157"/>
      <c r="C45" s="113" t="s">
        <v>99</v>
      </c>
      <c r="D45" s="113"/>
      <c r="E45" s="113"/>
      <c r="F45" s="113"/>
      <c r="G45" s="119">
        <v>28282.49</v>
      </c>
      <c r="H45" s="119"/>
    </row>
    <row r="46" spans="1:11" ht="32.25" customHeight="1" x14ac:dyDescent="0.2">
      <c r="A46" s="144" t="s">
        <v>100</v>
      </c>
      <c r="B46" s="145"/>
      <c r="C46" s="195" t="s">
        <v>260</v>
      </c>
      <c r="D46" s="196"/>
      <c r="E46" s="196"/>
      <c r="F46" s="197"/>
      <c r="G46" s="77" t="s">
        <v>227</v>
      </c>
      <c r="H46" s="78">
        <v>44984</v>
      </c>
    </row>
    <row r="47" spans="1:11" ht="32.25" customHeight="1" x14ac:dyDescent="0.2">
      <c r="A47" s="144" t="s">
        <v>20</v>
      </c>
      <c r="B47" s="145"/>
      <c r="C47" s="112" t="s">
        <v>271</v>
      </c>
      <c r="D47" s="112"/>
      <c r="E47" s="113"/>
      <c r="F47" s="113"/>
      <c r="G47" s="113"/>
      <c r="H47" s="113"/>
      <c r="I47" s="18"/>
      <c r="J47" s="18"/>
      <c r="K47" s="18"/>
    </row>
    <row r="48" spans="1:11" ht="57" customHeight="1" x14ac:dyDescent="0.2">
      <c r="A48" s="158" t="s">
        <v>268</v>
      </c>
      <c r="B48" s="159"/>
      <c r="C48" s="195" t="s">
        <v>312</v>
      </c>
      <c r="D48" s="196"/>
      <c r="E48" s="196"/>
      <c r="F48" s="197"/>
      <c r="G48" s="77" t="s">
        <v>227</v>
      </c>
      <c r="H48" s="78">
        <v>44984</v>
      </c>
      <c r="I48" s="18"/>
      <c r="J48" s="18"/>
      <c r="K48" s="18"/>
    </row>
    <row r="49" spans="1:12" x14ac:dyDescent="0.2">
      <c r="A49" s="160" t="s">
        <v>21</v>
      </c>
      <c r="B49" s="161"/>
      <c r="C49" s="204" t="s">
        <v>110</v>
      </c>
      <c r="D49" s="206"/>
      <c r="E49" s="114" t="s">
        <v>229</v>
      </c>
      <c r="F49" s="114"/>
      <c r="G49" s="114"/>
      <c r="H49" s="114"/>
      <c r="I49" s="18"/>
      <c r="J49" s="18"/>
      <c r="K49" s="18"/>
    </row>
    <row r="50" spans="1:12" x14ac:dyDescent="0.2">
      <c r="A50" s="162"/>
      <c r="B50" s="163"/>
      <c r="C50" s="204" t="s">
        <v>111</v>
      </c>
      <c r="D50" s="206"/>
      <c r="E50" s="182" t="s">
        <v>229</v>
      </c>
      <c r="F50" s="184"/>
      <c r="G50" s="69" t="s">
        <v>227</v>
      </c>
      <c r="H50" s="72" t="s">
        <v>229</v>
      </c>
      <c r="J50" s="6" t="s">
        <v>236</v>
      </c>
    </row>
    <row r="51" spans="1:12" x14ac:dyDescent="0.2">
      <c r="A51" s="164"/>
      <c r="B51" s="165"/>
      <c r="C51" s="204" t="s">
        <v>237</v>
      </c>
      <c r="D51" s="231"/>
      <c r="E51" s="121" t="s">
        <v>267</v>
      </c>
      <c r="F51" s="118"/>
      <c r="G51" s="118"/>
      <c r="H51" s="118"/>
      <c r="I51" s="254" t="s">
        <v>235</v>
      </c>
      <c r="J51" s="114"/>
      <c r="K51" s="114"/>
      <c r="L51" s="114"/>
    </row>
    <row r="52" spans="1:12" hidden="1" x14ac:dyDescent="0.2">
      <c r="A52" s="95" t="s">
        <v>228</v>
      </c>
      <c r="B52" s="96"/>
      <c r="C52" s="204"/>
      <c r="D52" s="205"/>
      <c r="E52" s="205"/>
      <c r="F52" s="205"/>
      <c r="G52" s="205"/>
      <c r="H52" s="206"/>
    </row>
    <row r="53" spans="1:12" ht="39" customHeight="1" x14ac:dyDescent="0.2">
      <c r="A53" s="207" t="s">
        <v>230</v>
      </c>
      <c r="B53" s="208"/>
      <c r="C53" s="195" t="s">
        <v>315</v>
      </c>
      <c r="D53" s="196"/>
      <c r="E53" s="196"/>
      <c r="F53" s="197"/>
      <c r="G53" s="77" t="s">
        <v>227</v>
      </c>
      <c r="H53" s="78">
        <v>44762</v>
      </c>
    </row>
    <row r="54" spans="1:12" ht="39" customHeight="1" x14ac:dyDescent="0.2">
      <c r="A54" s="209"/>
      <c r="B54" s="210"/>
      <c r="C54" s="195" t="s">
        <v>316</v>
      </c>
      <c r="D54" s="196"/>
      <c r="E54" s="196"/>
      <c r="F54" s="197"/>
      <c r="G54" s="77" t="s">
        <v>227</v>
      </c>
      <c r="H54" s="78">
        <v>44763</v>
      </c>
    </row>
    <row r="55" spans="1:12" ht="22.5" customHeight="1" x14ac:dyDescent="0.2">
      <c r="A55" s="207" t="s">
        <v>231</v>
      </c>
      <c r="B55" s="208"/>
      <c r="C55" s="195" t="s">
        <v>265</v>
      </c>
      <c r="D55" s="196"/>
      <c r="E55" s="196"/>
      <c r="F55" s="197"/>
      <c r="G55" s="79" t="s">
        <v>227</v>
      </c>
      <c r="H55" s="78">
        <v>45898</v>
      </c>
    </row>
    <row r="56" spans="1:12" ht="34.5" customHeight="1" x14ac:dyDescent="0.2">
      <c r="A56" s="209"/>
      <c r="B56" s="210"/>
      <c r="C56" s="195" t="s">
        <v>266</v>
      </c>
      <c r="D56" s="196"/>
      <c r="E56" s="196"/>
      <c r="F56" s="196"/>
      <c r="G56" s="196"/>
      <c r="H56" s="197"/>
    </row>
    <row r="57" spans="1:12" hidden="1" x14ac:dyDescent="0.2">
      <c r="A57" s="211" t="s">
        <v>232</v>
      </c>
      <c r="B57" s="212"/>
      <c r="C57" s="217"/>
      <c r="D57" s="218"/>
      <c r="E57" s="218"/>
      <c r="F57" s="219"/>
      <c r="G57" s="69" t="s">
        <v>227</v>
      </c>
      <c r="H57" s="70"/>
    </row>
    <row r="58" spans="1:12" ht="25.5" hidden="1" customHeight="1" x14ac:dyDescent="0.2">
      <c r="A58" s="213"/>
      <c r="B58" s="214"/>
      <c r="C58" s="220"/>
      <c r="D58" s="221"/>
      <c r="E58" s="221"/>
      <c r="F58" s="222"/>
      <c r="G58" s="69" t="s">
        <v>233</v>
      </c>
      <c r="H58" s="70"/>
    </row>
    <row r="59" spans="1:12" ht="25.5" hidden="1" customHeight="1" x14ac:dyDescent="0.2">
      <c r="A59" s="215"/>
      <c r="B59" s="216"/>
      <c r="C59" s="195" t="s">
        <v>234</v>
      </c>
      <c r="D59" s="196"/>
      <c r="E59" s="196"/>
      <c r="F59" s="197"/>
      <c r="G59" s="69"/>
      <c r="H59" s="70"/>
    </row>
    <row r="60" spans="1:12" x14ac:dyDescent="0.2">
      <c r="A60" s="97" t="s">
        <v>22</v>
      </c>
      <c r="B60" s="97"/>
      <c r="C60" s="97"/>
      <c r="D60" s="97"/>
      <c r="E60" s="97"/>
      <c r="F60" s="97"/>
      <c r="G60" s="97"/>
      <c r="H60" s="97"/>
    </row>
    <row r="61" spans="1:12" ht="27" customHeight="1" thickBot="1" x14ac:dyDescent="0.25">
      <c r="A61" s="95" t="s">
        <v>23</v>
      </c>
      <c r="B61" s="96"/>
      <c r="C61" s="225" t="s">
        <v>269</v>
      </c>
      <c r="D61" s="227"/>
      <c r="E61" s="95" t="s">
        <v>24</v>
      </c>
      <c r="F61" s="96"/>
      <c r="G61" s="225" t="s">
        <v>270</v>
      </c>
      <c r="H61" s="226"/>
    </row>
    <row r="62" spans="1:12" ht="13.5" thickBot="1" x14ac:dyDescent="0.25">
      <c r="A62" s="276" t="s">
        <v>57</v>
      </c>
      <c r="B62" s="276"/>
      <c r="C62" s="276"/>
      <c r="D62" s="276"/>
      <c r="E62" s="276"/>
      <c r="F62" s="276"/>
      <c r="G62" s="276"/>
      <c r="H62" s="276"/>
      <c r="I62" s="45" t="str">
        <f ca="1">(IF(G67&gt;99%,"All work completed. Please provide OC.",IF(G67&gt;89.8%,"Plinth, RCC, Brick, Plaster, Flooring, Painting work Completed. Finishing work is in process.",IF(G67&lt;94%,(IF(E67=0,"Work not yet Started.",IF(F67=25%,"Piling work in process",IF(F67=50%,"Excavation work in process",IF(F67=100%,"Excavation work Completed. ","0")))&amp;(IF(E68=0%,"",IF(E68=J67,"Footing work is process",IF(E68=J68,"Footing work Completed",IF(E68=J69,"1st Basement Completed",IF(E68=J70,"1st &amp; 2nd Basement Completed",IF(E68=J71,"1st to 3rd Basement Completed",IF(E68=J72,"1st to 4th Basement Completed",IF(E68=J73,"Plinth work is process",IF(E68=J74,"Plinth work completed","0")))))))))))&amp;(IF(E69=(F64+G64+H64),", RCC Slab",IF(E69&gt;0,", RCC upto "&amp;E69&amp;" Slab",""))&amp;(IF(E70=H64,", Brickwork",IF(E70&gt;0,", Brickwork upto "&amp;E70&amp;" Floor",""))&amp;(IF(E71=H64,", Internal Plaster",IF(E71&gt;0,", Internal Plaster upto "&amp;E71&amp;" Floor",""))&amp;(IF(E72=H64,", External Plaster",IF(E72&gt;0,", External Plaster upto "&amp;E72&amp;" Floor",""))&amp;(IF(E73=H64,", Flooring",IF(E73&gt;0,", Flooring upto "&amp;E73&amp;" Floor",""))&amp;(IF(E74=H64,", Painting",IF(E74&gt;0,", Painting upto "&amp;E74&amp;" Floor",""))&amp;(IF(E75&gt;0,", Finishing upto "&amp;E75&amp;" Floor","")&amp;(IF(E69&gt;0.5," Completed",""))))))))))))))</f>
        <v>Excavation work Completed. Plinth work completed, RCC upto 21 Slab, Brickwork upto 20 Floor, Internal Plaster upto 15 Floor, External Plaster upto 13 Floor Completed</v>
      </c>
      <c r="J62" s="46"/>
    </row>
    <row r="63" spans="1:12" ht="26.25" customHeight="1" x14ac:dyDescent="0.2">
      <c r="A63" s="198" t="s">
        <v>303</v>
      </c>
      <c r="B63" s="199"/>
      <c r="C63" s="199"/>
      <c r="D63" s="200"/>
      <c r="E63" s="43" t="s">
        <v>58</v>
      </c>
      <c r="F63" s="43" t="s">
        <v>59</v>
      </c>
      <c r="G63" s="43" t="s">
        <v>60</v>
      </c>
      <c r="H63" s="44" t="s">
        <v>46</v>
      </c>
      <c r="I63" s="49" t="s">
        <v>138</v>
      </c>
      <c r="J63" s="50"/>
    </row>
    <row r="64" spans="1:12" x14ac:dyDescent="0.2">
      <c r="A64" s="201"/>
      <c r="B64" s="202"/>
      <c r="C64" s="202"/>
      <c r="D64" s="203"/>
      <c r="E64" s="47">
        <v>1</v>
      </c>
      <c r="F64" s="47">
        <v>1</v>
      </c>
      <c r="G64" s="47">
        <v>0</v>
      </c>
      <c r="H64" s="48">
        <f ca="1">--TRIM(RIGHT(SUBSTITUTE(LEFT(A63,_xlfn.AGGREGATE(16,6,FIND({0,1,2,3,4,5,6,7,8,9},A63,ROW(INDIRECT("1:"&amp;LEN(A63)))),1))," ",REPT(" ",LEN(A63))),LEN(A63)))</f>
        <v>32</v>
      </c>
      <c r="I64" s="1" t="s">
        <v>64</v>
      </c>
      <c r="J64" s="52">
        <f ca="1">H64*25%</f>
        <v>8</v>
      </c>
    </row>
    <row r="65" spans="1:10" ht="30.75" customHeight="1" x14ac:dyDescent="0.2">
      <c r="A65" s="66" t="s">
        <v>137</v>
      </c>
      <c r="B65" s="65"/>
      <c r="C65" s="233" t="str">
        <f ca="1">I62</f>
        <v>Excavation work Completed. Plinth work completed, RCC upto 21 Slab, Brickwork upto 20 Floor, Internal Plaster upto 15 Floor, External Plaster upto 13 Floor Completed</v>
      </c>
      <c r="D65" s="233"/>
      <c r="E65" s="233"/>
      <c r="F65" s="233"/>
      <c r="G65" s="233"/>
      <c r="H65" s="234"/>
      <c r="I65" s="1" t="s">
        <v>66</v>
      </c>
      <c r="J65" s="55">
        <f ca="1">H64*50%</f>
        <v>16</v>
      </c>
    </row>
    <row r="66" spans="1:10" ht="15" customHeight="1" x14ac:dyDescent="0.2">
      <c r="A66" s="104" t="s">
        <v>61</v>
      </c>
      <c r="B66" s="105"/>
      <c r="C66" s="232" t="s">
        <v>139</v>
      </c>
      <c r="D66" s="232"/>
      <c r="E66" s="51" t="s">
        <v>62</v>
      </c>
      <c r="F66" s="51" t="s">
        <v>63</v>
      </c>
      <c r="G66" s="166" t="s">
        <v>56</v>
      </c>
      <c r="H66" s="167"/>
      <c r="I66" s="1" t="s">
        <v>68</v>
      </c>
      <c r="J66" s="55">
        <f ca="1">H64</f>
        <v>32</v>
      </c>
    </row>
    <row r="67" spans="1:10" ht="15" customHeight="1" x14ac:dyDescent="0.2">
      <c r="A67" s="104" t="s">
        <v>65</v>
      </c>
      <c r="B67" s="105"/>
      <c r="C67" s="110">
        <v>0</v>
      </c>
      <c r="D67" s="110"/>
      <c r="E67" s="53">
        <f ca="1">J66</f>
        <v>32</v>
      </c>
      <c r="F67" s="54">
        <f ca="1">((100/H64)*E67)/100</f>
        <v>1</v>
      </c>
      <c r="G67" s="168">
        <f ca="1">(((E68/H64*10)+(40/(F64+G64+H64)*E69)+(15/(H64)*E70)+(5/(H64)*E71)+(5/H64*E72)+(10/H64*E73)+(5/H64*E74)+(5/H64*E75)+(5/H64*E76))/100)</f>
        <v>0.49204545454545451</v>
      </c>
      <c r="H67" s="169"/>
      <c r="I67" s="1" t="s">
        <v>70</v>
      </c>
      <c r="J67" s="57">
        <f ca="1">(IF(E64&gt;1,(H64/(E64+2)),H64/4))</f>
        <v>8</v>
      </c>
    </row>
    <row r="68" spans="1:10" ht="15" customHeight="1" x14ac:dyDescent="0.2">
      <c r="A68" s="104" t="s">
        <v>67</v>
      </c>
      <c r="B68" s="105"/>
      <c r="C68" s="110">
        <v>0.1</v>
      </c>
      <c r="D68" s="110"/>
      <c r="E68" s="56">
        <f ca="1">J74</f>
        <v>32</v>
      </c>
      <c r="F68" s="54">
        <f ca="1">((100/H64)*E68)/100</f>
        <v>1</v>
      </c>
      <c r="G68" s="168"/>
      <c r="H68" s="169"/>
      <c r="I68" s="1" t="s">
        <v>72</v>
      </c>
      <c r="J68" s="57">
        <f ca="1">(IF(E64&gt;1,(H64/(E64+2)+J67),H64/4+J67))</f>
        <v>16</v>
      </c>
    </row>
    <row r="69" spans="1:10" ht="15" customHeight="1" x14ac:dyDescent="0.2">
      <c r="A69" s="104" t="s">
        <v>69</v>
      </c>
      <c r="B69" s="105"/>
      <c r="C69" s="110">
        <v>0.4</v>
      </c>
      <c r="D69" s="110"/>
      <c r="E69" s="56">
        <v>21</v>
      </c>
      <c r="F69" s="54">
        <f ca="1">((100/(F64+G64+H64))*E69)/100</f>
        <v>0.63636363636363635</v>
      </c>
      <c r="G69" s="168"/>
      <c r="H69" s="169"/>
      <c r="I69" s="1" t="s">
        <v>74</v>
      </c>
      <c r="J69" s="57">
        <f>(IF(E64&gt;1,(H64/(E64+2)+J68),0))</f>
        <v>0</v>
      </c>
    </row>
    <row r="70" spans="1:10" ht="15" customHeight="1" x14ac:dyDescent="0.2">
      <c r="A70" s="104" t="s">
        <v>71</v>
      </c>
      <c r="B70" s="105"/>
      <c r="C70" s="110">
        <v>0.15</v>
      </c>
      <c r="D70" s="110"/>
      <c r="E70" s="56">
        <f>E69-F64</f>
        <v>20</v>
      </c>
      <c r="F70" s="54">
        <f ca="1">((100/H64)*E70)/100</f>
        <v>0.625</v>
      </c>
      <c r="G70" s="168"/>
      <c r="H70" s="169"/>
      <c r="I70" s="1" t="s">
        <v>76</v>
      </c>
      <c r="J70" s="57">
        <f>(IF(E64&gt;2,(H64/(E64+2)+J69),0))</f>
        <v>0</v>
      </c>
    </row>
    <row r="71" spans="1:10" ht="15" customHeight="1" x14ac:dyDescent="0.2">
      <c r="A71" s="104" t="s">
        <v>73</v>
      </c>
      <c r="B71" s="105"/>
      <c r="C71" s="110">
        <v>0.05</v>
      </c>
      <c r="D71" s="110"/>
      <c r="E71" s="53">
        <f>E70*0.75</f>
        <v>15</v>
      </c>
      <c r="F71" s="54">
        <f ca="1">((100/H64)*E71)/100</f>
        <v>0.46875</v>
      </c>
      <c r="G71" s="168"/>
      <c r="H71" s="169"/>
      <c r="I71" s="1" t="s">
        <v>78</v>
      </c>
      <c r="J71" s="58">
        <f>(IF(E64&gt;3,(H64/(E64+2)+J70),0))</f>
        <v>0</v>
      </c>
    </row>
    <row r="72" spans="1:10" ht="15" customHeight="1" x14ac:dyDescent="0.2">
      <c r="A72" s="104" t="s">
        <v>75</v>
      </c>
      <c r="B72" s="105"/>
      <c r="C72" s="110">
        <v>0.05</v>
      </c>
      <c r="D72" s="110"/>
      <c r="E72" s="53">
        <f>E70*0.65</f>
        <v>13</v>
      </c>
      <c r="F72" s="54">
        <f ca="1">((100/(H64))*E72)/100</f>
        <v>0.40625</v>
      </c>
      <c r="G72" s="168"/>
      <c r="H72" s="169"/>
      <c r="I72" s="1" t="s">
        <v>80</v>
      </c>
      <c r="J72" s="57">
        <f>(IF(E64&gt;4,(H64/(E64+2)+J71),0))</f>
        <v>0</v>
      </c>
    </row>
    <row r="73" spans="1:10" ht="15" customHeight="1" x14ac:dyDescent="0.2">
      <c r="A73" s="104" t="s">
        <v>77</v>
      </c>
      <c r="B73" s="105"/>
      <c r="C73" s="110">
        <v>0.1</v>
      </c>
      <c r="D73" s="110"/>
      <c r="E73" s="53">
        <v>0</v>
      </c>
      <c r="F73" s="54">
        <f ca="1">((100/H64)*E73)/100</f>
        <v>0</v>
      </c>
      <c r="G73" s="168"/>
      <c r="H73" s="169"/>
      <c r="I73" s="1" t="s">
        <v>82</v>
      </c>
      <c r="J73" s="57">
        <f ca="1">(IF(E64=1,(H64/(E64+3)+J68),IF(E64=0,(H64/4+J68),IF(E64&gt;1,0))))</f>
        <v>24</v>
      </c>
    </row>
    <row r="74" spans="1:10" ht="15.75" customHeight="1" thickBot="1" x14ac:dyDescent="0.25">
      <c r="A74" s="104" t="s">
        <v>79</v>
      </c>
      <c r="B74" s="105"/>
      <c r="C74" s="110">
        <v>0.05</v>
      </c>
      <c r="D74" s="110"/>
      <c r="E74" s="53">
        <v>0</v>
      </c>
      <c r="F74" s="54">
        <f ca="1">((100/H64)*E74)/100</f>
        <v>0</v>
      </c>
      <c r="G74" s="168"/>
      <c r="H74" s="169"/>
      <c r="I74" s="61" t="s">
        <v>84</v>
      </c>
      <c r="J74" s="62">
        <f ca="1">(IF(E64&gt;1.5,(H64/(E64+2)+J68+MAX(0,J69-J68)+MAX(0,J70-J69)+MAX(0,J71-J70)+MAX(0,J72-J71)+MAX(0,J73-J72)),IF(E64=1,(H64/(E64+3)+J73),IF(E64=0,H64/4+J73))))</f>
        <v>32</v>
      </c>
    </row>
    <row r="75" spans="1:10" x14ac:dyDescent="0.2">
      <c r="A75" s="104" t="s">
        <v>81</v>
      </c>
      <c r="B75" s="105"/>
      <c r="C75" s="110">
        <v>0.05</v>
      </c>
      <c r="D75" s="110"/>
      <c r="E75" s="53">
        <v>0</v>
      </c>
      <c r="F75" s="54">
        <f ca="1">((100/(H64))*E75)/100</f>
        <v>0</v>
      </c>
      <c r="G75" s="168"/>
      <c r="H75" s="169"/>
    </row>
    <row r="76" spans="1:10" ht="13.5" thickBot="1" x14ac:dyDescent="0.25">
      <c r="A76" s="175" t="s">
        <v>83</v>
      </c>
      <c r="B76" s="176"/>
      <c r="C76" s="228">
        <v>0.05</v>
      </c>
      <c r="D76" s="228"/>
      <c r="E76" s="59">
        <v>0</v>
      </c>
      <c r="F76" s="60">
        <f ca="1">((100/(H64))*E76)/100</f>
        <v>0</v>
      </c>
      <c r="G76" s="170"/>
      <c r="H76" s="171"/>
    </row>
    <row r="77" spans="1:10" ht="13.5" thickBot="1" x14ac:dyDescent="0.25">
      <c r="A77" s="276" t="s">
        <v>57</v>
      </c>
      <c r="B77" s="276"/>
      <c r="C77" s="276"/>
      <c r="D77" s="276"/>
      <c r="E77" s="276"/>
      <c r="F77" s="276"/>
      <c r="G77" s="276"/>
      <c r="H77" s="276"/>
      <c r="I77" s="45" t="str">
        <f ca="1">(IF(G82&gt;99%,"All work completed. Please provide OC.",IF(G82&gt;89.8%,"Plinth, RCC, Brick, Plaster, Flooring, Painting work Completed. Finishing work is in process.",IF(G82&lt;94%,(IF(E82=0,"Work not yet Started.",IF(F82=25%,"Piling work in process",IF(F82=50%,"Excavation work in process",IF(F82=100%,"Excavation work Completed. ","0")))&amp;(IF(E83=0%,"",IF(E83=J82,"Footing work is process",IF(E83=J83,"Footing work Completed",IF(E83=J84,"1st Basement Completed",IF(E83=J85,"1st &amp; 2nd Basement Completed",IF(E83=J86,"1st to 3rd Basement Completed",IF(E83=J87,"1st to 4th Basement Completed",IF(E83=J88,"Plinth work is process",IF(E83=J89,"Plinth work completed","0")))))))))))&amp;(IF(E84=(F79+G79+H79),", RCC Slab",IF(E84&gt;0,", RCC upto "&amp;E84&amp;" Slab",""))&amp;(IF(E85=H79,", Brickwork",IF(E85&gt;0,", Brickwork upto "&amp;E85&amp;" Floor",""))&amp;(IF(E86=H79,", Internal Plaster",IF(E86&gt;0,", Internal Plaster upto "&amp;E86&amp;" Floor",""))&amp;(IF(E87=H79,", External Plaster",IF(E87&gt;0,", External Plaster upto "&amp;E87&amp;" Floor",""))&amp;(IF(E88=H79,", Flooring",IF(E88&gt;0,", Flooring upto "&amp;E88&amp;" Floor",""))&amp;(IF(E89=H79,", Painting",IF(E89&gt;0,", Painting upto "&amp;E89&amp;" Floor",""))&amp;(IF(E90&gt;0,", Finishing upto "&amp;E90&amp;" Floor","")&amp;(IF(E84&gt;0.5," Completed",""))))))))))))))</f>
        <v>Excavation work Completed. Plinth work completed, RCC upto 15 Slab, Brickwork upto 14 Floor, Internal Plaster upto 10.5 Floor, External Plaster upto 9.1 Floor Completed</v>
      </c>
      <c r="J77" s="50"/>
    </row>
    <row r="78" spans="1:10" ht="26.25" customHeight="1" x14ac:dyDescent="0.2">
      <c r="A78" s="198" t="s">
        <v>307</v>
      </c>
      <c r="B78" s="199"/>
      <c r="C78" s="199"/>
      <c r="D78" s="200"/>
      <c r="E78" s="43" t="s">
        <v>58</v>
      </c>
      <c r="F78" s="43" t="s">
        <v>59</v>
      </c>
      <c r="G78" s="43" t="s">
        <v>60</v>
      </c>
      <c r="H78" s="44" t="s">
        <v>46</v>
      </c>
      <c r="I78" s="49" t="s">
        <v>138</v>
      </c>
      <c r="J78" s="50"/>
    </row>
    <row r="79" spans="1:10" x14ac:dyDescent="0.2">
      <c r="A79" s="201"/>
      <c r="B79" s="202"/>
      <c r="C79" s="202"/>
      <c r="D79" s="203"/>
      <c r="E79" s="47">
        <v>1</v>
      </c>
      <c r="F79" s="47">
        <v>1</v>
      </c>
      <c r="G79" s="47">
        <v>0</v>
      </c>
      <c r="H79" s="48">
        <f ca="1">--TRIM(RIGHT(SUBSTITUTE(LEFT(A78,_xlfn.AGGREGATE(16,6,FIND({0,1,2,3,4,5,6,7,8,9},A78,ROW(INDIRECT("1:"&amp;LEN(A78)))),1))," ",REPT(" ",LEN(A78))),LEN(A78)))</f>
        <v>32</v>
      </c>
      <c r="I79" s="1" t="s">
        <v>64</v>
      </c>
      <c r="J79" s="52">
        <f ca="1">H79*25%</f>
        <v>8</v>
      </c>
    </row>
    <row r="80" spans="1:10" ht="30" customHeight="1" x14ac:dyDescent="0.2">
      <c r="A80" s="66" t="s">
        <v>137</v>
      </c>
      <c r="B80" s="65"/>
      <c r="C80" s="233" t="str">
        <f ca="1">I77</f>
        <v>Excavation work Completed. Plinth work completed, RCC upto 15 Slab, Brickwork upto 14 Floor, Internal Plaster upto 10.5 Floor, External Plaster upto 9.1 Floor Completed</v>
      </c>
      <c r="D80" s="233"/>
      <c r="E80" s="233"/>
      <c r="F80" s="233"/>
      <c r="G80" s="233"/>
      <c r="H80" s="234"/>
      <c r="I80" s="1" t="s">
        <v>66</v>
      </c>
      <c r="J80" s="55">
        <f ca="1">H79*50%</f>
        <v>16</v>
      </c>
    </row>
    <row r="81" spans="1:10" ht="15" customHeight="1" x14ac:dyDescent="0.2">
      <c r="A81" s="104" t="s">
        <v>61</v>
      </c>
      <c r="B81" s="105"/>
      <c r="C81" s="232" t="s">
        <v>139</v>
      </c>
      <c r="D81" s="232"/>
      <c r="E81" s="82" t="s">
        <v>62</v>
      </c>
      <c r="F81" s="82" t="s">
        <v>63</v>
      </c>
      <c r="G81" s="166" t="s">
        <v>56</v>
      </c>
      <c r="H81" s="167"/>
      <c r="I81" s="1" t="s">
        <v>68</v>
      </c>
      <c r="J81" s="55">
        <f ca="1">H79</f>
        <v>32</v>
      </c>
    </row>
    <row r="82" spans="1:10" ht="15" customHeight="1" x14ac:dyDescent="0.2">
      <c r="A82" s="104" t="s">
        <v>65</v>
      </c>
      <c r="B82" s="105"/>
      <c r="C82" s="110">
        <v>0</v>
      </c>
      <c r="D82" s="110"/>
      <c r="E82" s="53">
        <f ca="1">J81</f>
        <v>32</v>
      </c>
      <c r="F82" s="83">
        <f ca="1">((100/H79)*E82)/100</f>
        <v>1</v>
      </c>
      <c r="G82" s="168">
        <f ca="1">(((E83/H79*10)+(40/(F79+G79+H79)*E84)+(15/(H79)*E85)+(5/(H79)*E86)+(5/H79*E87)+(10/H79*E88)+(5/H79*E89)+(5/H79*E90)+(5/H79*E91))/100)</f>
        <v>0.37806818181818186</v>
      </c>
      <c r="H82" s="169"/>
      <c r="I82" s="1" t="s">
        <v>70</v>
      </c>
      <c r="J82" s="57">
        <f ca="1">(IF(E79&gt;1,(H79/(E79+2)),H79/4))</f>
        <v>8</v>
      </c>
    </row>
    <row r="83" spans="1:10" ht="15" customHeight="1" x14ac:dyDescent="0.2">
      <c r="A83" s="104" t="s">
        <v>67</v>
      </c>
      <c r="B83" s="105"/>
      <c r="C83" s="110">
        <v>0.1</v>
      </c>
      <c r="D83" s="110"/>
      <c r="E83" s="56">
        <f ca="1">J89</f>
        <v>32</v>
      </c>
      <c r="F83" s="83">
        <f ca="1">((100/H79)*E83)/100</f>
        <v>1</v>
      </c>
      <c r="G83" s="168"/>
      <c r="H83" s="169"/>
      <c r="I83" s="1" t="s">
        <v>72</v>
      </c>
      <c r="J83" s="57">
        <f ca="1">(IF(E79&gt;1,(H79/(E79+2)+J82),H79/4+J82))</f>
        <v>16</v>
      </c>
    </row>
    <row r="84" spans="1:10" ht="15" customHeight="1" x14ac:dyDescent="0.2">
      <c r="A84" s="104" t="s">
        <v>69</v>
      </c>
      <c r="B84" s="105"/>
      <c r="C84" s="110">
        <v>0.4</v>
      </c>
      <c r="D84" s="110"/>
      <c r="E84" s="56">
        <v>15</v>
      </c>
      <c r="F84" s="83">
        <f ca="1">((100/(F79+G79+H79))*E84)/100</f>
        <v>0.45454545454545453</v>
      </c>
      <c r="G84" s="168"/>
      <c r="H84" s="169"/>
      <c r="I84" s="1" t="s">
        <v>74</v>
      </c>
      <c r="J84" s="57">
        <f>(IF(E79&gt;1,(H79/(E79+2)+J83),0))</f>
        <v>0</v>
      </c>
    </row>
    <row r="85" spans="1:10" ht="15" customHeight="1" x14ac:dyDescent="0.2">
      <c r="A85" s="104" t="s">
        <v>71</v>
      </c>
      <c r="B85" s="105"/>
      <c r="C85" s="110">
        <v>0.15</v>
      </c>
      <c r="D85" s="110"/>
      <c r="E85" s="56">
        <f>E84-F79</f>
        <v>14</v>
      </c>
      <c r="F85" s="83">
        <f ca="1">((100/H79)*E85)/100</f>
        <v>0.4375</v>
      </c>
      <c r="G85" s="168"/>
      <c r="H85" s="169"/>
      <c r="I85" s="1" t="s">
        <v>76</v>
      </c>
      <c r="J85" s="57">
        <f>(IF(E79&gt;2,(H79/(E79+2)+J84),0))</f>
        <v>0</v>
      </c>
    </row>
    <row r="86" spans="1:10" ht="15" customHeight="1" x14ac:dyDescent="0.2">
      <c r="A86" s="104" t="s">
        <v>73</v>
      </c>
      <c r="B86" s="105"/>
      <c r="C86" s="110">
        <v>0.05</v>
      </c>
      <c r="D86" s="110"/>
      <c r="E86" s="56">
        <f>E85*0.75</f>
        <v>10.5</v>
      </c>
      <c r="F86" s="83">
        <f ca="1">((100/H79)*E86)/100</f>
        <v>0.328125</v>
      </c>
      <c r="G86" s="168"/>
      <c r="H86" s="169"/>
      <c r="I86" s="1" t="s">
        <v>78</v>
      </c>
      <c r="J86" s="58">
        <f>(IF(E79&gt;3,(H79/(E79+2)+J85),0))</f>
        <v>0</v>
      </c>
    </row>
    <row r="87" spans="1:10" ht="15" customHeight="1" x14ac:dyDescent="0.2">
      <c r="A87" s="104" t="s">
        <v>75</v>
      </c>
      <c r="B87" s="105"/>
      <c r="C87" s="110">
        <v>0.05</v>
      </c>
      <c r="D87" s="110"/>
      <c r="E87" s="56">
        <f>E85*0.65</f>
        <v>9.1</v>
      </c>
      <c r="F87" s="83">
        <f ca="1">((100/(H79))*E87)/100</f>
        <v>0.28437499999999999</v>
      </c>
      <c r="G87" s="168"/>
      <c r="H87" s="169"/>
      <c r="I87" s="1" t="s">
        <v>80</v>
      </c>
      <c r="J87" s="57">
        <f>(IF(E79&gt;4,(H79/(E79+2)+J86),0))</f>
        <v>0</v>
      </c>
    </row>
    <row r="88" spans="1:10" ht="15" customHeight="1" x14ac:dyDescent="0.2">
      <c r="A88" s="104" t="s">
        <v>77</v>
      </c>
      <c r="B88" s="105"/>
      <c r="C88" s="110">
        <v>0.1</v>
      </c>
      <c r="D88" s="110"/>
      <c r="E88" s="56">
        <v>0</v>
      </c>
      <c r="F88" s="83">
        <f ca="1">((100/H79)*E88)/100</f>
        <v>0</v>
      </c>
      <c r="G88" s="168"/>
      <c r="H88" s="169"/>
      <c r="I88" s="1" t="s">
        <v>82</v>
      </c>
      <c r="J88" s="57">
        <f ca="1">(IF(E79=1,(H79/(E79+3)+J83),IF(E79=0,(H79/4+J83),IF(E79&gt;1,0))))</f>
        <v>24</v>
      </c>
    </row>
    <row r="89" spans="1:10" ht="15.75" customHeight="1" thickBot="1" x14ac:dyDescent="0.25">
      <c r="A89" s="104" t="s">
        <v>79</v>
      </c>
      <c r="B89" s="105"/>
      <c r="C89" s="110">
        <v>0.05</v>
      </c>
      <c r="D89" s="110"/>
      <c r="E89" s="53">
        <v>0</v>
      </c>
      <c r="F89" s="83">
        <f ca="1">((100/H79)*E89)/100</f>
        <v>0</v>
      </c>
      <c r="G89" s="168"/>
      <c r="H89" s="169"/>
      <c r="I89" s="61" t="s">
        <v>84</v>
      </c>
      <c r="J89" s="62">
        <f ca="1">(IF(E79&gt;1.5,(H79/(E79+2)+J83+MAX(0,J84-J83)+MAX(0,J85-J84)+MAX(0,J86-J85)+MAX(0,J87-J86)+MAX(0,J88-J87)),IF(E79=1,(H79/(E79+3)+J88),IF(E79=0,H79/4+J88))))</f>
        <v>32</v>
      </c>
    </row>
    <row r="90" spans="1:10" x14ac:dyDescent="0.2">
      <c r="A90" s="104" t="s">
        <v>81</v>
      </c>
      <c r="B90" s="105"/>
      <c r="C90" s="110">
        <v>0.05</v>
      </c>
      <c r="D90" s="110"/>
      <c r="E90" s="53">
        <v>0</v>
      </c>
      <c r="F90" s="83">
        <f ca="1">((100/(H79))*E90)/100</f>
        <v>0</v>
      </c>
      <c r="G90" s="168"/>
      <c r="H90" s="169"/>
    </row>
    <row r="91" spans="1:10" ht="13.5" thickBot="1" x14ac:dyDescent="0.25">
      <c r="A91" s="175" t="s">
        <v>83</v>
      </c>
      <c r="B91" s="176"/>
      <c r="C91" s="228">
        <v>0.05</v>
      </c>
      <c r="D91" s="228"/>
      <c r="E91" s="59">
        <v>0</v>
      </c>
      <c r="F91" s="84">
        <f ca="1">((100/(H79))*E91)/100</f>
        <v>0</v>
      </c>
      <c r="G91" s="170"/>
      <c r="H91" s="171"/>
    </row>
    <row r="92" spans="1:10" x14ac:dyDescent="0.2">
      <c r="A92" s="156" t="s">
        <v>25</v>
      </c>
      <c r="B92" s="157"/>
      <c r="C92" s="139" t="s">
        <v>113</v>
      </c>
      <c r="D92" s="139"/>
      <c r="E92" s="139"/>
      <c r="F92" s="139"/>
      <c r="G92" s="139"/>
      <c r="H92" s="139"/>
    </row>
    <row r="93" spans="1:10" x14ac:dyDescent="0.2">
      <c r="A93" s="97" t="s">
        <v>26</v>
      </c>
      <c r="B93" s="97"/>
      <c r="C93" s="97"/>
      <c r="D93" s="97"/>
      <c r="E93" s="97"/>
      <c r="F93" s="97"/>
      <c r="G93" s="97"/>
      <c r="H93" s="97"/>
    </row>
    <row r="94" spans="1:10" x14ac:dyDescent="0.2">
      <c r="A94" s="177" t="s">
        <v>27</v>
      </c>
      <c r="B94" s="178"/>
      <c r="C94" s="229" t="s">
        <v>50</v>
      </c>
      <c r="D94" s="230"/>
      <c r="E94" s="107" t="s">
        <v>28</v>
      </c>
      <c r="F94" s="107"/>
      <c r="G94" s="15" t="s">
        <v>18</v>
      </c>
      <c r="H94" s="80" t="s">
        <v>51</v>
      </c>
    </row>
    <row r="95" spans="1:10" x14ac:dyDescent="0.2">
      <c r="A95" s="177" t="s">
        <v>29</v>
      </c>
      <c r="B95" s="178"/>
      <c r="C95" s="229" t="s">
        <v>49</v>
      </c>
      <c r="D95" s="230"/>
      <c r="E95" s="107" t="s">
        <v>30</v>
      </c>
      <c r="F95" s="107"/>
      <c r="G95" s="15" t="s">
        <v>18</v>
      </c>
      <c r="H95" s="80" t="s">
        <v>52</v>
      </c>
    </row>
    <row r="96" spans="1:10" x14ac:dyDescent="0.2">
      <c r="A96" s="177" t="s">
        <v>31</v>
      </c>
      <c r="B96" s="178"/>
      <c r="C96" s="229" t="s">
        <v>140</v>
      </c>
      <c r="D96" s="230"/>
      <c r="E96" s="107" t="s">
        <v>32</v>
      </c>
      <c r="F96" s="107"/>
      <c r="G96" s="15" t="s">
        <v>18</v>
      </c>
      <c r="H96" s="80" t="s">
        <v>51</v>
      </c>
    </row>
    <row r="97" spans="1:8" x14ac:dyDescent="0.2">
      <c r="A97" s="177" t="s">
        <v>33</v>
      </c>
      <c r="B97" s="178"/>
      <c r="C97" s="229" t="s">
        <v>121</v>
      </c>
      <c r="D97" s="230"/>
      <c r="E97" s="107" t="s">
        <v>34</v>
      </c>
      <c r="F97" s="107"/>
      <c r="G97" s="15" t="s">
        <v>18</v>
      </c>
      <c r="H97" s="80" t="s">
        <v>51</v>
      </c>
    </row>
    <row r="98" spans="1:8" x14ac:dyDescent="0.2">
      <c r="A98" s="177" t="s">
        <v>35</v>
      </c>
      <c r="B98" s="178"/>
      <c r="C98" s="229" t="s">
        <v>128</v>
      </c>
      <c r="D98" s="230"/>
      <c r="E98" s="107" t="s">
        <v>36</v>
      </c>
      <c r="F98" s="107"/>
      <c r="G98" s="15" t="s">
        <v>18</v>
      </c>
      <c r="H98" s="80" t="s">
        <v>52</v>
      </c>
    </row>
    <row r="99" spans="1:8" ht="38.25" customHeight="1" x14ac:dyDescent="0.2">
      <c r="A99" s="177" t="s">
        <v>37</v>
      </c>
      <c r="B99" s="178"/>
      <c r="C99" s="229" t="s">
        <v>141</v>
      </c>
      <c r="D99" s="230"/>
      <c r="E99" s="107" t="s">
        <v>38</v>
      </c>
      <c r="F99" s="107"/>
      <c r="G99" s="15" t="s">
        <v>18</v>
      </c>
      <c r="H99" s="80" t="s">
        <v>52</v>
      </c>
    </row>
    <row r="100" spans="1:8" x14ac:dyDescent="0.2">
      <c r="A100" s="177" t="s">
        <v>39</v>
      </c>
      <c r="B100" s="178"/>
      <c r="C100" s="229" t="s">
        <v>122</v>
      </c>
      <c r="D100" s="230"/>
      <c r="E100" s="107" t="s">
        <v>40</v>
      </c>
      <c r="F100" s="107"/>
      <c r="G100" s="15" t="s">
        <v>18</v>
      </c>
      <c r="H100" s="80" t="s">
        <v>52</v>
      </c>
    </row>
    <row r="101" spans="1:8" x14ac:dyDescent="0.2">
      <c r="A101" s="89" t="s">
        <v>41</v>
      </c>
      <c r="B101" s="91"/>
      <c r="C101" s="229" t="s">
        <v>127</v>
      </c>
      <c r="D101" s="230"/>
      <c r="E101" s="97" t="s">
        <v>42</v>
      </c>
      <c r="F101" s="97"/>
      <c r="G101" s="108" t="s">
        <v>52</v>
      </c>
      <c r="H101" s="108"/>
    </row>
    <row r="102" spans="1:8" ht="25.5" customHeight="1" x14ac:dyDescent="0.2">
      <c r="A102" s="89" t="s">
        <v>43</v>
      </c>
      <c r="B102" s="91"/>
      <c r="C102" s="235" t="s">
        <v>54</v>
      </c>
      <c r="D102" s="236"/>
      <c r="E102" s="97" t="s">
        <v>44</v>
      </c>
      <c r="F102" s="97"/>
      <c r="G102" s="107" t="s">
        <v>53</v>
      </c>
      <c r="H102" s="107"/>
    </row>
    <row r="103" spans="1:8" x14ac:dyDescent="0.2">
      <c r="A103" s="172" t="s">
        <v>197</v>
      </c>
      <c r="B103" s="173"/>
      <c r="C103" s="173"/>
      <c r="D103" s="173"/>
      <c r="E103" s="173"/>
      <c r="F103" s="173"/>
      <c r="G103" s="173"/>
      <c r="H103" s="174"/>
    </row>
    <row r="104" spans="1:8" x14ac:dyDescent="0.2">
      <c r="A104" s="97" t="s">
        <v>198</v>
      </c>
      <c r="B104" s="97"/>
      <c r="C104" s="89" t="s">
        <v>199</v>
      </c>
      <c r="D104" s="91"/>
      <c r="E104" s="97" t="s">
        <v>200</v>
      </c>
      <c r="F104" s="97"/>
      <c r="G104" s="97" t="s">
        <v>201</v>
      </c>
      <c r="H104" s="97"/>
    </row>
    <row r="105" spans="1:8" x14ac:dyDescent="0.2">
      <c r="A105" s="109" t="s">
        <v>275</v>
      </c>
      <c r="B105" s="109"/>
      <c r="C105" s="102">
        <f>COUNT(D121:D135)</f>
        <v>15</v>
      </c>
      <c r="D105" s="223"/>
      <c r="E105" s="102">
        <f t="shared" ref="E105" si="0">SUM(F121:F135)</f>
        <v>8239.8366179999994</v>
      </c>
      <c r="F105" s="223"/>
      <c r="G105" s="102">
        <f t="shared" ref="G105" si="1">SUM(H121:H135)</f>
        <v>12771.7467579</v>
      </c>
      <c r="H105" s="223"/>
    </row>
    <row r="106" spans="1:8" x14ac:dyDescent="0.2">
      <c r="A106" s="97" t="s">
        <v>202</v>
      </c>
      <c r="B106" s="97"/>
      <c r="C106" s="242">
        <f>SUM(C105)</f>
        <v>15</v>
      </c>
      <c r="D106" s="243"/>
      <c r="E106" s="146">
        <f>SUM(E105)</f>
        <v>8239.8366179999994</v>
      </c>
      <c r="F106" s="224"/>
      <c r="G106" s="146">
        <f>SUM(G105)</f>
        <v>12771.7467579</v>
      </c>
      <c r="H106" s="224"/>
    </row>
    <row r="107" spans="1:8" x14ac:dyDescent="0.2">
      <c r="A107" s="97" t="s">
        <v>203</v>
      </c>
      <c r="B107" s="97"/>
      <c r="C107" s="97"/>
      <c r="D107" s="97"/>
      <c r="E107" s="97"/>
      <c r="F107" s="97"/>
      <c r="G107" s="97"/>
      <c r="H107" s="97"/>
    </row>
    <row r="108" spans="1:8" x14ac:dyDescent="0.2">
      <c r="A108" s="97" t="s">
        <v>198</v>
      </c>
      <c r="B108" s="97"/>
      <c r="C108" s="89" t="s">
        <v>199</v>
      </c>
      <c r="D108" s="91"/>
      <c r="E108" s="97" t="s">
        <v>200</v>
      </c>
      <c r="F108" s="97"/>
      <c r="G108" s="97" t="s">
        <v>201</v>
      </c>
      <c r="H108" s="97"/>
    </row>
    <row r="109" spans="1:8" x14ac:dyDescent="0.2">
      <c r="A109" s="109" t="s">
        <v>278</v>
      </c>
      <c r="B109" s="109"/>
      <c r="C109" s="102">
        <f>COUNT(D162:D163)+COUNT(D165:D172)*26+COUNT(D174:D179,D181)*6</f>
        <v>252</v>
      </c>
      <c r="D109" s="103"/>
      <c r="E109" s="102">
        <f t="shared" ref="E109" si="2">SUM(F162:F163)+SUM(F165:F172)*26+SUM(F174:F179,F181)*6</f>
        <v>96442.856639999998</v>
      </c>
      <c r="F109" s="103"/>
      <c r="G109" s="102">
        <f t="shared" ref="G109" si="3">SUM(H162:H163)+SUM(H165:H172)*26+SUM(H174:H179,H181)*6</f>
        <v>144664.28495999999</v>
      </c>
      <c r="H109" s="103"/>
    </row>
    <row r="110" spans="1:8" x14ac:dyDescent="0.2">
      <c r="A110" s="109" t="s">
        <v>275</v>
      </c>
      <c r="B110" s="109"/>
      <c r="C110" s="102">
        <f>COUNT(D190:D192)+COUNT(D194:D201)+COUNT(D203:D210)*25+COUNT(D212:D217,D219)*5+COUNT(D222:D225)</f>
        <v>250</v>
      </c>
      <c r="D110" s="103"/>
      <c r="E110" s="102">
        <f t="shared" ref="E110" si="4">SUM(F190:F192)+SUM(F194:F201)+SUM(F203:F210)*25+SUM(F212:F217,F219)*5+SUM(F222:F225)</f>
        <v>96159.009959999967</v>
      </c>
      <c r="F110" s="103"/>
      <c r="G110" s="102">
        <f t="shared" ref="G110" si="5">SUM(H190:H192)+SUM(H194:H201)+SUM(H203:H210)*25+SUM(H212:H217,H219)*5+SUM(H222:H225)</f>
        <v>144238.51493999996</v>
      </c>
      <c r="H110" s="103"/>
    </row>
    <row r="111" spans="1:8" ht="15.75" customHeight="1" x14ac:dyDescent="0.2">
      <c r="A111" s="97" t="s">
        <v>202</v>
      </c>
      <c r="B111" s="97"/>
      <c r="C111" s="242">
        <f>SUM(C109:C110)</f>
        <v>502</v>
      </c>
      <c r="D111" s="243"/>
      <c r="E111" s="146">
        <f>SUM(E109:E110)</f>
        <v>192601.86659999995</v>
      </c>
      <c r="F111" s="146"/>
      <c r="G111" s="146">
        <f>SUM(G109:G110)</f>
        <v>288902.79989999998</v>
      </c>
      <c r="H111" s="146"/>
    </row>
    <row r="112" spans="1:8" x14ac:dyDescent="0.2">
      <c r="A112" s="97" t="s">
        <v>204</v>
      </c>
      <c r="B112" s="97"/>
      <c r="C112" s="244">
        <f>C106+C111</f>
        <v>517</v>
      </c>
      <c r="D112" s="245"/>
      <c r="E112" s="147">
        <f>E106+E111</f>
        <v>200841.70321799995</v>
      </c>
      <c r="F112" s="147"/>
      <c r="G112" s="147">
        <f>G106+G111</f>
        <v>301674.54665789998</v>
      </c>
      <c r="H112" s="147"/>
    </row>
    <row r="113" spans="1:11" x14ac:dyDescent="0.2">
      <c r="A113" s="97" t="s">
        <v>45</v>
      </c>
      <c r="B113" s="97"/>
      <c r="C113" s="97"/>
      <c r="D113" s="97"/>
      <c r="E113" s="97"/>
      <c r="F113" s="97"/>
      <c r="G113" s="97"/>
      <c r="H113" s="97"/>
    </row>
    <row r="114" spans="1:11" x14ac:dyDescent="0.2">
      <c r="A114" s="97" t="s">
        <v>216</v>
      </c>
      <c r="B114" s="97"/>
      <c r="C114" s="97"/>
      <c r="D114" s="97"/>
      <c r="E114" s="97"/>
      <c r="F114" s="97"/>
      <c r="G114" s="97"/>
      <c r="H114" s="97"/>
    </row>
    <row r="115" spans="1:11" ht="38.25" x14ac:dyDescent="0.2">
      <c r="A115" s="237" t="s">
        <v>217</v>
      </c>
      <c r="B115" s="239" t="s">
        <v>218</v>
      </c>
      <c r="C115" s="239" t="s">
        <v>301</v>
      </c>
      <c r="D115" s="239" t="s">
        <v>210</v>
      </c>
      <c r="E115" s="239" t="s">
        <v>214</v>
      </c>
      <c r="F115" s="237" t="s">
        <v>212</v>
      </c>
      <c r="G115" s="23" t="s">
        <v>213</v>
      </c>
      <c r="H115" s="64" t="s">
        <v>142</v>
      </c>
    </row>
    <row r="116" spans="1:11" x14ac:dyDescent="0.2">
      <c r="A116" s="238"/>
      <c r="B116" s="240"/>
      <c r="C116" s="240"/>
      <c r="D116" s="240"/>
      <c r="E116" s="240"/>
      <c r="F116" s="238"/>
      <c r="G116" s="24"/>
      <c r="H116" s="85">
        <v>0.55000000000000004</v>
      </c>
    </row>
    <row r="117" spans="1:11" x14ac:dyDescent="0.2">
      <c r="A117" s="143" t="s">
        <v>274</v>
      </c>
      <c r="B117" s="143"/>
      <c r="C117" s="143"/>
      <c r="D117" s="143"/>
      <c r="E117" s="143"/>
      <c r="F117" s="143"/>
      <c r="G117" s="143"/>
      <c r="H117" s="143"/>
    </row>
    <row r="118" spans="1:11" x14ac:dyDescent="0.2">
      <c r="A118" s="143" t="s">
        <v>275</v>
      </c>
      <c r="B118" s="143"/>
      <c r="C118" s="143"/>
      <c r="D118" s="143"/>
      <c r="E118" s="143"/>
      <c r="F118" s="143"/>
      <c r="G118" s="143"/>
      <c r="H118" s="143"/>
    </row>
    <row r="119" spans="1:11" ht="26.25" customHeight="1" x14ac:dyDescent="0.2">
      <c r="A119" s="143" t="s">
        <v>276</v>
      </c>
      <c r="B119" s="143"/>
      <c r="C119" s="143"/>
      <c r="D119" s="143"/>
      <c r="E119" s="143"/>
      <c r="F119" s="143"/>
      <c r="G119" s="143"/>
      <c r="H119" s="143"/>
    </row>
    <row r="120" spans="1:11" x14ac:dyDescent="0.2">
      <c r="A120" s="143" t="s">
        <v>277</v>
      </c>
      <c r="B120" s="143"/>
      <c r="C120" s="143"/>
      <c r="D120" s="143"/>
      <c r="E120" s="143"/>
      <c r="F120" s="143"/>
      <c r="G120" s="143"/>
      <c r="H120" s="143"/>
    </row>
    <row r="121" spans="1:11" x14ac:dyDescent="0.2">
      <c r="A121" s="241">
        <v>1</v>
      </c>
      <c r="B121" s="231"/>
      <c r="C121" s="20" t="s">
        <v>215</v>
      </c>
      <c r="D121" s="17">
        <f>(36.13)*(10.764)</f>
        <v>388.90332000000001</v>
      </c>
      <c r="E121" s="17">
        <f>(4.17*4.2)*(10.764)</f>
        <v>188.52069599999999</v>
      </c>
      <c r="F121" s="17">
        <f>D121+(IF(E121&lt;201,E121,IF(E121&lt;301,E121/2,E121/3)))</f>
        <v>577.42401599999994</v>
      </c>
      <c r="G121" s="17">
        <v>0</v>
      </c>
      <c r="H121" s="17">
        <f t="shared" ref="H121:H131" si="6">F121*(($H$116)+1)+(IF(G121&lt;101,G121,IF(G121&lt;201,G121/2,IF(G121&lt;=301,G121/3,G121/4))))</f>
        <v>895.0072247999999</v>
      </c>
      <c r="I121" s="6">
        <f>4.17*6.97+2.82*1.8+1.2*1.65</f>
        <v>36.120899999999992</v>
      </c>
    </row>
    <row r="122" spans="1:11" x14ac:dyDescent="0.2">
      <c r="A122" s="241">
        <f>A121+1</f>
        <v>2</v>
      </c>
      <c r="B122" s="231"/>
      <c r="C122" s="20" t="s">
        <v>215</v>
      </c>
      <c r="D122" s="17">
        <f>(35.27)*(10.764)</f>
        <v>379.64627999999999</v>
      </c>
      <c r="E122" s="17">
        <f>(4.07*4.2)*(10.764)</f>
        <v>183.99981600000001</v>
      </c>
      <c r="F122" s="17">
        <f t="shared" ref="F122:F131" si="7">D122+(IF(E122&lt;201,E122,IF(E122&lt;301,E122/2,E122/3)))</f>
        <v>563.64609599999994</v>
      </c>
      <c r="G122" s="17">
        <v>0</v>
      </c>
      <c r="H122" s="17">
        <f t="shared" si="6"/>
        <v>873.65144879999991</v>
      </c>
      <c r="K122" s="17">
        <f>10.764</f>
        <v>10.763999999999999</v>
      </c>
    </row>
    <row r="123" spans="1:11" x14ac:dyDescent="0.2">
      <c r="A123" s="241">
        <f t="shared" ref="A123:A135" si="8">A122+1</f>
        <v>3</v>
      </c>
      <c r="B123" s="231"/>
      <c r="C123" s="20" t="s">
        <v>215</v>
      </c>
      <c r="D123" s="17">
        <f>(34.24)*(10.764)</f>
        <v>368.55936000000003</v>
      </c>
      <c r="E123" s="17">
        <f>(3.9*4.2)*(10.764)</f>
        <v>176.31431999999998</v>
      </c>
      <c r="F123" s="17">
        <f t="shared" si="7"/>
        <v>544.87368000000004</v>
      </c>
      <c r="G123" s="17">
        <v>0</v>
      </c>
      <c r="H123" s="17">
        <f t="shared" si="6"/>
        <v>844.55420400000003</v>
      </c>
    </row>
    <row r="124" spans="1:11" x14ac:dyDescent="0.2">
      <c r="A124" s="241">
        <f t="shared" si="8"/>
        <v>4</v>
      </c>
      <c r="B124" s="231"/>
      <c r="C124" s="20" t="s">
        <v>215</v>
      </c>
      <c r="D124" s="17">
        <f>(33.77)*(10.764)</f>
        <v>363.50028000000003</v>
      </c>
      <c r="E124" s="17">
        <f>(3.9*4.2)*(10.764)</f>
        <v>176.31431999999998</v>
      </c>
      <c r="F124" s="17">
        <f t="shared" si="7"/>
        <v>539.81460000000004</v>
      </c>
      <c r="G124" s="17">
        <v>0</v>
      </c>
      <c r="H124" s="17">
        <f t="shared" si="6"/>
        <v>836.7126300000001</v>
      </c>
    </row>
    <row r="125" spans="1:11" x14ac:dyDescent="0.2">
      <c r="A125" s="241">
        <f t="shared" si="8"/>
        <v>5</v>
      </c>
      <c r="B125" s="231"/>
      <c r="C125" s="20" t="s">
        <v>215</v>
      </c>
      <c r="D125" s="17">
        <f>(48.45)*(10.764)</f>
        <v>521.51580000000001</v>
      </c>
      <c r="E125" s="17">
        <f>(5.52*4.2)*(10.764)</f>
        <v>249.55257599999996</v>
      </c>
      <c r="F125" s="17">
        <f t="shared" si="7"/>
        <v>646.29208800000004</v>
      </c>
      <c r="G125" s="17">
        <v>0</v>
      </c>
      <c r="H125" s="17">
        <f t="shared" si="6"/>
        <v>1001.7527364000001</v>
      </c>
      <c r="I125" s="6">
        <f>5.52*6.98+4.17*1.8+1.2*1.65</f>
        <v>48.015599999999999</v>
      </c>
    </row>
    <row r="126" spans="1:11" x14ac:dyDescent="0.2">
      <c r="A126" s="241">
        <f t="shared" si="8"/>
        <v>6</v>
      </c>
      <c r="B126" s="231"/>
      <c r="C126" s="20" t="s">
        <v>215</v>
      </c>
      <c r="D126" s="17">
        <f>(37.98)*(10.764)</f>
        <v>408.81671999999992</v>
      </c>
      <c r="E126" s="17">
        <f>(4.33*4.2)*(10.764)</f>
        <v>195.75410399999998</v>
      </c>
      <c r="F126" s="17">
        <f t="shared" si="7"/>
        <v>604.5708239999999</v>
      </c>
      <c r="G126" s="17">
        <v>0</v>
      </c>
      <c r="H126" s="17">
        <f t="shared" si="6"/>
        <v>937.08477719999985</v>
      </c>
    </row>
    <row r="127" spans="1:11" x14ac:dyDescent="0.2">
      <c r="A127" s="241">
        <f t="shared" si="8"/>
        <v>7</v>
      </c>
      <c r="B127" s="231"/>
      <c r="C127" s="20" t="s">
        <v>215</v>
      </c>
      <c r="D127" s="17">
        <f>(38.95)*(10.764)</f>
        <v>419.25780000000003</v>
      </c>
      <c r="E127" s="17">
        <f>(4.55*4.2)*(10.764)</f>
        <v>205.70003999999997</v>
      </c>
      <c r="F127" s="17">
        <f t="shared" si="7"/>
        <v>522.10782000000006</v>
      </c>
      <c r="G127" s="17">
        <v>0</v>
      </c>
      <c r="H127" s="17">
        <f t="shared" si="6"/>
        <v>809.26712100000009</v>
      </c>
    </row>
    <row r="128" spans="1:11" x14ac:dyDescent="0.2">
      <c r="A128" s="241">
        <f t="shared" si="8"/>
        <v>8</v>
      </c>
      <c r="B128" s="231"/>
      <c r="C128" s="20" t="s">
        <v>215</v>
      </c>
      <c r="D128" s="17">
        <f>(34.17)*(10.764)</f>
        <v>367.80588</v>
      </c>
      <c r="E128" s="17">
        <f>(3.97*4.2)*(10.764)</f>
        <v>179.47893600000003</v>
      </c>
      <c r="F128" s="17">
        <f t="shared" si="7"/>
        <v>547.28481600000009</v>
      </c>
      <c r="G128" s="17">
        <v>0</v>
      </c>
      <c r="H128" s="17">
        <f t="shared" si="6"/>
        <v>848.2914648000002</v>
      </c>
    </row>
    <row r="129" spans="1:8" x14ac:dyDescent="0.2">
      <c r="A129" s="241">
        <f t="shared" si="8"/>
        <v>9</v>
      </c>
      <c r="B129" s="231"/>
      <c r="C129" s="20" t="s">
        <v>215</v>
      </c>
      <c r="D129" s="17">
        <f>(39.25)*(10.764)</f>
        <v>422.48699999999997</v>
      </c>
      <c r="E129" s="17">
        <f>(4.5*4.2)*(10.764)</f>
        <v>203.43960000000001</v>
      </c>
      <c r="F129" s="17">
        <f t="shared" si="7"/>
        <v>524.20679999999993</v>
      </c>
      <c r="G129" s="17">
        <v>0</v>
      </c>
      <c r="H129" s="17">
        <f t="shared" si="6"/>
        <v>812.52053999999987</v>
      </c>
    </row>
    <row r="130" spans="1:8" x14ac:dyDescent="0.2">
      <c r="A130" s="241">
        <f t="shared" si="8"/>
        <v>10</v>
      </c>
      <c r="B130" s="231"/>
      <c r="C130" s="20" t="s">
        <v>215</v>
      </c>
      <c r="D130" s="17">
        <f>(27.14)*(10.764)</f>
        <v>292.13495999999998</v>
      </c>
      <c r="E130" s="17">
        <f>(3*4.2+1.45*1.65)*(10.764)</f>
        <v>161.37927000000002</v>
      </c>
      <c r="F130" s="17">
        <f t="shared" si="7"/>
        <v>453.51423</v>
      </c>
      <c r="G130" s="17">
        <v>0</v>
      </c>
      <c r="H130" s="17">
        <f t="shared" si="6"/>
        <v>702.94705650000003</v>
      </c>
    </row>
    <row r="131" spans="1:8" x14ac:dyDescent="0.2">
      <c r="A131" s="241">
        <f t="shared" si="8"/>
        <v>11</v>
      </c>
      <c r="B131" s="231"/>
      <c r="C131" s="20" t="s">
        <v>215</v>
      </c>
      <c r="D131" s="17">
        <f>(23.65)*(10.764)</f>
        <v>254.56859999999998</v>
      </c>
      <c r="E131" s="17">
        <f>(3.03*2.4+1.57*1.65)*(10.764)</f>
        <v>106.15994999999998</v>
      </c>
      <c r="F131" s="17">
        <f t="shared" si="7"/>
        <v>360.72854999999993</v>
      </c>
      <c r="G131" s="17">
        <v>0</v>
      </c>
      <c r="H131" s="17">
        <f t="shared" si="6"/>
        <v>559.12925249999989</v>
      </c>
    </row>
    <row r="132" spans="1:8" x14ac:dyDescent="0.2">
      <c r="A132" s="241">
        <f t="shared" si="8"/>
        <v>12</v>
      </c>
      <c r="B132" s="231"/>
      <c r="C132" s="20" t="s">
        <v>215</v>
      </c>
      <c r="D132" s="17">
        <f>(25.89)*(10.764)</f>
        <v>278.67995999999999</v>
      </c>
      <c r="E132" s="17">
        <f>(3.02*4.2)*(10.764)</f>
        <v>136.530576</v>
      </c>
      <c r="F132" s="17">
        <f t="shared" ref="F132:F135" si="9">D132+(IF(E132&lt;201,E132,IF(E132&lt;301,E132/2,E132/3)))</f>
        <v>415.21053599999999</v>
      </c>
      <c r="G132" s="17">
        <v>0</v>
      </c>
      <c r="H132" s="17">
        <f t="shared" ref="H132:H135" si="10">F132*(($H$116)+1)+(IF(G132&lt;101,G132,IF(G132&lt;201,G132/2,IF(G132&lt;=301,G132/3,G132/4))))</f>
        <v>643.57633080000005</v>
      </c>
    </row>
    <row r="133" spans="1:8" x14ac:dyDescent="0.2">
      <c r="A133" s="241">
        <f t="shared" si="8"/>
        <v>13</v>
      </c>
      <c r="B133" s="231"/>
      <c r="C133" s="20" t="s">
        <v>215</v>
      </c>
      <c r="D133" s="17">
        <f>(28.48)*(10.764)</f>
        <v>306.55871999999999</v>
      </c>
      <c r="E133" s="17">
        <f>(3.13*4.2+1.35*1.65)*(10.764)</f>
        <v>165.48035399999998</v>
      </c>
      <c r="F133" s="17">
        <f t="shared" si="9"/>
        <v>472.03907399999997</v>
      </c>
      <c r="G133" s="17">
        <v>0</v>
      </c>
      <c r="H133" s="17">
        <f t="shared" si="10"/>
        <v>731.66056470000001</v>
      </c>
    </row>
    <row r="134" spans="1:8" x14ac:dyDescent="0.2">
      <c r="A134" s="241">
        <f t="shared" si="8"/>
        <v>14</v>
      </c>
      <c r="B134" s="231"/>
      <c r="C134" s="20" t="s">
        <v>215</v>
      </c>
      <c r="D134" s="17">
        <f>(41.91)*(10.764)</f>
        <v>451.11923999999993</v>
      </c>
      <c r="E134" s="17">
        <f>(5.05*2.4+2.35*1.8+1.2*1.65)*(10.764)</f>
        <v>197.30412000000001</v>
      </c>
      <c r="F134" s="17">
        <f t="shared" si="9"/>
        <v>648.42336</v>
      </c>
      <c r="G134" s="17">
        <v>0</v>
      </c>
      <c r="H134" s="17">
        <f t="shared" si="10"/>
        <v>1005.0562080000001</v>
      </c>
    </row>
    <row r="135" spans="1:8" x14ac:dyDescent="0.2">
      <c r="A135" s="241">
        <f t="shared" si="8"/>
        <v>15</v>
      </c>
      <c r="B135" s="231"/>
      <c r="C135" s="20" t="s">
        <v>215</v>
      </c>
      <c r="D135" s="17">
        <f>(65.54)*(10.764)</f>
        <v>705.47256000000004</v>
      </c>
      <c r="E135" s="17">
        <f>(7.58*4.2)*(10.764)</f>
        <v>342.682704</v>
      </c>
      <c r="F135" s="17">
        <f t="shared" si="9"/>
        <v>819.70012800000006</v>
      </c>
      <c r="G135" s="17">
        <v>0</v>
      </c>
      <c r="H135" s="17">
        <f t="shared" si="10"/>
        <v>1270.5351984000001</v>
      </c>
    </row>
    <row r="136" spans="1:8" hidden="1" x14ac:dyDescent="0.2">
      <c r="A136" s="143" t="s">
        <v>207</v>
      </c>
      <c r="B136" s="143"/>
      <c r="C136" s="143"/>
      <c r="D136" s="143"/>
      <c r="E136" s="143"/>
      <c r="F136" s="143"/>
      <c r="G136" s="143"/>
      <c r="H136" s="143"/>
    </row>
    <row r="137" spans="1:8" hidden="1" x14ac:dyDescent="0.2">
      <c r="A137" s="241">
        <v>1</v>
      </c>
      <c r="B137" s="231"/>
      <c r="C137" s="20" t="s">
        <v>215</v>
      </c>
      <c r="D137" s="20"/>
      <c r="E137" s="16"/>
      <c r="F137" s="17">
        <f>D137+(IF(E137&lt;201,E137,IF(E137&lt;301,E137/2,E137/3)))</f>
        <v>0</v>
      </c>
      <c r="G137" s="17">
        <v>0</v>
      </c>
      <c r="H137" s="19">
        <f t="shared" ref="H137:H148" si="11">F137*(($H$116)+1)+(IF(G137&lt;101,G137,IF(G137&lt;201,G137/2,IF(G137&lt;=301,G137/3,G137/4))))</f>
        <v>0</v>
      </c>
    </row>
    <row r="138" spans="1:8" hidden="1" x14ac:dyDescent="0.2">
      <c r="A138" s="241">
        <f>A137+1</f>
        <v>2</v>
      </c>
      <c r="B138" s="231"/>
      <c r="C138" s="20" t="s">
        <v>215</v>
      </c>
      <c r="D138" s="20"/>
      <c r="E138" s="16"/>
      <c r="F138" s="17">
        <f t="shared" ref="F138:F148" si="12">D138+(IF(E138&lt;201,E138,IF(E138&lt;301,E138/2,E138/3)))</f>
        <v>0</v>
      </c>
      <c r="G138" s="17">
        <v>0</v>
      </c>
      <c r="H138" s="20">
        <f t="shared" si="11"/>
        <v>0</v>
      </c>
    </row>
    <row r="139" spans="1:8" hidden="1" x14ac:dyDescent="0.2">
      <c r="A139" s="241">
        <f t="shared" ref="A139:A148" si="13">A138+1</f>
        <v>3</v>
      </c>
      <c r="B139" s="231"/>
      <c r="C139" s="20" t="s">
        <v>215</v>
      </c>
      <c r="D139" s="20"/>
      <c r="E139" s="16"/>
      <c r="F139" s="17">
        <f t="shared" si="12"/>
        <v>0</v>
      </c>
      <c r="G139" s="17">
        <v>0</v>
      </c>
      <c r="H139" s="20">
        <f t="shared" si="11"/>
        <v>0</v>
      </c>
    </row>
    <row r="140" spans="1:8" hidden="1" x14ac:dyDescent="0.2">
      <c r="A140" s="241">
        <f t="shared" si="13"/>
        <v>4</v>
      </c>
      <c r="B140" s="231"/>
      <c r="C140" s="20" t="s">
        <v>215</v>
      </c>
      <c r="D140" s="20"/>
      <c r="E140" s="16"/>
      <c r="F140" s="17">
        <f t="shared" si="12"/>
        <v>0</v>
      </c>
      <c r="G140" s="17">
        <v>0</v>
      </c>
      <c r="H140" s="20">
        <f t="shared" si="11"/>
        <v>0</v>
      </c>
    </row>
    <row r="141" spans="1:8" hidden="1" x14ac:dyDescent="0.2">
      <c r="A141" s="241">
        <f t="shared" si="13"/>
        <v>5</v>
      </c>
      <c r="B141" s="231"/>
      <c r="C141" s="20" t="s">
        <v>215</v>
      </c>
      <c r="D141" s="20"/>
      <c r="E141" s="16"/>
      <c r="F141" s="17">
        <f t="shared" si="12"/>
        <v>0</v>
      </c>
      <c r="G141" s="17">
        <v>0</v>
      </c>
      <c r="H141" s="20">
        <f t="shared" si="11"/>
        <v>0</v>
      </c>
    </row>
    <row r="142" spans="1:8" hidden="1" x14ac:dyDescent="0.2">
      <c r="A142" s="241">
        <f t="shared" si="13"/>
        <v>6</v>
      </c>
      <c r="B142" s="231"/>
      <c r="C142" s="20" t="s">
        <v>215</v>
      </c>
      <c r="D142" s="20"/>
      <c r="E142" s="16"/>
      <c r="F142" s="17">
        <f t="shared" si="12"/>
        <v>0</v>
      </c>
      <c r="G142" s="17">
        <v>0</v>
      </c>
      <c r="H142" s="20">
        <f t="shared" si="11"/>
        <v>0</v>
      </c>
    </row>
    <row r="143" spans="1:8" hidden="1" x14ac:dyDescent="0.2">
      <c r="A143" s="241">
        <f t="shared" si="13"/>
        <v>7</v>
      </c>
      <c r="B143" s="231"/>
      <c r="C143" s="20" t="s">
        <v>215</v>
      </c>
      <c r="D143" s="20"/>
      <c r="E143" s="16"/>
      <c r="F143" s="17">
        <f t="shared" si="12"/>
        <v>0</v>
      </c>
      <c r="G143" s="17">
        <v>0</v>
      </c>
      <c r="H143" s="20">
        <f t="shared" si="11"/>
        <v>0</v>
      </c>
    </row>
    <row r="144" spans="1:8" hidden="1" x14ac:dyDescent="0.2">
      <c r="A144" s="241">
        <f t="shared" si="13"/>
        <v>8</v>
      </c>
      <c r="B144" s="231"/>
      <c r="C144" s="20" t="s">
        <v>215</v>
      </c>
      <c r="D144" s="20"/>
      <c r="E144" s="16"/>
      <c r="F144" s="17">
        <f t="shared" si="12"/>
        <v>0</v>
      </c>
      <c r="G144" s="17">
        <v>0</v>
      </c>
      <c r="H144" s="20">
        <f t="shared" si="11"/>
        <v>0</v>
      </c>
    </row>
    <row r="145" spans="1:8" hidden="1" x14ac:dyDescent="0.2">
      <c r="A145" s="241">
        <f t="shared" si="13"/>
        <v>9</v>
      </c>
      <c r="B145" s="231"/>
      <c r="C145" s="20" t="s">
        <v>215</v>
      </c>
      <c r="D145" s="20"/>
      <c r="E145" s="16"/>
      <c r="F145" s="17">
        <f t="shared" si="12"/>
        <v>0</v>
      </c>
      <c r="G145" s="17">
        <v>0</v>
      </c>
      <c r="H145" s="20">
        <f t="shared" si="11"/>
        <v>0</v>
      </c>
    </row>
    <row r="146" spans="1:8" hidden="1" x14ac:dyDescent="0.2">
      <c r="A146" s="241">
        <f t="shared" si="13"/>
        <v>10</v>
      </c>
      <c r="B146" s="231"/>
      <c r="C146" s="20" t="s">
        <v>215</v>
      </c>
      <c r="D146" s="20"/>
      <c r="E146" s="16"/>
      <c r="F146" s="17">
        <f t="shared" si="12"/>
        <v>0</v>
      </c>
      <c r="G146" s="17">
        <v>0</v>
      </c>
      <c r="H146" s="20">
        <f t="shared" si="11"/>
        <v>0</v>
      </c>
    </row>
    <row r="147" spans="1:8" hidden="1" x14ac:dyDescent="0.2">
      <c r="A147" s="241">
        <f t="shared" si="13"/>
        <v>11</v>
      </c>
      <c r="B147" s="231"/>
      <c r="C147" s="20" t="s">
        <v>215</v>
      </c>
      <c r="D147" s="20"/>
      <c r="E147" s="16"/>
      <c r="F147" s="17">
        <f t="shared" si="12"/>
        <v>0</v>
      </c>
      <c r="G147" s="17">
        <v>0</v>
      </c>
      <c r="H147" s="20">
        <f t="shared" si="11"/>
        <v>0</v>
      </c>
    </row>
    <row r="148" spans="1:8" hidden="1" x14ac:dyDescent="0.2">
      <c r="A148" s="241">
        <f t="shared" si="13"/>
        <v>12</v>
      </c>
      <c r="B148" s="231"/>
      <c r="C148" s="20" t="s">
        <v>215</v>
      </c>
      <c r="D148" s="20"/>
      <c r="E148" s="16"/>
      <c r="F148" s="17">
        <f t="shared" si="12"/>
        <v>0</v>
      </c>
      <c r="G148" s="17">
        <v>0</v>
      </c>
      <c r="H148" s="20">
        <f t="shared" si="11"/>
        <v>0</v>
      </c>
    </row>
    <row r="149" spans="1:8" x14ac:dyDescent="0.2">
      <c r="A149" s="241"/>
      <c r="B149" s="246"/>
      <c r="C149" s="246"/>
      <c r="D149" s="246"/>
      <c r="E149" s="246"/>
      <c r="F149" s="246"/>
      <c r="G149" s="246"/>
      <c r="H149" s="231"/>
    </row>
    <row r="150" spans="1:8" ht="38.25" x14ac:dyDescent="0.2">
      <c r="A150" s="237" t="s">
        <v>208</v>
      </c>
      <c r="B150" s="239" t="s">
        <v>209</v>
      </c>
      <c r="C150" s="239" t="s">
        <v>301</v>
      </c>
      <c r="D150" s="239" t="s">
        <v>210</v>
      </c>
      <c r="E150" s="239" t="s">
        <v>211</v>
      </c>
      <c r="F150" s="237" t="s">
        <v>212</v>
      </c>
      <c r="G150" s="75" t="s">
        <v>213</v>
      </c>
      <c r="H150" s="73" t="s">
        <v>142</v>
      </c>
    </row>
    <row r="151" spans="1:8" x14ac:dyDescent="0.2">
      <c r="A151" s="238"/>
      <c r="B151" s="240"/>
      <c r="C151" s="240"/>
      <c r="D151" s="240"/>
      <c r="E151" s="240"/>
      <c r="F151" s="238"/>
      <c r="G151" s="74"/>
      <c r="H151" s="85">
        <v>0.5</v>
      </c>
    </row>
    <row r="152" spans="1:8" x14ac:dyDescent="0.2">
      <c r="A152" s="143" t="s">
        <v>279</v>
      </c>
      <c r="B152" s="143"/>
      <c r="C152" s="143"/>
      <c r="D152" s="143"/>
      <c r="E152" s="143"/>
      <c r="F152" s="143"/>
      <c r="G152" s="143"/>
      <c r="H152" s="143"/>
    </row>
    <row r="153" spans="1:8" x14ac:dyDescent="0.2">
      <c r="A153" s="235" t="s">
        <v>278</v>
      </c>
      <c r="B153" s="247"/>
      <c r="C153" s="247"/>
      <c r="D153" s="247"/>
      <c r="E153" s="247"/>
      <c r="F153" s="247"/>
      <c r="G153" s="247"/>
      <c r="H153" s="236"/>
    </row>
    <row r="154" spans="1:8" x14ac:dyDescent="0.2">
      <c r="A154" s="235" t="s">
        <v>280</v>
      </c>
      <c r="B154" s="247"/>
      <c r="C154" s="247"/>
      <c r="D154" s="247"/>
      <c r="E154" s="247"/>
      <c r="F154" s="247"/>
      <c r="G154" s="247"/>
      <c r="H154" s="236"/>
    </row>
    <row r="155" spans="1:8" ht="27.75" customHeight="1" x14ac:dyDescent="0.2">
      <c r="A155" s="235" t="s">
        <v>281</v>
      </c>
      <c r="B155" s="247"/>
      <c r="C155" s="247"/>
      <c r="D155" s="247"/>
      <c r="E155" s="247"/>
      <c r="F155" s="247"/>
      <c r="G155" s="247"/>
      <c r="H155" s="236"/>
    </row>
    <row r="156" spans="1:8" x14ac:dyDescent="0.2">
      <c r="A156" s="241">
        <v>1</v>
      </c>
      <c r="B156" s="231"/>
      <c r="C156" s="20" t="s">
        <v>282</v>
      </c>
      <c r="D156" s="258" t="s">
        <v>284</v>
      </c>
      <c r="E156" s="259"/>
      <c r="F156" s="259"/>
      <c r="G156" s="259"/>
      <c r="H156" s="260"/>
    </row>
    <row r="157" spans="1:8" x14ac:dyDescent="0.2">
      <c r="A157" s="241">
        <f>A156+1</f>
        <v>2</v>
      </c>
      <c r="B157" s="231"/>
      <c r="C157" s="20" t="s">
        <v>282</v>
      </c>
      <c r="D157" s="261"/>
      <c r="E157" s="262"/>
      <c r="F157" s="262"/>
      <c r="G157" s="262"/>
      <c r="H157" s="263"/>
    </row>
    <row r="158" spans="1:8" x14ac:dyDescent="0.2">
      <c r="A158" s="241">
        <f t="shared" ref="A158:A159" si="14">A157+1</f>
        <v>3</v>
      </c>
      <c r="B158" s="231"/>
      <c r="C158" s="20" t="s">
        <v>282</v>
      </c>
      <c r="D158" s="241" t="s">
        <v>285</v>
      </c>
      <c r="E158" s="246"/>
      <c r="F158" s="246"/>
      <c r="G158" s="246"/>
      <c r="H158" s="231"/>
    </row>
    <row r="159" spans="1:8" x14ac:dyDescent="0.2">
      <c r="A159" s="241">
        <f t="shared" si="14"/>
        <v>4</v>
      </c>
      <c r="B159" s="231"/>
      <c r="C159" s="20" t="s">
        <v>282</v>
      </c>
      <c r="D159" s="241" t="s">
        <v>286</v>
      </c>
      <c r="E159" s="246"/>
      <c r="F159" s="246"/>
      <c r="G159" s="246"/>
      <c r="H159" s="231"/>
    </row>
    <row r="160" spans="1:8" x14ac:dyDescent="0.2">
      <c r="A160" s="241">
        <f>A159+1</f>
        <v>5</v>
      </c>
      <c r="B160" s="231"/>
      <c r="C160" s="20" t="s">
        <v>282</v>
      </c>
      <c r="D160" s="241" t="s">
        <v>283</v>
      </c>
      <c r="E160" s="246"/>
      <c r="F160" s="246"/>
      <c r="G160" s="246"/>
      <c r="H160" s="231"/>
    </row>
    <row r="161" spans="1:11" x14ac:dyDescent="0.2">
      <c r="A161" s="241">
        <f>A160+1</f>
        <v>6</v>
      </c>
      <c r="B161" s="231"/>
      <c r="C161" s="20" t="s">
        <v>282</v>
      </c>
      <c r="D161" s="241" t="s">
        <v>287</v>
      </c>
      <c r="E161" s="246"/>
      <c r="F161" s="246"/>
      <c r="G161" s="246"/>
      <c r="H161" s="231"/>
    </row>
    <row r="162" spans="1:11" x14ac:dyDescent="0.2">
      <c r="A162" s="241">
        <f>A161+1</f>
        <v>7</v>
      </c>
      <c r="B162" s="231"/>
      <c r="C162" s="20" t="s">
        <v>55</v>
      </c>
      <c r="D162" s="17">
        <f>(35.74)*(10.764)</f>
        <v>384.70535999999998</v>
      </c>
      <c r="E162" s="20">
        <v>0</v>
      </c>
      <c r="F162" s="17">
        <f>D162+E162</f>
        <v>384.70535999999998</v>
      </c>
      <c r="G162" s="17">
        <v>0</v>
      </c>
      <c r="H162" s="17">
        <f>F162*(($H$151)+1)+(IF(G162&lt;101,G162,IF(G162&lt;201,G162/2,IF(G162&lt;=301,G162/3,G162/4))))</f>
        <v>577.05804000000001</v>
      </c>
      <c r="I162" s="81">
        <f>2.93*3.95+1.9*2.38+3.18*2.9+2.05*1.22+2.05*1.2+0.9*3.2</f>
        <v>33.158500000000004</v>
      </c>
    </row>
    <row r="163" spans="1:11" x14ac:dyDescent="0.2">
      <c r="A163" s="241">
        <f>A162+1</f>
        <v>8</v>
      </c>
      <c r="B163" s="231"/>
      <c r="C163" s="20" t="s">
        <v>288</v>
      </c>
      <c r="D163" s="17">
        <f>(45.34)*(10.764)</f>
        <v>488.03976</v>
      </c>
      <c r="E163" s="20">
        <v>0</v>
      </c>
      <c r="F163" s="17">
        <f>D163+E163</f>
        <v>488.03976</v>
      </c>
      <c r="G163" s="17">
        <v>0</v>
      </c>
      <c r="H163" s="17">
        <f>F163*(($H$151)+1)+(IF(G163&lt;101,G163,IF(G163&lt;201,G163/2,IF(G163&lt;=301,G163/3,G163/4))))</f>
        <v>732.05963999999994</v>
      </c>
      <c r="I163" s="81">
        <f>2.98*4.08+2.48*2.35+3.15*2.38+3.18*2.9+0.9*1.63+1.1*1.2+2.05*1.22+2.05*1.2</f>
        <v>42.453399999999995</v>
      </c>
    </row>
    <row r="164" spans="1:11" x14ac:dyDescent="0.2">
      <c r="A164" s="235" t="s">
        <v>289</v>
      </c>
      <c r="B164" s="247"/>
      <c r="C164" s="247"/>
      <c r="D164" s="247"/>
      <c r="E164" s="247"/>
      <c r="F164" s="247"/>
      <c r="G164" s="247"/>
      <c r="H164" s="236"/>
    </row>
    <row r="165" spans="1:11" x14ac:dyDescent="0.2">
      <c r="A165" s="241">
        <v>1</v>
      </c>
      <c r="B165" s="231"/>
      <c r="C165" s="20" t="s">
        <v>55</v>
      </c>
      <c r="D165" s="17">
        <f>(28.08)*(10.764)</f>
        <v>302.25311999999997</v>
      </c>
      <c r="E165" s="20">
        <v>0</v>
      </c>
      <c r="F165" s="17">
        <f>D165+E165</f>
        <v>302.25311999999997</v>
      </c>
      <c r="G165" s="17">
        <v>0</v>
      </c>
      <c r="H165" s="17">
        <f>F165*(($H$151)+1)+(IF(G165&lt;101,G165,IF(G165&lt;201,G165/2,IF(G165&lt;=301,G165/3,G165/4))))</f>
        <v>453.37967999999995</v>
      </c>
      <c r="K165" s="6">
        <f>10000*H165</f>
        <v>4533796.8</v>
      </c>
    </row>
    <row r="166" spans="1:11" x14ac:dyDescent="0.2">
      <c r="A166" s="241">
        <f>A165+1</f>
        <v>2</v>
      </c>
      <c r="B166" s="231"/>
      <c r="C166" s="20" t="s">
        <v>55</v>
      </c>
      <c r="D166" s="17">
        <f>(28.08)*(10.764)</f>
        <v>302.25311999999997</v>
      </c>
      <c r="E166" s="20">
        <v>0</v>
      </c>
      <c r="F166" s="17">
        <f t="shared" ref="F166:F172" si="15">D166+E166</f>
        <v>302.25311999999997</v>
      </c>
      <c r="G166" s="17">
        <v>0</v>
      </c>
      <c r="H166" s="17">
        <f t="shared" ref="H166:H172" si="16">F166*(($H$151)+1)+(IF(G166&lt;101,G166,IF(G166&lt;201,G166/2,IF(G166&lt;=301,G166/3,G166/4))))</f>
        <v>453.37967999999995</v>
      </c>
      <c r="K166" s="6">
        <f t="shared" ref="K166:K172" si="17">10000*H166</f>
        <v>4533796.8</v>
      </c>
    </row>
    <row r="167" spans="1:11" x14ac:dyDescent="0.2">
      <c r="A167" s="241">
        <f t="shared" ref="A167:A172" si="18">A166+1</f>
        <v>3</v>
      </c>
      <c r="B167" s="231"/>
      <c r="C167" s="20" t="s">
        <v>288</v>
      </c>
      <c r="D167" s="17">
        <f>(45.38)*(10.764)</f>
        <v>488.47032000000002</v>
      </c>
      <c r="E167" s="20">
        <v>0</v>
      </c>
      <c r="F167" s="17">
        <f t="shared" si="15"/>
        <v>488.47032000000002</v>
      </c>
      <c r="G167" s="17">
        <v>0</v>
      </c>
      <c r="H167" s="17">
        <f t="shared" si="16"/>
        <v>732.70548000000008</v>
      </c>
      <c r="K167" s="6">
        <f t="shared" si="17"/>
        <v>7327054.8000000007</v>
      </c>
    </row>
    <row r="168" spans="1:11" x14ac:dyDescent="0.2">
      <c r="A168" s="241">
        <f t="shared" si="18"/>
        <v>4</v>
      </c>
      <c r="B168" s="231"/>
      <c r="C168" s="20" t="s">
        <v>288</v>
      </c>
      <c r="D168" s="17">
        <f>(45.38)*(10.764)</f>
        <v>488.47032000000002</v>
      </c>
      <c r="E168" s="20">
        <v>0</v>
      </c>
      <c r="F168" s="17">
        <f t="shared" si="15"/>
        <v>488.47032000000002</v>
      </c>
      <c r="G168" s="17">
        <v>0</v>
      </c>
      <c r="H168" s="17">
        <f t="shared" si="16"/>
        <v>732.70548000000008</v>
      </c>
      <c r="I168" s="81">
        <f>3*4.02+2.6*2.33+3.15*2.47+3.15*2.9+2*1.25+2*1.375+1.05*1.42+0.93*1.32</f>
        <v>43.002099999999999</v>
      </c>
      <c r="K168" s="6">
        <f t="shared" si="17"/>
        <v>7327054.8000000007</v>
      </c>
    </row>
    <row r="169" spans="1:11" x14ac:dyDescent="0.2">
      <c r="A169" s="241">
        <f t="shared" si="18"/>
        <v>5</v>
      </c>
      <c r="B169" s="231"/>
      <c r="C169" s="20" t="s">
        <v>55</v>
      </c>
      <c r="D169" s="17">
        <f>(28.08)*(10.764)</f>
        <v>302.25311999999997</v>
      </c>
      <c r="E169" s="20">
        <v>0</v>
      </c>
      <c r="F169" s="17">
        <f t="shared" si="15"/>
        <v>302.25311999999997</v>
      </c>
      <c r="G169" s="17">
        <v>0</v>
      </c>
      <c r="H169" s="17">
        <f t="shared" si="16"/>
        <v>453.37967999999995</v>
      </c>
      <c r="K169" s="6">
        <f t="shared" si="17"/>
        <v>4533796.8</v>
      </c>
    </row>
    <row r="170" spans="1:11" x14ac:dyDescent="0.2">
      <c r="A170" s="241">
        <f t="shared" si="18"/>
        <v>6</v>
      </c>
      <c r="B170" s="231"/>
      <c r="C170" s="20" t="s">
        <v>55</v>
      </c>
      <c r="D170" s="17">
        <f>(28.08)*(10.764)</f>
        <v>302.25311999999997</v>
      </c>
      <c r="E170" s="20">
        <v>0</v>
      </c>
      <c r="F170" s="17">
        <f t="shared" si="15"/>
        <v>302.25311999999997</v>
      </c>
      <c r="G170" s="17">
        <v>0</v>
      </c>
      <c r="H170" s="17">
        <f t="shared" si="16"/>
        <v>453.37967999999995</v>
      </c>
      <c r="K170" s="6">
        <f t="shared" si="17"/>
        <v>4533796.8</v>
      </c>
    </row>
    <row r="171" spans="1:11" x14ac:dyDescent="0.2">
      <c r="A171" s="241">
        <f t="shared" si="18"/>
        <v>7</v>
      </c>
      <c r="B171" s="231"/>
      <c r="C171" s="20" t="s">
        <v>55</v>
      </c>
      <c r="D171" s="17">
        <f>(35.74)*(10.764)</f>
        <v>384.70535999999998</v>
      </c>
      <c r="E171" s="20">
        <v>0</v>
      </c>
      <c r="F171" s="17">
        <f t="shared" si="15"/>
        <v>384.70535999999998</v>
      </c>
      <c r="G171" s="17">
        <v>0</v>
      </c>
      <c r="H171" s="17">
        <f t="shared" si="16"/>
        <v>577.05804000000001</v>
      </c>
      <c r="K171" s="6">
        <f t="shared" si="17"/>
        <v>5770580.4000000004</v>
      </c>
    </row>
    <row r="172" spans="1:11" x14ac:dyDescent="0.2">
      <c r="A172" s="241">
        <f t="shared" si="18"/>
        <v>8</v>
      </c>
      <c r="B172" s="231"/>
      <c r="C172" s="20" t="s">
        <v>288</v>
      </c>
      <c r="D172" s="17">
        <f>(45.34)*(10.764)</f>
        <v>488.03976</v>
      </c>
      <c r="E172" s="20">
        <v>0</v>
      </c>
      <c r="F172" s="17">
        <f t="shared" si="15"/>
        <v>488.03976</v>
      </c>
      <c r="G172" s="17">
        <v>0</v>
      </c>
      <c r="H172" s="17">
        <f t="shared" si="16"/>
        <v>732.05963999999994</v>
      </c>
      <c r="K172" s="6">
        <f t="shared" si="17"/>
        <v>7320596.3999999994</v>
      </c>
    </row>
    <row r="173" spans="1:11" x14ac:dyDescent="0.2">
      <c r="A173" s="235" t="s">
        <v>290</v>
      </c>
      <c r="B173" s="247"/>
      <c r="C173" s="247"/>
      <c r="D173" s="247"/>
      <c r="E173" s="247"/>
      <c r="F173" s="247"/>
      <c r="G173" s="247"/>
      <c r="H173" s="236"/>
    </row>
    <row r="174" spans="1:11" x14ac:dyDescent="0.2">
      <c r="A174" s="241">
        <v>1</v>
      </c>
      <c r="B174" s="231"/>
      <c r="C174" s="20" t="s">
        <v>55</v>
      </c>
      <c r="D174" s="17">
        <f>(28.08)*(10.764)</f>
        <v>302.25311999999997</v>
      </c>
      <c r="E174" s="20">
        <v>0</v>
      </c>
      <c r="F174" s="17">
        <f>D174+E174</f>
        <v>302.25311999999997</v>
      </c>
      <c r="G174" s="17">
        <v>0</v>
      </c>
      <c r="H174" s="17">
        <f>F174*(($H$151)+1)+(IF(G174&lt;101,G174,IF(G174&lt;201,G174/2,IF(G174&lt;=301,G174/3,G174/4))))</f>
        <v>453.37967999999995</v>
      </c>
    </row>
    <row r="175" spans="1:11" x14ac:dyDescent="0.2">
      <c r="A175" s="241">
        <f>A174+1</f>
        <v>2</v>
      </c>
      <c r="B175" s="231"/>
      <c r="C175" s="20" t="s">
        <v>55</v>
      </c>
      <c r="D175" s="17">
        <f>(28.08)*(10.764)</f>
        <v>302.25311999999997</v>
      </c>
      <c r="E175" s="20">
        <v>0</v>
      </c>
      <c r="F175" s="17">
        <f t="shared" ref="F175:F181" si="19">D175+E175</f>
        <v>302.25311999999997</v>
      </c>
      <c r="G175" s="17">
        <v>0</v>
      </c>
      <c r="H175" s="17">
        <f t="shared" ref="H175:H181" si="20">F175*(($H$151)+1)+(IF(G175&lt;101,G175,IF(G175&lt;201,G175/2,IF(G175&lt;=301,G175/3,G175/4))))</f>
        <v>453.37967999999995</v>
      </c>
    </row>
    <row r="176" spans="1:11" x14ac:dyDescent="0.2">
      <c r="A176" s="241">
        <f t="shared" ref="A176:A181" si="21">A175+1</f>
        <v>3</v>
      </c>
      <c r="B176" s="231"/>
      <c r="C176" s="20" t="s">
        <v>288</v>
      </c>
      <c r="D176" s="17">
        <f>(45.38)*(10.764)</f>
        <v>488.47032000000002</v>
      </c>
      <c r="E176" s="20">
        <v>0</v>
      </c>
      <c r="F176" s="17">
        <f t="shared" si="19"/>
        <v>488.47032000000002</v>
      </c>
      <c r="G176" s="17">
        <v>0</v>
      </c>
      <c r="H176" s="17">
        <f t="shared" si="20"/>
        <v>732.70548000000008</v>
      </c>
    </row>
    <row r="177" spans="1:9" x14ac:dyDescent="0.2">
      <c r="A177" s="241">
        <f t="shared" si="21"/>
        <v>4</v>
      </c>
      <c r="B177" s="231"/>
      <c r="C177" s="20" t="s">
        <v>288</v>
      </c>
      <c r="D177" s="17">
        <f>(45.38)*(10.764)</f>
        <v>488.47032000000002</v>
      </c>
      <c r="E177" s="20">
        <v>0</v>
      </c>
      <c r="F177" s="17">
        <f t="shared" si="19"/>
        <v>488.47032000000002</v>
      </c>
      <c r="G177" s="17">
        <v>0</v>
      </c>
      <c r="H177" s="17">
        <f t="shared" si="20"/>
        <v>732.70548000000008</v>
      </c>
      <c r="I177" s="81"/>
    </row>
    <row r="178" spans="1:9" x14ac:dyDescent="0.2">
      <c r="A178" s="241">
        <f t="shared" si="21"/>
        <v>5</v>
      </c>
      <c r="B178" s="231"/>
      <c r="C178" s="20" t="s">
        <v>55</v>
      </c>
      <c r="D178" s="17">
        <f>(28.08)*(10.764)</f>
        <v>302.25311999999997</v>
      </c>
      <c r="E178" s="20">
        <v>0</v>
      </c>
      <c r="F178" s="17">
        <f t="shared" si="19"/>
        <v>302.25311999999997</v>
      </c>
      <c r="G178" s="17">
        <v>0</v>
      </c>
      <c r="H178" s="17">
        <f t="shared" si="20"/>
        <v>453.37967999999995</v>
      </c>
    </row>
    <row r="179" spans="1:9" x14ac:dyDescent="0.2">
      <c r="A179" s="241">
        <f t="shared" si="21"/>
        <v>6</v>
      </c>
      <c r="B179" s="231"/>
      <c r="C179" s="20" t="s">
        <v>55</v>
      </c>
      <c r="D179" s="17">
        <f>(28.08)*(10.764)</f>
        <v>302.25311999999997</v>
      </c>
      <c r="E179" s="20">
        <v>0</v>
      </c>
      <c r="F179" s="17">
        <f t="shared" si="19"/>
        <v>302.25311999999997</v>
      </c>
      <c r="G179" s="17">
        <v>0</v>
      </c>
      <c r="H179" s="17">
        <f t="shared" si="20"/>
        <v>453.37967999999995</v>
      </c>
    </row>
    <row r="180" spans="1:9" x14ac:dyDescent="0.2">
      <c r="A180" s="241">
        <f t="shared" si="21"/>
        <v>7</v>
      </c>
      <c r="B180" s="231"/>
      <c r="C180" s="20" t="s">
        <v>282</v>
      </c>
      <c r="D180" s="264" t="s">
        <v>291</v>
      </c>
      <c r="E180" s="265"/>
      <c r="F180" s="265"/>
      <c r="G180" s="265"/>
      <c r="H180" s="266"/>
    </row>
    <row r="181" spans="1:9" x14ac:dyDescent="0.2">
      <c r="A181" s="241">
        <f t="shared" si="21"/>
        <v>8</v>
      </c>
      <c r="B181" s="231"/>
      <c r="C181" s="20" t="s">
        <v>288</v>
      </c>
      <c r="D181" s="17">
        <f>(45.34)*(10.764)</f>
        <v>488.03976</v>
      </c>
      <c r="E181" s="20">
        <v>0</v>
      </c>
      <c r="F181" s="17">
        <f t="shared" si="19"/>
        <v>488.03976</v>
      </c>
      <c r="G181" s="17">
        <v>0</v>
      </c>
      <c r="H181" s="17">
        <f t="shared" si="20"/>
        <v>732.05963999999994</v>
      </c>
    </row>
    <row r="182" spans="1:9" x14ac:dyDescent="0.2">
      <c r="A182" s="143" t="s">
        <v>274</v>
      </c>
      <c r="B182" s="143"/>
      <c r="C182" s="143"/>
      <c r="D182" s="143"/>
      <c r="E182" s="143"/>
      <c r="F182" s="143"/>
      <c r="G182" s="143"/>
      <c r="H182" s="143"/>
    </row>
    <row r="183" spans="1:9" x14ac:dyDescent="0.2">
      <c r="A183" s="143" t="s">
        <v>275</v>
      </c>
      <c r="B183" s="143"/>
      <c r="C183" s="143"/>
      <c r="D183" s="143"/>
      <c r="E183" s="143"/>
      <c r="F183" s="143"/>
      <c r="G183" s="143"/>
      <c r="H183" s="143"/>
    </row>
    <row r="184" spans="1:9" ht="24.75" customHeight="1" x14ac:dyDescent="0.2">
      <c r="A184" s="235" t="s">
        <v>293</v>
      </c>
      <c r="B184" s="247"/>
      <c r="C184" s="247"/>
      <c r="D184" s="247"/>
      <c r="E184" s="247"/>
      <c r="F184" s="247"/>
      <c r="G184" s="247"/>
      <c r="H184" s="236"/>
    </row>
    <row r="185" spans="1:9" x14ac:dyDescent="0.2">
      <c r="A185" s="241">
        <v>1</v>
      </c>
      <c r="B185" s="231"/>
      <c r="C185" s="20" t="s">
        <v>282</v>
      </c>
      <c r="D185" s="241" t="s">
        <v>294</v>
      </c>
      <c r="E185" s="246"/>
      <c r="F185" s="246"/>
      <c r="G185" s="246"/>
      <c r="H185" s="231"/>
    </row>
    <row r="186" spans="1:9" x14ac:dyDescent="0.2">
      <c r="A186" s="241">
        <f>A185+1</f>
        <v>2</v>
      </c>
      <c r="B186" s="231"/>
      <c r="C186" s="20" t="s">
        <v>282</v>
      </c>
      <c r="D186" s="241" t="s">
        <v>287</v>
      </c>
      <c r="E186" s="246"/>
      <c r="F186" s="246"/>
      <c r="G186" s="246"/>
      <c r="H186" s="231"/>
    </row>
    <row r="187" spans="1:9" x14ac:dyDescent="0.2">
      <c r="A187" s="241">
        <f t="shared" ref="A187:A192" si="22">A186+1</f>
        <v>3</v>
      </c>
      <c r="B187" s="231"/>
      <c r="C187" s="20" t="s">
        <v>282</v>
      </c>
      <c r="D187" s="258" t="s">
        <v>295</v>
      </c>
      <c r="E187" s="259"/>
      <c r="F187" s="259"/>
      <c r="G187" s="259"/>
      <c r="H187" s="260"/>
    </row>
    <row r="188" spans="1:9" x14ac:dyDescent="0.2">
      <c r="A188" s="241">
        <f t="shared" si="22"/>
        <v>4</v>
      </c>
      <c r="B188" s="231"/>
      <c r="C188" s="20" t="s">
        <v>282</v>
      </c>
      <c r="D188" s="261"/>
      <c r="E188" s="262"/>
      <c r="F188" s="262"/>
      <c r="G188" s="262"/>
      <c r="H188" s="263"/>
    </row>
    <row r="189" spans="1:9" x14ac:dyDescent="0.2">
      <c r="A189" s="241">
        <f t="shared" si="22"/>
        <v>5</v>
      </c>
      <c r="B189" s="231"/>
      <c r="C189" s="20" t="s">
        <v>282</v>
      </c>
      <c r="D189" s="241" t="s">
        <v>283</v>
      </c>
      <c r="E189" s="246"/>
      <c r="F189" s="246"/>
      <c r="G189" s="246"/>
      <c r="H189" s="231"/>
    </row>
    <row r="190" spans="1:9" x14ac:dyDescent="0.2">
      <c r="A190" s="241">
        <f t="shared" si="22"/>
        <v>6</v>
      </c>
      <c r="B190" s="231"/>
      <c r="C190" s="20" t="s">
        <v>55</v>
      </c>
      <c r="D190" s="17">
        <f>(28.08)*(10.764)</f>
        <v>302.25311999999997</v>
      </c>
      <c r="E190" s="20">
        <v>0</v>
      </c>
      <c r="F190" s="17">
        <f t="shared" ref="F190:F192" si="23">D190+E190</f>
        <v>302.25311999999997</v>
      </c>
      <c r="G190" s="17">
        <v>0</v>
      </c>
      <c r="H190" s="17">
        <f t="shared" ref="H190:H192" si="24">F190*(($H$151)+1)+(IF(G190&lt;101,G190,IF(G190&lt;201,G190/2,IF(G190&lt;=301,G190/3,G190/4))))</f>
        <v>453.37967999999995</v>
      </c>
    </row>
    <row r="191" spans="1:9" x14ac:dyDescent="0.2">
      <c r="A191" s="241">
        <f t="shared" si="22"/>
        <v>7</v>
      </c>
      <c r="B191" s="231"/>
      <c r="C191" s="20" t="s">
        <v>55</v>
      </c>
      <c r="D191" s="17">
        <f>(35.93)*(10.764)</f>
        <v>386.75051999999999</v>
      </c>
      <c r="E191" s="20">
        <v>0</v>
      </c>
      <c r="F191" s="17">
        <f t="shared" si="23"/>
        <v>386.75051999999999</v>
      </c>
      <c r="G191" s="17">
        <v>0</v>
      </c>
      <c r="H191" s="17">
        <f t="shared" si="24"/>
        <v>580.12577999999996</v>
      </c>
    </row>
    <row r="192" spans="1:9" x14ac:dyDescent="0.2">
      <c r="A192" s="241">
        <f t="shared" si="22"/>
        <v>8</v>
      </c>
      <c r="B192" s="231"/>
      <c r="C192" s="20" t="s">
        <v>288</v>
      </c>
      <c r="D192" s="17">
        <f>(45.53)*(10.764)</f>
        <v>490.08491999999995</v>
      </c>
      <c r="E192" s="20">
        <v>0</v>
      </c>
      <c r="F192" s="17">
        <f t="shared" si="23"/>
        <v>490.08491999999995</v>
      </c>
      <c r="G192" s="17">
        <v>0</v>
      </c>
      <c r="H192" s="17">
        <f t="shared" si="24"/>
        <v>735.1273799999999</v>
      </c>
    </row>
    <row r="193" spans="1:11" x14ac:dyDescent="0.2">
      <c r="A193" s="235" t="s">
        <v>296</v>
      </c>
      <c r="B193" s="247"/>
      <c r="C193" s="247"/>
      <c r="D193" s="247"/>
      <c r="E193" s="247"/>
      <c r="F193" s="247"/>
      <c r="G193" s="247"/>
      <c r="H193" s="236"/>
    </row>
    <row r="194" spans="1:11" x14ac:dyDescent="0.2">
      <c r="A194" s="241">
        <v>1</v>
      </c>
      <c r="B194" s="231"/>
      <c r="C194" s="20" t="s">
        <v>55</v>
      </c>
      <c r="D194" s="17">
        <f>(28.08)*(10.764)</f>
        <v>302.25311999999997</v>
      </c>
      <c r="E194" s="20">
        <v>0</v>
      </c>
      <c r="F194" s="17">
        <f>D194+E194</f>
        <v>302.25311999999997</v>
      </c>
      <c r="G194" s="86">
        <v>0</v>
      </c>
      <c r="H194" s="17">
        <f>F194*(($H$151)+1)+(IF(G194&lt;101,G194,IF(G194&lt;201,G194/2,IF(G194&lt;=301,G194/3,G194/4))))</f>
        <v>453.37967999999995</v>
      </c>
    </row>
    <row r="195" spans="1:11" x14ac:dyDescent="0.2">
      <c r="A195" s="241">
        <f>A194+1</f>
        <v>2</v>
      </c>
      <c r="B195" s="231"/>
      <c r="C195" s="20" t="s">
        <v>55</v>
      </c>
      <c r="D195" s="17">
        <f>(28.08)*(10.764)</f>
        <v>302.25311999999997</v>
      </c>
      <c r="E195" s="20">
        <v>0</v>
      </c>
      <c r="F195" s="17">
        <f t="shared" ref="F195:F201" si="25">D195+E195</f>
        <v>302.25311999999997</v>
      </c>
      <c r="G195" s="86">
        <v>0</v>
      </c>
      <c r="H195" s="17">
        <f t="shared" ref="H195:H201" si="26">F195*(($H$151)+1)+(IF(G195&lt;101,G195,IF(G195&lt;201,G195/2,IF(G195&lt;=301,G195/3,G195/4))))</f>
        <v>453.37967999999995</v>
      </c>
    </row>
    <row r="196" spans="1:11" x14ac:dyDescent="0.2">
      <c r="A196" s="241">
        <f t="shared" ref="A196:A201" si="27">A195+1</f>
        <v>3</v>
      </c>
      <c r="B196" s="231"/>
      <c r="C196" s="20" t="s">
        <v>288</v>
      </c>
      <c r="D196" s="17">
        <f>(45.94)*(10.764)</f>
        <v>494.49815999999993</v>
      </c>
      <c r="E196" s="20">
        <v>0</v>
      </c>
      <c r="F196" s="17">
        <f t="shared" si="25"/>
        <v>494.49815999999993</v>
      </c>
      <c r="G196" s="17">
        <v>0</v>
      </c>
      <c r="H196" s="17">
        <f t="shared" si="26"/>
        <v>741.74723999999992</v>
      </c>
      <c r="J196" s="17">
        <f>(3*4.52+2.7+3.1+12.4*8.92)*(10.764)</f>
        <v>1398.9755520000001</v>
      </c>
    </row>
    <row r="197" spans="1:11" x14ac:dyDescent="0.2">
      <c r="A197" s="241">
        <f t="shared" si="27"/>
        <v>4</v>
      </c>
      <c r="B197" s="231"/>
      <c r="C197" s="20" t="s">
        <v>288</v>
      </c>
      <c r="D197" s="17">
        <f>(45.94)*(10.764)</f>
        <v>494.49815999999993</v>
      </c>
      <c r="E197" s="20">
        <v>0</v>
      </c>
      <c r="F197" s="17">
        <f t="shared" si="25"/>
        <v>494.49815999999993</v>
      </c>
      <c r="G197" s="17">
        <v>0</v>
      </c>
      <c r="H197" s="17">
        <f t="shared" si="26"/>
        <v>741.74723999999992</v>
      </c>
      <c r="J197" s="17">
        <f>(3*4.52)*(10.764)</f>
        <v>145.95983999999999</v>
      </c>
    </row>
    <row r="198" spans="1:11" x14ac:dyDescent="0.2">
      <c r="A198" s="241">
        <f t="shared" si="27"/>
        <v>5</v>
      </c>
      <c r="B198" s="231"/>
      <c r="C198" s="20" t="s">
        <v>55</v>
      </c>
      <c r="D198" s="17">
        <f>(28.08)*(10.764)</f>
        <v>302.25311999999997</v>
      </c>
      <c r="E198" s="20">
        <v>0</v>
      </c>
      <c r="F198" s="17">
        <f t="shared" si="25"/>
        <v>302.25311999999997</v>
      </c>
      <c r="G198" s="86">
        <v>0</v>
      </c>
      <c r="H198" s="17">
        <f t="shared" si="26"/>
        <v>453.37967999999995</v>
      </c>
      <c r="K198" s="17">
        <f>10.764</f>
        <v>10.763999999999999</v>
      </c>
    </row>
    <row r="199" spans="1:11" x14ac:dyDescent="0.2">
      <c r="A199" s="241">
        <f t="shared" si="27"/>
        <v>6</v>
      </c>
      <c r="B199" s="231"/>
      <c r="C199" s="20" t="s">
        <v>55</v>
      </c>
      <c r="D199" s="17">
        <f>(28.08)*(10.764)</f>
        <v>302.25311999999997</v>
      </c>
      <c r="E199" s="20">
        <v>0</v>
      </c>
      <c r="F199" s="17">
        <f t="shared" si="25"/>
        <v>302.25311999999997</v>
      </c>
      <c r="G199" s="86">
        <v>0</v>
      </c>
      <c r="H199" s="17">
        <f t="shared" si="26"/>
        <v>453.37967999999995</v>
      </c>
    </row>
    <row r="200" spans="1:11" x14ac:dyDescent="0.2">
      <c r="A200" s="241">
        <f t="shared" si="27"/>
        <v>7</v>
      </c>
      <c r="B200" s="231"/>
      <c r="C200" s="20" t="s">
        <v>55</v>
      </c>
      <c r="D200" s="17">
        <f>(35.93)*(10.764)</f>
        <v>386.75051999999999</v>
      </c>
      <c r="E200" s="20">
        <v>0</v>
      </c>
      <c r="F200" s="17">
        <f t="shared" si="25"/>
        <v>386.75051999999999</v>
      </c>
      <c r="G200" s="86">
        <v>0</v>
      </c>
      <c r="H200" s="17">
        <f t="shared" si="26"/>
        <v>580.12577999999996</v>
      </c>
    </row>
    <row r="201" spans="1:11" x14ac:dyDescent="0.2">
      <c r="A201" s="241">
        <f t="shared" si="27"/>
        <v>8</v>
      </c>
      <c r="B201" s="231"/>
      <c r="C201" s="20" t="s">
        <v>288</v>
      </c>
      <c r="D201" s="17">
        <f>(45.53)*(10.764)</f>
        <v>490.08491999999995</v>
      </c>
      <c r="E201" s="20">
        <v>0</v>
      </c>
      <c r="F201" s="17">
        <f t="shared" si="25"/>
        <v>490.08491999999995</v>
      </c>
      <c r="G201" s="86">
        <v>0</v>
      </c>
      <c r="H201" s="17">
        <f t="shared" si="26"/>
        <v>735.1273799999999</v>
      </c>
    </row>
    <row r="202" spans="1:11" x14ac:dyDescent="0.2">
      <c r="A202" s="235" t="s">
        <v>297</v>
      </c>
      <c r="B202" s="247"/>
      <c r="C202" s="247"/>
      <c r="D202" s="247"/>
      <c r="E202" s="247"/>
      <c r="F202" s="247"/>
      <c r="G202" s="247"/>
      <c r="H202" s="236"/>
    </row>
    <row r="203" spans="1:11" x14ac:dyDescent="0.2">
      <c r="A203" s="241">
        <v>1</v>
      </c>
      <c r="B203" s="231"/>
      <c r="C203" s="20" t="s">
        <v>55</v>
      </c>
      <c r="D203" s="17">
        <f>(28.08)*(10.764)</f>
        <v>302.25311999999997</v>
      </c>
      <c r="E203" s="20">
        <v>0</v>
      </c>
      <c r="F203" s="17">
        <f>D203+E203</f>
        <v>302.25311999999997</v>
      </c>
      <c r="G203" s="17">
        <v>0</v>
      </c>
      <c r="H203" s="17">
        <f>F203*(($H$151)+1)+(IF(G203&lt;101,G203,IF(G203&lt;201,G203/2,IF(G203&lt;=301,G203/3,G203/4))))</f>
        <v>453.37967999999995</v>
      </c>
      <c r="K203" s="6">
        <f>10000*H203</f>
        <v>4533796.8</v>
      </c>
    </row>
    <row r="204" spans="1:11" x14ac:dyDescent="0.2">
      <c r="A204" s="241">
        <f>A203+1</f>
        <v>2</v>
      </c>
      <c r="B204" s="231"/>
      <c r="C204" s="20" t="s">
        <v>55</v>
      </c>
      <c r="D204" s="17">
        <f>(28.08)*(10.764)</f>
        <v>302.25311999999997</v>
      </c>
      <c r="E204" s="20">
        <v>0</v>
      </c>
      <c r="F204" s="17">
        <f t="shared" ref="F204:F210" si="28">D204+E204</f>
        <v>302.25311999999997</v>
      </c>
      <c r="G204" s="17">
        <v>0</v>
      </c>
      <c r="H204" s="17">
        <f t="shared" ref="H204:H210" si="29">F204*(($H$151)+1)+(IF(G204&lt;101,G204,IF(G204&lt;201,G204/2,IF(G204&lt;=301,G204/3,G204/4))))</f>
        <v>453.37967999999995</v>
      </c>
      <c r="K204" s="6">
        <f t="shared" ref="K204:K210" si="30">10000*H204</f>
        <v>4533796.8</v>
      </c>
    </row>
    <row r="205" spans="1:11" x14ac:dyDescent="0.2">
      <c r="A205" s="241">
        <f t="shared" ref="A205:A210" si="31">A204+1</f>
        <v>3</v>
      </c>
      <c r="B205" s="231"/>
      <c r="C205" s="20" t="s">
        <v>288</v>
      </c>
      <c r="D205" s="17">
        <f>(45.94)*(10.764)</f>
        <v>494.49815999999993</v>
      </c>
      <c r="E205" s="20">
        <v>0</v>
      </c>
      <c r="F205" s="17">
        <f t="shared" si="28"/>
        <v>494.49815999999993</v>
      </c>
      <c r="G205" s="17">
        <v>0</v>
      </c>
      <c r="H205" s="17">
        <f t="shared" si="29"/>
        <v>741.74723999999992</v>
      </c>
      <c r="I205" s="81">
        <f>3*4.02+2.6*2.33+3.15*2.47+3.15*2.9+2*1.25+2*1.375+1.05*1.42+0.93*1.35</f>
        <v>43.029999999999994</v>
      </c>
      <c r="K205" s="6">
        <f t="shared" si="30"/>
        <v>7417472.3999999994</v>
      </c>
    </row>
    <row r="206" spans="1:11" x14ac:dyDescent="0.2">
      <c r="A206" s="241">
        <f t="shared" si="31"/>
        <v>4</v>
      </c>
      <c r="B206" s="231"/>
      <c r="C206" s="20" t="s">
        <v>288</v>
      </c>
      <c r="D206" s="17">
        <f>(45.94)*(10.764)</f>
        <v>494.49815999999993</v>
      </c>
      <c r="E206" s="20">
        <v>0</v>
      </c>
      <c r="F206" s="17">
        <f t="shared" si="28"/>
        <v>494.49815999999993</v>
      </c>
      <c r="G206" s="17">
        <v>0</v>
      </c>
      <c r="H206" s="17">
        <f t="shared" si="29"/>
        <v>741.74723999999992</v>
      </c>
      <c r="I206" s="81"/>
      <c r="K206" s="6">
        <f t="shared" si="30"/>
        <v>7417472.3999999994</v>
      </c>
    </row>
    <row r="207" spans="1:11" x14ac:dyDescent="0.2">
      <c r="A207" s="241">
        <f t="shared" si="31"/>
        <v>5</v>
      </c>
      <c r="B207" s="231"/>
      <c r="C207" s="20" t="s">
        <v>55</v>
      </c>
      <c r="D207" s="17">
        <f>(28.08)*(10.764)</f>
        <v>302.25311999999997</v>
      </c>
      <c r="E207" s="20">
        <v>0</v>
      </c>
      <c r="F207" s="17">
        <f t="shared" si="28"/>
        <v>302.25311999999997</v>
      </c>
      <c r="G207" s="17">
        <v>0</v>
      </c>
      <c r="H207" s="17">
        <f t="shared" si="29"/>
        <v>453.37967999999995</v>
      </c>
      <c r="K207" s="6">
        <f t="shared" si="30"/>
        <v>4533796.8</v>
      </c>
    </row>
    <row r="208" spans="1:11" x14ac:dyDescent="0.2">
      <c r="A208" s="241">
        <f t="shared" si="31"/>
        <v>6</v>
      </c>
      <c r="B208" s="231"/>
      <c r="C208" s="20" t="s">
        <v>55</v>
      </c>
      <c r="D208" s="17">
        <f>(28.08)*(10.764)</f>
        <v>302.25311999999997</v>
      </c>
      <c r="E208" s="20">
        <v>0</v>
      </c>
      <c r="F208" s="17">
        <f t="shared" si="28"/>
        <v>302.25311999999997</v>
      </c>
      <c r="G208" s="17">
        <v>0</v>
      </c>
      <c r="H208" s="17">
        <f t="shared" si="29"/>
        <v>453.37967999999995</v>
      </c>
      <c r="K208" s="6">
        <f t="shared" si="30"/>
        <v>4533796.8</v>
      </c>
    </row>
    <row r="209" spans="1:11" x14ac:dyDescent="0.2">
      <c r="A209" s="241">
        <f t="shared" si="31"/>
        <v>7</v>
      </c>
      <c r="B209" s="231"/>
      <c r="C209" s="20" t="s">
        <v>55</v>
      </c>
      <c r="D209" s="17">
        <f>(35.93)*(10.764)</f>
        <v>386.75051999999999</v>
      </c>
      <c r="E209" s="20">
        <v>0</v>
      </c>
      <c r="F209" s="17">
        <f t="shared" si="28"/>
        <v>386.75051999999999</v>
      </c>
      <c r="G209" s="17">
        <v>0</v>
      </c>
      <c r="H209" s="17">
        <f t="shared" si="29"/>
        <v>580.12577999999996</v>
      </c>
      <c r="I209" s="81">
        <f>2.93*3.95+1.9*2.38+3.18*2.9+2.05*1.22+2.05*1.2+0.9*1.7+1.2*1.5</f>
        <v>33.608500000000006</v>
      </c>
      <c r="K209" s="6">
        <f t="shared" si="30"/>
        <v>5801257.7999999998</v>
      </c>
    </row>
    <row r="210" spans="1:11" x14ac:dyDescent="0.2">
      <c r="A210" s="241">
        <f t="shared" si="31"/>
        <v>8</v>
      </c>
      <c r="B210" s="231"/>
      <c r="C210" s="20" t="s">
        <v>288</v>
      </c>
      <c r="D210" s="17">
        <f>(45.53)*(10.764)</f>
        <v>490.08491999999995</v>
      </c>
      <c r="E210" s="20">
        <v>0</v>
      </c>
      <c r="F210" s="17">
        <f t="shared" si="28"/>
        <v>490.08491999999995</v>
      </c>
      <c r="G210" s="17">
        <v>0</v>
      </c>
      <c r="H210" s="17">
        <f t="shared" si="29"/>
        <v>735.1273799999999</v>
      </c>
      <c r="K210" s="6">
        <f t="shared" si="30"/>
        <v>7351273.7999999989</v>
      </c>
    </row>
    <row r="211" spans="1:11" x14ac:dyDescent="0.2">
      <c r="A211" s="235" t="s">
        <v>298</v>
      </c>
      <c r="B211" s="247"/>
      <c r="C211" s="247"/>
      <c r="D211" s="247"/>
      <c r="E211" s="247"/>
      <c r="F211" s="247"/>
      <c r="G211" s="247"/>
      <c r="H211" s="236"/>
    </row>
    <row r="212" spans="1:11" x14ac:dyDescent="0.2">
      <c r="A212" s="241">
        <v>1</v>
      </c>
      <c r="B212" s="231"/>
      <c r="C212" s="20" t="s">
        <v>55</v>
      </c>
      <c r="D212" s="17">
        <f>(28.08)*(10.764)</f>
        <v>302.25311999999997</v>
      </c>
      <c r="E212" s="20">
        <v>0</v>
      </c>
      <c r="F212" s="17">
        <f>D212+E212</f>
        <v>302.25311999999997</v>
      </c>
      <c r="G212" s="17">
        <v>0</v>
      </c>
      <c r="H212" s="17">
        <f>F212*(($H$151)+1)+(IF(G212&lt;101,G212,IF(G212&lt;201,G212/2,IF(G212&lt;=301,G212/3,G212/4))))</f>
        <v>453.37967999999995</v>
      </c>
    </row>
    <row r="213" spans="1:11" x14ac:dyDescent="0.2">
      <c r="A213" s="241">
        <f>A212+1</f>
        <v>2</v>
      </c>
      <c r="B213" s="231"/>
      <c r="C213" s="20" t="s">
        <v>55</v>
      </c>
      <c r="D213" s="17">
        <f>(28.08)*(10.764)</f>
        <v>302.25311999999997</v>
      </c>
      <c r="E213" s="20">
        <v>0</v>
      </c>
      <c r="F213" s="17">
        <f t="shared" ref="F213:F217" si="32">D213+E213</f>
        <v>302.25311999999997</v>
      </c>
      <c r="G213" s="17">
        <v>0</v>
      </c>
      <c r="H213" s="17">
        <f t="shared" ref="H213:H217" si="33">F213*(($H$151)+1)+(IF(G213&lt;101,G213,IF(G213&lt;201,G213/2,IF(G213&lt;=301,G213/3,G213/4))))</f>
        <v>453.37967999999995</v>
      </c>
    </row>
    <row r="214" spans="1:11" x14ac:dyDescent="0.2">
      <c r="A214" s="241">
        <f t="shared" ref="A214:A219" si="34">A213+1</f>
        <v>3</v>
      </c>
      <c r="B214" s="231"/>
      <c r="C214" s="20" t="s">
        <v>288</v>
      </c>
      <c r="D214" s="17">
        <f>(45.94)*(10.764)</f>
        <v>494.49815999999993</v>
      </c>
      <c r="E214" s="20">
        <v>0</v>
      </c>
      <c r="F214" s="17">
        <f t="shared" si="32"/>
        <v>494.49815999999993</v>
      </c>
      <c r="G214" s="17">
        <v>0</v>
      </c>
      <c r="H214" s="17">
        <f t="shared" si="33"/>
        <v>741.74723999999992</v>
      </c>
    </row>
    <row r="215" spans="1:11" x14ac:dyDescent="0.2">
      <c r="A215" s="241">
        <f t="shared" si="34"/>
        <v>4</v>
      </c>
      <c r="B215" s="231"/>
      <c r="C215" s="20" t="s">
        <v>288</v>
      </c>
      <c r="D215" s="17">
        <f>(45.94)*(10.764)</f>
        <v>494.49815999999993</v>
      </c>
      <c r="E215" s="20">
        <v>0</v>
      </c>
      <c r="F215" s="17">
        <f t="shared" si="32"/>
        <v>494.49815999999993</v>
      </c>
      <c r="G215" s="17">
        <v>0</v>
      </c>
      <c r="H215" s="17">
        <f t="shared" si="33"/>
        <v>741.74723999999992</v>
      </c>
      <c r="I215" s="81"/>
    </row>
    <row r="216" spans="1:11" x14ac:dyDescent="0.2">
      <c r="A216" s="241">
        <f t="shared" si="34"/>
        <v>5</v>
      </c>
      <c r="B216" s="231"/>
      <c r="C216" s="20" t="s">
        <v>55</v>
      </c>
      <c r="D216" s="17">
        <f>(28.08)*(10.764)</f>
        <v>302.25311999999997</v>
      </c>
      <c r="E216" s="20">
        <v>0</v>
      </c>
      <c r="F216" s="17">
        <f t="shared" si="32"/>
        <v>302.25311999999997</v>
      </c>
      <c r="G216" s="17">
        <v>0</v>
      </c>
      <c r="H216" s="17">
        <f t="shared" si="33"/>
        <v>453.37967999999995</v>
      </c>
    </row>
    <row r="217" spans="1:11" x14ac:dyDescent="0.2">
      <c r="A217" s="241">
        <f t="shared" si="34"/>
        <v>6</v>
      </c>
      <c r="B217" s="231"/>
      <c r="C217" s="20" t="s">
        <v>55</v>
      </c>
      <c r="D217" s="17">
        <f>(28.08)*(10.764)</f>
        <v>302.25311999999997</v>
      </c>
      <c r="E217" s="20">
        <v>0</v>
      </c>
      <c r="F217" s="17">
        <f t="shared" si="32"/>
        <v>302.25311999999997</v>
      </c>
      <c r="G217" s="17">
        <v>0</v>
      </c>
      <c r="H217" s="17">
        <f t="shared" si="33"/>
        <v>453.37967999999995</v>
      </c>
    </row>
    <row r="218" spans="1:11" x14ac:dyDescent="0.2">
      <c r="A218" s="241">
        <f t="shared" si="34"/>
        <v>7</v>
      </c>
      <c r="B218" s="231"/>
      <c r="C218" s="20" t="s">
        <v>282</v>
      </c>
      <c r="D218" s="264" t="s">
        <v>291</v>
      </c>
      <c r="E218" s="265"/>
      <c r="F218" s="265"/>
      <c r="G218" s="265"/>
      <c r="H218" s="266"/>
    </row>
    <row r="219" spans="1:11" x14ac:dyDescent="0.2">
      <c r="A219" s="241">
        <f t="shared" si="34"/>
        <v>8</v>
      </c>
      <c r="B219" s="231"/>
      <c r="C219" s="20" t="s">
        <v>288</v>
      </c>
      <c r="D219" s="17">
        <f>(45.53)*(10.764)</f>
        <v>490.08491999999995</v>
      </c>
      <c r="E219" s="20">
        <v>0</v>
      </c>
      <c r="F219" s="17">
        <f t="shared" ref="F219" si="35">D219+E219</f>
        <v>490.08491999999995</v>
      </c>
      <c r="G219" s="17">
        <v>0</v>
      </c>
      <c r="H219" s="17">
        <f t="shared" ref="H219" si="36">F219*(($H$151)+1)+(IF(G219&lt;101,G219,IF(G219&lt;201,G219/2,IF(G219&lt;=301,G219/3,G219/4))))</f>
        <v>735.1273799999999</v>
      </c>
    </row>
    <row r="220" spans="1:11" x14ac:dyDescent="0.2">
      <c r="A220" s="235" t="s">
        <v>299</v>
      </c>
      <c r="B220" s="247"/>
      <c r="C220" s="247"/>
      <c r="D220" s="247"/>
      <c r="E220" s="247"/>
      <c r="F220" s="247"/>
      <c r="G220" s="247"/>
      <c r="H220" s="236"/>
    </row>
    <row r="221" spans="1:11" x14ac:dyDescent="0.2">
      <c r="A221" s="241">
        <v>1</v>
      </c>
      <c r="B221" s="231"/>
      <c r="C221" s="20" t="s">
        <v>282</v>
      </c>
      <c r="D221" s="264" t="s">
        <v>300</v>
      </c>
      <c r="E221" s="265"/>
      <c r="F221" s="265"/>
      <c r="G221" s="265"/>
      <c r="H221" s="266"/>
    </row>
    <row r="222" spans="1:11" x14ac:dyDescent="0.2">
      <c r="A222" s="241">
        <f>A221+1</f>
        <v>2</v>
      </c>
      <c r="B222" s="231"/>
      <c r="C222" s="20" t="s">
        <v>55</v>
      </c>
      <c r="D222" s="17">
        <f>(28.08)*(10.764)</f>
        <v>302.25311999999997</v>
      </c>
      <c r="E222" s="20">
        <v>0</v>
      </c>
      <c r="F222" s="17">
        <f t="shared" ref="F222:F225" si="37">D222+E222</f>
        <v>302.25311999999997</v>
      </c>
      <c r="G222" s="17">
        <v>0</v>
      </c>
      <c r="H222" s="17">
        <f t="shared" ref="H222:H225" si="38">F222*(($H$151)+1)+(IF(G222&lt;101,G222,IF(G222&lt;201,G222/2,IF(G222&lt;=301,G222/3,G222/4))))</f>
        <v>453.37967999999995</v>
      </c>
    </row>
    <row r="223" spans="1:11" x14ac:dyDescent="0.2">
      <c r="A223" s="241">
        <f t="shared" ref="A223:A228" si="39">A222+1</f>
        <v>3</v>
      </c>
      <c r="B223" s="231"/>
      <c r="C223" s="20" t="s">
        <v>288</v>
      </c>
      <c r="D223" s="17">
        <f>(45.94)*(10.764)</f>
        <v>494.49815999999993</v>
      </c>
      <c r="E223" s="20">
        <v>0</v>
      </c>
      <c r="F223" s="17">
        <f t="shared" si="37"/>
        <v>494.49815999999993</v>
      </c>
      <c r="G223" s="17">
        <v>0</v>
      </c>
      <c r="H223" s="17">
        <f t="shared" si="38"/>
        <v>741.74723999999992</v>
      </c>
      <c r="I223" s="81">
        <f>3*4.02+2.6*2.33+3.15*2.47+3.15*2.9+2*1.25+2*1.375+1.05*1.42+0.93*1.35</f>
        <v>43.029999999999994</v>
      </c>
    </row>
    <row r="224" spans="1:11" x14ac:dyDescent="0.2">
      <c r="A224" s="241">
        <f t="shared" si="39"/>
        <v>4</v>
      </c>
      <c r="B224" s="231"/>
      <c r="C224" s="20" t="s">
        <v>288</v>
      </c>
      <c r="D224" s="17">
        <f>(45.94)*(10.764)</f>
        <v>494.49815999999993</v>
      </c>
      <c r="E224" s="20">
        <v>0</v>
      </c>
      <c r="F224" s="17">
        <f t="shared" si="37"/>
        <v>494.49815999999993</v>
      </c>
      <c r="G224" s="17">
        <v>0</v>
      </c>
      <c r="H224" s="17">
        <f t="shared" si="38"/>
        <v>741.74723999999992</v>
      </c>
      <c r="I224" s="81"/>
    </row>
    <row r="225" spans="1:9" x14ac:dyDescent="0.2">
      <c r="A225" s="241">
        <f t="shared" si="39"/>
        <v>5</v>
      </c>
      <c r="B225" s="231"/>
      <c r="C225" s="20" t="s">
        <v>55</v>
      </c>
      <c r="D225" s="17">
        <f>(28.08)*(10.764)</f>
        <v>302.25311999999997</v>
      </c>
      <c r="E225" s="20">
        <v>0</v>
      </c>
      <c r="F225" s="17">
        <f t="shared" si="37"/>
        <v>302.25311999999997</v>
      </c>
      <c r="G225" s="17">
        <v>0</v>
      </c>
      <c r="H225" s="17">
        <f t="shared" si="38"/>
        <v>453.37967999999995</v>
      </c>
    </row>
    <row r="226" spans="1:9" x14ac:dyDescent="0.2">
      <c r="A226" s="241">
        <f t="shared" si="39"/>
        <v>6</v>
      </c>
      <c r="B226" s="231"/>
      <c r="C226" s="20" t="s">
        <v>282</v>
      </c>
      <c r="D226" s="267" t="s">
        <v>300</v>
      </c>
      <c r="E226" s="268"/>
      <c r="F226" s="268"/>
      <c r="G226" s="268"/>
      <c r="H226" s="269"/>
    </row>
    <row r="227" spans="1:9" x14ac:dyDescent="0.2">
      <c r="A227" s="241">
        <f t="shared" si="39"/>
        <v>7</v>
      </c>
      <c r="B227" s="231"/>
      <c r="C227" s="20" t="s">
        <v>282</v>
      </c>
      <c r="D227" s="270"/>
      <c r="E227" s="271"/>
      <c r="F227" s="271"/>
      <c r="G227" s="271"/>
      <c r="H227" s="272"/>
      <c r="I227" s="81">
        <f>2.93*3.95+1.9*2.38+3.18*2.9+2.05*1.22+2.05*1.2+0.9*1.7+1.2*1.5</f>
        <v>33.608500000000006</v>
      </c>
    </row>
    <row r="228" spans="1:9" x14ac:dyDescent="0.2">
      <c r="A228" s="241">
        <f t="shared" si="39"/>
        <v>8</v>
      </c>
      <c r="B228" s="231"/>
      <c r="C228" s="20" t="s">
        <v>282</v>
      </c>
      <c r="D228" s="273"/>
      <c r="E228" s="274"/>
      <c r="F228" s="274"/>
      <c r="G228" s="274"/>
      <c r="H228" s="275"/>
    </row>
    <row r="229" spans="1:9" hidden="1" x14ac:dyDescent="0.2">
      <c r="A229" s="235" t="s">
        <v>207</v>
      </c>
      <c r="B229" s="247"/>
      <c r="C229" s="247"/>
      <c r="D229" s="247"/>
      <c r="E229" s="247"/>
      <c r="F229" s="247"/>
      <c r="G229" s="247"/>
      <c r="H229" s="236"/>
    </row>
    <row r="230" spans="1:9" hidden="1" x14ac:dyDescent="0.2">
      <c r="A230" s="241">
        <v>1</v>
      </c>
      <c r="B230" s="231"/>
      <c r="C230" s="20" t="s">
        <v>55</v>
      </c>
      <c r="D230" s="20"/>
      <c r="E230" s="20"/>
      <c r="F230" s="17">
        <f>D230+E230</f>
        <v>0</v>
      </c>
      <c r="G230" s="17">
        <v>0</v>
      </c>
      <c r="H230" s="20">
        <f>F230*(($H$151)+1)+(IF(G230&lt;101,G230,IF(G230&lt;201,G230/2,IF(G230&lt;=301,G230/3,G230/4))))</f>
        <v>0</v>
      </c>
    </row>
    <row r="231" spans="1:9" hidden="1" x14ac:dyDescent="0.2">
      <c r="A231" s="241">
        <f>A230+1</f>
        <v>2</v>
      </c>
      <c r="B231" s="231"/>
      <c r="C231" s="20" t="s">
        <v>55</v>
      </c>
      <c r="D231" s="20"/>
      <c r="E231" s="20"/>
      <c r="F231" s="17">
        <f t="shared" ref="F231:F241" si="40">D231+E231</f>
        <v>0</v>
      </c>
      <c r="G231" s="17">
        <v>0</v>
      </c>
      <c r="H231" s="20">
        <f t="shared" ref="H231:H241" si="41">F231*(($H$151)+1)+(IF(G231&lt;101,G231,IF(G231&lt;201,G231/2,IF(G231&lt;=301,G231/3,G231/4))))</f>
        <v>0</v>
      </c>
    </row>
    <row r="232" spans="1:9" hidden="1" x14ac:dyDescent="0.2">
      <c r="A232" s="241">
        <f t="shared" ref="A232:A241" si="42">A231+1</f>
        <v>3</v>
      </c>
      <c r="B232" s="231"/>
      <c r="C232" s="20" t="s">
        <v>55</v>
      </c>
      <c r="D232" s="20"/>
      <c r="E232" s="20"/>
      <c r="F232" s="17">
        <f t="shared" si="40"/>
        <v>0</v>
      </c>
      <c r="G232" s="17">
        <v>0</v>
      </c>
      <c r="H232" s="20">
        <f t="shared" si="41"/>
        <v>0</v>
      </c>
    </row>
    <row r="233" spans="1:9" hidden="1" x14ac:dyDescent="0.2">
      <c r="A233" s="241">
        <f t="shared" si="42"/>
        <v>4</v>
      </c>
      <c r="B233" s="231"/>
      <c r="C233" s="20" t="s">
        <v>55</v>
      </c>
      <c r="D233" s="20"/>
      <c r="E233" s="20"/>
      <c r="F233" s="17">
        <f t="shared" si="40"/>
        <v>0</v>
      </c>
      <c r="G233" s="17">
        <v>0</v>
      </c>
      <c r="H233" s="20">
        <f t="shared" si="41"/>
        <v>0</v>
      </c>
    </row>
    <row r="234" spans="1:9" hidden="1" x14ac:dyDescent="0.2">
      <c r="A234" s="241">
        <f t="shared" si="42"/>
        <v>5</v>
      </c>
      <c r="B234" s="231"/>
      <c r="C234" s="20" t="s">
        <v>55</v>
      </c>
      <c r="D234" s="20"/>
      <c r="E234" s="20"/>
      <c r="F234" s="17">
        <f t="shared" si="40"/>
        <v>0</v>
      </c>
      <c r="G234" s="17">
        <v>0</v>
      </c>
      <c r="H234" s="20">
        <f t="shared" si="41"/>
        <v>0</v>
      </c>
    </row>
    <row r="235" spans="1:9" hidden="1" x14ac:dyDescent="0.2">
      <c r="A235" s="241">
        <f t="shared" si="42"/>
        <v>6</v>
      </c>
      <c r="B235" s="231"/>
      <c r="C235" s="20" t="s">
        <v>55</v>
      </c>
      <c r="D235" s="20"/>
      <c r="E235" s="20"/>
      <c r="F235" s="17">
        <f t="shared" si="40"/>
        <v>0</v>
      </c>
      <c r="G235" s="17">
        <v>0</v>
      </c>
      <c r="H235" s="20">
        <f t="shared" si="41"/>
        <v>0</v>
      </c>
    </row>
    <row r="236" spans="1:9" hidden="1" x14ac:dyDescent="0.2">
      <c r="A236" s="241">
        <f t="shared" si="42"/>
        <v>7</v>
      </c>
      <c r="B236" s="231"/>
      <c r="C236" s="20" t="s">
        <v>55</v>
      </c>
      <c r="D236" s="20"/>
      <c r="E236" s="20"/>
      <c r="F236" s="17">
        <f t="shared" si="40"/>
        <v>0</v>
      </c>
      <c r="G236" s="17">
        <v>0</v>
      </c>
      <c r="H236" s="20">
        <f t="shared" si="41"/>
        <v>0</v>
      </c>
    </row>
    <row r="237" spans="1:9" hidden="1" x14ac:dyDescent="0.2">
      <c r="A237" s="241">
        <f t="shared" si="42"/>
        <v>8</v>
      </c>
      <c r="B237" s="231"/>
      <c r="C237" s="20" t="s">
        <v>55</v>
      </c>
      <c r="D237" s="20"/>
      <c r="E237" s="20"/>
      <c r="F237" s="17">
        <f t="shared" si="40"/>
        <v>0</v>
      </c>
      <c r="G237" s="17">
        <v>0</v>
      </c>
      <c r="H237" s="20">
        <f t="shared" si="41"/>
        <v>0</v>
      </c>
    </row>
    <row r="238" spans="1:9" hidden="1" x14ac:dyDescent="0.2">
      <c r="A238" s="241">
        <f t="shared" si="42"/>
        <v>9</v>
      </c>
      <c r="B238" s="231"/>
      <c r="C238" s="20" t="s">
        <v>55</v>
      </c>
      <c r="D238" s="20"/>
      <c r="E238" s="20"/>
      <c r="F238" s="17">
        <f t="shared" si="40"/>
        <v>0</v>
      </c>
      <c r="G238" s="17">
        <v>0</v>
      </c>
      <c r="H238" s="20">
        <f t="shared" si="41"/>
        <v>0</v>
      </c>
    </row>
    <row r="239" spans="1:9" hidden="1" x14ac:dyDescent="0.2">
      <c r="A239" s="241">
        <f t="shared" si="42"/>
        <v>10</v>
      </c>
      <c r="B239" s="231"/>
      <c r="C239" s="20" t="s">
        <v>55</v>
      </c>
      <c r="D239" s="20"/>
      <c r="E239" s="20"/>
      <c r="F239" s="17">
        <f t="shared" si="40"/>
        <v>0</v>
      </c>
      <c r="G239" s="17">
        <v>0</v>
      </c>
      <c r="H239" s="20">
        <f t="shared" si="41"/>
        <v>0</v>
      </c>
    </row>
    <row r="240" spans="1:9" hidden="1" x14ac:dyDescent="0.2">
      <c r="A240" s="241">
        <f t="shared" si="42"/>
        <v>11</v>
      </c>
      <c r="B240" s="231"/>
      <c r="C240" s="20" t="s">
        <v>55</v>
      </c>
      <c r="D240" s="20"/>
      <c r="E240" s="20"/>
      <c r="F240" s="17">
        <f t="shared" si="40"/>
        <v>0</v>
      </c>
      <c r="G240" s="17">
        <v>0</v>
      </c>
      <c r="H240" s="20">
        <f t="shared" si="41"/>
        <v>0</v>
      </c>
    </row>
    <row r="241" spans="1:8" hidden="1" x14ac:dyDescent="0.2">
      <c r="A241" s="241">
        <f t="shared" si="42"/>
        <v>12</v>
      </c>
      <c r="B241" s="231"/>
      <c r="C241" s="20" t="s">
        <v>55</v>
      </c>
      <c r="D241" s="20"/>
      <c r="E241" s="20"/>
      <c r="F241" s="17">
        <f t="shared" si="40"/>
        <v>0</v>
      </c>
      <c r="G241" s="17">
        <v>0</v>
      </c>
      <c r="H241" s="20">
        <f t="shared" si="41"/>
        <v>0</v>
      </c>
    </row>
    <row r="242" spans="1:8" hidden="1" x14ac:dyDescent="0.2">
      <c r="A242" s="143" t="s">
        <v>125</v>
      </c>
      <c r="B242" s="143"/>
      <c r="C242" s="143"/>
      <c r="D242" s="143"/>
      <c r="E242" s="143"/>
      <c r="F242" s="143"/>
      <c r="G242" s="143"/>
      <c r="H242" s="143"/>
    </row>
    <row r="243" spans="1:8" hidden="1" x14ac:dyDescent="0.2">
      <c r="A243" s="241">
        <v>1</v>
      </c>
      <c r="B243" s="231"/>
      <c r="C243" s="20" t="s">
        <v>55</v>
      </c>
      <c r="D243" s="20"/>
      <c r="E243" s="20"/>
      <c r="F243" s="17">
        <f>D243+E243</f>
        <v>0</v>
      </c>
      <c r="G243" s="17">
        <v>0</v>
      </c>
      <c r="H243" s="20">
        <f>F243*(($H$151)+1)+(IF(G243&lt;101,G243,IF(G243&lt;201,G243/2,IF(G243&lt;=301,G243/3,G243/4))))</f>
        <v>0</v>
      </c>
    </row>
    <row r="244" spans="1:8" hidden="1" x14ac:dyDescent="0.2">
      <c r="A244" s="241">
        <f>A243+1</f>
        <v>2</v>
      </c>
      <c r="B244" s="231"/>
      <c r="C244" s="20" t="s">
        <v>55</v>
      </c>
      <c r="D244" s="20"/>
      <c r="E244" s="20"/>
      <c r="F244" s="17">
        <f t="shared" ref="F244:F254" si="43">D244+E244</f>
        <v>0</v>
      </c>
      <c r="G244" s="17">
        <v>0</v>
      </c>
      <c r="H244" s="20">
        <f t="shared" ref="H244:H254" si="44">F244*(($H$151)+1)+(IF(G244&lt;101,G244,IF(G244&lt;201,G244/2,IF(G244&lt;=301,G244/3,G244/4))))</f>
        <v>0</v>
      </c>
    </row>
    <row r="245" spans="1:8" hidden="1" x14ac:dyDescent="0.2">
      <c r="A245" s="241">
        <f t="shared" ref="A245:A254" si="45">A244+1</f>
        <v>3</v>
      </c>
      <c r="B245" s="231"/>
      <c r="C245" s="20" t="s">
        <v>55</v>
      </c>
      <c r="D245" s="20"/>
      <c r="E245" s="20"/>
      <c r="F245" s="17">
        <f t="shared" si="43"/>
        <v>0</v>
      </c>
      <c r="G245" s="17">
        <v>0</v>
      </c>
      <c r="H245" s="20">
        <f t="shared" si="44"/>
        <v>0</v>
      </c>
    </row>
    <row r="246" spans="1:8" hidden="1" x14ac:dyDescent="0.2">
      <c r="A246" s="241">
        <f t="shared" si="45"/>
        <v>4</v>
      </c>
      <c r="B246" s="231"/>
      <c r="C246" s="20" t="s">
        <v>55</v>
      </c>
      <c r="D246" s="20"/>
      <c r="E246" s="20"/>
      <c r="F246" s="17">
        <f t="shared" si="43"/>
        <v>0</v>
      </c>
      <c r="G246" s="17">
        <v>0</v>
      </c>
      <c r="H246" s="20">
        <f t="shared" si="44"/>
        <v>0</v>
      </c>
    </row>
    <row r="247" spans="1:8" hidden="1" x14ac:dyDescent="0.2">
      <c r="A247" s="241">
        <f t="shared" si="45"/>
        <v>5</v>
      </c>
      <c r="B247" s="231"/>
      <c r="C247" s="20" t="s">
        <v>55</v>
      </c>
      <c r="D247" s="20"/>
      <c r="E247" s="20"/>
      <c r="F247" s="17">
        <f t="shared" si="43"/>
        <v>0</v>
      </c>
      <c r="G247" s="17">
        <v>0</v>
      </c>
      <c r="H247" s="20">
        <f t="shared" si="44"/>
        <v>0</v>
      </c>
    </row>
    <row r="248" spans="1:8" hidden="1" x14ac:dyDescent="0.2">
      <c r="A248" s="241">
        <f t="shared" si="45"/>
        <v>6</v>
      </c>
      <c r="B248" s="231"/>
      <c r="C248" s="20" t="s">
        <v>55</v>
      </c>
      <c r="D248" s="20"/>
      <c r="E248" s="20"/>
      <c r="F248" s="17">
        <f t="shared" si="43"/>
        <v>0</v>
      </c>
      <c r="G248" s="17">
        <v>0</v>
      </c>
      <c r="H248" s="20">
        <f t="shared" si="44"/>
        <v>0</v>
      </c>
    </row>
    <row r="249" spans="1:8" hidden="1" x14ac:dyDescent="0.2">
      <c r="A249" s="241">
        <f t="shared" si="45"/>
        <v>7</v>
      </c>
      <c r="B249" s="231"/>
      <c r="C249" s="20" t="s">
        <v>55</v>
      </c>
      <c r="D249" s="20"/>
      <c r="E249" s="20"/>
      <c r="F249" s="17">
        <f t="shared" si="43"/>
        <v>0</v>
      </c>
      <c r="G249" s="17">
        <v>0</v>
      </c>
      <c r="H249" s="20">
        <f t="shared" si="44"/>
        <v>0</v>
      </c>
    </row>
    <row r="250" spans="1:8" hidden="1" x14ac:dyDescent="0.2">
      <c r="A250" s="241">
        <f t="shared" si="45"/>
        <v>8</v>
      </c>
      <c r="B250" s="231"/>
      <c r="C250" s="20" t="s">
        <v>55</v>
      </c>
      <c r="D250" s="20"/>
      <c r="E250" s="20"/>
      <c r="F250" s="17">
        <f t="shared" si="43"/>
        <v>0</v>
      </c>
      <c r="G250" s="17">
        <v>0</v>
      </c>
      <c r="H250" s="20">
        <f t="shared" si="44"/>
        <v>0</v>
      </c>
    </row>
    <row r="251" spans="1:8" hidden="1" x14ac:dyDescent="0.2">
      <c r="A251" s="241">
        <f t="shared" si="45"/>
        <v>9</v>
      </c>
      <c r="B251" s="231"/>
      <c r="C251" s="20" t="s">
        <v>55</v>
      </c>
      <c r="D251" s="20"/>
      <c r="E251" s="20"/>
      <c r="F251" s="17">
        <f t="shared" si="43"/>
        <v>0</v>
      </c>
      <c r="G251" s="17">
        <v>0</v>
      </c>
      <c r="H251" s="20">
        <f t="shared" si="44"/>
        <v>0</v>
      </c>
    </row>
    <row r="252" spans="1:8" hidden="1" x14ac:dyDescent="0.2">
      <c r="A252" s="241">
        <f t="shared" si="45"/>
        <v>10</v>
      </c>
      <c r="B252" s="231"/>
      <c r="C252" s="20" t="s">
        <v>55</v>
      </c>
      <c r="D252" s="20"/>
      <c r="E252" s="20"/>
      <c r="F252" s="17">
        <f t="shared" si="43"/>
        <v>0</v>
      </c>
      <c r="G252" s="17">
        <v>0</v>
      </c>
      <c r="H252" s="20">
        <f t="shared" si="44"/>
        <v>0</v>
      </c>
    </row>
    <row r="253" spans="1:8" hidden="1" x14ac:dyDescent="0.2">
      <c r="A253" s="241">
        <f t="shared" si="45"/>
        <v>11</v>
      </c>
      <c r="B253" s="231"/>
      <c r="C253" s="20" t="s">
        <v>55</v>
      </c>
      <c r="D253" s="20"/>
      <c r="E253" s="20"/>
      <c r="F253" s="17">
        <f t="shared" si="43"/>
        <v>0</v>
      </c>
      <c r="G253" s="17">
        <v>0</v>
      </c>
      <c r="H253" s="20">
        <f t="shared" si="44"/>
        <v>0</v>
      </c>
    </row>
    <row r="254" spans="1:8" hidden="1" x14ac:dyDescent="0.2">
      <c r="A254" s="241">
        <f t="shared" si="45"/>
        <v>12</v>
      </c>
      <c r="B254" s="231"/>
      <c r="C254" s="20" t="s">
        <v>55</v>
      </c>
      <c r="D254" s="20"/>
      <c r="E254" s="20"/>
      <c r="F254" s="17">
        <f t="shared" si="43"/>
        <v>0</v>
      </c>
      <c r="G254" s="17">
        <v>0</v>
      </c>
      <c r="H254" s="20">
        <f t="shared" si="44"/>
        <v>0</v>
      </c>
    </row>
    <row r="255" spans="1:8" hidden="1" x14ac:dyDescent="0.2">
      <c r="A255" s="143" t="s">
        <v>126</v>
      </c>
      <c r="B255" s="143"/>
      <c r="C255" s="143"/>
      <c r="D255" s="143"/>
      <c r="E255" s="143"/>
      <c r="F255" s="143"/>
      <c r="G255" s="143"/>
      <c r="H255" s="143"/>
    </row>
    <row r="256" spans="1:8" hidden="1" x14ac:dyDescent="0.2">
      <c r="A256" s="241">
        <v>1</v>
      </c>
      <c r="B256" s="231"/>
      <c r="C256" s="20" t="s">
        <v>55</v>
      </c>
      <c r="D256" s="20"/>
      <c r="E256" s="20"/>
      <c r="F256" s="17">
        <f>D256+E256</f>
        <v>0</v>
      </c>
      <c r="G256" s="17">
        <v>0</v>
      </c>
      <c r="H256" s="20">
        <f>F256*(($H$151)+1)+(IF(G256&lt;101,G256,IF(G256&lt;201,G256/2,IF(G256&lt;=301,G256/3,G256/4))))</f>
        <v>0</v>
      </c>
    </row>
    <row r="257" spans="1:8" hidden="1" x14ac:dyDescent="0.2">
      <c r="A257" s="241">
        <f>A256+1</f>
        <v>2</v>
      </c>
      <c r="B257" s="231"/>
      <c r="C257" s="20" t="s">
        <v>55</v>
      </c>
      <c r="D257" s="20"/>
      <c r="E257" s="20"/>
      <c r="F257" s="17">
        <f t="shared" ref="F257:F267" si="46">D257+E257</f>
        <v>0</v>
      </c>
      <c r="G257" s="17">
        <v>0</v>
      </c>
      <c r="H257" s="20">
        <f t="shared" ref="H257:H267" si="47">F257*(($H$151)+1)+(IF(G257&lt;101,G257,IF(G257&lt;201,G257/2,IF(G257&lt;=301,G257/3,G257/4))))</f>
        <v>0</v>
      </c>
    </row>
    <row r="258" spans="1:8" hidden="1" x14ac:dyDescent="0.2">
      <c r="A258" s="241">
        <f t="shared" ref="A258:A267" si="48">A257+1</f>
        <v>3</v>
      </c>
      <c r="B258" s="231"/>
      <c r="C258" s="20" t="s">
        <v>55</v>
      </c>
      <c r="D258" s="20"/>
      <c r="E258" s="20"/>
      <c r="F258" s="17">
        <f t="shared" si="46"/>
        <v>0</v>
      </c>
      <c r="G258" s="17">
        <v>0</v>
      </c>
      <c r="H258" s="20">
        <f t="shared" si="47"/>
        <v>0</v>
      </c>
    </row>
    <row r="259" spans="1:8" hidden="1" x14ac:dyDescent="0.2">
      <c r="A259" s="241">
        <f t="shared" si="48"/>
        <v>4</v>
      </c>
      <c r="B259" s="231"/>
      <c r="C259" s="20" t="s">
        <v>55</v>
      </c>
      <c r="D259" s="20"/>
      <c r="E259" s="20"/>
      <c r="F259" s="17">
        <f t="shared" si="46"/>
        <v>0</v>
      </c>
      <c r="G259" s="17">
        <v>0</v>
      </c>
      <c r="H259" s="20">
        <f t="shared" si="47"/>
        <v>0</v>
      </c>
    </row>
    <row r="260" spans="1:8" hidden="1" x14ac:dyDescent="0.2">
      <c r="A260" s="241">
        <f t="shared" si="48"/>
        <v>5</v>
      </c>
      <c r="B260" s="231"/>
      <c r="C260" s="20" t="s">
        <v>55</v>
      </c>
      <c r="D260" s="20"/>
      <c r="E260" s="20"/>
      <c r="F260" s="17">
        <f t="shared" si="46"/>
        <v>0</v>
      </c>
      <c r="G260" s="17">
        <v>0</v>
      </c>
      <c r="H260" s="20">
        <f t="shared" si="47"/>
        <v>0</v>
      </c>
    </row>
    <row r="261" spans="1:8" hidden="1" x14ac:dyDescent="0.2">
      <c r="A261" s="241">
        <f t="shared" si="48"/>
        <v>6</v>
      </c>
      <c r="B261" s="231"/>
      <c r="C261" s="20" t="s">
        <v>55</v>
      </c>
      <c r="D261" s="20"/>
      <c r="E261" s="20"/>
      <c r="F261" s="17">
        <f t="shared" si="46"/>
        <v>0</v>
      </c>
      <c r="G261" s="17">
        <v>0</v>
      </c>
      <c r="H261" s="20">
        <f t="shared" si="47"/>
        <v>0</v>
      </c>
    </row>
    <row r="262" spans="1:8" hidden="1" x14ac:dyDescent="0.2">
      <c r="A262" s="241">
        <f t="shared" si="48"/>
        <v>7</v>
      </c>
      <c r="B262" s="231"/>
      <c r="C262" s="20" t="s">
        <v>55</v>
      </c>
      <c r="D262" s="20"/>
      <c r="E262" s="20"/>
      <c r="F262" s="17">
        <f t="shared" si="46"/>
        <v>0</v>
      </c>
      <c r="G262" s="17">
        <v>0</v>
      </c>
      <c r="H262" s="20">
        <f t="shared" si="47"/>
        <v>0</v>
      </c>
    </row>
    <row r="263" spans="1:8" hidden="1" x14ac:dyDescent="0.2">
      <c r="A263" s="241">
        <f t="shared" si="48"/>
        <v>8</v>
      </c>
      <c r="B263" s="231"/>
      <c r="C263" s="20" t="s">
        <v>55</v>
      </c>
      <c r="D263" s="20"/>
      <c r="E263" s="20"/>
      <c r="F263" s="17">
        <f t="shared" si="46"/>
        <v>0</v>
      </c>
      <c r="G263" s="17">
        <v>0</v>
      </c>
      <c r="H263" s="20">
        <f t="shared" si="47"/>
        <v>0</v>
      </c>
    </row>
    <row r="264" spans="1:8" hidden="1" x14ac:dyDescent="0.2">
      <c r="A264" s="241">
        <f t="shared" si="48"/>
        <v>9</v>
      </c>
      <c r="B264" s="231"/>
      <c r="C264" s="20" t="s">
        <v>55</v>
      </c>
      <c r="D264" s="20"/>
      <c r="E264" s="20"/>
      <c r="F264" s="17">
        <f t="shared" si="46"/>
        <v>0</v>
      </c>
      <c r="G264" s="17">
        <v>0</v>
      </c>
      <c r="H264" s="20">
        <f t="shared" si="47"/>
        <v>0</v>
      </c>
    </row>
    <row r="265" spans="1:8" hidden="1" x14ac:dyDescent="0.2">
      <c r="A265" s="241">
        <f t="shared" si="48"/>
        <v>10</v>
      </c>
      <c r="B265" s="231"/>
      <c r="C265" s="20" t="s">
        <v>55</v>
      </c>
      <c r="D265" s="20"/>
      <c r="E265" s="20"/>
      <c r="F265" s="17">
        <f t="shared" si="46"/>
        <v>0</v>
      </c>
      <c r="G265" s="17">
        <v>0</v>
      </c>
      <c r="H265" s="20">
        <f t="shared" si="47"/>
        <v>0</v>
      </c>
    </row>
    <row r="266" spans="1:8" hidden="1" x14ac:dyDescent="0.2">
      <c r="A266" s="241">
        <f t="shared" si="48"/>
        <v>11</v>
      </c>
      <c r="B266" s="231"/>
      <c r="C266" s="20" t="s">
        <v>55</v>
      </c>
      <c r="D266" s="20"/>
      <c r="E266" s="20"/>
      <c r="F266" s="17">
        <f t="shared" si="46"/>
        <v>0</v>
      </c>
      <c r="G266" s="17">
        <v>0</v>
      </c>
      <c r="H266" s="20">
        <f t="shared" si="47"/>
        <v>0</v>
      </c>
    </row>
    <row r="267" spans="1:8" hidden="1" x14ac:dyDescent="0.2">
      <c r="A267" s="241">
        <f t="shared" si="48"/>
        <v>12</v>
      </c>
      <c r="B267" s="231"/>
      <c r="C267" s="20" t="s">
        <v>55</v>
      </c>
      <c r="D267" s="20"/>
      <c r="E267" s="20"/>
      <c r="F267" s="17">
        <f t="shared" si="46"/>
        <v>0</v>
      </c>
      <c r="G267" s="17">
        <v>0</v>
      </c>
      <c r="H267" s="20">
        <f t="shared" si="47"/>
        <v>0</v>
      </c>
    </row>
    <row r="268" spans="1:8" hidden="1" x14ac:dyDescent="0.2">
      <c r="A268" s="143" t="s">
        <v>126</v>
      </c>
      <c r="B268" s="143"/>
      <c r="C268" s="143"/>
      <c r="D268" s="143"/>
      <c r="E268" s="143"/>
      <c r="F268" s="143"/>
      <c r="G268" s="143"/>
      <c r="H268" s="143"/>
    </row>
    <row r="269" spans="1:8" hidden="1" x14ac:dyDescent="0.2">
      <c r="A269" s="241">
        <v>1</v>
      </c>
      <c r="B269" s="231"/>
      <c r="C269" s="20" t="s">
        <v>55</v>
      </c>
      <c r="D269" s="20"/>
      <c r="E269" s="20"/>
      <c r="F269" s="17">
        <f>D269+E269</f>
        <v>0</v>
      </c>
      <c r="G269" s="17">
        <v>0</v>
      </c>
      <c r="H269" s="20">
        <f>F269*(($H$151)+1)+(IF(G269&lt;101,G269,IF(G269&lt;201,G269/2,IF(G269&lt;=301,G269/3,G269/4))))</f>
        <v>0</v>
      </c>
    </row>
    <row r="270" spans="1:8" hidden="1" x14ac:dyDescent="0.2">
      <c r="A270" s="241">
        <f>A269+1</f>
        <v>2</v>
      </c>
      <c r="B270" s="231"/>
      <c r="C270" s="20" t="s">
        <v>55</v>
      </c>
      <c r="D270" s="20"/>
      <c r="E270" s="20"/>
      <c r="F270" s="17">
        <f t="shared" ref="F270:F280" si="49">D270+E270</f>
        <v>0</v>
      </c>
      <c r="G270" s="17">
        <v>0</v>
      </c>
      <c r="H270" s="20">
        <f t="shared" ref="H270:H280" si="50">F270*(($H$151)+1)+(IF(G270&lt;101,G270,IF(G270&lt;201,G270/2,IF(G270&lt;=301,G270/3,G270/4))))</f>
        <v>0</v>
      </c>
    </row>
    <row r="271" spans="1:8" hidden="1" x14ac:dyDescent="0.2">
      <c r="A271" s="241">
        <f t="shared" ref="A271:A280" si="51">A270+1</f>
        <v>3</v>
      </c>
      <c r="B271" s="231"/>
      <c r="C271" s="20" t="s">
        <v>55</v>
      </c>
      <c r="D271" s="20"/>
      <c r="E271" s="20"/>
      <c r="F271" s="17">
        <f t="shared" si="49"/>
        <v>0</v>
      </c>
      <c r="G271" s="17">
        <v>0</v>
      </c>
      <c r="H271" s="20">
        <f t="shared" si="50"/>
        <v>0</v>
      </c>
    </row>
    <row r="272" spans="1:8" hidden="1" x14ac:dyDescent="0.2">
      <c r="A272" s="241">
        <f t="shared" si="51"/>
        <v>4</v>
      </c>
      <c r="B272" s="231"/>
      <c r="C272" s="20" t="s">
        <v>55</v>
      </c>
      <c r="D272" s="20"/>
      <c r="E272" s="20"/>
      <c r="F272" s="17">
        <f t="shared" si="49"/>
        <v>0</v>
      </c>
      <c r="G272" s="17">
        <v>0</v>
      </c>
      <c r="H272" s="20">
        <f t="shared" si="50"/>
        <v>0</v>
      </c>
    </row>
    <row r="273" spans="1:8" hidden="1" x14ac:dyDescent="0.2">
      <c r="A273" s="241">
        <f t="shared" si="51"/>
        <v>5</v>
      </c>
      <c r="B273" s="231"/>
      <c r="C273" s="20" t="s">
        <v>55</v>
      </c>
      <c r="D273" s="20"/>
      <c r="E273" s="20"/>
      <c r="F273" s="17">
        <f t="shared" si="49"/>
        <v>0</v>
      </c>
      <c r="G273" s="17">
        <v>0</v>
      </c>
      <c r="H273" s="20">
        <f t="shared" si="50"/>
        <v>0</v>
      </c>
    </row>
    <row r="274" spans="1:8" hidden="1" x14ac:dyDescent="0.2">
      <c r="A274" s="241">
        <f t="shared" si="51"/>
        <v>6</v>
      </c>
      <c r="B274" s="231"/>
      <c r="C274" s="20" t="s">
        <v>55</v>
      </c>
      <c r="D274" s="20"/>
      <c r="E274" s="20"/>
      <c r="F274" s="17">
        <f t="shared" si="49"/>
        <v>0</v>
      </c>
      <c r="G274" s="17">
        <v>0</v>
      </c>
      <c r="H274" s="20">
        <f t="shared" si="50"/>
        <v>0</v>
      </c>
    </row>
    <row r="275" spans="1:8" hidden="1" x14ac:dyDescent="0.2">
      <c r="A275" s="241">
        <f t="shared" si="51"/>
        <v>7</v>
      </c>
      <c r="B275" s="231"/>
      <c r="C275" s="20" t="s">
        <v>55</v>
      </c>
      <c r="D275" s="20"/>
      <c r="E275" s="20"/>
      <c r="F275" s="17">
        <f t="shared" si="49"/>
        <v>0</v>
      </c>
      <c r="G275" s="17">
        <v>0</v>
      </c>
      <c r="H275" s="20">
        <f t="shared" si="50"/>
        <v>0</v>
      </c>
    </row>
    <row r="276" spans="1:8" hidden="1" x14ac:dyDescent="0.2">
      <c r="A276" s="241">
        <f t="shared" si="51"/>
        <v>8</v>
      </c>
      <c r="B276" s="231"/>
      <c r="C276" s="20" t="s">
        <v>55</v>
      </c>
      <c r="D276" s="20"/>
      <c r="E276" s="20"/>
      <c r="F276" s="17">
        <f t="shared" si="49"/>
        <v>0</v>
      </c>
      <c r="G276" s="17">
        <v>0</v>
      </c>
      <c r="H276" s="20">
        <f t="shared" si="50"/>
        <v>0</v>
      </c>
    </row>
    <row r="277" spans="1:8" hidden="1" x14ac:dyDescent="0.2">
      <c r="A277" s="241">
        <f t="shared" si="51"/>
        <v>9</v>
      </c>
      <c r="B277" s="231"/>
      <c r="C277" s="20" t="s">
        <v>55</v>
      </c>
      <c r="D277" s="20"/>
      <c r="E277" s="20"/>
      <c r="F277" s="17">
        <f t="shared" si="49"/>
        <v>0</v>
      </c>
      <c r="G277" s="17">
        <v>0</v>
      </c>
      <c r="H277" s="20">
        <f t="shared" si="50"/>
        <v>0</v>
      </c>
    </row>
    <row r="278" spans="1:8" hidden="1" x14ac:dyDescent="0.2">
      <c r="A278" s="241">
        <f t="shared" si="51"/>
        <v>10</v>
      </c>
      <c r="B278" s="231"/>
      <c r="C278" s="20" t="s">
        <v>55</v>
      </c>
      <c r="D278" s="20"/>
      <c r="E278" s="20"/>
      <c r="F278" s="17">
        <f t="shared" si="49"/>
        <v>0</v>
      </c>
      <c r="G278" s="17">
        <v>0</v>
      </c>
      <c r="H278" s="20">
        <f t="shared" si="50"/>
        <v>0</v>
      </c>
    </row>
    <row r="279" spans="1:8" ht="12.75" hidden="1" customHeight="1" x14ac:dyDescent="0.2">
      <c r="A279" s="241">
        <f t="shared" si="51"/>
        <v>11</v>
      </c>
      <c r="B279" s="231"/>
      <c r="C279" s="20" t="s">
        <v>55</v>
      </c>
      <c r="D279" s="20"/>
      <c r="E279" s="20"/>
      <c r="F279" s="17">
        <f t="shared" si="49"/>
        <v>0</v>
      </c>
      <c r="G279" s="17">
        <v>0</v>
      </c>
      <c r="H279" s="20">
        <f t="shared" si="50"/>
        <v>0</v>
      </c>
    </row>
    <row r="280" spans="1:8" ht="14.25" hidden="1" customHeight="1" x14ac:dyDescent="0.2">
      <c r="A280" s="241">
        <f t="shared" si="51"/>
        <v>12</v>
      </c>
      <c r="B280" s="231"/>
      <c r="C280" s="20" t="s">
        <v>55</v>
      </c>
      <c r="D280" s="20"/>
      <c r="E280" s="20"/>
      <c r="F280" s="17">
        <f t="shared" si="49"/>
        <v>0</v>
      </c>
      <c r="G280" s="17">
        <v>0</v>
      </c>
      <c r="H280" s="20">
        <f t="shared" si="50"/>
        <v>0</v>
      </c>
    </row>
    <row r="281" spans="1:8" ht="14.25" customHeight="1" x14ac:dyDescent="0.2">
      <c r="A281" s="97" t="s">
        <v>114</v>
      </c>
      <c r="B281" s="97"/>
      <c r="C281" s="97"/>
      <c r="D281" s="97"/>
      <c r="E281" s="97"/>
      <c r="F281" s="97"/>
      <c r="G281" s="97"/>
      <c r="H281" s="97"/>
    </row>
    <row r="282" spans="1:8" x14ac:dyDescent="0.2">
      <c r="A282" s="140" t="s">
        <v>115</v>
      </c>
      <c r="B282" s="141"/>
      <c r="C282" s="141"/>
      <c r="D282" s="141"/>
      <c r="E282" s="142"/>
      <c r="F282" s="140">
        <v>10000</v>
      </c>
      <c r="G282" s="141"/>
      <c r="H282" s="142"/>
    </row>
    <row r="283" spans="1:8" x14ac:dyDescent="0.2">
      <c r="A283" s="140" t="s">
        <v>116</v>
      </c>
      <c r="B283" s="141"/>
      <c r="C283" s="141"/>
      <c r="D283" s="141"/>
      <c r="E283" s="142"/>
      <c r="F283" s="248" t="s">
        <v>310</v>
      </c>
      <c r="G283" s="249"/>
      <c r="H283" s="250"/>
    </row>
    <row r="284" spans="1:8" x14ac:dyDescent="0.2">
      <c r="A284" s="97" t="s">
        <v>47</v>
      </c>
      <c r="B284" s="97"/>
      <c r="C284" s="97"/>
      <c r="D284" s="97"/>
      <c r="E284" s="97"/>
      <c r="F284" s="97"/>
      <c r="G284" s="97"/>
      <c r="H284" s="97"/>
    </row>
    <row r="285" spans="1:8" x14ac:dyDescent="0.2">
      <c r="A285" s="22">
        <v>1</v>
      </c>
      <c r="B285" s="98" t="s">
        <v>306</v>
      </c>
      <c r="C285" s="99"/>
      <c r="D285" s="99"/>
      <c r="E285" s="99"/>
      <c r="F285" s="99"/>
      <c r="G285" s="99"/>
      <c r="H285" s="100"/>
    </row>
    <row r="286" spans="1:8" x14ac:dyDescent="0.2">
      <c r="A286" s="22">
        <f t="shared" ref="A286:A298" si="52">A285+1</f>
        <v>2</v>
      </c>
      <c r="B286" s="98" t="s">
        <v>219</v>
      </c>
      <c r="C286" s="99"/>
      <c r="D286" s="99"/>
      <c r="E286" s="99"/>
      <c r="F286" s="99"/>
      <c r="G286" s="99"/>
      <c r="H286" s="100"/>
    </row>
    <row r="287" spans="1:8" hidden="1" x14ac:dyDescent="0.2">
      <c r="A287" s="22">
        <f t="shared" si="52"/>
        <v>3</v>
      </c>
      <c r="B287" s="98" t="s">
        <v>220</v>
      </c>
      <c r="C287" s="99"/>
      <c r="D287" s="99"/>
      <c r="E287" s="99"/>
      <c r="F287" s="99"/>
      <c r="G287" s="99"/>
      <c r="H287" s="100"/>
    </row>
    <row r="288" spans="1:8" ht="12.75" customHeight="1" x14ac:dyDescent="0.2">
      <c r="A288" s="22">
        <v>3</v>
      </c>
      <c r="B288" s="98" t="s">
        <v>221</v>
      </c>
      <c r="C288" s="99"/>
      <c r="D288" s="99"/>
      <c r="E288" s="99"/>
      <c r="F288" s="99"/>
      <c r="G288" s="99"/>
      <c r="H288" s="100"/>
    </row>
    <row r="289" spans="1:8" x14ac:dyDescent="0.2">
      <c r="A289" s="22">
        <f t="shared" si="52"/>
        <v>4</v>
      </c>
      <c r="B289" s="98" t="s">
        <v>304</v>
      </c>
      <c r="C289" s="99"/>
      <c r="D289" s="99"/>
      <c r="E289" s="99"/>
      <c r="F289" s="99"/>
      <c r="G289" s="99"/>
      <c r="H289" s="100"/>
    </row>
    <row r="290" spans="1:8" x14ac:dyDescent="0.2">
      <c r="A290" s="22">
        <f t="shared" si="52"/>
        <v>5</v>
      </c>
      <c r="B290" s="98" t="s">
        <v>226</v>
      </c>
      <c r="C290" s="99"/>
      <c r="D290" s="99"/>
      <c r="E290" s="99"/>
      <c r="F290" s="88">
        <f>H151</f>
        <v>0.5</v>
      </c>
      <c r="G290" s="67"/>
      <c r="H290" s="68"/>
    </row>
    <row r="291" spans="1:8" x14ac:dyDescent="0.2">
      <c r="A291" s="22">
        <f t="shared" si="52"/>
        <v>6</v>
      </c>
      <c r="B291" s="98" t="s">
        <v>222</v>
      </c>
      <c r="C291" s="99"/>
      <c r="D291" s="99"/>
      <c r="E291" s="99"/>
      <c r="F291" s="99"/>
      <c r="G291" s="99"/>
      <c r="H291" s="100"/>
    </row>
    <row r="292" spans="1:8" ht="29.25" customHeight="1" x14ac:dyDescent="0.2">
      <c r="A292" s="22">
        <f t="shared" si="52"/>
        <v>7</v>
      </c>
      <c r="B292" s="98" t="s">
        <v>223</v>
      </c>
      <c r="C292" s="99"/>
      <c r="D292" s="99"/>
      <c r="E292" s="99"/>
      <c r="F292" s="99"/>
      <c r="G292" s="99"/>
      <c r="H292" s="100"/>
    </row>
    <row r="293" spans="1:8" x14ac:dyDescent="0.2">
      <c r="A293" s="22">
        <f t="shared" si="52"/>
        <v>8</v>
      </c>
      <c r="B293" s="98" t="s">
        <v>224</v>
      </c>
      <c r="C293" s="99"/>
      <c r="D293" s="99"/>
      <c r="E293" s="99"/>
      <c r="F293" s="99"/>
      <c r="G293" s="99"/>
      <c r="H293" s="100"/>
    </row>
    <row r="294" spans="1:8" x14ac:dyDescent="0.2">
      <c r="A294" s="22">
        <f t="shared" si="52"/>
        <v>9</v>
      </c>
      <c r="B294" s="98" t="s">
        <v>309</v>
      </c>
      <c r="C294" s="99"/>
      <c r="D294" s="99"/>
      <c r="E294" s="99"/>
      <c r="F294" s="99"/>
      <c r="G294" s="99"/>
      <c r="H294" s="100"/>
    </row>
    <row r="295" spans="1:8" x14ac:dyDescent="0.2">
      <c r="A295" s="22">
        <f t="shared" si="52"/>
        <v>10</v>
      </c>
      <c r="B295" s="98" t="s">
        <v>311</v>
      </c>
      <c r="C295" s="99"/>
      <c r="D295" s="99"/>
      <c r="E295" s="99"/>
      <c r="F295" s="99"/>
      <c r="G295" s="99"/>
      <c r="H295" s="100"/>
    </row>
    <row r="296" spans="1:8" x14ac:dyDescent="0.2">
      <c r="A296" s="22">
        <f t="shared" si="52"/>
        <v>11</v>
      </c>
      <c r="B296" s="98" t="s">
        <v>305</v>
      </c>
      <c r="C296" s="99"/>
      <c r="D296" s="99"/>
      <c r="E296" s="99"/>
      <c r="F296" s="99"/>
      <c r="G296" s="99"/>
      <c r="H296" s="100"/>
    </row>
    <row r="297" spans="1:8" hidden="1" x14ac:dyDescent="0.2">
      <c r="A297" s="22">
        <f t="shared" si="52"/>
        <v>12</v>
      </c>
      <c r="B297" s="98" t="s">
        <v>313</v>
      </c>
      <c r="C297" s="99"/>
      <c r="D297" s="99"/>
      <c r="E297" s="99"/>
      <c r="F297" s="99"/>
      <c r="G297" s="99"/>
      <c r="H297" s="100"/>
    </row>
    <row r="298" spans="1:8" hidden="1" x14ac:dyDescent="0.2">
      <c r="A298" s="22">
        <f t="shared" si="52"/>
        <v>13</v>
      </c>
      <c r="B298" s="101" t="s">
        <v>225</v>
      </c>
      <c r="C298" s="99"/>
      <c r="D298" s="99"/>
      <c r="E298" s="99"/>
      <c r="F298" s="99"/>
      <c r="G298" s="99"/>
      <c r="H298" s="100"/>
    </row>
    <row r="299" spans="1:8" x14ac:dyDescent="0.2">
      <c r="A299" s="95" t="s">
        <v>119</v>
      </c>
      <c r="B299" s="96"/>
      <c r="C299" s="95" t="str">
        <f>C7</f>
        <v>Puraniks Unicorn Phase I &amp; II</v>
      </c>
      <c r="D299" s="106"/>
      <c r="E299" s="106"/>
      <c r="F299" s="106"/>
      <c r="G299" s="106"/>
      <c r="H299" s="96"/>
    </row>
    <row r="300" spans="1:8" x14ac:dyDescent="0.2">
      <c r="A300" s="251"/>
      <c r="B300" s="252"/>
      <c r="C300" s="252"/>
      <c r="D300" s="252"/>
      <c r="E300" s="252"/>
      <c r="F300" s="252"/>
      <c r="G300" s="252"/>
      <c r="H300" s="253"/>
    </row>
    <row r="301" spans="1:8" x14ac:dyDescent="0.2">
      <c r="A301" s="92"/>
      <c r="B301" s="93"/>
      <c r="C301" s="93"/>
      <c r="D301" s="93"/>
      <c r="E301" s="93"/>
      <c r="F301" s="93"/>
      <c r="G301" s="93"/>
      <c r="H301" s="94"/>
    </row>
    <row r="302" spans="1:8" x14ac:dyDescent="0.2">
      <c r="A302" s="92"/>
      <c r="B302" s="93"/>
      <c r="C302" s="93"/>
      <c r="D302" s="93"/>
      <c r="E302" s="93"/>
      <c r="F302" s="93"/>
      <c r="G302" s="93"/>
      <c r="H302" s="94"/>
    </row>
    <row r="303" spans="1:8" x14ac:dyDescent="0.2">
      <c r="A303" s="92"/>
      <c r="B303" s="93"/>
      <c r="C303" s="93"/>
      <c r="D303" s="93"/>
      <c r="E303" s="93"/>
      <c r="F303" s="93"/>
      <c r="G303" s="93"/>
      <c r="H303" s="94"/>
    </row>
    <row r="304" spans="1:8" x14ac:dyDescent="0.2">
      <c r="A304" s="92"/>
      <c r="B304" s="93"/>
      <c r="C304" s="93"/>
      <c r="D304" s="93"/>
      <c r="E304" s="93"/>
      <c r="F304" s="93"/>
      <c r="G304" s="93"/>
      <c r="H304" s="94"/>
    </row>
    <row r="305" spans="1:8" x14ac:dyDescent="0.2">
      <c r="A305" s="92"/>
      <c r="B305" s="93"/>
      <c r="C305" s="93"/>
      <c r="D305" s="93"/>
      <c r="E305" s="93"/>
      <c r="F305" s="93"/>
      <c r="G305" s="93"/>
      <c r="H305" s="94"/>
    </row>
    <row r="306" spans="1:8" x14ac:dyDescent="0.2">
      <c r="A306" s="92"/>
      <c r="B306" s="93"/>
      <c r="C306" s="93"/>
      <c r="D306" s="93"/>
      <c r="E306" s="93"/>
      <c r="F306" s="93"/>
      <c r="G306" s="93"/>
      <c r="H306" s="94"/>
    </row>
    <row r="307" spans="1:8" x14ac:dyDescent="0.2">
      <c r="A307" s="92"/>
      <c r="B307" s="93"/>
      <c r="C307" s="93"/>
      <c r="D307" s="93"/>
      <c r="E307" s="93"/>
      <c r="F307" s="93"/>
      <c r="G307" s="93"/>
      <c r="H307" s="94"/>
    </row>
    <row r="308" spans="1:8" x14ac:dyDescent="0.2">
      <c r="A308" s="92"/>
      <c r="B308" s="93"/>
      <c r="C308" s="93"/>
      <c r="D308" s="93"/>
      <c r="E308" s="93"/>
      <c r="F308" s="93"/>
      <c r="G308" s="93"/>
      <c r="H308" s="94"/>
    </row>
    <row r="309" spans="1:8" x14ac:dyDescent="0.2">
      <c r="A309" s="92"/>
      <c r="B309" s="93"/>
      <c r="C309" s="93"/>
      <c r="D309" s="93"/>
      <c r="E309" s="93"/>
      <c r="F309" s="93"/>
      <c r="G309" s="93"/>
      <c r="H309" s="94"/>
    </row>
    <row r="310" spans="1:8" x14ac:dyDescent="0.2">
      <c r="A310" s="92"/>
      <c r="B310" s="93"/>
      <c r="C310" s="93"/>
      <c r="D310" s="93"/>
      <c r="E310" s="93"/>
      <c r="F310" s="93"/>
      <c r="G310" s="93"/>
      <c r="H310" s="94"/>
    </row>
    <row r="311" spans="1:8" x14ac:dyDescent="0.2">
      <c r="A311" s="92"/>
      <c r="B311" s="93"/>
      <c r="C311" s="93"/>
      <c r="D311" s="93"/>
      <c r="E311" s="93"/>
      <c r="F311" s="93"/>
      <c r="G311" s="93"/>
      <c r="H311" s="94"/>
    </row>
    <row r="312" spans="1:8" x14ac:dyDescent="0.2">
      <c r="A312" s="92"/>
      <c r="B312" s="93"/>
      <c r="C312" s="93"/>
      <c r="D312" s="93"/>
      <c r="E312" s="93"/>
      <c r="F312" s="93"/>
      <c r="G312" s="93"/>
      <c r="H312" s="94"/>
    </row>
    <row r="313" spans="1:8" x14ac:dyDescent="0.2">
      <c r="A313" s="92"/>
      <c r="B313" s="93"/>
      <c r="C313" s="93"/>
      <c r="D313" s="93"/>
      <c r="E313" s="93"/>
      <c r="F313" s="93"/>
      <c r="G313" s="93"/>
      <c r="H313" s="94"/>
    </row>
    <row r="314" spans="1:8" x14ac:dyDescent="0.2">
      <c r="A314" s="92"/>
      <c r="B314" s="93"/>
      <c r="C314" s="93"/>
      <c r="D314" s="93"/>
      <c r="E314" s="93"/>
      <c r="F314" s="93"/>
      <c r="G314" s="93"/>
      <c r="H314" s="94"/>
    </row>
    <row r="315" spans="1:8" x14ac:dyDescent="0.2">
      <c r="A315" s="92"/>
      <c r="B315" s="93"/>
      <c r="C315" s="93"/>
      <c r="D315" s="93"/>
      <c r="E315" s="93"/>
      <c r="F315" s="93"/>
      <c r="G315" s="93"/>
      <c r="H315" s="94"/>
    </row>
    <row r="316" spans="1:8" x14ac:dyDescent="0.2">
      <c r="A316" s="92"/>
      <c r="B316" s="93"/>
      <c r="C316" s="93"/>
      <c r="D316" s="93"/>
      <c r="E316" s="93"/>
      <c r="F316" s="93"/>
      <c r="G316" s="93"/>
      <c r="H316" s="94"/>
    </row>
    <row r="317" spans="1:8" x14ac:dyDescent="0.2">
      <c r="A317" s="92"/>
      <c r="B317" s="93"/>
      <c r="C317" s="93"/>
      <c r="D317" s="93"/>
      <c r="E317" s="93"/>
      <c r="F317" s="93"/>
      <c r="G317" s="93"/>
      <c r="H317" s="94"/>
    </row>
    <row r="318" spans="1:8" x14ac:dyDescent="0.2">
      <c r="A318" s="92"/>
      <c r="B318" s="93"/>
      <c r="C318" s="93"/>
      <c r="D318" s="93"/>
      <c r="E318" s="93"/>
      <c r="F318" s="93"/>
      <c r="G318" s="93"/>
      <c r="H318" s="94"/>
    </row>
    <row r="319" spans="1:8" x14ac:dyDescent="0.2">
      <c r="A319" s="92"/>
      <c r="B319" s="93"/>
      <c r="C319" s="93"/>
      <c r="D319" s="93"/>
      <c r="E319" s="93"/>
      <c r="F319" s="93"/>
      <c r="G319" s="93"/>
      <c r="H319" s="94"/>
    </row>
    <row r="320" spans="1:8" x14ac:dyDescent="0.2">
      <c r="A320" s="92"/>
      <c r="B320" s="93"/>
      <c r="C320" s="93"/>
      <c r="D320" s="93"/>
      <c r="E320" s="93"/>
      <c r="F320" s="93"/>
      <c r="G320" s="93"/>
      <c r="H320" s="94"/>
    </row>
    <row r="321" spans="1:8" x14ac:dyDescent="0.2">
      <c r="A321" s="92"/>
      <c r="B321" s="93"/>
      <c r="C321" s="93"/>
      <c r="D321" s="93"/>
      <c r="E321" s="93"/>
      <c r="F321" s="93"/>
      <c r="G321" s="93"/>
      <c r="H321" s="94"/>
    </row>
    <row r="322" spans="1:8" x14ac:dyDescent="0.2">
      <c r="A322" s="92"/>
      <c r="B322" s="93"/>
      <c r="C322" s="93"/>
      <c r="D322" s="93"/>
      <c r="E322" s="93"/>
      <c r="F322" s="93"/>
      <c r="G322" s="93"/>
      <c r="H322" s="94"/>
    </row>
    <row r="323" spans="1:8" x14ac:dyDescent="0.2">
      <c r="A323" s="92"/>
      <c r="B323" s="93"/>
      <c r="C323" s="93"/>
      <c r="D323" s="93"/>
      <c r="E323" s="93"/>
      <c r="F323" s="93"/>
      <c r="G323" s="93"/>
      <c r="H323" s="94"/>
    </row>
    <row r="324" spans="1:8" x14ac:dyDescent="0.2">
      <c r="A324" s="92"/>
      <c r="B324" s="93"/>
      <c r="C324" s="93"/>
      <c r="D324" s="93"/>
      <c r="E324" s="93"/>
      <c r="F324" s="93"/>
      <c r="G324" s="93"/>
      <c r="H324" s="94"/>
    </row>
    <row r="325" spans="1:8" x14ac:dyDescent="0.2">
      <c r="A325" s="92"/>
      <c r="B325" s="93"/>
      <c r="C325" s="93"/>
      <c r="D325" s="93"/>
      <c r="E325" s="93"/>
      <c r="F325" s="93"/>
      <c r="G325" s="93"/>
      <c r="H325" s="94"/>
    </row>
    <row r="326" spans="1:8" x14ac:dyDescent="0.2">
      <c r="A326" s="92"/>
      <c r="B326" s="93"/>
      <c r="C326" s="93"/>
      <c r="D326" s="93"/>
      <c r="E326" s="93"/>
      <c r="F326" s="93"/>
      <c r="G326" s="93"/>
      <c r="H326" s="94"/>
    </row>
    <row r="327" spans="1:8" x14ac:dyDescent="0.2">
      <c r="A327" s="92"/>
      <c r="B327" s="93"/>
      <c r="C327" s="93"/>
      <c r="D327" s="93"/>
      <c r="E327" s="93"/>
      <c r="F327" s="93"/>
      <c r="G327" s="93"/>
      <c r="H327" s="94"/>
    </row>
    <row r="328" spans="1:8" x14ac:dyDescent="0.2">
      <c r="A328" s="92"/>
      <c r="B328" s="93"/>
      <c r="C328" s="93"/>
      <c r="D328" s="93"/>
      <c r="E328" s="93"/>
      <c r="F328" s="93"/>
      <c r="G328" s="93"/>
      <c r="H328" s="94"/>
    </row>
    <row r="329" spans="1:8" x14ac:dyDescent="0.2">
      <c r="A329" s="92"/>
      <c r="B329" s="93"/>
      <c r="C329" s="93"/>
      <c r="D329" s="93"/>
      <c r="E329" s="93"/>
      <c r="F329" s="93"/>
      <c r="G329" s="93"/>
      <c r="H329" s="94"/>
    </row>
    <row r="330" spans="1:8" x14ac:dyDescent="0.2">
      <c r="A330" s="92"/>
      <c r="B330" s="93"/>
      <c r="C330" s="93"/>
      <c r="D330" s="93"/>
      <c r="E330" s="93"/>
      <c r="F330" s="93"/>
      <c r="G330" s="93"/>
      <c r="H330" s="94"/>
    </row>
    <row r="331" spans="1:8" x14ac:dyDescent="0.2">
      <c r="A331" s="92"/>
      <c r="B331" s="93"/>
      <c r="C331" s="93"/>
      <c r="D331" s="93"/>
      <c r="E331" s="93"/>
      <c r="F331" s="93"/>
      <c r="G331" s="93"/>
      <c r="H331" s="94"/>
    </row>
    <row r="332" spans="1:8" x14ac:dyDescent="0.2">
      <c r="A332" s="92"/>
      <c r="B332" s="93"/>
      <c r="C332" s="93"/>
      <c r="D332" s="93"/>
      <c r="E332" s="93"/>
      <c r="F332" s="93"/>
      <c r="G332" s="93"/>
      <c r="H332" s="94"/>
    </row>
    <row r="333" spans="1:8" x14ac:dyDescent="0.2">
      <c r="A333" s="92"/>
      <c r="B333" s="93"/>
      <c r="C333" s="93"/>
      <c r="D333" s="93"/>
      <c r="E333" s="93"/>
      <c r="F333" s="93"/>
      <c r="G333" s="93"/>
      <c r="H333" s="94"/>
    </row>
    <row r="334" spans="1:8" x14ac:dyDescent="0.2">
      <c r="A334" s="92"/>
      <c r="B334" s="93"/>
      <c r="C334" s="93"/>
      <c r="D334" s="93"/>
      <c r="E334" s="93"/>
      <c r="F334" s="93"/>
      <c r="G334" s="93"/>
      <c r="H334" s="94"/>
    </row>
    <row r="335" spans="1:8" x14ac:dyDescent="0.2">
      <c r="A335" s="92"/>
      <c r="B335" s="93"/>
      <c r="C335" s="93"/>
      <c r="D335" s="93"/>
      <c r="E335" s="93"/>
      <c r="F335" s="93"/>
      <c r="G335" s="93"/>
      <c r="H335" s="94"/>
    </row>
    <row r="336" spans="1:8" x14ac:dyDescent="0.2">
      <c r="A336" s="92"/>
      <c r="B336" s="93"/>
      <c r="C336" s="93"/>
      <c r="D336" s="93"/>
      <c r="E336" s="93"/>
      <c r="F336" s="93"/>
      <c r="G336" s="93"/>
      <c r="H336" s="94"/>
    </row>
    <row r="337" spans="1:8" x14ac:dyDescent="0.2">
      <c r="A337" s="92"/>
      <c r="B337" s="93"/>
      <c r="C337" s="93"/>
      <c r="D337" s="93"/>
      <c r="E337" s="93"/>
      <c r="F337" s="93"/>
      <c r="G337" s="93"/>
      <c r="H337" s="94"/>
    </row>
    <row r="338" spans="1:8" x14ac:dyDescent="0.2">
      <c r="A338" s="92"/>
      <c r="B338" s="93"/>
      <c r="C338" s="93"/>
      <c r="D338" s="93"/>
      <c r="E338" s="93"/>
      <c r="F338" s="93"/>
      <c r="G338" s="93"/>
      <c r="H338" s="94"/>
    </row>
    <row r="339" spans="1:8" x14ac:dyDescent="0.2">
      <c r="A339" s="92"/>
      <c r="B339" s="93"/>
      <c r="C339" s="93"/>
      <c r="D339" s="93"/>
      <c r="E339" s="93"/>
      <c r="F339" s="93"/>
      <c r="G339" s="93"/>
      <c r="H339" s="94"/>
    </row>
    <row r="340" spans="1:8" x14ac:dyDescent="0.2">
      <c r="A340" s="92"/>
      <c r="B340" s="93"/>
      <c r="C340" s="93"/>
      <c r="D340" s="93"/>
      <c r="E340" s="93"/>
      <c r="F340" s="93"/>
      <c r="G340" s="93"/>
      <c r="H340" s="94"/>
    </row>
    <row r="341" spans="1:8" x14ac:dyDescent="0.2">
      <c r="A341" s="92"/>
      <c r="B341" s="93"/>
      <c r="C341" s="93"/>
      <c r="D341" s="93"/>
      <c r="E341" s="93"/>
      <c r="F341" s="93"/>
      <c r="G341" s="93"/>
      <c r="H341" s="94"/>
    </row>
    <row r="342" spans="1:8" x14ac:dyDescent="0.2">
      <c r="A342" s="92"/>
      <c r="B342" s="93"/>
      <c r="C342" s="93"/>
      <c r="D342" s="93"/>
      <c r="E342" s="93"/>
      <c r="F342" s="93"/>
      <c r="G342" s="93"/>
      <c r="H342" s="94"/>
    </row>
    <row r="343" spans="1:8" x14ac:dyDescent="0.2">
      <c r="A343" s="92"/>
      <c r="B343" s="93"/>
      <c r="C343" s="93"/>
      <c r="D343" s="93"/>
      <c r="E343" s="93"/>
      <c r="F343" s="93"/>
      <c r="G343" s="93"/>
      <c r="H343" s="94"/>
    </row>
    <row r="344" spans="1:8" x14ac:dyDescent="0.2">
      <c r="A344" s="92"/>
      <c r="B344" s="93"/>
      <c r="C344" s="93"/>
      <c r="D344" s="93"/>
      <c r="E344" s="93"/>
      <c r="F344" s="93"/>
      <c r="G344" s="93"/>
      <c r="H344" s="94"/>
    </row>
    <row r="345" spans="1:8" x14ac:dyDescent="0.2">
      <c r="A345" s="92"/>
      <c r="B345" s="93"/>
      <c r="C345" s="93"/>
      <c r="D345" s="93"/>
      <c r="E345" s="93"/>
      <c r="F345" s="93"/>
      <c r="G345" s="93"/>
      <c r="H345" s="94"/>
    </row>
    <row r="346" spans="1:8" x14ac:dyDescent="0.2">
      <c r="A346" s="92"/>
      <c r="B346" s="93"/>
      <c r="C346" s="93"/>
      <c r="D346" s="93"/>
      <c r="E346" s="93"/>
      <c r="F346" s="93"/>
      <c r="G346" s="93"/>
      <c r="H346" s="94"/>
    </row>
    <row r="347" spans="1:8" x14ac:dyDescent="0.2">
      <c r="A347" s="92"/>
      <c r="B347" s="93"/>
      <c r="C347" s="93"/>
      <c r="D347" s="93"/>
      <c r="E347" s="93"/>
      <c r="F347" s="93"/>
      <c r="G347" s="93"/>
      <c r="H347" s="94"/>
    </row>
    <row r="348" spans="1:8" x14ac:dyDescent="0.2">
      <c r="A348" s="92"/>
      <c r="B348" s="93"/>
      <c r="C348" s="93"/>
      <c r="D348" s="93"/>
      <c r="E348" s="93"/>
      <c r="F348" s="93"/>
      <c r="G348" s="93"/>
      <c r="H348" s="94"/>
    </row>
    <row r="349" spans="1:8" x14ac:dyDescent="0.2">
      <c r="A349" s="92"/>
      <c r="B349" s="93"/>
      <c r="C349" s="93"/>
      <c r="D349" s="93"/>
      <c r="E349" s="93"/>
      <c r="F349" s="93"/>
      <c r="G349" s="93"/>
      <c r="H349" s="94"/>
    </row>
    <row r="350" spans="1:8" x14ac:dyDescent="0.2">
      <c r="A350" s="92"/>
      <c r="B350" s="93"/>
      <c r="C350" s="93"/>
      <c r="D350" s="93"/>
      <c r="E350" s="93"/>
      <c r="F350" s="93"/>
      <c r="G350" s="93"/>
      <c r="H350" s="94"/>
    </row>
    <row r="351" spans="1:8" x14ac:dyDescent="0.2">
      <c r="A351" s="92"/>
      <c r="B351" s="93"/>
      <c r="C351" s="93"/>
      <c r="D351" s="93"/>
      <c r="E351" s="93"/>
      <c r="F351" s="93"/>
      <c r="G351" s="93"/>
      <c r="H351" s="94"/>
    </row>
    <row r="352" spans="1:8" ht="12.75" customHeight="1" x14ac:dyDescent="0.2">
      <c r="A352" s="95" t="s">
        <v>143</v>
      </c>
      <c r="B352" s="96"/>
      <c r="C352" s="95"/>
      <c r="D352" s="106"/>
      <c r="E352" s="106"/>
      <c r="F352" s="106"/>
      <c r="G352" s="106"/>
      <c r="H352" s="96"/>
    </row>
    <row r="353" spans="1:8" x14ac:dyDescent="0.2">
      <c r="A353" s="92"/>
      <c r="B353" s="93"/>
      <c r="C353" s="93"/>
      <c r="D353" s="93"/>
      <c r="E353" s="93"/>
      <c r="F353" s="93"/>
      <c r="G353" s="93"/>
      <c r="H353" s="94"/>
    </row>
    <row r="354" spans="1:8" x14ac:dyDescent="0.2">
      <c r="A354" s="92"/>
      <c r="B354" s="93"/>
      <c r="C354" s="93"/>
      <c r="D354" s="93"/>
      <c r="E354" s="93"/>
      <c r="F354" s="93"/>
      <c r="G354" s="93"/>
      <c r="H354" s="94"/>
    </row>
    <row r="355" spans="1:8" x14ac:dyDescent="0.2">
      <c r="A355" s="92"/>
      <c r="B355" s="93"/>
      <c r="C355" s="93"/>
      <c r="D355" s="93"/>
      <c r="E355" s="93"/>
      <c r="F355" s="93"/>
      <c r="G355" s="93"/>
      <c r="H355" s="94"/>
    </row>
    <row r="356" spans="1:8" x14ac:dyDescent="0.2">
      <c r="A356" s="92"/>
      <c r="B356" s="93"/>
      <c r="C356" s="93"/>
      <c r="D356" s="93"/>
      <c r="E356" s="93"/>
      <c r="F356" s="93"/>
      <c r="G356" s="93"/>
      <c r="H356" s="94"/>
    </row>
    <row r="357" spans="1:8" x14ac:dyDescent="0.2">
      <c r="A357" s="92"/>
      <c r="B357" s="93"/>
      <c r="C357" s="93"/>
      <c r="D357" s="93"/>
      <c r="E357" s="93"/>
      <c r="F357" s="93"/>
      <c r="G357" s="93"/>
      <c r="H357" s="94"/>
    </row>
    <row r="358" spans="1:8" x14ac:dyDescent="0.2">
      <c r="A358" s="92"/>
      <c r="B358" s="93"/>
      <c r="C358" s="93"/>
      <c r="D358" s="93"/>
      <c r="E358" s="93"/>
      <c r="F358" s="93"/>
      <c r="G358" s="93"/>
      <c r="H358" s="94"/>
    </row>
    <row r="359" spans="1:8" x14ac:dyDescent="0.2">
      <c r="A359" s="92"/>
      <c r="B359" s="93"/>
      <c r="C359" s="93"/>
      <c r="D359" s="93"/>
      <c r="E359" s="93"/>
      <c r="F359" s="93"/>
      <c r="G359" s="93"/>
      <c r="H359" s="94"/>
    </row>
    <row r="360" spans="1:8" x14ac:dyDescent="0.2">
      <c r="A360" s="92"/>
      <c r="B360" s="93"/>
      <c r="C360" s="93"/>
      <c r="D360" s="93"/>
      <c r="E360" s="93"/>
      <c r="F360" s="93"/>
      <c r="G360" s="93"/>
      <c r="H360" s="94"/>
    </row>
    <row r="361" spans="1:8" x14ac:dyDescent="0.2">
      <c r="A361" s="92"/>
      <c r="B361" s="93"/>
      <c r="C361" s="93"/>
      <c r="D361" s="93"/>
      <c r="E361" s="93"/>
      <c r="F361" s="93"/>
      <c r="G361" s="93"/>
      <c r="H361" s="94"/>
    </row>
    <row r="362" spans="1:8" x14ac:dyDescent="0.2">
      <c r="A362" s="92"/>
      <c r="B362" s="93"/>
      <c r="C362" s="93"/>
      <c r="D362" s="93"/>
      <c r="E362" s="93"/>
      <c r="F362" s="93"/>
      <c r="G362" s="93"/>
      <c r="H362" s="94"/>
    </row>
    <row r="363" spans="1:8" x14ac:dyDescent="0.2">
      <c r="A363" s="92"/>
      <c r="B363" s="93"/>
      <c r="C363" s="93"/>
      <c r="D363" s="93"/>
      <c r="E363" s="93"/>
      <c r="F363" s="93"/>
      <c r="G363" s="93"/>
      <c r="H363" s="94"/>
    </row>
    <row r="364" spans="1:8" x14ac:dyDescent="0.2">
      <c r="A364" s="92"/>
      <c r="B364" s="93"/>
      <c r="C364" s="93"/>
      <c r="D364" s="93"/>
      <c r="E364" s="93"/>
      <c r="F364" s="93"/>
      <c r="G364" s="93"/>
      <c r="H364" s="94"/>
    </row>
    <row r="365" spans="1:8" x14ac:dyDescent="0.2">
      <c r="A365" s="92"/>
      <c r="B365" s="93"/>
      <c r="C365" s="93"/>
      <c r="D365" s="93"/>
      <c r="E365" s="93"/>
      <c r="F365" s="93"/>
      <c r="G365" s="93"/>
      <c r="H365" s="94"/>
    </row>
    <row r="366" spans="1:8" x14ac:dyDescent="0.2">
      <c r="A366" s="92"/>
      <c r="B366" s="93"/>
      <c r="C366" s="93"/>
      <c r="D366" s="93"/>
      <c r="E366" s="93"/>
      <c r="F366" s="93"/>
      <c r="G366" s="93"/>
      <c r="H366" s="94"/>
    </row>
    <row r="367" spans="1:8" x14ac:dyDescent="0.2">
      <c r="A367" s="92"/>
      <c r="B367" s="93"/>
      <c r="C367" s="93"/>
      <c r="D367" s="93"/>
      <c r="E367" s="93"/>
      <c r="F367" s="93"/>
      <c r="G367" s="93"/>
      <c r="H367" s="94"/>
    </row>
    <row r="368" spans="1:8" x14ac:dyDescent="0.2">
      <c r="A368" s="92"/>
      <c r="B368" s="93"/>
      <c r="C368" s="93"/>
      <c r="D368" s="93"/>
      <c r="E368" s="93"/>
      <c r="F368" s="93"/>
      <c r="G368" s="93"/>
      <c r="H368" s="94"/>
    </row>
    <row r="369" spans="1:8" x14ac:dyDescent="0.2">
      <c r="A369" s="92"/>
      <c r="B369" s="93"/>
      <c r="C369" s="93"/>
      <c r="D369" s="93"/>
      <c r="E369" s="93"/>
      <c r="F369" s="93"/>
      <c r="G369" s="93"/>
      <c r="H369" s="94"/>
    </row>
    <row r="370" spans="1:8" x14ac:dyDescent="0.2">
      <c r="A370" s="92"/>
      <c r="B370" s="93"/>
      <c r="C370" s="93"/>
      <c r="D370" s="93"/>
      <c r="E370" s="93"/>
      <c r="F370" s="93"/>
      <c r="G370" s="93"/>
      <c r="H370" s="94"/>
    </row>
    <row r="371" spans="1:8" x14ac:dyDescent="0.2">
      <c r="A371" s="92"/>
      <c r="B371" s="93"/>
      <c r="C371" s="93"/>
      <c r="D371" s="93"/>
      <c r="E371" s="93"/>
      <c r="F371" s="93"/>
      <c r="G371" s="93"/>
      <c r="H371" s="94"/>
    </row>
    <row r="372" spans="1:8" x14ac:dyDescent="0.2">
      <c r="A372" s="92"/>
      <c r="B372" s="93"/>
      <c r="C372" s="93"/>
      <c r="D372" s="93"/>
      <c r="E372" s="93"/>
      <c r="F372" s="93"/>
      <c r="G372" s="93"/>
      <c r="H372" s="94"/>
    </row>
    <row r="373" spans="1:8" x14ac:dyDescent="0.2">
      <c r="A373" s="92"/>
      <c r="B373" s="93"/>
      <c r="C373" s="93"/>
      <c r="D373" s="93"/>
      <c r="E373" s="93"/>
      <c r="F373" s="93"/>
      <c r="G373" s="93"/>
      <c r="H373" s="94"/>
    </row>
    <row r="374" spans="1:8" x14ac:dyDescent="0.2">
      <c r="A374" s="92"/>
      <c r="B374" s="93"/>
      <c r="C374" s="93"/>
      <c r="D374" s="93"/>
      <c r="E374" s="93"/>
      <c r="F374" s="93"/>
      <c r="G374" s="93"/>
      <c r="H374" s="94"/>
    </row>
    <row r="375" spans="1:8" x14ac:dyDescent="0.2">
      <c r="A375" s="92"/>
      <c r="B375" s="93"/>
      <c r="C375" s="93"/>
      <c r="D375" s="93"/>
      <c r="E375" s="93"/>
      <c r="F375" s="93"/>
      <c r="G375" s="93"/>
      <c r="H375" s="94"/>
    </row>
    <row r="376" spans="1:8" x14ac:dyDescent="0.2">
      <c r="A376" s="92"/>
      <c r="B376" s="93"/>
      <c r="C376" s="93"/>
      <c r="D376" s="93"/>
      <c r="E376" s="93"/>
      <c r="F376" s="93"/>
      <c r="G376" s="93"/>
      <c r="H376" s="94"/>
    </row>
    <row r="377" spans="1:8" x14ac:dyDescent="0.2">
      <c r="A377" s="92"/>
      <c r="B377" s="93"/>
      <c r="C377" s="93"/>
      <c r="D377" s="93"/>
      <c r="E377" s="93"/>
      <c r="F377" s="93"/>
      <c r="G377" s="93"/>
      <c r="H377" s="94"/>
    </row>
    <row r="378" spans="1:8" x14ac:dyDescent="0.2">
      <c r="A378" s="92"/>
      <c r="B378" s="93"/>
      <c r="C378" s="93"/>
      <c r="D378" s="93"/>
      <c r="E378" s="93"/>
      <c r="F378" s="93"/>
      <c r="G378" s="93"/>
      <c r="H378" s="94"/>
    </row>
    <row r="379" spans="1:8" x14ac:dyDescent="0.2">
      <c r="A379" s="92"/>
      <c r="B379" s="93"/>
      <c r="C379" s="93"/>
      <c r="D379" s="93"/>
      <c r="E379" s="93"/>
      <c r="F379" s="93"/>
      <c r="G379" s="93"/>
      <c r="H379" s="94"/>
    </row>
    <row r="380" spans="1:8" x14ac:dyDescent="0.2">
      <c r="A380" s="92"/>
      <c r="B380" s="93"/>
      <c r="C380" s="93"/>
      <c r="D380" s="93"/>
      <c r="E380" s="93"/>
      <c r="F380" s="93"/>
      <c r="G380" s="93"/>
      <c r="H380" s="94"/>
    </row>
    <row r="381" spans="1:8" x14ac:dyDescent="0.2">
      <c r="A381" s="92"/>
      <c r="B381" s="93"/>
      <c r="C381" s="93"/>
      <c r="D381" s="93"/>
      <c r="E381" s="93"/>
      <c r="F381" s="93"/>
      <c r="G381" s="93"/>
      <c r="H381" s="94"/>
    </row>
    <row r="382" spans="1:8" x14ac:dyDescent="0.2">
      <c r="A382" s="92"/>
      <c r="B382" s="93"/>
      <c r="C382" s="93"/>
      <c r="D382" s="93"/>
      <c r="E382" s="93"/>
      <c r="F382" s="93"/>
      <c r="G382" s="93"/>
      <c r="H382" s="94"/>
    </row>
    <row r="383" spans="1:8" x14ac:dyDescent="0.2">
      <c r="A383" s="92"/>
      <c r="B383" s="93"/>
      <c r="C383" s="93"/>
      <c r="D383" s="93"/>
      <c r="E383" s="93"/>
      <c r="F383" s="93"/>
      <c r="G383" s="93"/>
      <c r="H383" s="94"/>
    </row>
    <row r="384" spans="1:8" x14ac:dyDescent="0.2">
      <c r="A384" s="92"/>
      <c r="B384" s="93"/>
      <c r="C384" s="93"/>
      <c r="D384" s="93"/>
      <c r="E384" s="93"/>
      <c r="F384" s="93"/>
      <c r="G384" s="93"/>
      <c r="H384" s="94"/>
    </row>
    <row r="385" spans="1:8" x14ac:dyDescent="0.2">
      <c r="A385" s="92"/>
      <c r="B385" s="93"/>
      <c r="C385" s="93"/>
      <c r="D385" s="93"/>
      <c r="E385" s="93"/>
      <c r="F385" s="93"/>
      <c r="G385" s="93"/>
      <c r="H385" s="94"/>
    </row>
    <row r="386" spans="1:8" x14ac:dyDescent="0.2">
      <c r="A386" s="92"/>
      <c r="B386" s="93"/>
      <c r="C386" s="93"/>
      <c r="D386" s="93"/>
      <c r="E386" s="93"/>
      <c r="F386" s="93"/>
      <c r="G386" s="93"/>
      <c r="H386" s="94"/>
    </row>
    <row r="387" spans="1:8" x14ac:dyDescent="0.2">
      <c r="A387" s="92"/>
      <c r="B387" s="93"/>
      <c r="C387" s="93"/>
      <c r="D387" s="93"/>
      <c r="E387" s="93"/>
      <c r="F387" s="93"/>
      <c r="G387" s="93"/>
      <c r="H387" s="94"/>
    </row>
    <row r="388" spans="1:8" x14ac:dyDescent="0.2">
      <c r="A388" s="92"/>
      <c r="B388" s="93"/>
      <c r="C388" s="93"/>
      <c r="D388" s="93"/>
      <c r="E388" s="93"/>
      <c r="F388" s="93"/>
      <c r="G388" s="93"/>
      <c r="H388" s="94"/>
    </row>
    <row r="389" spans="1:8" x14ac:dyDescent="0.2">
      <c r="A389" s="92"/>
      <c r="B389" s="93"/>
      <c r="C389" s="93"/>
      <c r="D389" s="93"/>
      <c r="E389" s="93"/>
      <c r="F389" s="93"/>
      <c r="G389" s="93"/>
      <c r="H389" s="94"/>
    </row>
    <row r="390" spans="1:8" x14ac:dyDescent="0.2">
      <c r="A390" s="92"/>
      <c r="B390" s="93"/>
      <c r="C390" s="93"/>
      <c r="D390" s="93"/>
      <c r="E390" s="93"/>
      <c r="F390" s="93"/>
      <c r="G390" s="93"/>
      <c r="H390" s="94"/>
    </row>
    <row r="391" spans="1:8" x14ac:dyDescent="0.2">
      <c r="A391" s="92"/>
      <c r="B391" s="93"/>
      <c r="C391" s="93"/>
      <c r="D391" s="93"/>
      <c r="E391" s="93"/>
      <c r="F391" s="93"/>
      <c r="G391" s="93"/>
      <c r="H391" s="94"/>
    </row>
    <row r="392" spans="1:8" x14ac:dyDescent="0.2">
      <c r="A392" s="92"/>
      <c r="B392" s="93"/>
      <c r="C392" s="93"/>
      <c r="D392" s="93"/>
      <c r="E392" s="93"/>
      <c r="F392" s="93"/>
      <c r="G392" s="93"/>
      <c r="H392" s="94"/>
    </row>
    <row r="393" spans="1:8" x14ac:dyDescent="0.2">
      <c r="A393" s="92"/>
      <c r="B393" s="93"/>
      <c r="C393" s="93"/>
      <c r="D393" s="93"/>
      <c r="E393" s="93"/>
      <c r="F393" s="93"/>
      <c r="G393" s="93"/>
      <c r="H393" s="94"/>
    </row>
    <row r="394" spans="1:8" x14ac:dyDescent="0.2">
      <c r="A394" s="92"/>
      <c r="B394" s="93"/>
      <c r="C394" s="93"/>
      <c r="D394" s="93"/>
      <c r="E394" s="93"/>
      <c r="F394" s="93"/>
      <c r="G394" s="93"/>
      <c r="H394" s="94"/>
    </row>
    <row r="395" spans="1:8" x14ac:dyDescent="0.2">
      <c r="A395" s="92"/>
      <c r="B395" s="93"/>
      <c r="C395" s="93"/>
      <c r="D395" s="93"/>
      <c r="E395" s="93"/>
      <c r="F395" s="93"/>
      <c r="G395" s="93"/>
      <c r="H395" s="94"/>
    </row>
    <row r="396" spans="1:8" x14ac:dyDescent="0.2">
      <c r="A396" s="92"/>
      <c r="B396" s="93"/>
      <c r="C396" s="93"/>
      <c r="D396" s="93"/>
      <c r="E396" s="93"/>
      <c r="F396" s="93"/>
      <c r="G396" s="93"/>
      <c r="H396" s="94"/>
    </row>
    <row r="397" spans="1:8" x14ac:dyDescent="0.2">
      <c r="A397" s="92"/>
      <c r="B397" s="93"/>
      <c r="C397" s="93"/>
      <c r="D397" s="93"/>
      <c r="E397" s="93"/>
      <c r="F397" s="93"/>
      <c r="G397" s="93"/>
      <c r="H397" s="94"/>
    </row>
    <row r="398" spans="1:8" x14ac:dyDescent="0.2">
      <c r="A398" s="92"/>
      <c r="B398" s="93"/>
      <c r="C398" s="93"/>
      <c r="D398" s="93"/>
      <c r="E398" s="93"/>
      <c r="F398" s="93"/>
      <c r="G398" s="93"/>
      <c r="H398" s="94"/>
    </row>
    <row r="399" spans="1:8" x14ac:dyDescent="0.2">
      <c r="A399" s="92"/>
      <c r="B399" s="93"/>
      <c r="C399" s="93"/>
      <c r="D399" s="93"/>
      <c r="E399" s="93"/>
      <c r="F399" s="93"/>
      <c r="G399" s="93"/>
      <c r="H399" s="94"/>
    </row>
    <row r="400" spans="1:8" x14ac:dyDescent="0.2">
      <c r="A400" s="92"/>
      <c r="B400" s="93"/>
      <c r="C400" s="93"/>
      <c r="D400" s="93"/>
      <c r="E400" s="93"/>
      <c r="F400" s="93"/>
      <c r="G400" s="93"/>
      <c r="H400" s="94"/>
    </row>
    <row r="401" spans="1:8" x14ac:dyDescent="0.2">
      <c r="A401" s="92"/>
      <c r="B401" s="93"/>
      <c r="C401" s="93"/>
      <c r="D401" s="93"/>
      <c r="E401" s="93"/>
      <c r="F401" s="93"/>
      <c r="G401" s="93"/>
      <c r="H401" s="94"/>
    </row>
    <row r="402" spans="1:8" x14ac:dyDescent="0.2">
      <c r="A402" s="92"/>
      <c r="B402" s="93"/>
      <c r="C402" s="93"/>
      <c r="D402" s="93"/>
      <c r="E402" s="93"/>
      <c r="F402" s="93"/>
      <c r="G402" s="93"/>
      <c r="H402" s="94"/>
    </row>
    <row r="403" spans="1:8" x14ac:dyDescent="0.2">
      <c r="A403" s="92"/>
      <c r="B403" s="93"/>
      <c r="C403" s="93"/>
      <c r="D403" s="93"/>
      <c r="E403" s="93"/>
      <c r="F403" s="93"/>
      <c r="G403" s="93"/>
      <c r="H403" s="94"/>
    </row>
    <row r="404" spans="1:8" x14ac:dyDescent="0.2">
      <c r="A404" s="92"/>
      <c r="B404" s="93"/>
      <c r="C404" s="93"/>
      <c r="D404" s="93"/>
      <c r="E404" s="93"/>
      <c r="F404" s="93"/>
      <c r="G404" s="93"/>
      <c r="H404" s="94"/>
    </row>
    <row r="405" spans="1:8" x14ac:dyDescent="0.2">
      <c r="A405" s="255"/>
      <c r="B405" s="256"/>
      <c r="C405" s="256"/>
      <c r="D405" s="256"/>
      <c r="E405" s="256"/>
      <c r="F405" s="256"/>
      <c r="G405" s="256"/>
      <c r="H405" s="257"/>
    </row>
    <row r="406" spans="1:8" x14ac:dyDescent="0.2">
      <c r="A406" s="95" t="s">
        <v>120</v>
      </c>
      <c r="B406" s="96"/>
      <c r="C406" s="89"/>
      <c r="D406" s="90"/>
      <c r="E406" s="90"/>
      <c r="F406" s="90"/>
      <c r="G406" s="90"/>
      <c r="H406" s="91"/>
    </row>
    <row r="407" spans="1:8" x14ac:dyDescent="0.2">
      <c r="A407" s="92"/>
      <c r="B407" s="93"/>
      <c r="C407" s="93"/>
      <c r="D407" s="93"/>
      <c r="E407" s="93"/>
      <c r="F407" s="93"/>
      <c r="G407" s="93"/>
      <c r="H407" s="94"/>
    </row>
    <row r="408" spans="1:8" x14ac:dyDescent="0.2">
      <c r="A408" s="92"/>
      <c r="B408" s="93"/>
      <c r="C408" s="93"/>
      <c r="D408" s="93"/>
      <c r="E408" s="93"/>
      <c r="F408" s="93"/>
      <c r="G408" s="93"/>
      <c r="H408" s="94"/>
    </row>
    <row r="409" spans="1:8" x14ac:dyDescent="0.2">
      <c r="A409" s="92"/>
      <c r="B409" s="93"/>
      <c r="C409" s="93"/>
      <c r="D409" s="93"/>
      <c r="E409" s="93"/>
      <c r="F409" s="93"/>
      <c r="G409" s="93"/>
      <c r="H409" s="94"/>
    </row>
    <row r="410" spans="1:8" x14ac:dyDescent="0.2">
      <c r="A410" s="92"/>
      <c r="B410" s="93"/>
      <c r="C410" s="93"/>
      <c r="D410" s="93"/>
      <c r="E410" s="93"/>
      <c r="F410" s="93"/>
      <c r="G410" s="93"/>
      <c r="H410" s="94"/>
    </row>
    <row r="411" spans="1:8" x14ac:dyDescent="0.2">
      <c r="A411" s="92"/>
      <c r="B411" s="93"/>
      <c r="C411" s="93"/>
      <c r="D411" s="93"/>
      <c r="E411" s="93"/>
      <c r="F411" s="93"/>
      <c r="G411" s="93"/>
      <c r="H411" s="94"/>
    </row>
    <row r="412" spans="1:8" x14ac:dyDescent="0.2">
      <c r="A412" s="92"/>
      <c r="B412" s="93"/>
      <c r="C412" s="93"/>
      <c r="D412" s="93"/>
      <c r="E412" s="93"/>
      <c r="F412" s="93"/>
      <c r="G412" s="93"/>
      <c r="H412" s="94"/>
    </row>
    <row r="413" spans="1:8" x14ac:dyDescent="0.2">
      <c r="A413" s="92"/>
      <c r="B413" s="93"/>
      <c r="C413" s="93"/>
      <c r="D413" s="93"/>
      <c r="E413" s="93"/>
      <c r="F413" s="93"/>
      <c r="G413" s="93"/>
      <c r="H413" s="94"/>
    </row>
    <row r="414" spans="1:8" x14ac:dyDescent="0.2">
      <c r="A414" s="92"/>
      <c r="B414" s="93"/>
      <c r="C414" s="93"/>
      <c r="D414" s="93"/>
      <c r="E414" s="93"/>
      <c r="F414" s="93"/>
      <c r="G414" s="93"/>
      <c r="H414" s="94"/>
    </row>
    <row r="415" spans="1:8" x14ac:dyDescent="0.2">
      <c r="A415" s="92"/>
      <c r="B415" s="93"/>
      <c r="C415" s="93"/>
      <c r="D415" s="93"/>
      <c r="E415" s="93"/>
      <c r="F415" s="93"/>
      <c r="G415" s="93"/>
      <c r="H415" s="94"/>
    </row>
    <row r="416" spans="1:8" x14ac:dyDescent="0.2">
      <c r="A416" s="92"/>
      <c r="B416" s="93"/>
      <c r="C416" s="93"/>
      <c r="D416" s="93"/>
      <c r="E416" s="93"/>
      <c r="F416" s="93"/>
      <c r="G416" s="93"/>
      <c r="H416" s="94"/>
    </row>
    <row r="417" spans="1:8" x14ac:dyDescent="0.2">
      <c r="A417" s="92"/>
      <c r="B417" s="93"/>
      <c r="C417" s="93"/>
      <c r="D417" s="93"/>
      <c r="E417" s="93"/>
      <c r="F417" s="93"/>
      <c r="G417" s="93"/>
      <c r="H417" s="94"/>
    </row>
    <row r="418" spans="1:8" x14ac:dyDescent="0.2">
      <c r="A418" s="92"/>
      <c r="B418" s="93"/>
      <c r="C418" s="93"/>
      <c r="D418" s="93"/>
      <c r="E418" s="93"/>
      <c r="F418" s="93"/>
      <c r="G418" s="93"/>
      <c r="H418" s="94"/>
    </row>
    <row r="419" spans="1:8" x14ac:dyDescent="0.2">
      <c r="A419" s="92"/>
      <c r="B419" s="93"/>
      <c r="C419" s="93"/>
      <c r="D419" s="93"/>
      <c r="E419" s="93"/>
      <c r="F419" s="93"/>
      <c r="G419" s="93"/>
      <c r="H419" s="94"/>
    </row>
    <row r="420" spans="1:8" x14ac:dyDescent="0.2">
      <c r="A420" s="92"/>
      <c r="B420" s="93"/>
      <c r="C420" s="93"/>
      <c r="D420" s="93"/>
      <c r="E420" s="93"/>
      <c r="F420" s="93"/>
      <c r="G420" s="93"/>
      <c r="H420" s="94"/>
    </row>
    <row r="421" spans="1:8" x14ac:dyDescent="0.2">
      <c r="A421" s="92"/>
      <c r="B421" s="93"/>
      <c r="C421" s="93"/>
      <c r="D421" s="93"/>
      <c r="E421" s="93"/>
      <c r="F421" s="93"/>
      <c r="G421" s="93"/>
      <c r="H421" s="94"/>
    </row>
    <row r="422" spans="1:8" x14ac:dyDescent="0.2">
      <c r="A422" s="92"/>
      <c r="B422" s="93"/>
      <c r="C422" s="93"/>
      <c r="D422" s="93"/>
      <c r="E422" s="93"/>
      <c r="F422" s="93"/>
      <c r="G422" s="93"/>
      <c r="H422" s="94"/>
    </row>
    <row r="423" spans="1:8" x14ac:dyDescent="0.2">
      <c r="A423" s="92"/>
      <c r="B423" s="93"/>
      <c r="C423" s="93"/>
      <c r="D423" s="93"/>
      <c r="E423" s="93"/>
      <c r="F423" s="93"/>
      <c r="G423" s="93"/>
      <c r="H423" s="94"/>
    </row>
    <row r="424" spans="1:8" x14ac:dyDescent="0.2">
      <c r="A424" s="92"/>
      <c r="B424" s="93"/>
      <c r="C424" s="93"/>
      <c r="D424" s="93"/>
      <c r="E424" s="93"/>
      <c r="F424" s="93"/>
      <c r="G424" s="93"/>
      <c r="H424" s="94"/>
    </row>
    <row r="425" spans="1:8" x14ac:dyDescent="0.2">
      <c r="A425" s="92"/>
      <c r="B425" s="93"/>
      <c r="C425" s="93"/>
      <c r="D425" s="93"/>
      <c r="E425" s="93"/>
      <c r="F425" s="93"/>
      <c r="G425" s="93"/>
      <c r="H425" s="94"/>
    </row>
    <row r="426" spans="1:8" x14ac:dyDescent="0.2">
      <c r="A426" s="92"/>
      <c r="B426" s="93"/>
      <c r="C426" s="93"/>
      <c r="D426" s="93"/>
      <c r="E426" s="93"/>
      <c r="F426" s="93"/>
      <c r="G426" s="93"/>
      <c r="H426" s="94"/>
    </row>
    <row r="427" spans="1:8" x14ac:dyDescent="0.2">
      <c r="A427" s="92"/>
      <c r="B427" s="93"/>
      <c r="C427" s="93"/>
      <c r="D427" s="93"/>
      <c r="E427" s="93"/>
      <c r="F427" s="93"/>
      <c r="G427" s="93"/>
      <c r="H427" s="94"/>
    </row>
    <row r="428" spans="1:8" x14ac:dyDescent="0.2">
      <c r="A428" s="92"/>
      <c r="B428" s="93"/>
      <c r="C428" s="93"/>
      <c r="D428" s="93"/>
      <c r="E428" s="93"/>
      <c r="F428" s="93"/>
      <c r="G428" s="93"/>
      <c r="H428" s="94"/>
    </row>
    <row r="429" spans="1:8" x14ac:dyDescent="0.2">
      <c r="A429" s="92"/>
      <c r="B429" s="93"/>
      <c r="C429" s="93"/>
      <c r="D429" s="93"/>
      <c r="E429" s="93"/>
      <c r="F429" s="93"/>
      <c r="G429" s="93"/>
      <c r="H429" s="94"/>
    </row>
    <row r="430" spans="1:8" x14ac:dyDescent="0.2">
      <c r="A430" s="92"/>
      <c r="B430" s="93"/>
      <c r="C430" s="93"/>
      <c r="D430" s="93"/>
      <c r="E430" s="93"/>
      <c r="F430" s="93"/>
      <c r="G430" s="93"/>
      <c r="H430" s="94"/>
    </row>
    <row r="431" spans="1:8" x14ac:dyDescent="0.2">
      <c r="A431" s="92"/>
      <c r="B431" s="93"/>
      <c r="C431" s="93"/>
      <c r="D431" s="93"/>
      <c r="E431" s="93"/>
      <c r="F431" s="93"/>
      <c r="G431" s="93"/>
      <c r="H431" s="94"/>
    </row>
    <row r="432" spans="1:8" x14ac:dyDescent="0.2">
      <c r="A432" s="92"/>
      <c r="B432" s="93"/>
      <c r="C432" s="93"/>
      <c r="D432" s="93"/>
      <c r="E432" s="93"/>
      <c r="F432" s="93"/>
      <c r="G432" s="93"/>
      <c r="H432" s="94"/>
    </row>
    <row r="433" spans="1:8" x14ac:dyDescent="0.2">
      <c r="A433" s="92"/>
      <c r="B433" s="93"/>
      <c r="C433" s="93"/>
      <c r="D433" s="93"/>
      <c r="E433" s="93"/>
      <c r="F433" s="93"/>
      <c r="G433" s="93"/>
      <c r="H433" s="94"/>
    </row>
    <row r="434" spans="1:8" x14ac:dyDescent="0.2">
      <c r="A434" s="92"/>
      <c r="B434" s="93"/>
      <c r="C434" s="93"/>
      <c r="D434" s="93"/>
      <c r="E434" s="93"/>
      <c r="F434" s="93"/>
      <c r="G434" s="93"/>
      <c r="H434" s="94"/>
    </row>
    <row r="435" spans="1:8" x14ac:dyDescent="0.2">
      <c r="A435" s="92"/>
      <c r="B435" s="93"/>
      <c r="C435" s="93"/>
      <c r="D435" s="93"/>
      <c r="E435" s="93"/>
      <c r="F435" s="93"/>
      <c r="G435" s="93"/>
      <c r="H435" s="94"/>
    </row>
    <row r="436" spans="1:8" x14ac:dyDescent="0.2">
      <c r="A436" s="92"/>
      <c r="B436" s="93"/>
      <c r="C436" s="93"/>
      <c r="D436" s="93"/>
      <c r="E436" s="93"/>
      <c r="F436" s="93"/>
      <c r="G436" s="93"/>
      <c r="H436" s="94"/>
    </row>
    <row r="437" spans="1:8" x14ac:dyDescent="0.2">
      <c r="A437" s="92"/>
      <c r="B437" s="93"/>
      <c r="C437" s="93"/>
      <c r="D437" s="93"/>
      <c r="E437" s="93"/>
      <c r="F437" s="93"/>
      <c r="G437" s="93"/>
      <c r="H437" s="94"/>
    </row>
    <row r="438" spans="1:8" x14ac:dyDescent="0.2">
      <c r="A438" s="92"/>
      <c r="B438" s="93"/>
      <c r="C438" s="93"/>
      <c r="D438" s="93"/>
      <c r="E438" s="93"/>
      <c r="F438" s="93"/>
      <c r="G438" s="93"/>
      <c r="H438" s="94"/>
    </row>
    <row r="439" spans="1:8" x14ac:dyDescent="0.2">
      <c r="A439" s="92"/>
      <c r="B439" s="93"/>
      <c r="C439" s="93"/>
      <c r="D439" s="93"/>
      <c r="E439" s="93"/>
      <c r="F439" s="93"/>
      <c r="G439" s="93"/>
      <c r="H439" s="94"/>
    </row>
    <row r="440" spans="1:8" x14ac:dyDescent="0.2">
      <c r="A440" s="92"/>
      <c r="B440" s="93"/>
      <c r="C440" s="93"/>
      <c r="D440" s="93"/>
      <c r="E440" s="93"/>
      <c r="F440" s="93"/>
      <c r="G440" s="93"/>
      <c r="H440" s="94"/>
    </row>
    <row r="441" spans="1:8" x14ac:dyDescent="0.2">
      <c r="A441" s="92"/>
      <c r="B441" s="93"/>
      <c r="C441" s="93"/>
      <c r="D441" s="93"/>
      <c r="E441" s="93"/>
      <c r="F441" s="93"/>
      <c r="G441" s="93"/>
      <c r="H441" s="94"/>
    </row>
    <row r="442" spans="1:8" x14ac:dyDescent="0.2">
      <c r="A442" s="92"/>
      <c r="B442" s="93"/>
      <c r="C442" s="93"/>
      <c r="D442" s="93"/>
      <c r="E442" s="93"/>
      <c r="F442" s="93"/>
      <c r="G442" s="93"/>
      <c r="H442" s="94"/>
    </row>
    <row r="443" spans="1:8" x14ac:dyDescent="0.2">
      <c r="A443" s="92"/>
      <c r="B443" s="93"/>
      <c r="C443" s="93"/>
      <c r="D443" s="93"/>
      <c r="E443" s="93"/>
      <c r="F443" s="93"/>
      <c r="G443" s="93"/>
      <c r="H443" s="94"/>
    </row>
    <row r="444" spans="1:8" x14ac:dyDescent="0.2">
      <c r="A444" s="92"/>
      <c r="B444" s="93"/>
      <c r="C444" s="93"/>
      <c r="D444" s="93"/>
      <c r="E444" s="93"/>
      <c r="F444" s="93"/>
      <c r="G444" s="93"/>
      <c r="H444" s="94"/>
    </row>
    <row r="445" spans="1:8" x14ac:dyDescent="0.2">
      <c r="A445" s="92"/>
      <c r="B445" s="93"/>
      <c r="C445" s="93"/>
      <c r="D445" s="93"/>
      <c r="E445" s="93"/>
      <c r="F445" s="93"/>
      <c r="G445" s="93"/>
      <c r="H445" s="94"/>
    </row>
    <row r="446" spans="1:8" x14ac:dyDescent="0.2">
      <c r="A446" s="92"/>
      <c r="B446" s="93"/>
      <c r="C446" s="93"/>
      <c r="D446" s="93"/>
      <c r="E446" s="93"/>
      <c r="F446" s="93"/>
      <c r="G446" s="93"/>
      <c r="H446" s="94"/>
    </row>
    <row r="447" spans="1:8" x14ac:dyDescent="0.2">
      <c r="A447" s="92"/>
      <c r="B447" s="93"/>
      <c r="C447" s="93"/>
      <c r="D447" s="93"/>
      <c r="E447" s="93"/>
      <c r="F447" s="93"/>
      <c r="G447" s="93"/>
      <c r="H447" s="94"/>
    </row>
    <row r="448" spans="1:8" x14ac:dyDescent="0.2">
      <c r="A448" s="92"/>
      <c r="B448" s="93"/>
      <c r="C448" s="93"/>
      <c r="D448" s="93"/>
      <c r="E448" s="93"/>
      <c r="F448" s="93"/>
      <c r="G448" s="93"/>
      <c r="H448" s="94"/>
    </row>
    <row r="449" spans="1:8" x14ac:dyDescent="0.2">
      <c r="A449" s="92"/>
      <c r="B449" s="93"/>
      <c r="C449" s="93"/>
      <c r="D449" s="93"/>
      <c r="E449" s="93"/>
      <c r="F449" s="93"/>
      <c r="G449" s="93"/>
      <c r="H449" s="94"/>
    </row>
    <row r="450" spans="1:8" x14ac:dyDescent="0.2">
      <c r="A450" s="92"/>
      <c r="B450" s="93"/>
      <c r="C450" s="93"/>
      <c r="D450" s="93"/>
      <c r="E450" s="93"/>
      <c r="F450" s="93"/>
      <c r="G450" s="93"/>
      <c r="H450" s="94"/>
    </row>
    <row r="451" spans="1:8" x14ac:dyDescent="0.2">
      <c r="A451" s="92"/>
      <c r="B451" s="93"/>
      <c r="C451" s="93"/>
      <c r="D451" s="93"/>
      <c r="E451" s="93"/>
      <c r="F451" s="93"/>
      <c r="G451" s="93"/>
      <c r="H451" s="94"/>
    </row>
    <row r="452" spans="1:8" x14ac:dyDescent="0.2">
      <c r="A452" s="92"/>
      <c r="B452" s="93"/>
      <c r="C452" s="93"/>
      <c r="D452" s="93"/>
      <c r="E452" s="93"/>
      <c r="F452" s="93"/>
      <c r="G452" s="93"/>
      <c r="H452" s="94"/>
    </row>
    <row r="453" spans="1:8" x14ac:dyDescent="0.2">
      <c r="A453" s="92"/>
      <c r="B453" s="93"/>
      <c r="C453" s="93"/>
      <c r="D453" s="93"/>
      <c r="E453" s="93"/>
      <c r="F453" s="93"/>
      <c r="G453" s="93"/>
      <c r="H453" s="94"/>
    </row>
    <row r="454" spans="1:8" x14ac:dyDescent="0.2">
      <c r="A454" s="92"/>
      <c r="B454" s="93"/>
      <c r="C454" s="93"/>
      <c r="D454" s="93"/>
      <c r="E454" s="93"/>
      <c r="F454" s="93"/>
      <c r="G454" s="93"/>
      <c r="H454" s="94"/>
    </row>
    <row r="455" spans="1:8" x14ac:dyDescent="0.2">
      <c r="A455" s="92"/>
      <c r="B455" s="93"/>
      <c r="C455" s="93"/>
      <c r="D455" s="93"/>
      <c r="E455" s="93"/>
      <c r="F455" s="93"/>
      <c r="G455" s="93"/>
      <c r="H455" s="94"/>
    </row>
    <row r="456" spans="1:8" ht="50.25" customHeight="1" x14ac:dyDescent="0.2">
      <c r="A456" s="89" t="s">
        <v>117</v>
      </c>
      <c r="B456" s="91"/>
      <c r="C456" s="124" t="s">
        <v>308</v>
      </c>
      <c r="D456" s="125"/>
      <c r="E456" s="97" t="s">
        <v>118</v>
      </c>
      <c r="F456" s="97"/>
      <c r="G456" s="107"/>
      <c r="H456" s="107"/>
    </row>
  </sheetData>
  <mergeCells count="613">
    <mergeCell ref="A77:H77"/>
    <mergeCell ref="C83:D83"/>
    <mergeCell ref="A84:B84"/>
    <mergeCell ref="C84:D84"/>
    <mergeCell ref="A85:B85"/>
    <mergeCell ref="C85:D85"/>
    <mergeCell ref="A86:B86"/>
    <mergeCell ref="C86:D86"/>
    <mergeCell ref="A87:B87"/>
    <mergeCell ref="C87:D87"/>
    <mergeCell ref="A220:H220"/>
    <mergeCell ref="A221:B221"/>
    <mergeCell ref="A222:B222"/>
    <mergeCell ref="A223:B223"/>
    <mergeCell ref="A224:B224"/>
    <mergeCell ref="A225:B225"/>
    <mergeCell ref="A226:B226"/>
    <mergeCell ref="A227:B227"/>
    <mergeCell ref="A228:B228"/>
    <mergeCell ref="D221:H221"/>
    <mergeCell ref="D226:H228"/>
    <mergeCell ref="A219:B219"/>
    <mergeCell ref="A193:H193"/>
    <mergeCell ref="A194:B194"/>
    <mergeCell ref="A195:B195"/>
    <mergeCell ref="A196:B196"/>
    <mergeCell ref="A197:B197"/>
    <mergeCell ref="A198:B198"/>
    <mergeCell ref="A199:B199"/>
    <mergeCell ref="A200:B200"/>
    <mergeCell ref="A201:B201"/>
    <mergeCell ref="A211:H211"/>
    <mergeCell ref="A212:B212"/>
    <mergeCell ref="A213:B213"/>
    <mergeCell ref="A214:B214"/>
    <mergeCell ref="A215:B215"/>
    <mergeCell ref="A216:B216"/>
    <mergeCell ref="A217:B217"/>
    <mergeCell ref="A218:B218"/>
    <mergeCell ref="D218:H218"/>
    <mergeCell ref="A202:H202"/>
    <mergeCell ref="A203:B203"/>
    <mergeCell ref="A204:B204"/>
    <mergeCell ref="A205:B205"/>
    <mergeCell ref="A206:B206"/>
    <mergeCell ref="A179:B179"/>
    <mergeCell ref="A180:B180"/>
    <mergeCell ref="A181:B181"/>
    <mergeCell ref="D180:H180"/>
    <mergeCell ref="A207:B207"/>
    <mergeCell ref="A208:B208"/>
    <mergeCell ref="A209:B209"/>
    <mergeCell ref="A210:B210"/>
    <mergeCell ref="A184:H184"/>
    <mergeCell ref="A185:B185"/>
    <mergeCell ref="A186:B186"/>
    <mergeCell ref="A187:B187"/>
    <mergeCell ref="A188:B188"/>
    <mergeCell ref="A189:B189"/>
    <mergeCell ref="A190:B190"/>
    <mergeCell ref="A191:B191"/>
    <mergeCell ref="A192:B192"/>
    <mergeCell ref="D185:H185"/>
    <mergeCell ref="D186:H186"/>
    <mergeCell ref="D187:H188"/>
    <mergeCell ref="D189:H189"/>
    <mergeCell ref="A182:H182"/>
    <mergeCell ref="A183:H183"/>
    <mergeCell ref="A170:B170"/>
    <mergeCell ref="A171:B171"/>
    <mergeCell ref="A172:B172"/>
    <mergeCell ref="A173:H173"/>
    <mergeCell ref="A174:B174"/>
    <mergeCell ref="A175:B175"/>
    <mergeCell ref="A176:B176"/>
    <mergeCell ref="A177:B177"/>
    <mergeCell ref="A178:B178"/>
    <mergeCell ref="D156:H157"/>
    <mergeCell ref="D158:H158"/>
    <mergeCell ref="D159:H159"/>
    <mergeCell ref="D160:H160"/>
    <mergeCell ref="D161:H161"/>
    <mergeCell ref="A164:H164"/>
    <mergeCell ref="A165:B165"/>
    <mergeCell ref="A152:H152"/>
    <mergeCell ref="A155:H155"/>
    <mergeCell ref="A154:H154"/>
    <mergeCell ref="A156:B156"/>
    <mergeCell ref="A157:B157"/>
    <mergeCell ref="A158:B158"/>
    <mergeCell ref="A159:B159"/>
    <mergeCell ref="A160:B160"/>
    <mergeCell ref="A161:B161"/>
    <mergeCell ref="A166:B166"/>
    <mergeCell ref="A167:B167"/>
    <mergeCell ref="A168:B168"/>
    <mergeCell ref="A169:B169"/>
    <mergeCell ref="A127:B127"/>
    <mergeCell ref="A128:B128"/>
    <mergeCell ref="A129:B129"/>
    <mergeCell ref="A130:B130"/>
    <mergeCell ref="A131:B131"/>
    <mergeCell ref="A132:B132"/>
    <mergeCell ref="A133:B133"/>
    <mergeCell ref="A134:B134"/>
    <mergeCell ref="A135:B135"/>
    <mergeCell ref="A141:B141"/>
    <mergeCell ref="A137:B137"/>
    <mergeCell ref="A138:B138"/>
    <mergeCell ref="A139:B139"/>
    <mergeCell ref="A142:B142"/>
    <mergeCell ref="A143:B143"/>
    <mergeCell ref="A144:B144"/>
    <mergeCell ref="A145:B145"/>
    <mergeCell ref="A162:B162"/>
    <mergeCell ref="A163:B163"/>
    <mergeCell ref="A117:H117"/>
    <mergeCell ref="A119:H119"/>
    <mergeCell ref="A120:H120"/>
    <mergeCell ref="A121:B121"/>
    <mergeCell ref="A122:B122"/>
    <mergeCell ref="A123:B123"/>
    <mergeCell ref="A124:B124"/>
    <mergeCell ref="A125:B125"/>
    <mergeCell ref="A126:B126"/>
    <mergeCell ref="I51:L51"/>
    <mergeCell ref="C352:H352"/>
    <mergeCell ref="A456:B456"/>
    <mergeCell ref="C456:D456"/>
    <mergeCell ref="A352:B352"/>
    <mergeCell ref="A273:B273"/>
    <mergeCell ref="A274:B274"/>
    <mergeCell ref="A275:B275"/>
    <mergeCell ref="A276:B276"/>
    <mergeCell ref="A277:B277"/>
    <mergeCell ref="A278:B278"/>
    <mergeCell ref="A279:B279"/>
    <mergeCell ref="A280:B280"/>
    <mergeCell ref="B285:H285"/>
    <mergeCell ref="A399:H399"/>
    <mergeCell ref="A400:H400"/>
    <mergeCell ref="A401:H401"/>
    <mergeCell ref="A402:H402"/>
    <mergeCell ref="A403:H403"/>
    <mergeCell ref="A404:H404"/>
    <mergeCell ref="A405:H405"/>
    <mergeCell ref="A381:H381"/>
    <mergeCell ref="A382:H382"/>
    <mergeCell ref="A383:H383"/>
    <mergeCell ref="A384:H384"/>
    <mergeCell ref="A385:H385"/>
    <mergeCell ref="A372:H372"/>
    <mergeCell ref="A373:H373"/>
    <mergeCell ref="A374:H374"/>
    <mergeCell ref="A375:H375"/>
    <mergeCell ref="A376:H376"/>
    <mergeCell ref="A377:H377"/>
    <mergeCell ref="A380:H380"/>
    <mergeCell ref="A353:H353"/>
    <mergeCell ref="A354:H354"/>
    <mergeCell ref="A283:E283"/>
    <mergeCell ref="F283:H283"/>
    <mergeCell ref="A300:H300"/>
    <mergeCell ref="A253:B253"/>
    <mergeCell ref="A254:B254"/>
    <mergeCell ref="A256:B256"/>
    <mergeCell ref="A257:B257"/>
    <mergeCell ref="A258:B258"/>
    <mergeCell ref="A259:B259"/>
    <mergeCell ref="A260:B260"/>
    <mergeCell ref="A261:B261"/>
    <mergeCell ref="A262:B262"/>
    <mergeCell ref="F282:H282"/>
    <mergeCell ref="A268:H268"/>
    <mergeCell ref="A263:B263"/>
    <mergeCell ref="A264:B264"/>
    <mergeCell ref="A265:B265"/>
    <mergeCell ref="A266:B266"/>
    <mergeCell ref="A267:B267"/>
    <mergeCell ref="A269:B269"/>
    <mergeCell ref="A270:B270"/>
    <mergeCell ref="A271:B271"/>
    <mergeCell ref="A272:B272"/>
    <mergeCell ref="A255:H255"/>
    <mergeCell ref="A244:B244"/>
    <mergeCell ref="A245:B245"/>
    <mergeCell ref="A246:B246"/>
    <mergeCell ref="A247:B247"/>
    <mergeCell ref="A248:B248"/>
    <mergeCell ref="A249:B249"/>
    <mergeCell ref="A250:B250"/>
    <mergeCell ref="A251:B251"/>
    <mergeCell ref="A252:B252"/>
    <mergeCell ref="A239:B239"/>
    <mergeCell ref="A240:B240"/>
    <mergeCell ref="A241:B241"/>
    <mergeCell ref="A149:H149"/>
    <mergeCell ref="A114:H114"/>
    <mergeCell ref="B115:B116"/>
    <mergeCell ref="B150:B151"/>
    <mergeCell ref="A243:B243"/>
    <mergeCell ref="A229:H229"/>
    <mergeCell ref="A230:B230"/>
    <mergeCell ref="A231:B231"/>
    <mergeCell ref="A232:B232"/>
    <mergeCell ref="A233:B233"/>
    <mergeCell ref="A234:B234"/>
    <mergeCell ref="A235:B235"/>
    <mergeCell ref="A236:B236"/>
    <mergeCell ref="A237:B237"/>
    <mergeCell ref="A146:B146"/>
    <mergeCell ref="A147:B147"/>
    <mergeCell ref="A148:B148"/>
    <mergeCell ref="E150:E151"/>
    <mergeCell ref="F150:F151"/>
    <mergeCell ref="A153:H153"/>
    <mergeCell ref="A140:B140"/>
    <mergeCell ref="A115:A116"/>
    <mergeCell ref="C115:C116"/>
    <mergeCell ref="E115:E116"/>
    <mergeCell ref="F115:F116"/>
    <mergeCell ref="E108:F108"/>
    <mergeCell ref="G108:H108"/>
    <mergeCell ref="A238:B238"/>
    <mergeCell ref="C105:D105"/>
    <mergeCell ref="C106:D106"/>
    <mergeCell ref="C108:D108"/>
    <mergeCell ref="C109:D109"/>
    <mergeCell ref="C110:D110"/>
    <mergeCell ref="C111:D111"/>
    <mergeCell ref="C112:D112"/>
    <mergeCell ref="D115:D116"/>
    <mergeCell ref="A150:A151"/>
    <mergeCell ref="C150:C151"/>
    <mergeCell ref="D150:D151"/>
    <mergeCell ref="A108:B108"/>
    <mergeCell ref="A109:B109"/>
    <mergeCell ref="A110:B110"/>
    <mergeCell ref="A111:B111"/>
    <mergeCell ref="A112:B112"/>
    <mergeCell ref="A136:H136"/>
    <mergeCell ref="C67:D67"/>
    <mergeCell ref="C68:D68"/>
    <mergeCell ref="C65:H65"/>
    <mergeCell ref="A67:B67"/>
    <mergeCell ref="G104:H104"/>
    <mergeCell ref="C102:D102"/>
    <mergeCell ref="A78:D79"/>
    <mergeCell ref="C80:H80"/>
    <mergeCell ref="A81:B81"/>
    <mergeCell ref="C81:D81"/>
    <mergeCell ref="A82:B82"/>
    <mergeCell ref="C82:D82"/>
    <mergeCell ref="A83:B83"/>
    <mergeCell ref="C104:D104"/>
    <mergeCell ref="A88:B88"/>
    <mergeCell ref="C88:D88"/>
    <mergeCell ref="A89:B89"/>
    <mergeCell ref="C89:D89"/>
    <mergeCell ref="A90:B90"/>
    <mergeCell ref="C90:D90"/>
    <mergeCell ref="A91:B91"/>
    <mergeCell ref="C91:D91"/>
    <mergeCell ref="G82:H91"/>
    <mergeCell ref="G81:H81"/>
    <mergeCell ref="G105:H105"/>
    <mergeCell ref="E106:F106"/>
    <mergeCell ref="G106:H106"/>
    <mergeCell ref="A107:H107"/>
    <mergeCell ref="A70:B70"/>
    <mergeCell ref="A71:B71"/>
    <mergeCell ref="E61:F61"/>
    <mergeCell ref="G61:H61"/>
    <mergeCell ref="C61:D61"/>
    <mergeCell ref="A99:B99"/>
    <mergeCell ref="A100:B100"/>
    <mergeCell ref="A101:B101"/>
    <mergeCell ref="A102:B102"/>
    <mergeCell ref="C75:D75"/>
    <mergeCell ref="C76:D76"/>
    <mergeCell ref="C94:D94"/>
    <mergeCell ref="C95:D95"/>
    <mergeCell ref="C96:D96"/>
    <mergeCell ref="C97:D97"/>
    <mergeCell ref="C98:D98"/>
    <mergeCell ref="C99:D99"/>
    <mergeCell ref="C100:D100"/>
    <mergeCell ref="C101:D101"/>
    <mergeCell ref="C66:D66"/>
    <mergeCell ref="C46:F46"/>
    <mergeCell ref="C48:F48"/>
    <mergeCell ref="C53:F53"/>
    <mergeCell ref="A63:D64"/>
    <mergeCell ref="A52:B52"/>
    <mergeCell ref="C52:H52"/>
    <mergeCell ref="C55:F55"/>
    <mergeCell ref="A55:B56"/>
    <mergeCell ref="C59:F59"/>
    <mergeCell ref="A57:B59"/>
    <mergeCell ref="C57:F58"/>
    <mergeCell ref="E50:F50"/>
    <mergeCell ref="C56:H56"/>
    <mergeCell ref="C49:D49"/>
    <mergeCell ref="C50:D50"/>
    <mergeCell ref="C51:D51"/>
    <mergeCell ref="A62:H62"/>
    <mergeCell ref="C54:F54"/>
    <mergeCell ref="A53:B54"/>
    <mergeCell ref="C3:E3"/>
    <mergeCell ref="C4:E4"/>
    <mergeCell ref="C5:E5"/>
    <mergeCell ref="G3:H3"/>
    <mergeCell ref="G4:H4"/>
    <mergeCell ref="G5:H5"/>
    <mergeCell ref="C31:D31"/>
    <mergeCell ref="C32:D32"/>
    <mergeCell ref="A25:B25"/>
    <mergeCell ref="A26:B26"/>
    <mergeCell ref="A27:B27"/>
    <mergeCell ref="A28:B28"/>
    <mergeCell ref="A29:B29"/>
    <mergeCell ref="A30:B30"/>
    <mergeCell ref="A31:B34"/>
    <mergeCell ref="A7:B7"/>
    <mergeCell ref="A8:B8"/>
    <mergeCell ref="A9:B9"/>
    <mergeCell ref="A10:B10"/>
    <mergeCell ref="A11:B11"/>
    <mergeCell ref="A12:B12"/>
    <mergeCell ref="A13:B13"/>
    <mergeCell ref="A14:B14"/>
    <mergeCell ref="C33:D33"/>
    <mergeCell ref="F18:H18"/>
    <mergeCell ref="A103:H103"/>
    <mergeCell ref="A35:B35"/>
    <mergeCell ref="A36:B36"/>
    <mergeCell ref="A16:B16"/>
    <mergeCell ref="A17:B17"/>
    <mergeCell ref="A18:B18"/>
    <mergeCell ref="A19:B19"/>
    <mergeCell ref="A20:B20"/>
    <mergeCell ref="A21:B21"/>
    <mergeCell ref="A22:B22"/>
    <mergeCell ref="A23:B23"/>
    <mergeCell ref="A24:B24"/>
    <mergeCell ref="A72:B72"/>
    <mergeCell ref="A73:B73"/>
    <mergeCell ref="A74:B74"/>
    <mergeCell ref="A75:B75"/>
    <mergeCell ref="A76:B76"/>
    <mergeCell ref="A92:B92"/>
    <mergeCell ref="A94:B94"/>
    <mergeCell ref="A95:B95"/>
    <mergeCell ref="A96:B96"/>
    <mergeCell ref="A97:B97"/>
    <mergeCell ref="A98:B98"/>
    <mergeCell ref="A15:B15"/>
    <mergeCell ref="E111:F111"/>
    <mergeCell ref="G111:H111"/>
    <mergeCell ref="E112:F112"/>
    <mergeCell ref="G112:H112"/>
    <mergeCell ref="C29:H29"/>
    <mergeCell ref="C30:H30"/>
    <mergeCell ref="A37:B37"/>
    <mergeCell ref="A38:B38"/>
    <mergeCell ref="A40:B45"/>
    <mergeCell ref="A46:B46"/>
    <mergeCell ref="A47:B47"/>
    <mergeCell ref="A48:B48"/>
    <mergeCell ref="A49:B51"/>
    <mergeCell ref="A61:B61"/>
    <mergeCell ref="A66:B66"/>
    <mergeCell ref="C43:F43"/>
    <mergeCell ref="G43:H43"/>
    <mergeCell ref="C45:F45"/>
    <mergeCell ref="G45:H45"/>
    <mergeCell ref="G66:H66"/>
    <mergeCell ref="G67:H76"/>
    <mergeCell ref="E97:F97"/>
    <mergeCell ref="A392:H392"/>
    <mergeCell ref="A393:H393"/>
    <mergeCell ref="A394:H394"/>
    <mergeCell ref="A395:H395"/>
    <mergeCell ref="A396:H396"/>
    <mergeCell ref="A397:H397"/>
    <mergeCell ref="A398:H398"/>
    <mergeCell ref="A386:H386"/>
    <mergeCell ref="A387:H387"/>
    <mergeCell ref="A388:H388"/>
    <mergeCell ref="A389:H389"/>
    <mergeCell ref="E456:F456"/>
    <mergeCell ref="G456:H456"/>
    <mergeCell ref="C92:H92"/>
    <mergeCell ref="A93:H93"/>
    <mergeCell ref="E94:F94"/>
    <mergeCell ref="E95:F95"/>
    <mergeCell ref="E102:F102"/>
    <mergeCell ref="A113:H113"/>
    <mergeCell ref="A355:H355"/>
    <mergeCell ref="A356:H356"/>
    <mergeCell ref="A357:H357"/>
    <mergeCell ref="A358:H358"/>
    <mergeCell ref="A359:H359"/>
    <mergeCell ref="A360:H360"/>
    <mergeCell ref="A361:H361"/>
    <mergeCell ref="A362:H362"/>
    <mergeCell ref="A363:H363"/>
    <mergeCell ref="A281:H281"/>
    <mergeCell ref="A378:H378"/>
    <mergeCell ref="A379:H379"/>
    <mergeCell ref="A282:E282"/>
    <mergeCell ref="A118:H118"/>
    <mergeCell ref="A242:H242"/>
    <mergeCell ref="E109:F109"/>
    <mergeCell ref="A1:H1"/>
    <mergeCell ref="C23:H23"/>
    <mergeCell ref="C22:H22"/>
    <mergeCell ref="C26:H26"/>
    <mergeCell ref="C17:H17"/>
    <mergeCell ref="C16:H16"/>
    <mergeCell ref="C25:H25"/>
    <mergeCell ref="C10:H10"/>
    <mergeCell ref="A6:H6"/>
    <mergeCell ref="C20:H20"/>
    <mergeCell ref="C21:H21"/>
    <mergeCell ref="C24:H24"/>
    <mergeCell ref="A2:H2"/>
    <mergeCell ref="C7:H7"/>
    <mergeCell ref="C8:H8"/>
    <mergeCell ref="C19:H19"/>
    <mergeCell ref="C9:H9"/>
    <mergeCell ref="C13:H13"/>
    <mergeCell ref="C14:H14"/>
    <mergeCell ref="C15:H15"/>
    <mergeCell ref="C18:E18"/>
    <mergeCell ref="C11:H11"/>
    <mergeCell ref="C12:H12"/>
    <mergeCell ref="A5:B5"/>
    <mergeCell ref="C27:E27"/>
    <mergeCell ref="A60:H60"/>
    <mergeCell ref="C47:H47"/>
    <mergeCell ref="E49:H49"/>
    <mergeCell ref="G41:H41"/>
    <mergeCell ref="C37:H37"/>
    <mergeCell ref="C28:E28"/>
    <mergeCell ref="E36:F36"/>
    <mergeCell ref="G27:H27"/>
    <mergeCell ref="G28:H28"/>
    <mergeCell ref="C35:H35"/>
    <mergeCell ref="G36:H36"/>
    <mergeCell ref="A39:H39"/>
    <mergeCell ref="C40:F40"/>
    <mergeCell ref="G40:H40"/>
    <mergeCell ref="C41:F41"/>
    <mergeCell ref="C44:F44"/>
    <mergeCell ref="G44:H44"/>
    <mergeCell ref="C38:H38"/>
    <mergeCell ref="G42:H42"/>
    <mergeCell ref="E51:H51"/>
    <mergeCell ref="C34:D34"/>
    <mergeCell ref="C36:D36"/>
    <mergeCell ref="C42:F42"/>
    <mergeCell ref="G109:H109"/>
    <mergeCell ref="E110:F110"/>
    <mergeCell ref="G110:H110"/>
    <mergeCell ref="A68:B68"/>
    <mergeCell ref="A69:B69"/>
    <mergeCell ref="C299:H299"/>
    <mergeCell ref="E98:F98"/>
    <mergeCell ref="E99:F99"/>
    <mergeCell ref="E100:F100"/>
    <mergeCell ref="G101:H101"/>
    <mergeCell ref="G102:H102"/>
    <mergeCell ref="E101:F101"/>
    <mergeCell ref="A104:B104"/>
    <mergeCell ref="A105:B105"/>
    <mergeCell ref="A106:B106"/>
    <mergeCell ref="C69:D69"/>
    <mergeCell ref="C70:D70"/>
    <mergeCell ref="C71:D71"/>
    <mergeCell ref="C72:D72"/>
    <mergeCell ref="C73:D73"/>
    <mergeCell ref="C74:D74"/>
    <mergeCell ref="E96:F96"/>
    <mergeCell ref="E104:F104"/>
    <mergeCell ref="E105:F105"/>
    <mergeCell ref="A301:H301"/>
    <mergeCell ref="A302:H302"/>
    <mergeCell ref="A303:H303"/>
    <mergeCell ref="A304:H304"/>
    <mergeCell ref="A305:H305"/>
    <mergeCell ref="A284:H284"/>
    <mergeCell ref="B286:H286"/>
    <mergeCell ref="B287:H287"/>
    <mergeCell ref="B288:H288"/>
    <mergeCell ref="B289:H289"/>
    <mergeCell ref="B291:H291"/>
    <mergeCell ref="B292:H292"/>
    <mergeCell ref="B297:H297"/>
    <mergeCell ref="B298:H298"/>
    <mergeCell ref="A299:B299"/>
    <mergeCell ref="B290:E290"/>
    <mergeCell ref="B293:H293"/>
    <mergeCell ref="B294:H294"/>
    <mergeCell ref="B295:H295"/>
    <mergeCell ref="B296:H296"/>
    <mergeCell ref="A306:H306"/>
    <mergeCell ref="A307:H307"/>
    <mergeCell ref="A308:H308"/>
    <mergeCell ref="A309:H309"/>
    <mergeCell ref="A310:H310"/>
    <mergeCell ref="A311:H311"/>
    <mergeCell ref="A312:H312"/>
    <mergeCell ref="A313:H313"/>
    <mergeCell ref="A314:H314"/>
    <mergeCell ref="A315:H315"/>
    <mergeCell ref="A316:H316"/>
    <mergeCell ref="A317:H317"/>
    <mergeCell ref="A318:H318"/>
    <mergeCell ref="A319:H319"/>
    <mergeCell ref="A320:H320"/>
    <mergeCell ref="A321:H321"/>
    <mergeCell ref="A322:H322"/>
    <mergeCell ref="A323:H323"/>
    <mergeCell ref="A324:H324"/>
    <mergeCell ref="A325:H325"/>
    <mergeCell ref="A326:H326"/>
    <mergeCell ref="A327:H327"/>
    <mergeCell ref="A328:H328"/>
    <mergeCell ref="A329:H329"/>
    <mergeCell ref="A330:H330"/>
    <mergeCell ref="A331:H331"/>
    <mergeCell ref="A332:H332"/>
    <mergeCell ref="A333:H333"/>
    <mergeCell ref="A334:H334"/>
    <mergeCell ref="A335:H335"/>
    <mergeCell ref="A336:H336"/>
    <mergeCell ref="A337:H337"/>
    <mergeCell ref="A338:H338"/>
    <mergeCell ref="A339:H339"/>
    <mergeCell ref="A340:H340"/>
    <mergeCell ref="A341:H341"/>
    <mergeCell ref="A407:H407"/>
    <mergeCell ref="A408:H408"/>
    <mergeCell ref="A409:H409"/>
    <mergeCell ref="A351:H351"/>
    <mergeCell ref="A342:H342"/>
    <mergeCell ref="A343:H343"/>
    <mergeCell ref="A344:H344"/>
    <mergeCell ref="A345:H345"/>
    <mergeCell ref="A346:H346"/>
    <mergeCell ref="A347:H347"/>
    <mergeCell ref="A348:H348"/>
    <mergeCell ref="A349:H349"/>
    <mergeCell ref="A350:H350"/>
    <mergeCell ref="A364:H364"/>
    <mergeCell ref="A365:H365"/>
    <mergeCell ref="A366:H366"/>
    <mergeCell ref="A367:H367"/>
    <mergeCell ref="A368:H368"/>
    <mergeCell ref="A369:H369"/>
    <mergeCell ref="A370:H370"/>
    <mergeCell ref="A371:H371"/>
    <mergeCell ref="A390:H390"/>
    <mergeCell ref="A391:H391"/>
    <mergeCell ref="A406:B406"/>
    <mergeCell ref="A428:H428"/>
    <mergeCell ref="A429:H429"/>
    <mergeCell ref="A410:H410"/>
    <mergeCell ref="A411:H411"/>
    <mergeCell ref="A412:H412"/>
    <mergeCell ref="A413:H413"/>
    <mergeCell ref="A414:H414"/>
    <mergeCell ref="A415:H415"/>
    <mergeCell ref="A416:H416"/>
    <mergeCell ref="A417:H417"/>
    <mergeCell ref="A418:H418"/>
    <mergeCell ref="A444:H444"/>
    <mergeCell ref="A445:H445"/>
    <mergeCell ref="A455:H455"/>
    <mergeCell ref="A446:H446"/>
    <mergeCell ref="A447:H447"/>
    <mergeCell ref="A448:H448"/>
    <mergeCell ref="A449:H449"/>
    <mergeCell ref="A450:H450"/>
    <mergeCell ref="A451:H451"/>
    <mergeCell ref="A452:H452"/>
    <mergeCell ref="A453:H453"/>
    <mergeCell ref="A454:H454"/>
    <mergeCell ref="C406:H406"/>
    <mergeCell ref="A437:H437"/>
    <mergeCell ref="A438:H438"/>
    <mergeCell ref="A439:H439"/>
    <mergeCell ref="A440:H440"/>
    <mergeCell ref="A441:H441"/>
    <mergeCell ref="A442:H442"/>
    <mergeCell ref="A443:H443"/>
    <mergeCell ref="A430:H430"/>
    <mergeCell ref="A431:H431"/>
    <mergeCell ref="A432:H432"/>
    <mergeCell ref="A433:H433"/>
    <mergeCell ref="A434:H434"/>
    <mergeCell ref="A435:H435"/>
    <mergeCell ref="A436:H436"/>
    <mergeCell ref="A419:H419"/>
    <mergeCell ref="A420:H420"/>
    <mergeCell ref="A421:H421"/>
    <mergeCell ref="A422:H422"/>
    <mergeCell ref="A423:H423"/>
    <mergeCell ref="A424:H424"/>
    <mergeCell ref="A425:H425"/>
    <mergeCell ref="A426:H426"/>
    <mergeCell ref="A427:H427"/>
  </mergeCells>
  <dataValidations count="7">
    <dataValidation type="list" allowBlank="1" showInputMessage="1" showErrorMessage="1" sqref="A9:B9">
      <formula1>"CTS No,Survey No,Plot No,Gut No,FP No,"</formula1>
    </dataValidation>
    <dataValidation type="list" allowBlank="1" showInputMessage="1" showErrorMessage="1" sqref="B150">
      <formula1>"Flat No. (Sale Plan),Sale / Rehab,Sale / Mhada"</formula1>
    </dataValidation>
    <dataValidation type="list" allowBlank="1" showInputMessage="1" showErrorMessage="1" sqref="D115 D150">
      <formula1>"Carpet area,RERA Carpet area"</formula1>
    </dataValidation>
    <dataValidation type="list" allowBlank="1" showInputMessage="1" showErrorMessage="1" sqref="E150:E151">
      <formula1>"Fungible area,Balcony Area,Chajja Area,Cornice Area,AP Area,WS Area"</formula1>
    </dataValidation>
    <dataValidation type="list" allowBlank="1" showInputMessage="1" showErrorMessage="1" sqref="E115:E116">
      <formula1>"Attached Loft area,Attached Otla area,Attached Mezzanine area"</formula1>
    </dataValidation>
    <dataValidation type="list" allowBlank="1" showInputMessage="1" showErrorMessage="1" sqref="B115">
      <formula1>"Shop No. (Sale Plan),Sale / Rehab,Sale / Mhada"</formula1>
    </dataValidation>
    <dataValidation type="list" allowBlank="1" showInputMessage="1" showErrorMessage="1" sqref="H116 H151">
      <formula1>".45,.50,.55,.60"</formula1>
    </dataValidation>
  </dataValidations>
  <hyperlinks>
    <hyperlink ref="C19" r:id="rId1"/>
  </hyperlinks>
  <printOptions horizontalCentered="1"/>
  <pageMargins left="0.23622047244094491" right="0.23622047244094491" top="0.78740157480314965" bottom="0.70866141732283472" header="0.19685039370078741" footer="0.19685039370078741"/>
  <pageSetup paperSize="2" fitToHeight="0" orientation="portrait" r:id="rId2"/>
  <headerFooter>
    <oddHeader>&amp;C&amp;G</oddHeader>
    <oddFooter>&amp;L&amp;"Times New Roman,Bold"&amp;F&amp;R&amp;"Times New Roman,Bold"&amp;P</oddFooter>
  </headerFooter>
  <rowBreaks count="4" manualBreakCount="4">
    <brk id="61" max="7" man="1"/>
    <brk id="298" max="7" man="1"/>
    <brk id="351" max="7" man="1"/>
    <brk id="405"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topLeftCell="A31" zoomScale="115" zoomScaleNormal="115" workbookViewId="0">
      <selection activeCell="B17" sqref="B17"/>
    </sheetView>
  </sheetViews>
  <sheetFormatPr defaultRowHeight="15" x14ac:dyDescent="0.25"/>
  <cols>
    <col min="1" max="1" width="24.140625" customWidth="1"/>
    <col min="2" max="6" width="17.5703125" customWidth="1"/>
    <col min="7" max="7" width="10.42578125" customWidth="1"/>
  </cols>
  <sheetData>
    <row r="1" spans="1:8" x14ac:dyDescent="0.25">
      <c r="A1" s="277" t="s">
        <v>112</v>
      </c>
      <c r="B1" s="278"/>
      <c r="C1" s="9" t="s">
        <v>58</v>
      </c>
      <c r="D1" s="9" t="s">
        <v>59</v>
      </c>
      <c r="E1" s="9" t="s">
        <v>60</v>
      </c>
      <c r="F1" s="10" t="s">
        <v>46</v>
      </c>
    </row>
    <row r="2" spans="1:8" x14ac:dyDescent="0.25">
      <c r="A2" s="279"/>
      <c r="B2" s="280"/>
      <c r="C2" s="7">
        <v>0</v>
      </c>
      <c r="D2" s="27">
        <v>1</v>
      </c>
      <c r="E2" s="7">
        <v>0</v>
      </c>
      <c r="F2" s="8">
        <f ca="1">--TRIM(RIGHT(SUBSTITUTE(LEFT(A1,_xlfn.AGGREGATE(16,6,FIND({0,1,2,3,4,5,6,7,8,9},A1,ROW(INDIRECT("1:"&amp;LEN(A1)))),1))," ",REPT(" ",LEN(A1))),LEN(A1)))</f>
        <v>3</v>
      </c>
    </row>
    <row r="3" spans="1:8" x14ac:dyDescent="0.25">
      <c r="A3" s="2" t="s">
        <v>61</v>
      </c>
      <c r="B3" s="3" t="s">
        <v>62</v>
      </c>
      <c r="C3" s="25" t="s">
        <v>63</v>
      </c>
      <c r="D3" s="28" t="s">
        <v>56</v>
      </c>
      <c r="E3" s="281" t="s">
        <v>132</v>
      </c>
      <c r="F3" s="282"/>
      <c r="G3" s="37" t="s">
        <v>64</v>
      </c>
      <c r="H3" s="32">
        <f ca="1">F2*25%</f>
        <v>0.75</v>
      </c>
    </row>
    <row r="4" spans="1:8" x14ac:dyDescent="0.25">
      <c r="A4" s="2" t="s">
        <v>65</v>
      </c>
      <c r="B4" s="4">
        <f ca="1">H5</f>
        <v>3</v>
      </c>
      <c r="C4" s="26">
        <f ca="1">((100/F2)*B4)/100</f>
        <v>1</v>
      </c>
      <c r="D4" s="30" t="str">
        <f ca="1">IF(C13=100%,"All work Completed. Possession granted to the Building.",IF(C12=100%,"All work Completed, Waiting for OC",D10&amp;""&amp;D11&amp;""&amp;D9&amp;""&amp;D12&amp;" "&amp;D13))</f>
        <v xml:space="preserve">Excavation, Plinth, RCC Slab, Brickwork Completed </v>
      </c>
      <c r="E4" s="283" t="str">
        <f ca="1">D4</f>
        <v xml:space="preserve">Excavation, Plinth, RCC Slab, Brickwork Completed </v>
      </c>
      <c r="F4" s="284"/>
      <c r="G4" s="1" t="s">
        <v>66</v>
      </c>
      <c r="H4" s="33">
        <f ca="1">F2*50%</f>
        <v>1.5</v>
      </c>
    </row>
    <row r="5" spans="1:8" x14ac:dyDescent="0.25">
      <c r="A5" s="2" t="s">
        <v>67</v>
      </c>
      <c r="B5" s="5">
        <f ca="1">H13</f>
        <v>3</v>
      </c>
      <c r="C5" s="26">
        <f ca="1">((100/F2)*B5)/100</f>
        <v>1</v>
      </c>
      <c r="D5" s="31"/>
      <c r="E5" s="285"/>
      <c r="F5" s="286"/>
      <c r="G5" s="1" t="s">
        <v>68</v>
      </c>
      <c r="H5" s="33">
        <f ca="1">F2</f>
        <v>3</v>
      </c>
    </row>
    <row r="6" spans="1:8" x14ac:dyDescent="0.25">
      <c r="A6" s="2" t="s">
        <v>69</v>
      </c>
      <c r="B6" s="5">
        <v>4</v>
      </c>
      <c r="C6" s="26">
        <f ca="1">((100/(D2+E2+F2))*B6)/100</f>
        <v>1</v>
      </c>
      <c r="D6" s="31"/>
      <c r="E6" s="285"/>
      <c r="F6" s="286"/>
      <c r="G6" s="1" t="s">
        <v>70</v>
      </c>
      <c r="H6" s="34">
        <f ca="1">(IF(C2&gt;1,(F2/(C2+2)),F2/4))</f>
        <v>0.75</v>
      </c>
    </row>
    <row r="7" spans="1:8" x14ac:dyDescent="0.25">
      <c r="A7" s="2" t="s">
        <v>71</v>
      </c>
      <c r="B7" s="4">
        <v>3</v>
      </c>
      <c r="C7" s="26">
        <f ca="1">((100/F2)*B7)/100</f>
        <v>1</v>
      </c>
      <c r="D7" s="31"/>
      <c r="E7" s="285"/>
      <c r="F7" s="286"/>
      <c r="G7" s="1" t="s">
        <v>72</v>
      </c>
      <c r="H7" s="34">
        <f ca="1">(IF(C2&gt;1,(F2/(C2+2)+H6),F2/4+H6))</f>
        <v>1.5</v>
      </c>
    </row>
    <row r="8" spans="1:8" x14ac:dyDescent="0.25">
      <c r="A8" s="2" t="s">
        <v>73</v>
      </c>
      <c r="B8" s="4">
        <v>0</v>
      </c>
      <c r="C8" s="26">
        <f ca="1">((100/F2)*B8)/100</f>
        <v>0</v>
      </c>
      <c r="D8" s="29">
        <f ca="1">(((B5/F2*10)+(40/(D2+E2+F2)*B6)+(15/(F2)*B7)+(5/(F2)*B8)+(5/F2*B9)+(10/F2*B10)+(5/F2*B11)+(5/F2*B12)+(5/F2*B13))/100)</f>
        <v>0.65</v>
      </c>
      <c r="E8" s="285"/>
      <c r="F8" s="286"/>
      <c r="G8" s="1" t="s">
        <v>74</v>
      </c>
      <c r="H8" s="34">
        <f>(IF(C2&gt;1,(F2/(C2+2)+H7),0))</f>
        <v>0</v>
      </c>
    </row>
    <row r="9" spans="1:8" x14ac:dyDescent="0.25">
      <c r="A9" s="2" t="s">
        <v>75</v>
      </c>
      <c r="B9" s="4">
        <v>0</v>
      </c>
      <c r="C9" s="26">
        <f ca="1">((100/(F2))*B9)/100</f>
        <v>0</v>
      </c>
      <c r="D9" s="31" t="str">
        <f ca="1">(IF(B4=0,"Work not yet Started.",IF(C4=25%,"Piling work in process",IF(C4=50%,"Excavation work in process",IF(C4=100%,"","0")))))&amp;(IF(B5=0%,"",IF(B5=H6,", Footing work is process",IF(B5=H7,", Footing work Completed",IF(B5=H8,", 1st Basement Completed",IF(B5=H9,", 1st &amp; 2nd Basement Completed",IF(B5=H10,", 1st to 3rd Basement Completed",IF(B5=H11,", 1st to 4th Basement Completed",IF(B5=H12,", Plinth work is process",IF(B5=H13,"","0"))))))))))</f>
        <v/>
      </c>
      <c r="E9" s="285"/>
      <c r="F9" s="286"/>
      <c r="G9" s="1" t="s">
        <v>76</v>
      </c>
      <c r="H9" s="34">
        <f>(IF(C2&gt;2,(F2/(C2+2)+H8),0))</f>
        <v>0</v>
      </c>
    </row>
    <row r="10" spans="1:8" x14ac:dyDescent="0.25">
      <c r="A10" s="2" t="s">
        <v>77</v>
      </c>
      <c r="B10" s="4">
        <v>0</v>
      </c>
      <c r="C10" s="26">
        <f ca="1">((100/F2)*B10)/100</f>
        <v>0</v>
      </c>
      <c r="D10" s="31" t="str">
        <f ca="1">IF(C4=100%,"Excavation","")&amp;IF(C5=100%,", Plinth","")&amp;IF(C6=100%,", RCC Slab","")&amp;IF(C7=100%,", Brickwork","")&amp;IF(C8=100%,", Internal Plaster","")&amp;IF(C9=100%,", External Plaster","")&amp;IF(C10=100%,", Flooring","")&amp;IF(C11=100%,", Painting","")&amp;IF(C12=100%,", Building common Amenities","")</f>
        <v>Excavation, Plinth, RCC Slab, Brickwork</v>
      </c>
      <c r="E10" s="285"/>
      <c r="F10" s="286"/>
      <c r="G10" s="1" t="s">
        <v>78</v>
      </c>
      <c r="H10" s="35">
        <f>(IF(C2&gt;3,(F2/(C2+2)+H9),0))</f>
        <v>0</v>
      </c>
    </row>
    <row r="11" spans="1:8" x14ac:dyDescent="0.25">
      <c r="A11" s="2" t="s">
        <v>79</v>
      </c>
      <c r="B11" s="4">
        <v>0</v>
      </c>
      <c r="C11" s="26">
        <f ca="1">((100/F2)*B11)/100</f>
        <v>0</v>
      </c>
      <c r="D11" s="31" t="str">
        <f ca="1">IF(D10&lt;&gt;""," Completed","")</f>
        <v xml:space="preserve"> Completed</v>
      </c>
      <c r="E11" s="285"/>
      <c r="F11" s="286"/>
      <c r="G11" s="1" t="s">
        <v>80</v>
      </c>
      <c r="H11" s="34">
        <f>(IF(C2&gt;4,(F2/(C2+2)+H10),0))</f>
        <v>0</v>
      </c>
    </row>
    <row r="12" spans="1:8" x14ac:dyDescent="0.25">
      <c r="A12" s="2" t="s">
        <v>81</v>
      </c>
      <c r="B12" s="4">
        <v>0</v>
      </c>
      <c r="C12" s="26">
        <f ca="1">((100/(F2))*B12)/100</f>
        <v>0</v>
      </c>
      <c r="D12" s="31" t="str">
        <f ca="1">(IF(B6=(D2+E2+F2),"",IF(B6&gt;0,", RCC upto "&amp;B6&amp;" Slab","")))&amp;(IF(B7=F2,"",IF(B7&gt;0,", Brickwork upto "&amp;B7&amp;" Floor","")))&amp;(IF(B8=F2,"",IF(B8&gt;0,", Internal Plaster upto "&amp;B8&amp;" Floor","")))&amp;(IF(B9=F2,"",IF(B9&gt;0,", External Plaster upto "&amp;B9&amp;" Floor","")))&amp;(IF(B10=F2,"",IF(B10&gt;0,", Flooring upto "&amp;B10&amp;" Floor","")))&amp;(IF(B11=F2,"",IF(B11&gt;0,", Painting upto "&amp;B11&amp;" Floor","")))&amp;(IF(B12=F2,"",IF(B12&gt;0,", Finishing upto "&amp;B12&amp;" Floor","")))&amp;(IF(B13=F2,"",IF(B13&gt;0,", Possession upto "&amp;B13&amp;" Floor","")))</f>
        <v/>
      </c>
      <c r="E12" s="285"/>
      <c r="F12" s="286"/>
      <c r="G12" s="1" t="s">
        <v>82</v>
      </c>
      <c r="H12" s="34">
        <f ca="1">(IF(C2=1,(F2/(C2+3)+H7),IF(C2=0,(F2/4+H7),IF(C2&gt;1,0))))</f>
        <v>2.25</v>
      </c>
    </row>
    <row r="13" spans="1:8" ht="15.75" thickBot="1" x14ac:dyDescent="0.3">
      <c r="A13" s="39" t="s">
        <v>83</v>
      </c>
      <c r="B13" s="40">
        <v>0</v>
      </c>
      <c r="C13" s="41">
        <f ca="1">((100/(F2))*B13)/100</f>
        <v>0</v>
      </c>
      <c r="D13" s="42" t="str">
        <f ca="1">IF(D12&lt;&gt;"","Completed","")</f>
        <v/>
      </c>
      <c r="E13" s="287"/>
      <c r="F13" s="288"/>
      <c r="G13" s="38" t="s">
        <v>84</v>
      </c>
      <c r="H13" s="36">
        <f ca="1">(IF(C2&gt;1.5,(F2/(C2+2)+H7+MAX(0,H8-H7)+MAX(0,H9-H8)+MAX(0,H10-H9)+MAX(0,H11-H10)+MAX(0,H12-H11)),IF(C2=1,(F2/(C2+3)+H12),IF(C2=0,F2/4+H12))))</f>
        <v>3</v>
      </c>
    </row>
  </sheetData>
  <mergeCells count="3">
    <mergeCell ref="A1:B2"/>
    <mergeCell ref="E3:F3"/>
    <mergeCell ref="E4:F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vt:lpstr>
      <vt:lpstr>C%</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MANGESH AMDEKAR</dc:creator>
  <cp:lastModifiedBy>VSJC</cp:lastModifiedBy>
  <cp:lastPrinted>2025-09-18T10:27:47Z</cp:lastPrinted>
  <dcterms:created xsi:type="dcterms:W3CDTF">2019-01-21T04:29:02Z</dcterms:created>
  <dcterms:modified xsi:type="dcterms:W3CDTF">2025-09-26T06:47:47Z</dcterms:modified>
</cp:coreProperties>
</file>