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tabRatio="725"/>
  </bookViews>
  <sheets>
    <sheet name="Report" sheetId="1" r:id="rId1"/>
    <sheet name="valuation" sheetId="5" r:id="rId2"/>
    <sheet name="Note" sheetId="4" r:id="rId3"/>
  </sheets>
  <definedNames>
    <definedName name="_xlnm.Print_Area" localSheetId="0">Report!$A$1:$H$358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7" i="1" l="1"/>
  <c r="K175" i="1"/>
  <c r="K172" i="1"/>
  <c r="K170" i="1"/>
  <c r="I199" i="1"/>
  <c r="I187" i="1"/>
  <c r="I175" i="1"/>
  <c r="D192" i="1"/>
  <c r="D191" i="1"/>
  <c r="D190" i="1"/>
  <c r="D180" i="1"/>
  <c r="D179" i="1"/>
  <c r="F179" i="1" s="1"/>
  <c r="F180" i="1"/>
  <c r="D177" i="1"/>
  <c r="F177" i="1" s="1"/>
  <c r="D187" i="1"/>
  <c r="F187" i="1" s="1"/>
  <c r="D186" i="1"/>
  <c r="F186" i="1" s="1"/>
  <c r="D185" i="1"/>
  <c r="D184" i="1"/>
  <c r="F184" i="1" s="1"/>
  <c r="D172" i="1"/>
  <c r="F172" i="1" s="1"/>
  <c r="N169" i="1" s="1"/>
  <c r="D175" i="1"/>
  <c r="F175" i="1" s="1"/>
  <c r="D174" i="1"/>
  <c r="F174" i="1" s="1"/>
  <c r="D173" i="1"/>
  <c r="F173" i="1" s="1"/>
  <c r="J169" i="1" s="1"/>
  <c r="F192" i="1"/>
  <c r="F191" i="1"/>
  <c r="G189" i="1"/>
  <c r="G190" i="1" s="1"/>
  <c r="G191" i="1" s="1"/>
  <c r="G192" i="1" s="1"/>
  <c r="A185" i="1"/>
  <c r="A186" i="1" s="1"/>
  <c r="A187" i="1" s="1"/>
  <c r="G184" i="1"/>
  <c r="G185" i="1" s="1"/>
  <c r="G186" i="1" s="1"/>
  <c r="G187" i="1" s="1"/>
  <c r="G177" i="1"/>
  <c r="G178" i="1" s="1"/>
  <c r="G179" i="1" s="1"/>
  <c r="G180" i="1" s="1"/>
  <c r="A173" i="1"/>
  <c r="A174" i="1" s="1"/>
  <c r="A175" i="1" s="1"/>
  <c r="G172" i="1"/>
  <c r="G173" i="1" s="1"/>
  <c r="G174" i="1" s="1"/>
  <c r="G175" i="1" s="1"/>
  <c r="D204" i="1"/>
  <c r="D203" i="1"/>
  <c r="D202" i="1"/>
  <c r="D199" i="1"/>
  <c r="D198" i="1"/>
  <c r="D197" i="1"/>
  <c r="D196" i="1"/>
  <c r="D167" i="1"/>
  <c r="E144" i="1" s="1"/>
  <c r="I166" i="1"/>
  <c r="D160" i="1"/>
  <c r="F160" i="1" s="1"/>
  <c r="G140" i="1" s="1"/>
  <c r="I160" i="1"/>
  <c r="G160" i="1"/>
  <c r="D158" i="1"/>
  <c r="D157" i="1"/>
  <c r="D156" i="1"/>
  <c r="I156" i="1"/>
  <c r="G49" i="1"/>
  <c r="C49" i="1"/>
  <c r="E139" i="1" l="1"/>
  <c r="C146" i="1"/>
  <c r="E147" i="1"/>
  <c r="F185" i="1"/>
  <c r="G146" i="1" s="1"/>
  <c r="C139" i="1"/>
  <c r="C140" i="1"/>
  <c r="C147" i="1"/>
  <c r="M169" i="1"/>
  <c r="C144" i="1"/>
  <c r="E140" i="1"/>
  <c r="E141" i="1" s="1"/>
  <c r="E145" i="1"/>
  <c r="G145" i="1"/>
  <c r="N170" i="1"/>
  <c r="E146" i="1"/>
  <c r="L171" i="1"/>
  <c r="C145" i="1"/>
  <c r="J171" i="1"/>
  <c r="E7" i="1"/>
  <c r="E148" i="1" l="1"/>
  <c r="C148" i="1"/>
  <c r="C141" i="1"/>
  <c r="D61" i="1"/>
  <c r="E29" i="1"/>
  <c r="B207" i="1"/>
  <c r="C67" i="1"/>
  <c r="B68" i="1" s="1"/>
  <c r="E24" i="1"/>
  <c r="E26" i="1" l="1"/>
  <c r="C14" i="1"/>
  <c r="E149" i="1" l="1"/>
  <c r="C149" i="1"/>
  <c r="E42" i="1" l="1"/>
  <c r="E43" i="1" s="1"/>
  <c r="F167" i="1" l="1"/>
  <c r="G144" i="1" s="1"/>
  <c r="G167" i="1"/>
  <c r="F136" i="1" l="1"/>
  <c r="F157" i="1" l="1"/>
  <c r="F158" i="1"/>
  <c r="F156" i="1"/>
  <c r="G139" i="1" l="1"/>
  <c r="G141" i="1" s="1"/>
  <c r="F204" i="1"/>
  <c r="F203" i="1"/>
  <c r="F202" i="1"/>
  <c r="F199" i="1"/>
  <c r="F197" i="1"/>
  <c r="F196" i="1"/>
  <c r="F198" i="1"/>
  <c r="G147" i="1" l="1"/>
  <c r="G148" i="1" s="1"/>
  <c r="G149" i="1" s="1"/>
  <c r="B208" i="1"/>
  <c r="F11" i="5" l="1"/>
  <c r="G11" i="5" s="1"/>
  <c r="F10" i="5"/>
  <c r="G10" i="5" s="1"/>
  <c r="F9" i="5"/>
  <c r="G9" i="5" s="1"/>
  <c r="F8" i="5"/>
  <c r="G8" i="5" s="1"/>
  <c r="F7" i="5"/>
  <c r="G7" i="5" s="1"/>
  <c r="F6" i="5"/>
  <c r="G6" i="5" s="1"/>
  <c r="F5" i="5"/>
  <c r="G5" i="5" s="1"/>
  <c r="G12" i="5" s="1"/>
  <c r="D227" i="1"/>
  <c r="G201" i="1"/>
  <c r="G202" i="1" s="1"/>
  <c r="G203" i="1" s="1"/>
  <c r="G204" i="1" s="1"/>
  <c r="G196" i="1"/>
  <c r="G197" i="1" s="1"/>
  <c r="G198" i="1" s="1"/>
  <c r="G199" i="1" s="1"/>
  <c r="A197" i="1"/>
  <c r="A198" i="1" s="1"/>
  <c r="A199" i="1" s="1"/>
  <c r="A157" i="1"/>
  <c r="A158" i="1" s="1"/>
  <c r="G156" i="1"/>
  <c r="G157" i="1" s="1"/>
  <c r="G158" i="1" s="1"/>
  <c r="C109" i="1"/>
  <c r="B110" i="1" s="1"/>
  <c r="B82" i="1"/>
  <c r="D54" i="1"/>
  <c r="E3" i="1"/>
  <c r="H68" i="1"/>
  <c r="H82" i="1"/>
  <c r="J87" i="1" l="1"/>
  <c r="J88" i="1" s="1"/>
  <c r="J81" i="1"/>
  <c r="J83" i="1" s="1"/>
  <c r="D92" i="1"/>
  <c r="D93" i="1"/>
  <c r="D94" i="1"/>
  <c r="D88" i="1"/>
  <c r="D89" i="1"/>
  <c r="D90" i="1"/>
  <c r="D91" i="1"/>
  <c r="D80" i="1"/>
  <c r="D78" i="1"/>
  <c r="D77" i="1"/>
  <c r="D76" i="1"/>
  <c r="D74" i="1"/>
  <c r="J67" i="1"/>
  <c r="D79" i="1"/>
  <c r="D75" i="1"/>
  <c r="J71" i="1"/>
  <c r="J72" i="1"/>
  <c r="C71" i="1" s="1"/>
  <c r="J70" i="1"/>
  <c r="J73" i="1"/>
  <c r="J74" i="1" s="1"/>
  <c r="J79" i="1" s="1"/>
  <c r="J85" i="1"/>
  <c r="J86" i="1"/>
  <c r="C85" i="1" s="1"/>
  <c r="J84" i="1"/>
  <c r="H110" i="1"/>
  <c r="D122" i="1" l="1"/>
  <c r="D119" i="1"/>
  <c r="J115" i="1"/>
  <c r="J116" i="1" s="1"/>
  <c r="D120" i="1"/>
  <c r="D117" i="1"/>
  <c r="D118" i="1"/>
  <c r="D116" i="1"/>
  <c r="J112" i="1"/>
  <c r="J109" i="1"/>
  <c r="J111" i="1" s="1"/>
  <c r="J113" i="1"/>
  <c r="J114" i="1"/>
  <c r="C113" i="1" s="1"/>
  <c r="D113" i="1" s="1"/>
  <c r="D121" i="1"/>
  <c r="J93" i="1"/>
  <c r="J117" i="1"/>
  <c r="J118" i="1" s="1"/>
  <c r="J119" i="1" s="1"/>
  <c r="J120" i="1" s="1"/>
  <c r="J89" i="1"/>
  <c r="J90" i="1" s="1"/>
  <c r="J91" i="1" s="1"/>
  <c r="J92" i="1" s="1"/>
  <c r="J75" i="1"/>
  <c r="J76" i="1" s="1"/>
  <c r="J77" i="1" s="1"/>
  <c r="J78" i="1" s="1"/>
  <c r="D115" i="1"/>
  <c r="D87" i="1"/>
  <c r="D73" i="1"/>
  <c r="J69" i="1"/>
  <c r="D71" i="1"/>
  <c r="D85" i="1"/>
  <c r="J121" i="1" l="1"/>
  <c r="J122" i="1" s="1"/>
  <c r="C114" i="1" s="1"/>
  <c r="G113" i="1" s="1"/>
  <c r="D65" i="1" s="1"/>
  <c r="J80" i="1"/>
  <c r="J94" i="1"/>
  <c r="C72" i="1" l="1"/>
  <c r="G71" i="1" s="1"/>
  <c r="C86" i="1"/>
  <c r="J82" i="1" s="1"/>
  <c r="J110" i="1"/>
  <c r="E113" i="1"/>
  <c r="D114" i="1"/>
  <c r="I110" i="1" s="1"/>
  <c r="I111" i="1" s="1"/>
  <c r="D66" i="1"/>
  <c r="J68" i="1"/>
  <c r="E71" i="1" l="1"/>
  <c r="D72" i="1"/>
  <c r="I68" i="1" s="1"/>
  <c r="I69" i="1" s="1"/>
  <c r="I67" i="1" s="1"/>
  <c r="C69" i="1" s="1"/>
  <c r="E85" i="1"/>
  <c r="D86" i="1"/>
  <c r="I82" i="1" s="1"/>
  <c r="I83" i="1" s="1"/>
  <c r="G85" i="1"/>
  <c r="I109" i="1"/>
  <c r="C111" i="1" s="1"/>
  <c r="F66" i="1"/>
  <c r="I81" i="1" l="1"/>
  <c r="C83" i="1" s="1"/>
  <c r="B96" i="1"/>
  <c r="H96" i="1"/>
  <c r="D108" i="1" l="1"/>
  <c r="D104" i="1"/>
  <c r="D103" i="1"/>
  <c r="D101" i="1"/>
  <c r="J99" i="1"/>
  <c r="D107" i="1"/>
  <c r="D105" i="1"/>
  <c r="J98" i="1"/>
  <c r="D106" i="1"/>
  <c r="D102" i="1"/>
  <c r="J95" i="1"/>
  <c r="J97" i="1" s="1"/>
  <c r="J100" i="1"/>
  <c r="C99" i="1" s="1"/>
  <c r="J106" i="1"/>
  <c r="J104" i="1"/>
  <c r="J103" i="1"/>
  <c r="J101" i="1"/>
  <c r="J102" i="1" s="1"/>
  <c r="J107" i="1" s="1"/>
  <c r="J108" i="1" s="1"/>
  <c r="C100" i="1" s="1"/>
  <c r="D100" i="1" s="1"/>
  <c r="J105" i="1"/>
  <c r="E99" i="1" l="1"/>
  <c r="G99" i="1"/>
  <c r="D99" i="1"/>
  <c r="I96" i="1" s="1"/>
  <c r="I97" i="1" s="1"/>
  <c r="J96" i="1" l="1"/>
  <c r="I95" i="1" s="1"/>
  <c r="C97" i="1" s="1"/>
</calcChain>
</file>

<file path=xl/sharedStrings.xml><?xml version="1.0" encoding="utf-8"?>
<sst xmlns="http://schemas.openxmlformats.org/spreadsheetml/2006/main" count="431" uniqueCount="242">
  <si>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</si>
  <si>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</si>
  <si>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</si>
  <si>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</si>
  <si>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</si>
  <si>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</si>
  <si>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</si>
  <si>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</si>
  <si>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</si>
  <si>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</si>
  <si>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</si>
  <si>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</si>
  <si>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</si>
  <si>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</si>
  <si>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</si>
  <si>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</si>
  <si>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</si>
  <si>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</si>
  <si>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</si>
  <si>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</si>
  <si>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</si>
  <si>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</si>
  <si>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</si>
  <si>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</si>
  <si>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</si>
  <si>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</si>
  <si>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</si>
  <si>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</si>
  <si>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</si>
  <si>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</si>
  <si>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</si>
  <si>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</si>
  <si>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</si>
  <si>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</si>
  <si>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</si>
  <si>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</si>
  <si>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</si>
  <si>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</si>
  <si>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</si>
  <si>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</si>
  <si>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</si>
  <si>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</si>
  <si>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</si>
  <si>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</si>
  <si>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</si>
  <si>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</si>
  <si>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</si>
  <si>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</si>
  <si>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</si>
  <si>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</si>
  <si>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</si>
  <si>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</si>
  <si>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</si>
  <si>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</si>
  <si>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</si>
  <si>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</si>
  <si>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</si>
  <si>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</si>
  <si>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</si>
  <si>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</si>
  <si>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</si>
  <si>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</si>
  <si>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</si>
  <si>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</si>
  <si>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</si>
  <si>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</si>
  <si>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</si>
  <si>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</si>
  <si>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</si>
  <si>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</si>
  <si>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</si>
  <si>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</si>
  <si>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</si>
  <si>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</si>
  <si>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</si>
  <si>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</si>
  <si>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</si>
  <si>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</si>
  <si>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</si>
  <si>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</si>
  <si>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</si>
  <si>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</si>
  <si>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</si>
  <si>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</si>
  <si>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</si>
  <si>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</si>
  <si>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</si>
  <si>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</si>
  <si>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</si>
  <si>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</si>
  <si>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</si>
  <si>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</si>
  <si>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</si>
  <si>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</si>
  <si>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</si>
  <si>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</si>
  <si>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</si>
  <si>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</si>
  <si>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</si>
  <si>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</si>
  <si>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</si>
  <si>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</si>
  <si>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</si>
  <si>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</si>
  <si>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</si>
  <si>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</si>
  <si>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</si>
  <si>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</si>
  <si>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</si>
  <si>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</si>
  <si>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</si>
  <si>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</si>
  <si>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</si>
  <si>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</si>
  <si>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</si>
  <si>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</si>
  <si>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</si>
  <si>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</si>
  <si>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</si>
  <si>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</si>
  <si>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</si>
  <si>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</si>
  <si>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</si>
  <si>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</si>
  <si>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</si>
  <si>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</si>
  <si>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</si>
  <si>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</si>
  <si>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</si>
  <si>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</si>
  <si>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</si>
  <si>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</si>
  <si>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</si>
  <si>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</si>
  <si>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</si>
  <si>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</si>
  <si>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</si>
  <si>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</si>
  <si>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</si>
  <si>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</si>
  <si>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</si>
  <si>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</si>
  <si>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</si>
  <si>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</si>
  <si>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</si>
  <si>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</si>
  <si>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</si>
  <si>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</si>
  <si>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</si>
  <si>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</si>
  <si>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</si>
  <si>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</si>
  <si>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</si>
  <si>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</si>
  <si>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</si>
  <si>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</si>
  <si>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</si>
  <si>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</si>
  <si>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</si>
  <si>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</si>
  <si>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</si>
  <si>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</si>
  <si>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</si>
  <si>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</si>
  <si>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</si>
  <si>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</si>
  <si>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</si>
  <si>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</si>
  <si>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</si>
  <si>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</si>
  <si>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</si>
  <si>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Layout :</t>
  </si>
  <si>
    <t>Latitude, Longitude</t>
  </si>
  <si>
    <t>Grand Total</t>
  </si>
  <si>
    <t>Provided Contact Details (Name &amp; Contact No.)</t>
  </si>
  <si>
    <t>Site Person - Contact Details (Name &amp; Contact No.)</t>
  </si>
  <si>
    <t>Axis Goregaon</t>
  </si>
  <si>
    <t>Trinity Oasis</t>
  </si>
  <si>
    <t>9702582000/022-26407772</t>
  </si>
  <si>
    <t>P99000049405</t>
  </si>
  <si>
    <t>Palghar</t>
  </si>
  <si>
    <t>Vasai</t>
  </si>
  <si>
    <t>Navnath Bhatkar</t>
  </si>
  <si>
    <t>Chandrapada</t>
  </si>
  <si>
    <t>Juchandra - Bapane Rd</t>
  </si>
  <si>
    <t>Survey No</t>
  </si>
  <si>
    <t>https://goo.gl/maps/ExRUBfJDx2jhXQJ69</t>
  </si>
  <si>
    <t>Sargam Residency</t>
  </si>
  <si>
    <t>19.363869, 72.885349</t>
  </si>
  <si>
    <t>Satya Sahiba Consultancy</t>
  </si>
  <si>
    <t>Hotel Pangat Family Garden Restaurant</t>
  </si>
  <si>
    <t>Open Plot</t>
  </si>
  <si>
    <t>Vasai Virar City Municipal Corporation (VVCMC)</t>
  </si>
  <si>
    <t>As per RERA - 30/09/2026</t>
  </si>
  <si>
    <t>Cycling &amp; Jogging Track, Children's Play Area, Video Door Security, Basketball Court, Library, Gymnasium, Wall Climbing, Skating Rink, Cricket Pitch, Kid's Pool, Rain Water Harvesting, Internal Roads, Meter Room, Sewage Treatment Plant, 24hr Water Supply, Landscaping &amp; Tree Planting, Water Conservation, Fire Sprinklers etc.</t>
  </si>
  <si>
    <t>120, H.No.3, 4, 7, New S.No.120/B/3</t>
  </si>
  <si>
    <t>Approved Plans, CC, Cost Sheet</t>
  </si>
  <si>
    <t>Approved no of Floors as per CC</t>
  </si>
  <si>
    <t>VVCMC/TP/RDP/SPA VP-085/050/2021-22</t>
  </si>
  <si>
    <t>VVCMC/TP/AMEND/SPA/VP/085/050/2021-22</t>
  </si>
  <si>
    <t>Type A</t>
  </si>
  <si>
    <t xml:space="preserve">Ground Floor for Commercial </t>
  </si>
  <si>
    <t>Shop</t>
  </si>
  <si>
    <t xml:space="preserve">1st &amp; 2nd Floor </t>
  </si>
  <si>
    <t>Office</t>
  </si>
  <si>
    <t>3rd &amp; 4th Floor for Residential</t>
  </si>
  <si>
    <t>2BHK</t>
  </si>
  <si>
    <t>Type C</t>
  </si>
  <si>
    <t>Ground Floor for Parking</t>
  </si>
  <si>
    <t>1st to 7th, 9th to 12th &amp; 14th to 17th &amp; 19th to 22th Floor for Residential</t>
  </si>
  <si>
    <t>MP Room</t>
  </si>
  <si>
    <t>1BHK</t>
  </si>
  <si>
    <t>8th, 13th &amp; 18th Floor (Part Refuge Area)</t>
  </si>
  <si>
    <t>Refuge Area</t>
  </si>
  <si>
    <t>Type B</t>
  </si>
  <si>
    <t>Ground Floor &amp; 1st Podium Floor for Parking</t>
  </si>
  <si>
    <t>2nd to 7th, 9th to 12th &amp; 14th to 17th, 19th to 22nd Floor for Residential</t>
  </si>
  <si>
    <t>Wing A</t>
  </si>
  <si>
    <t>Wing B</t>
  </si>
  <si>
    <t>Flats - 248, Shops - 1, Offices - 3</t>
  </si>
  <si>
    <t>Inspection Sheet</t>
  </si>
  <si>
    <t>Cost Sheet</t>
  </si>
  <si>
    <t>Housing</t>
  </si>
  <si>
    <t xml:space="preserve">https://www.magicbricks.com/trinity-oasis-naigaon-mumbai-pdpid-4d4235333934333935 </t>
  </si>
  <si>
    <t>5.00 KM from Naigaon Railway Station</t>
  </si>
  <si>
    <t xml:space="preserve">Naigaon </t>
  </si>
  <si>
    <t>Regency (Type A)</t>
  </si>
  <si>
    <t>Trinity (Type B)</t>
  </si>
  <si>
    <t>Trinity (Type C)</t>
  </si>
  <si>
    <t>Office No. 1031, Wing J, Akshar Business Park, Plot No. 03 Sector 25, Near APMC Market,
 Vashi, Navi Mumbai, Maharashtra 400703 TEL: 022-46090378/79/80                                                                       
E mail : vsjcapf@gmail.com. Web site : www.vsjadon.com</t>
  </si>
  <si>
    <t>04 Buildings</t>
  </si>
  <si>
    <t>Building No.1 
Regency Type A
Trinity  Type B (Wing A &amp; B)
Trinity Tower Type C</t>
  </si>
  <si>
    <t>Building No.1 (Regency Type A) = Gr/St + 1st to 4th Floor
Building No.1 (Trinity Tower Type B) (Wing A &amp; B) = Gr/St + 1P + 2nd to 22nd Floor
Building No.1 (Trinity Tower Type C) = Gr/St + 1st to 22nd Floor</t>
  </si>
  <si>
    <t>Building No.1 (Regency Type A) = Gr/St + 1st to 4th Floor</t>
  </si>
  <si>
    <t>Building No.1 (Trinity Tower Type B) (Wing A &amp; B) = Gr/St + 1st to 22nd Floor</t>
  </si>
  <si>
    <t>Building No.1 (Trinity Tower Type C) = Gr/St + 1st to 22nd Floor</t>
  </si>
  <si>
    <t>Building No.1 (Trinity Tower Type B) (Wing B) = Gr/St + 1st to 22nd Floor</t>
  </si>
  <si>
    <t>Harsh Tirupati Developers LLP</t>
  </si>
  <si>
    <t>Mr. Divesh 8369026665/9702582000</t>
  </si>
  <si>
    <t>Pranita Mhatre</t>
  </si>
  <si>
    <t>Building No.1 (Trinity Tower Type B) &amp; Building No.1 (Trinity Tower Type C) = Construction work is in process at the time of Visit.
Building No.1 (Regency Type A) = Construction stage is same as last Visit dtd. 08/03/2025 But work is in process.</t>
  </si>
  <si>
    <t>Building No.1 
Type A = Gr + 1st to 4th Floor
Type B =Gr + P + 1st to 21st Floor
Type C =Gr + 1st to 22nd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</si>
</sst>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10" fillId="0" borderId="0" xfId="1" applyNumberFormat="1" applyFont="1" applyAlignment="1">
      <alignment horizontal="center" vertical="center"/>
    </xf>
    <xf numFmtId="1" fontId="6" fillId="0" borderId="1" xfId="0" applyNumberFormat="1" applyFont="1" applyBorder="1" applyAlignment="1" applyProtection="1">
      <alignment vertical="center" wrapText="1"/>
      <protection locked="0"/>
    </xf>
    <xf numFmtId="0" fontId="10" fillId="0" borderId="0" xfId="1" applyFont="1" applyAlignment="1">
      <alignment horizontal="center" vertical="center"/>
    </xf>
    <xf numFmtId="1" fontId="26" fillId="0" borderId="0" xfId="10" applyNumberFormat="1" applyAlignment="1">
      <alignment horizontal="center" vertical="center"/>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7" fillId="0" borderId="7"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3"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10" fillId="0" borderId="3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6" fillId="0" borderId="21"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6"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12988</xdr:colOff>
      <xdr:row>331</xdr:row>
      <xdr:rowOff>21475</xdr:rowOff>
    </xdr:from>
    <xdr:to>
      <xdr:col>7</xdr:col>
      <xdr:colOff>74752</xdr:colOff>
      <xdr:row>347</xdr:row>
      <xdr:rowOff>74929</xdr:rowOff>
    </xdr:to>
    <xdr:pic>
      <xdr:nvPicPr>
        <xdr:cNvPr id="9" name="Picture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74988" y="68125225"/>
          <a:ext cx="4995714" cy="3253854"/>
        </a:xfrm>
        <a:prstGeom prst="rect">
          <a:avLst/>
        </a:prstGeom>
        <a:ln w="19050">
          <a:solidFill>
            <a:schemeClr val="tx1"/>
          </a:solidFill>
        </a:ln>
      </xdr:spPr>
    </xdr:pic>
    <xdr:clientData/>
  </xdr:twoCellAnchor>
  <xdr:twoCellAnchor editAs="oneCell">
    <xdr:from>
      <xdr:col>8</xdr:col>
      <xdr:colOff>311727</xdr:colOff>
      <xdr:row>12</xdr:row>
      <xdr:rowOff>181839</xdr:rowOff>
    </xdr:from>
    <xdr:to>
      <xdr:col>14</xdr:col>
      <xdr:colOff>224621</xdr:colOff>
      <xdr:row>16</xdr:row>
      <xdr:rowOff>107481</xdr:rowOff>
    </xdr:to>
    <xdr:pic>
      <xdr:nvPicPr>
        <xdr:cNvPr id="11" name="Picture 10"/>
        <xdr:cNvPicPr>
          <a:picLocks noChangeAspect="1"/>
        </xdr:cNvPicPr>
      </xdr:nvPicPr>
      <xdr:blipFill>
        <a:blip xmlns:r="http://schemas.openxmlformats.org/officeDocument/2006/relationships" r:embed="rId2"/>
        <a:stretch>
          <a:fillRect/>
        </a:stretch>
      </xdr:blipFill>
      <xdr:spPr>
        <a:xfrm>
          <a:off x="6832022" y="3186544"/>
          <a:ext cx="5180952" cy="914286"/>
        </a:xfrm>
        <a:prstGeom prst="rect">
          <a:avLst/>
        </a:prstGeom>
      </xdr:spPr>
    </xdr:pic>
    <xdr:clientData/>
  </xdr:twoCellAnchor>
  <xdr:twoCellAnchor editAs="oneCell">
    <xdr:from>
      <xdr:col>8</xdr:col>
      <xdr:colOff>607870</xdr:colOff>
      <xdr:row>46</xdr:row>
      <xdr:rowOff>375804</xdr:rowOff>
    </xdr:from>
    <xdr:to>
      <xdr:col>15</xdr:col>
      <xdr:colOff>62673</xdr:colOff>
      <xdr:row>49</xdr:row>
      <xdr:rowOff>89935</xdr:rowOff>
    </xdr:to>
    <xdr:pic>
      <xdr:nvPicPr>
        <xdr:cNvPr id="12" name="Picture 11"/>
        <xdr:cNvPicPr>
          <a:picLocks noChangeAspect="1"/>
        </xdr:cNvPicPr>
      </xdr:nvPicPr>
      <xdr:blipFill>
        <a:blip xmlns:r="http://schemas.openxmlformats.org/officeDocument/2006/relationships" r:embed="rId3"/>
        <a:stretch>
          <a:fillRect/>
        </a:stretch>
      </xdr:blipFill>
      <xdr:spPr>
        <a:xfrm>
          <a:off x="7627795" y="10986654"/>
          <a:ext cx="5388878" cy="952381"/>
        </a:xfrm>
        <a:prstGeom prst="rect">
          <a:avLst/>
        </a:prstGeom>
      </xdr:spPr>
    </xdr:pic>
    <xdr:clientData/>
  </xdr:twoCellAnchor>
  <xdr:twoCellAnchor editAs="oneCell">
    <xdr:from>
      <xdr:col>1</xdr:col>
      <xdr:colOff>608134</xdr:colOff>
      <xdr:row>289</xdr:row>
      <xdr:rowOff>5111</xdr:rowOff>
    </xdr:from>
    <xdr:to>
      <xdr:col>6</xdr:col>
      <xdr:colOff>248099</xdr:colOff>
      <xdr:row>304</xdr:row>
      <xdr:rowOff>61707</xdr:rowOff>
    </xdr:to>
    <xdr:pic>
      <xdr:nvPicPr>
        <xdr:cNvPr id="14" name="Picture 13"/>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370134" y="43864073"/>
          <a:ext cx="3801657" cy="3024000"/>
        </a:xfrm>
        <a:prstGeom prst="rect">
          <a:avLst/>
        </a:prstGeom>
        <a:ln w="12700">
          <a:solidFill>
            <a:schemeClr val="tx1"/>
          </a:solidFill>
        </a:ln>
      </xdr:spPr>
    </xdr:pic>
    <xdr:clientData/>
  </xdr:twoCellAnchor>
  <xdr:twoCellAnchor editAs="oneCell">
    <xdr:from>
      <xdr:col>1</xdr:col>
      <xdr:colOff>603522</xdr:colOff>
      <xdr:row>272</xdr:row>
      <xdr:rowOff>17318</xdr:rowOff>
    </xdr:from>
    <xdr:to>
      <xdr:col>6</xdr:col>
      <xdr:colOff>233695</xdr:colOff>
      <xdr:row>288</xdr:row>
      <xdr:rowOff>70773</xdr:rowOff>
    </xdr:to>
    <xdr:pic>
      <xdr:nvPicPr>
        <xdr:cNvPr id="15" name="Picture 1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l="2057" t="730" b="-1"/>
        <a:stretch/>
      </xdr:blipFill>
      <xdr:spPr>
        <a:xfrm>
          <a:off x="1365522" y="43970863"/>
          <a:ext cx="3777878" cy="3240000"/>
        </a:xfrm>
        <a:prstGeom prst="rect">
          <a:avLst/>
        </a:prstGeom>
        <a:ln w="12700">
          <a:solidFill>
            <a:schemeClr val="tx1"/>
          </a:solidFill>
        </a:ln>
      </xdr:spPr>
    </xdr:pic>
    <xdr:clientData/>
  </xdr:twoCellAnchor>
  <xdr:twoCellAnchor>
    <xdr:from>
      <xdr:col>3</xdr:col>
      <xdr:colOff>635780</xdr:colOff>
      <xdr:row>282</xdr:row>
      <xdr:rowOff>36620</xdr:rowOff>
    </xdr:from>
    <xdr:to>
      <xdr:col>4</xdr:col>
      <xdr:colOff>132835</xdr:colOff>
      <xdr:row>283</xdr:row>
      <xdr:rowOff>100331</xdr:rowOff>
    </xdr:to>
    <xdr:sp macro="" textlink="">
      <xdr:nvSpPr>
        <xdr:cNvPr id="16" name="Rectangle 15"/>
        <xdr:cNvSpPr/>
      </xdr:nvSpPr>
      <xdr:spPr>
        <a:xfrm rot="18677391">
          <a:off x="3132020" y="45892743"/>
          <a:ext cx="262870" cy="4408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743905</xdr:colOff>
      <xdr:row>338</xdr:row>
      <xdr:rowOff>62380</xdr:rowOff>
    </xdr:from>
    <xdr:to>
      <xdr:col>4</xdr:col>
      <xdr:colOff>510606</xdr:colOff>
      <xdr:row>340</xdr:row>
      <xdr:rowOff>38929</xdr:rowOff>
    </xdr:to>
    <xdr:sp macro="" textlink="">
      <xdr:nvSpPr>
        <xdr:cNvPr id="17" name="Rectangle 16"/>
        <xdr:cNvSpPr/>
      </xdr:nvSpPr>
      <xdr:spPr>
        <a:xfrm rot="16857437">
          <a:off x="3320268" y="69399767"/>
          <a:ext cx="376599" cy="70967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504826</xdr:colOff>
      <xdr:row>316</xdr:row>
      <xdr:rowOff>0</xdr:rowOff>
    </xdr:from>
    <xdr:to>
      <xdr:col>7</xdr:col>
      <xdr:colOff>314757</xdr:colOff>
      <xdr:row>330</xdr:row>
      <xdr:rowOff>79650</xdr:rowOff>
    </xdr:to>
    <xdr:pic>
      <xdr:nvPicPr>
        <xdr:cNvPr id="24" name="Picture 23"/>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504826" y="65103375"/>
          <a:ext cx="5505881" cy="2880000"/>
        </a:xfrm>
        <a:prstGeom prst="rect">
          <a:avLst/>
        </a:prstGeom>
        <a:ln w="19050">
          <a:solidFill>
            <a:schemeClr val="tx1"/>
          </a:solidFill>
        </a:ln>
      </xdr:spPr>
    </xdr:pic>
    <xdr:clientData/>
  </xdr:twoCellAnchor>
  <xdr:oneCellAnchor>
    <xdr:from>
      <xdr:col>8</xdr:col>
      <xdr:colOff>745434</xdr:colOff>
      <xdr:row>229</xdr:row>
      <xdr:rowOff>16564</xdr:rowOff>
    </xdr:from>
    <xdr:ext cx="600677" cy="264560"/>
    <xdr:sp macro="" textlink="">
      <xdr:nvSpPr>
        <xdr:cNvPr id="2" name="TextBox 1"/>
        <xdr:cNvSpPr txBox="1"/>
      </xdr:nvSpPr>
      <xdr:spPr>
        <a:xfrm>
          <a:off x="7760804" y="47964586"/>
          <a:ext cx="600677" cy="26456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clientData/>
  </xdr:oneCellAnchor>
  <xdr:oneCellAnchor>
    <xdr:from>
      <xdr:col>10</xdr:col>
      <xdr:colOff>271949</xdr:colOff>
      <xdr:row>230</xdr:row>
      <xdr:rowOff>125895</xdr:rowOff>
    </xdr:from>
    <xdr:ext cx="600677" cy="264560"/>
    <xdr:sp macro="" textlink="">
      <xdr:nvSpPr>
        <xdr:cNvPr id="20" name="TextBox 19"/>
        <xdr:cNvSpPr txBox="1"/>
      </xdr:nvSpPr>
      <xdr:spPr>
        <a:xfrm>
          <a:off x="9026666" y="48454917"/>
          <a:ext cx="600677" cy="26456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clientData/>
  </xdr:oneCellAnchor>
  <xdr:oneCellAnchor>
    <xdr:from>
      <xdr:col>8</xdr:col>
      <xdr:colOff>516833</xdr:colOff>
      <xdr:row>232</xdr:row>
      <xdr:rowOff>127551</xdr:rowOff>
    </xdr:from>
    <xdr:ext cx="1363322" cy="264560"/>
    <xdr:sp macro="" textlink="">
      <xdr:nvSpPr>
        <xdr:cNvPr id="27" name="TextBox 26"/>
        <xdr:cNvSpPr txBox="1"/>
      </xdr:nvSpPr>
      <xdr:spPr>
        <a:xfrm>
          <a:off x="7532203" y="48663638"/>
          <a:ext cx="1363322" cy="26456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Type B (Wing A &amp; B)</a:t>
          </a:r>
        </a:p>
      </xdr:txBody>
    </xdr:sp>
    <xdr:clientData/>
  </xdr:oneCellAnchor>
  <xdr:twoCellAnchor>
    <xdr:from>
      <xdr:col>9</xdr:col>
      <xdr:colOff>685800</xdr:colOff>
      <xdr:row>244</xdr:row>
      <xdr:rowOff>57150</xdr:rowOff>
    </xdr:from>
    <xdr:to>
      <xdr:col>10</xdr:col>
      <xdr:colOff>489191</xdr:colOff>
      <xdr:row>245</xdr:row>
      <xdr:rowOff>195860</xdr:rowOff>
    </xdr:to>
    <xdr:sp macro="" textlink="">
      <xdr:nvSpPr>
        <xdr:cNvPr id="50" name="TextBox 49"/>
        <xdr:cNvSpPr txBox="1"/>
      </xdr:nvSpPr>
      <xdr:spPr>
        <a:xfrm>
          <a:off x="8867775" y="51187350"/>
          <a:ext cx="879716" cy="338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baseline="0"/>
            <a:t>Type A</a:t>
          </a:r>
          <a:endParaRPr lang="en-IN" sz="1800" b="1"/>
        </a:p>
      </xdr:txBody>
    </xdr:sp>
    <xdr:clientData/>
  </xdr:twoCellAnchor>
  <xdr:twoCellAnchor>
    <xdr:from>
      <xdr:col>8</xdr:col>
      <xdr:colOff>1085290</xdr:colOff>
      <xdr:row>226</xdr:row>
      <xdr:rowOff>78441</xdr:rowOff>
    </xdr:from>
    <xdr:to>
      <xdr:col>17</xdr:col>
      <xdr:colOff>381947</xdr:colOff>
      <xdr:row>266</xdr:row>
      <xdr:rowOff>163672</xdr:rowOff>
    </xdr:to>
    <xdr:grpSp>
      <xdr:nvGrpSpPr>
        <xdr:cNvPr id="18" name="Group 17"/>
        <xdr:cNvGrpSpPr/>
      </xdr:nvGrpSpPr>
      <xdr:grpSpPr>
        <a:xfrm>
          <a:off x="8111378" y="48129265"/>
          <a:ext cx="6636510" cy="8142260"/>
          <a:chOff x="200025" y="47729775"/>
          <a:chExt cx="6628666" cy="8075025"/>
        </a:xfrm>
      </xdr:grpSpPr>
      <xdr:grpSp>
        <xdr:nvGrpSpPr>
          <xdr:cNvPr id="13" name="Group 12"/>
          <xdr:cNvGrpSpPr/>
        </xdr:nvGrpSpPr>
        <xdr:grpSpPr>
          <a:xfrm>
            <a:off x="200025" y="47786925"/>
            <a:ext cx="6600825" cy="8017875"/>
            <a:chOff x="200025" y="47786925"/>
            <a:chExt cx="6600825" cy="8017875"/>
          </a:xfrm>
        </xdr:grpSpPr>
        <xdr:pic>
          <xdr:nvPicPr>
            <xdr:cNvPr id="51" name="Picture 50" descr="https://vsjcllp.vsjadon.com/upload/insp-236445-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590925" y="536352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6445-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438400" y="50720625"/>
              <a:ext cx="2126621" cy="2838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6445-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657725" y="47796450"/>
              <a:ext cx="2143125" cy="28604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6445-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00025" y="47786925"/>
              <a:ext cx="2143125" cy="28604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6445-849.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648200" y="50720625"/>
              <a:ext cx="2126621" cy="2838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6445-86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419350" y="47796450"/>
              <a:ext cx="2143125" cy="28604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6445-88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38125" y="50711100"/>
              <a:ext cx="2126621" cy="2838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36445-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866900" y="536448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3" name="TextBox 62"/>
          <xdr:cNvSpPr txBox="1"/>
        </xdr:nvSpPr>
        <xdr:spPr>
          <a:xfrm>
            <a:off x="222411" y="47975852"/>
            <a:ext cx="965642" cy="36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A</a:t>
            </a:r>
            <a:endParaRPr lang="en-IN" sz="1800" b="1"/>
          </a:p>
        </xdr:txBody>
      </xdr:sp>
      <xdr:sp macro="" textlink="">
        <xdr:nvSpPr>
          <xdr:cNvPr id="65" name="TextBox 64"/>
          <xdr:cNvSpPr txBox="1"/>
        </xdr:nvSpPr>
        <xdr:spPr>
          <a:xfrm>
            <a:off x="2466975" y="47729775"/>
            <a:ext cx="961291" cy="36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B</a:t>
            </a:r>
            <a:endParaRPr lang="en-IN" sz="1800" b="1"/>
          </a:p>
        </xdr:txBody>
      </xdr:sp>
      <xdr:sp macro="" textlink="">
        <xdr:nvSpPr>
          <xdr:cNvPr id="66" name="TextBox 65"/>
          <xdr:cNvSpPr txBox="1"/>
        </xdr:nvSpPr>
        <xdr:spPr>
          <a:xfrm>
            <a:off x="5867400" y="47796450"/>
            <a:ext cx="961291" cy="36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C</a:t>
            </a:r>
            <a:endParaRPr lang="en-IN" sz="1800" b="1"/>
          </a:p>
        </xdr:txBody>
      </xdr:sp>
      <xdr:sp macro="" textlink="">
        <xdr:nvSpPr>
          <xdr:cNvPr id="67" name="TextBox 66"/>
          <xdr:cNvSpPr txBox="1"/>
        </xdr:nvSpPr>
        <xdr:spPr>
          <a:xfrm>
            <a:off x="392674" y="51023862"/>
            <a:ext cx="879716" cy="338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baseline="0"/>
              <a:t>Type A</a:t>
            </a:r>
            <a:endParaRPr lang="en-IN" sz="1800" b="1"/>
          </a:p>
        </xdr:txBody>
      </xdr:sp>
    </xdr:grpSp>
    <xdr:clientData/>
  </xdr:twoCellAnchor>
  <xdr:twoCellAnchor>
    <xdr:from>
      <xdr:col>0</xdr:col>
      <xdr:colOff>560294</xdr:colOff>
      <xdr:row>227</xdr:row>
      <xdr:rowOff>134471</xdr:rowOff>
    </xdr:from>
    <xdr:to>
      <xdr:col>7</xdr:col>
      <xdr:colOff>731205</xdr:colOff>
      <xdr:row>268</xdr:row>
      <xdr:rowOff>190500</xdr:rowOff>
    </xdr:to>
    <xdr:grpSp>
      <xdr:nvGrpSpPr>
        <xdr:cNvPr id="5" name="Group 4"/>
        <xdr:cNvGrpSpPr/>
      </xdr:nvGrpSpPr>
      <xdr:grpSpPr>
        <a:xfrm>
          <a:off x="560294" y="48387000"/>
          <a:ext cx="5874705" cy="8314765"/>
          <a:chOff x="560294" y="48521471"/>
          <a:chExt cx="5874705" cy="8314764"/>
        </a:xfrm>
      </xdr:grpSpPr>
      <xdr:pic>
        <xdr:nvPicPr>
          <xdr:cNvPr id="52" name="Picture 51" descr="https://vsjcllp.vsjadon.com/upload/insp-247870-87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531660" y="52449691"/>
            <a:ext cx="1762186" cy="236948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nvGrpSpPr>
          <xdr:cNvPr id="4" name="Group 3"/>
          <xdr:cNvGrpSpPr/>
        </xdr:nvGrpSpPr>
        <xdr:grpSpPr>
          <a:xfrm>
            <a:off x="560294" y="48521471"/>
            <a:ext cx="5874705" cy="8314764"/>
            <a:chOff x="560294" y="48207706"/>
            <a:chExt cx="5874846" cy="8314765"/>
          </a:xfrm>
        </xdr:grpSpPr>
        <xdr:grpSp>
          <xdr:nvGrpSpPr>
            <xdr:cNvPr id="3" name="Group 2"/>
            <xdr:cNvGrpSpPr/>
          </xdr:nvGrpSpPr>
          <xdr:grpSpPr>
            <a:xfrm>
              <a:off x="560294" y="48207706"/>
              <a:ext cx="5874846" cy="8314765"/>
              <a:chOff x="549088" y="48196500"/>
              <a:chExt cx="5874846" cy="8314765"/>
            </a:xfrm>
          </xdr:grpSpPr>
          <xdr:grpSp>
            <xdr:nvGrpSpPr>
              <xdr:cNvPr id="37" name="Group 36"/>
              <xdr:cNvGrpSpPr/>
            </xdr:nvGrpSpPr>
            <xdr:grpSpPr>
              <a:xfrm>
                <a:off x="549088" y="48196500"/>
                <a:ext cx="5874846" cy="8314765"/>
                <a:chOff x="605217" y="14331"/>
                <a:chExt cx="5290905" cy="7459151"/>
              </a:xfrm>
            </xdr:grpSpPr>
            <xdr:pic>
              <xdr:nvPicPr>
                <xdr:cNvPr id="38" name="Picture 37" descr="https://vsjcllp.vsjadon.com/upload/insp-247870-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665492" y="5830931"/>
                  <a:ext cx="1230630" cy="1642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7870-843.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983250" y="5830931"/>
                  <a:ext cx="1229918" cy="1641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7870-84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267802" y="14331"/>
                  <a:ext cx="2534823" cy="33832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7870-844.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55679" y="5826304"/>
                  <a:ext cx="1229177" cy="16406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7870-849.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05217" y="14332"/>
                  <a:ext cx="2534823" cy="33832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7870-85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82517" y="35342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7870-86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424775" y="35342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7870-880.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332105" y="5830931"/>
                  <a:ext cx="1230630" cy="16425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7" name="TextBox 46"/>
              <xdr:cNvSpPr txBox="1"/>
            </xdr:nvSpPr>
            <xdr:spPr>
              <a:xfrm>
                <a:off x="717177" y="48846441"/>
                <a:ext cx="966785" cy="369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a:t>
                </a:r>
                <a:r>
                  <a:rPr lang="en-IN" sz="1200" b="1" baseline="0"/>
                  <a:t> A</a:t>
                </a:r>
                <a:endParaRPr lang="en-IN" sz="1200" b="1"/>
              </a:p>
            </xdr:txBody>
          </xdr:sp>
          <xdr:sp macro="" textlink="">
            <xdr:nvSpPr>
              <xdr:cNvPr id="48" name="TextBox 47"/>
              <xdr:cNvSpPr txBox="1"/>
            </xdr:nvSpPr>
            <xdr:spPr>
              <a:xfrm>
                <a:off x="2476500" y="48375795"/>
                <a:ext cx="966785" cy="369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B</a:t>
                </a:r>
                <a:endParaRPr lang="en-IN" sz="1600" b="1"/>
              </a:p>
            </xdr:txBody>
          </xdr:sp>
          <xdr:sp macro="" textlink="">
            <xdr:nvSpPr>
              <xdr:cNvPr id="49" name="TextBox 48"/>
              <xdr:cNvSpPr txBox="1"/>
            </xdr:nvSpPr>
            <xdr:spPr>
              <a:xfrm>
                <a:off x="3731559" y="48577501"/>
                <a:ext cx="966785" cy="369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t>Wing</a:t>
                </a:r>
                <a:r>
                  <a:rPr lang="en-IN" sz="1600" b="1" baseline="0"/>
                  <a:t> C</a:t>
                </a:r>
                <a:endParaRPr lang="en-IN" sz="1600" b="1"/>
              </a:p>
            </xdr:txBody>
          </xdr:sp>
        </xdr:grpSp>
        <xdr:sp macro="" textlink="">
          <xdr:nvSpPr>
            <xdr:cNvPr id="46" name="TextBox 45"/>
            <xdr:cNvSpPr txBox="1"/>
          </xdr:nvSpPr>
          <xdr:spPr>
            <a:xfrm>
              <a:off x="5266765" y="52208206"/>
              <a:ext cx="880757" cy="341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baseline="0"/>
                <a:t>Type A</a:t>
              </a:r>
              <a:endParaRPr lang="en-IN" sz="1800"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537882</xdr:colOff>
      <xdr:row>13</xdr:row>
      <xdr:rowOff>112059</xdr:rowOff>
    </xdr:from>
    <xdr:to>
      <xdr:col>4</xdr:col>
      <xdr:colOff>343944</xdr:colOff>
      <xdr:row>34</xdr:row>
      <xdr:rowOff>63940</xdr:rowOff>
    </xdr:to>
    <xdr:pic>
      <xdr:nvPicPr>
        <xdr:cNvPr id="2" name="Picture 1"/>
        <xdr:cNvPicPr>
          <a:picLocks noChangeAspect="1"/>
        </xdr:cNvPicPr>
      </xdr:nvPicPr>
      <xdr:blipFill>
        <a:blip xmlns:r="http://schemas.openxmlformats.org/officeDocument/2006/relationships" r:embed="rId1"/>
        <a:stretch>
          <a:fillRect/>
        </a:stretch>
      </xdr:blipFill>
      <xdr:spPr>
        <a:xfrm>
          <a:off x="537882" y="2599765"/>
          <a:ext cx="5095238" cy="3952381"/>
        </a:xfrm>
        <a:prstGeom prst="rect">
          <a:avLst/>
        </a:prstGeom>
      </xdr:spPr>
    </xdr:pic>
    <xdr:clientData/>
  </xdr:twoCellAnchor>
  <xdr:twoCellAnchor editAs="oneCell">
    <xdr:from>
      <xdr:col>4</xdr:col>
      <xdr:colOff>750794</xdr:colOff>
      <xdr:row>14</xdr:row>
      <xdr:rowOff>100853</xdr:rowOff>
    </xdr:from>
    <xdr:to>
      <xdr:col>10</xdr:col>
      <xdr:colOff>356198</xdr:colOff>
      <xdr:row>29</xdr:row>
      <xdr:rowOff>123353</xdr:rowOff>
    </xdr:to>
    <xdr:pic>
      <xdr:nvPicPr>
        <xdr:cNvPr id="3" name="Picture 2"/>
        <xdr:cNvPicPr>
          <a:picLocks noChangeAspect="1"/>
        </xdr:cNvPicPr>
      </xdr:nvPicPr>
      <xdr:blipFill>
        <a:blip xmlns:r="http://schemas.openxmlformats.org/officeDocument/2006/relationships" r:embed="rId2"/>
        <a:stretch>
          <a:fillRect/>
        </a:stretch>
      </xdr:blipFill>
      <xdr:spPr>
        <a:xfrm>
          <a:off x="6039970" y="2779059"/>
          <a:ext cx="4894581"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gicbricks.com/trinity-oasis-naigaon-mumbai-pdpid-4d4235333934333935" TargetMode="External"/><Relationship Id="rId1" Type="http://schemas.openxmlformats.org/officeDocument/2006/relationships/hyperlink" Target="https://goo.gl/maps/ExRUBfJDx2jhXQJ69"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59"/>
  <sheetViews>
    <sheetView tabSelected="1" view="pageBreakPreview" topLeftCell="A247" zoomScale="85" zoomScaleNormal="100" zoomScaleSheetLayoutView="85" workbookViewId="0">
      <selection activeCell="J11" sqref="J11"/>
    </sheetView>
  </sheetViews>
  <sheetFormatPr defaultColWidth="9.140625" defaultRowHeight="15.75" x14ac:dyDescent="0.25"/>
  <cols>
    <col min="1" max="1" width="11.42578125" style="40" customWidth="1"/>
    <col min="2" max="2" width="12" style="40" customWidth="1"/>
    <col min="3" max="3" width="12.7109375" style="40" customWidth="1"/>
    <col min="4" max="4" width="14.140625" style="40" customWidth="1"/>
    <col min="5" max="7" width="11.7109375" style="40" customWidth="1"/>
    <col min="8" max="8" width="19.85546875" style="40" customWidth="1"/>
    <col min="9" max="9" width="17.42578125" style="21" customWidth="1"/>
    <col min="10" max="10" width="16.1406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8" ht="46.5" customHeight="1" x14ac:dyDescent="0.25">
      <c r="A1" s="152" t="s">
        <v>229</v>
      </c>
      <c r="B1" s="152"/>
      <c r="C1" s="152"/>
      <c r="D1" s="152"/>
      <c r="E1" s="152"/>
      <c r="F1" s="152"/>
      <c r="G1" s="152"/>
      <c r="H1" s="152"/>
    </row>
    <row r="2" spans="1:8" ht="16.5" customHeight="1" x14ac:dyDescent="0.25">
      <c r="A2" s="153" t="s">
        <v>0</v>
      </c>
      <c r="B2" s="153"/>
      <c r="C2" s="153"/>
      <c r="D2" s="153"/>
      <c r="E2" s="153"/>
      <c r="F2" s="153"/>
      <c r="G2" s="153"/>
      <c r="H2" s="153"/>
    </row>
    <row r="3" spans="1:8" x14ac:dyDescent="0.25">
      <c r="A3" s="118" t="s">
        <v>1</v>
      </c>
      <c r="B3" s="118"/>
      <c r="C3" s="118"/>
      <c r="D3" s="118"/>
      <c r="E3" s="118" t="str">
        <f ca="1">TEXT(TODAY(),"DD/MM/YYYY")</f>
        <v>19/09/2025</v>
      </c>
      <c r="F3" s="118"/>
      <c r="G3" s="118"/>
      <c r="H3" s="118"/>
    </row>
    <row r="4" spans="1:8" x14ac:dyDescent="0.25">
      <c r="A4" s="118" t="s">
        <v>2</v>
      </c>
      <c r="B4" s="118"/>
      <c r="C4" s="118"/>
      <c r="D4" s="118"/>
      <c r="E4" s="118" t="s">
        <v>176</v>
      </c>
      <c r="F4" s="118"/>
      <c r="G4" s="118"/>
      <c r="H4" s="118"/>
    </row>
    <row r="5" spans="1:8" x14ac:dyDescent="0.25">
      <c r="A5" s="118" t="s">
        <v>3</v>
      </c>
      <c r="B5" s="118"/>
      <c r="C5" s="118"/>
      <c r="D5" s="118"/>
      <c r="E5" s="151">
        <v>45917</v>
      </c>
      <c r="F5" s="118"/>
      <c r="G5" s="118"/>
      <c r="H5" s="118"/>
    </row>
    <row r="6" spans="1:8" ht="16.5" customHeight="1" x14ac:dyDescent="0.25">
      <c r="A6" s="118" t="s">
        <v>4</v>
      </c>
      <c r="B6" s="118"/>
      <c r="C6" s="118"/>
      <c r="D6" s="118"/>
      <c r="E6" s="118" t="s">
        <v>237</v>
      </c>
      <c r="F6" s="118"/>
      <c r="G6" s="118"/>
      <c r="H6" s="118"/>
    </row>
    <row r="7" spans="1:8" x14ac:dyDescent="0.25">
      <c r="A7" s="118" t="s">
        <v>5</v>
      </c>
      <c r="B7" s="118"/>
      <c r="C7" s="118"/>
      <c r="D7" s="118"/>
      <c r="E7" s="118" t="str">
        <f>E6</f>
        <v>Harsh Tirupati Developers LLP</v>
      </c>
      <c r="F7" s="118"/>
      <c r="G7" s="118"/>
      <c r="H7" s="118"/>
    </row>
    <row r="8" spans="1:8" x14ac:dyDescent="0.25">
      <c r="A8" s="118" t="s">
        <v>6</v>
      </c>
      <c r="B8" s="118"/>
      <c r="C8" s="118"/>
      <c r="D8" s="118"/>
      <c r="E8" s="112" t="s">
        <v>177</v>
      </c>
      <c r="F8" s="113"/>
      <c r="G8" s="113"/>
      <c r="H8" s="114"/>
    </row>
    <row r="9" spans="1:8" x14ac:dyDescent="0.25">
      <c r="A9" s="118" t="s">
        <v>174</v>
      </c>
      <c r="B9" s="118"/>
      <c r="C9" s="118"/>
      <c r="D9" s="118"/>
      <c r="E9" s="118" t="s">
        <v>178</v>
      </c>
      <c r="F9" s="118"/>
      <c r="G9" s="118"/>
      <c r="H9" s="118"/>
    </row>
    <row r="10" spans="1:8" x14ac:dyDescent="0.25">
      <c r="A10" s="118" t="s">
        <v>175</v>
      </c>
      <c r="B10" s="118"/>
      <c r="C10" s="118"/>
      <c r="D10" s="118"/>
      <c r="E10" s="118" t="s">
        <v>238</v>
      </c>
      <c r="F10" s="118"/>
      <c r="G10" s="118"/>
      <c r="H10" s="118"/>
    </row>
    <row r="11" spans="1:8" ht="63" customHeight="1" x14ac:dyDescent="0.25">
      <c r="A11" s="118" t="s">
        <v>7</v>
      </c>
      <c r="B11" s="118"/>
      <c r="C11" s="118"/>
      <c r="D11" s="118"/>
      <c r="E11" s="106" t="s">
        <v>231</v>
      </c>
      <c r="F11" s="118"/>
      <c r="G11" s="118"/>
      <c r="H11" s="118"/>
    </row>
    <row r="12" spans="1:8" x14ac:dyDescent="0.25">
      <c r="A12" s="104" t="s">
        <v>8</v>
      </c>
      <c r="B12" s="104"/>
      <c r="C12" s="104"/>
      <c r="D12" s="104"/>
      <c r="E12" s="106" t="s">
        <v>196</v>
      </c>
      <c r="F12" s="106"/>
      <c r="G12" s="106"/>
      <c r="H12" s="106"/>
    </row>
    <row r="13" spans="1:8" x14ac:dyDescent="0.25">
      <c r="A13" s="104" t="s">
        <v>9</v>
      </c>
      <c r="B13" s="104"/>
      <c r="C13" s="104"/>
      <c r="D13" s="104"/>
      <c r="E13" s="106" t="s">
        <v>179</v>
      </c>
      <c r="F13" s="118"/>
      <c r="G13" s="118"/>
      <c r="H13" s="118"/>
    </row>
    <row r="14" spans="1:8" ht="30.75" customHeight="1" x14ac:dyDescent="0.25">
      <c r="A14" s="106" t="s">
        <v>10</v>
      </c>
      <c r="B14" s="106"/>
      <c r="C14" s="106" t="str">
        <f>CONCATENATE((IF(OR(E8="",E8="NA"),"",E8)),", ",(IF(OR(A15="",A15="NA"),"",A15)),".",(IF(OR(C15="",C15="NA"),"",C15)),", near ",(IF(OR(C20="",C20="NA"),"",C20)),", ",(IF(OR(C17="",C17="NA"),"",C17)),", ",(IF(OR(C16="",C16="NA"),"",C16)),", ",(IF(OR(G17="",G17="NA"),"",G17)),", ",(IF(OR(C18="",C18="NA"),"",C18)),", ",(IF(OR(C19="",C19="NA"),"",C19)),", ",(IF(OR(G18="",G18="NA"),"",G18))," - ",(IF(OR(G19="",G19="NA"),"",G19)),".")</f>
        <v>Trinity Oasis, Survey No.120, H.No.3, 4, 7, New S.No.120/B/3, near Sargam Residency, Juchandra - Bapane Rd, Chandrapada, Chandrapada, Naigaon , Vasai, Palghar - 401208.</v>
      </c>
      <c r="D14" s="106"/>
      <c r="E14" s="106"/>
      <c r="F14" s="106"/>
      <c r="G14" s="106"/>
      <c r="H14" s="106"/>
    </row>
    <row r="15" spans="1:8" x14ac:dyDescent="0.25">
      <c r="A15" s="106" t="s">
        <v>185</v>
      </c>
      <c r="B15" s="106"/>
      <c r="C15" s="106" t="s">
        <v>195</v>
      </c>
      <c r="D15" s="106"/>
      <c r="E15" s="106"/>
      <c r="F15" s="106"/>
      <c r="G15" s="106"/>
      <c r="H15" s="106"/>
    </row>
    <row r="16" spans="1:8" ht="15.75" customHeight="1" x14ac:dyDescent="0.25">
      <c r="A16" s="106" t="s">
        <v>170</v>
      </c>
      <c r="B16" s="106"/>
      <c r="C16" s="106" t="s">
        <v>183</v>
      </c>
      <c r="D16" s="106"/>
      <c r="E16" s="106"/>
      <c r="F16" s="106"/>
      <c r="G16" s="106"/>
      <c r="H16" s="106"/>
    </row>
    <row r="17" spans="1:8" ht="15.75" customHeight="1" x14ac:dyDescent="0.25">
      <c r="A17" s="147" t="s">
        <v>11</v>
      </c>
      <c r="B17" s="147"/>
      <c r="C17" s="118" t="s">
        <v>184</v>
      </c>
      <c r="D17" s="118"/>
      <c r="E17" s="147" t="s">
        <v>74</v>
      </c>
      <c r="F17" s="147"/>
      <c r="G17" s="106" t="s">
        <v>183</v>
      </c>
      <c r="H17" s="106"/>
    </row>
    <row r="18" spans="1:8" x14ac:dyDescent="0.25">
      <c r="A18" s="104" t="s">
        <v>13</v>
      </c>
      <c r="B18" s="104"/>
      <c r="C18" s="106" t="s">
        <v>225</v>
      </c>
      <c r="D18" s="106"/>
      <c r="E18" s="147" t="s">
        <v>12</v>
      </c>
      <c r="F18" s="147"/>
      <c r="G18" s="148" t="s">
        <v>180</v>
      </c>
      <c r="H18" s="148"/>
    </row>
    <row r="19" spans="1:8" x14ac:dyDescent="0.25">
      <c r="A19" s="104" t="s">
        <v>75</v>
      </c>
      <c r="B19" s="104"/>
      <c r="C19" s="106" t="s">
        <v>181</v>
      </c>
      <c r="D19" s="106"/>
      <c r="E19" s="147" t="s">
        <v>14</v>
      </c>
      <c r="F19" s="147"/>
      <c r="G19" s="106">
        <v>401208</v>
      </c>
      <c r="H19" s="106"/>
    </row>
    <row r="20" spans="1:8" ht="32.25" customHeight="1" x14ac:dyDescent="0.25">
      <c r="A20" s="104" t="s">
        <v>126</v>
      </c>
      <c r="B20" s="104"/>
      <c r="C20" s="106" t="s">
        <v>187</v>
      </c>
      <c r="D20" s="106"/>
      <c r="E20" s="147" t="s">
        <v>15</v>
      </c>
      <c r="F20" s="147"/>
      <c r="G20" s="149" t="s">
        <v>224</v>
      </c>
      <c r="H20" s="150"/>
    </row>
    <row r="21" spans="1:8" ht="15" customHeight="1" x14ac:dyDescent="0.25">
      <c r="A21" s="147" t="s">
        <v>78</v>
      </c>
      <c r="B21" s="147"/>
      <c r="C21" s="147"/>
      <c r="D21" s="147"/>
      <c r="E21" s="118" t="s">
        <v>16</v>
      </c>
      <c r="F21" s="118"/>
      <c r="G21" s="118"/>
      <c r="H21" s="118"/>
    </row>
    <row r="22" spans="1:8" ht="18.75" customHeight="1" x14ac:dyDescent="0.25">
      <c r="A22" s="147"/>
      <c r="B22" s="147"/>
      <c r="C22" s="147"/>
      <c r="D22" s="147"/>
      <c r="E22" s="118"/>
      <c r="F22" s="118"/>
      <c r="G22" s="118"/>
      <c r="H22" s="118"/>
    </row>
    <row r="23" spans="1:8" ht="15" customHeight="1" x14ac:dyDescent="0.25">
      <c r="A23" s="147" t="s">
        <v>17</v>
      </c>
      <c r="B23" s="147"/>
      <c r="C23" s="147"/>
      <c r="D23" s="147"/>
      <c r="E23" s="106" t="s">
        <v>18</v>
      </c>
      <c r="F23" s="106"/>
      <c r="G23" s="106"/>
      <c r="H23" s="106"/>
    </row>
    <row r="24" spans="1:8" ht="15" customHeight="1" x14ac:dyDescent="0.25">
      <c r="A24" s="104" t="s">
        <v>19</v>
      </c>
      <c r="B24" s="104"/>
      <c r="C24" s="104"/>
      <c r="D24" s="104"/>
      <c r="E24" s="144" t="str">
        <f>IF(AND(G18="Mumbai"),"Upper Class","Middle Class")</f>
        <v>Middle Class</v>
      </c>
      <c r="F24" s="144"/>
      <c r="G24" s="144"/>
      <c r="H24" s="144"/>
    </row>
    <row r="25" spans="1:8" x14ac:dyDescent="0.25">
      <c r="A25" s="104" t="s">
        <v>20</v>
      </c>
      <c r="B25" s="104"/>
      <c r="C25" s="104"/>
      <c r="D25" s="104"/>
      <c r="E25" s="106" t="s">
        <v>21</v>
      </c>
      <c r="F25" s="106"/>
      <c r="G25" s="106"/>
      <c r="H25" s="106"/>
    </row>
    <row r="26" spans="1:8" ht="15.75" customHeight="1" x14ac:dyDescent="0.25">
      <c r="A26" s="104" t="s">
        <v>22</v>
      </c>
      <c r="B26" s="104"/>
      <c r="C26" s="104"/>
      <c r="D26" s="104"/>
      <c r="E26" s="144" t="str">
        <f>IF(AND(G18="Mumbai"),"Developed","Developing")</f>
        <v>Developing</v>
      </c>
      <c r="F26" s="144"/>
      <c r="G26" s="144"/>
      <c r="H26" s="144"/>
    </row>
    <row r="27" spans="1:8" x14ac:dyDescent="0.25">
      <c r="A27" s="104" t="s">
        <v>23</v>
      </c>
      <c r="B27" s="104"/>
      <c r="C27" s="104"/>
      <c r="D27" s="104"/>
      <c r="E27" s="106" t="s">
        <v>24</v>
      </c>
      <c r="F27" s="106"/>
      <c r="G27" s="106"/>
      <c r="H27" s="106"/>
    </row>
    <row r="28" spans="1:8" ht="15.75" customHeight="1" x14ac:dyDescent="0.25">
      <c r="A28" s="104" t="s">
        <v>83</v>
      </c>
      <c r="B28" s="104"/>
      <c r="C28" s="104"/>
      <c r="D28" s="104"/>
      <c r="E28" s="106" t="s">
        <v>84</v>
      </c>
      <c r="F28" s="106"/>
      <c r="G28" s="106"/>
      <c r="H28" s="106"/>
    </row>
    <row r="29" spans="1:8" ht="15" customHeight="1" x14ac:dyDescent="0.25">
      <c r="A29" s="104" t="s">
        <v>33</v>
      </c>
      <c r="B29" s="104"/>
      <c r="C29" s="104"/>
      <c r="D29" s="104"/>
      <c r="E29" s="144"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 + Commercial</v>
      </c>
      <c r="F29" s="144"/>
      <c r="G29" s="144"/>
      <c r="H29" s="144"/>
    </row>
    <row r="30" spans="1:8" ht="15.75" customHeight="1" x14ac:dyDescent="0.25">
      <c r="A30" s="104" t="s">
        <v>95</v>
      </c>
      <c r="B30" s="104"/>
      <c r="C30" s="104"/>
      <c r="D30" s="104"/>
      <c r="E30" s="106" t="s">
        <v>34</v>
      </c>
      <c r="F30" s="106"/>
      <c r="G30" s="106"/>
      <c r="H30" s="106"/>
    </row>
    <row r="31" spans="1:8" s="22" customFormat="1" x14ac:dyDescent="0.25">
      <c r="A31" s="146" t="s">
        <v>96</v>
      </c>
      <c r="B31" s="146"/>
      <c r="C31" s="145" t="s">
        <v>29</v>
      </c>
      <c r="D31" s="145"/>
      <c r="E31" s="145"/>
      <c r="F31" s="145" t="s">
        <v>31</v>
      </c>
      <c r="G31" s="145"/>
      <c r="H31" s="145"/>
    </row>
    <row r="32" spans="1:8" s="22" customFormat="1" x14ac:dyDescent="0.25">
      <c r="A32" s="136" t="s">
        <v>25</v>
      </c>
      <c r="B32" s="136" t="s">
        <v>30</v>
      </c>
      <c r="C32" s="137" t="s">
        <v>30</v>
      </c>
      <c r="D32" s="137"/>
      <c r="E32" s="137"/>
      <c r="F32" s="137" t="s">
        <v>189</v>
      </c>
      <c r="G32" s="137"/>
      <c r="H32" s="137"/>
    </row>
    <row r="33" spans="1:8" x14ac:dyDescent="0.25">
      <c r="A33" s="136" t="s">
        <v>26</v>
      </c>
      <c r="B33" s="136" t="s">
        <v>30</v>
      </c>
      <c r="C33" s="137" t="s">
        <v>30</v>
      </c>
      <c r="D33" s="137"/>
      <c r="E33" s="137"/>
      <c r="F33" s="137" t="s">
        <v>190</v>
      </c>
      <c r="G33" s="137"/>
      <c r="H33" s="137"/>
    </row>
    <row r="34" spans="1:8" s="22" customFormat="1" x14ac:dyDescent="0.25">
      <c r="A34" s="136" t="s">
        <v>28</v>
      </c>
      <c r="B34" s="136" t="s">
        <v>30</v>
      </c>
      <c r="C34" s="137" t="s">
        <v>30</v>
      </c>
      <c r="D34" s="137"/>
      <c r="E34" s="137"/>
      <c r="F34" s="137" t="s">
        <v>184</v>
      </c>
      <c r="G34" s="137"/>
      <c r="H34" s="137"/>
    </row>
    <row r="35" spans="1:8" x14ac:dyDescent="0.25">
      <c r="A35" s="136" t="s">
        <v>27</v>
      </c>
      <c r="B35" s="136" t="s">
        <v>30</v>
      </c>
      <c r="C35" s="137" t="s">
        <v>30</v>
      </c>
      <c r="D35" s="137"/>
      <c r="E35" s="137"/>
      <c r="F35" s="137" t="s">
        <v>191</v>
      </c>
      <c r="G35" s="137"/>
      <c r="H35" s="137"/>
    </row>
    <row r="36" spans="1:8" x14ac:dyDescent="0.25">
      <c r="A36" s="104" t="s">
        <v>32</v>
      </c>
      <c r="B36" s="104"/>
      <c r="C36" s="104"/>
      <c r="D36" s="104"/>
      <c r="E36" s="104"/>
      <c r="F36" s="104"/>
      <c r="G36" s="104"/>
      <c r="H36" s="104"/>
    </row>
    <row r="37" spans="1:8" ht="15.75" customHeight="1" x14ac:dyDescent="0.25">
      <c r="A37" s="104" t="s">
        <v>172</v>
      </c>
      <c r="B37" s="104"/>
      <c r="C37" s="139" t="s">
        <v>188</v>
      </c>
      <c r="D37" s="139"/>
      <c r="E37" s="139"/>
      <c r="F37" s="139"/>
      <c r="G37" s="139"/>
      <c r="H37" s="139"/>
    </row>
    <row r="38" spans="1:8" x14ac:dyDescent="0.25">
      <c r="A38" s="104" t="s">
        <v>169</v>
      </c>
      <c r="B38" s="104"/>
      <c r="C38" s="105" t="s">
        <v>186</v>
      </c>
      <c r="D38" s="106"/>
      <c r="E38" s="106"/>
      <c r="F38" s="106"/>
      <c r="G38" s="106"/>
      <c r="H38" s="106"/>
    </row>
    <row r="39" spans="1:8" x14ac:dyDescent="0.25">
      <c r="A39" s="139" t="s">
        <v>35</v>
      </c>
      <c r="B39" s="139"/>
      <c r="C39" s="139"/>
      <c r="D39" s="139"/>
      <c r="E39" s="139"/>
      <c r="F39" s="139"/>
      <c r="G39" s="139"/>
      <c r="H39" s="139"/>
    </row>
    <row r="40" spans="1:8" x14ac:dyDescent="0.25">
      <c r="A40" s="104" t="s">
        <v>36</v>
      </c>
      <c r="B40" s="104"/>
      <c r="C40" s="104"/>
      <c r="D40" s="104"/>
      <c r="E40" s="138">
        <v>3520</v>
      </c>
      <c r="F40" s="138"/>
      <c r="G40" s="138"/>
      <c r="H40" s="138"/>
    </row>
    <row r="41" spans="1:8" x14ac:dyDescent="0.25">
      <c r="A41" s="104" t="s">
        <v>37</v>
      </c>
      <c r="B41" s="104"/>
      <c r="C41" s="104"/>
      <c r="D41" s="104"/>
      <c r="E41" s="142">
        <v>1.1000000000000001</v>
      </c>
      <c r="F41" s="142"/>
      <c r="G41" s="142"/>
      <c r="H41" s="142"/>
    </row>
    <row r="42" spans="1:8" x14ac:dyDescent="0.25">
      <c r="A42" s="104" t="s">
        <v>38</v>
      </c>
      <c r="B42" s="104"/>
      <c r="C42" s="104"/>
      <c r="D42" s="104"/>
      <c r="E42" s="142">
        <f>E44/E40-E41</f>
        <v>2.8117471590909089</v>
      </c>
      <c r="F42" s="142"/>
      <c r="G42" s="142"/>
      <c r="H42" s="142"/>
    </row>
    <row r="43" spans="1:8" x14ac:dyDescent="0.25">
      <c r="A43" s="104" t="s">
        <v>39</v>
      </c>
      <c r="B43" s="104"/>
      <c r="C43" s="104"/>
      <c r="D43" s="104"/>
      <c r="E43" s="142">
        <f>E41+E42</f>
        <v>3.911747159090909</v>
      </c>
      <c r="F43" s="142"/>
      <c r="G43" s="142"/>
      <c r="H43" s="142"/>
    </row>
    <row r="44" spans="1:8" x14ac:dyDescent="0.25">
      <c r="A44" s="104" t="s">
        <v>94</v>
      </c>
      <c r="B44" s="104"/>
      <c r="C44" s="104"/>
      <c r="D44" s="104"/>
      <c r="E44" s="143">
        <v>13769.35</v>
      </c>
      <c r="F44" s="143"/>
      <c r="G44" s="143"/>
      <c r="H44" s="143"/>
    </row>
    <row r="45" spans="1:8" x14ac:dyDescent="0.25">
      <c r="A45" s="118" t="s">
        <v>40</v>
      </c>
      <c r="B45" s="118"/>
      <c r="C45" s="118"/>
      <c r="D45" s="118"/>
      <c r="E45" s="118" t="s">
        <v>230</v>
      </c>
      <c r="F45" s="118"/>
      <c r="G45" s="118"/>
      <c r="H45" s="118"/>
    </row>
    <row r="46" spans="1:8" x14ac:dyDescent="0.25">
      <c r="A46" s="139" t="s">
        <v>41</v>
      </c>
      <c r="B46" s="139"/>
      <c r="C46" s="139"/>
      <c r="D46" s="139"/>
      <c r="E46" s="139"/>
      <c r="F46" s="139"/>
      <c r="G46" s="139"/>
      <c r="H46" s="139"/>
    </row>
    <row r="47" spans="1:8" ht="33.75" customHeight="1" x14ac:dyDescent="0.25">
      <c r="A47" s="110" t="s">
        <v>156</v>
      </c>
      <c r="B47" s="111"/>
      <c r="C47" s="112" t="s">
        <v>192</v>
      </c>
      <c r="D47" s="113"/>
      <c r="E47" s="113"/>
      <c r="F47" s="113"/>
      <c r="G47" s="113"/>
      <c r="H47" s="114"/>
    </row>
    <row r="48" spans="1:8" ht="31.5" customHeight="1" x14ac:dyDescent="0.25">
      <c r="A48" s="110" t="s">
        <v>42</v>
      </c>
      <c r="B48" s="111"/>
      <c r="C48" s="110" t="s">
        <v>199</v>
      </c>
      <c r="D48" s="192"/>
      <c r="E48" s="111"/>
      <c r="F48" s="18" t="s">
        <v>43</v>
      </c>
      <c r="G48" s="159">
        <v>44561</v>
      </c>
      <c r="H48" s="111"/>
    </row>
    <row r="49" spans="1:14" ht="32.25" customHeight="1" x14ac:dyDescent="0.25">
      <c r="A49" s="110" t="s">
        <v>44</v>
      </c>
      <c r="B49" s="111"/>
      <c r="C49" s="110" t="str">
        <f>C48</f>
        <v>VVCMC/TP/AMEND/SPA/VP/085/050/2021-22</v>
      </c>
      <c r="D49" s="192"/>
      <c r="E49" s="111"/>
      <c r="F49" s="18" t="s">
        <v>43</v>
      </c>
      <c r="G49" s="159">
        <f>G48</f>
        <v>44561</v>
      </c>
      <c r="H49" s="160"/>
    </row>
    <row r="50" spans="1:14" s="23" customFormat="1" ht="33" customHeight="1" x14ac:dyDescent="0.25">
      <c r="A50" s="161" t="s">
        <v>160</v>
      </c>
      <c r="B50" s="162"/>
      <c r="C50" s="110" t="s">
        <v>198</v>
      </c>
      <c r="D50" s="192"/>
      <c r="E50" s="111"/>
      <c r="F50" s="18" t="s">
        <v>43</v>
      </c>
      <c r="G50" s="159">
        <v>44561</v>
      </c>
      <c r="H50" s="160"/>
    </row>
    <row r="51" spans="1:14" s="23" customFormat="1" ht="68.25" customHeight="1" x14ac:dyDescent="0.25">
      <c r="A51" s="163"/>
      <c r="B51" s="164"/>
      <c r="C51" s="149" t="s">
        <v>241</v>
      </c>
      <c r="D51" s="207"/>
      <c r="E51" s="207"/>
      <c r="F51" s="207"/>
      <c r="G51" s="207"/>
      <c r="H51" s="150"/>
    </row>
    <row r="52" spans="1:14" x14ac:dyDescent="0.25">
      <c r="A52" s="201" t="s">
        <v>45</v>
      </c>
      <c r="B52" s="202"/>
      <c r="C52" s="201" t="s">
        <v>108</v>
      </c>
      <c r="D52" s="203"/>
      <c r="E52" s="202"/>
      <c r="F52" s="46" t="s">
        <v>43</v>
      </c>
      <c r="G52" s="204" t="s">
        <v>30</v>
      </c>
      <c r="H52" s="205"/>
    </row>
    <row r="53" spans="1:14" x14ac:dyDescent="0.25">
      <c r="A53" s="169" t="s">
        <v>47</v>
      </c>
      <c r="B53" s="169"/>
      <c r="C53" s="169"/>
      <c r="D53" s="169"/>
      <c r="E53" s="169"/>
      <c r="F53" s="169"/>
      <c r="G53" s="169"/>
      <c r="H53" s="169"/>
    </row>
    <row r="54" spans="1:14" x14ac:dyDescent="0.25">
      <c r="A54" s="147" t="s">
        <v>93</v>
      </c>
      <c r="B54" s="147"/>
      <c r="C54" s="147"/>
      <c r="D54" s="104">
        <f>E44</f>
        <v>13769.35</v>
      </c>
      <c r="E54" s="104"/>
      <c r="F54" s="104"/>
      <c r="G54" s="104"/>
      <c r="H54" s="104"/>
    </row>
    <row r="55" spans="1:14" x14ac:dyDescent="0.25">
      <c r="A55" s="106" t="s">
        <v>48</v>
      </c>
      <c r="B55" s="118"/>
      <c r="C55" s="118"/>
      <c r="D55" s="118" t="s">
        <v>219</v>
      </c>
      <c r="E55" s="118"/>
      <c r="F55" s="118"/>
      <c r="G55" s="118"/>
      <c r="H55" s="118"/>
      <c r="I55" s="24"/>
    </row>
    <row r="56" spans="1:14" ht="68.25" customHeight="1" x14ac:dyDescent="0.25">
      <c r="A56" s="156" t="s">
        <v>197</v>
      </c>
      <c r="B56" s="157"/>
      <c r="C56" s="158"/>
      <c r="D56" s="154" t="s">
        <v>232</v>
      </c>
      <c r="E56" s="155"/>
      <c r="F56" s="155"/>
      <c r="G56" s="155"/>
      <c r="H56" s="155"/>
    </row>
    <row r="57" spans="1:14" ht="15.75" customHeight="1" x14ac:dyDescent="0.25">
      <c r="A57" s="156" t="s">
        <v>91</v>
      </c>
      <c r="B57" s="157"/>
      <c r="C57" s="157"/>
      <c r="D57" s="197" t="s">
        <v>233</v>
      </c>
      <c r="E57" s="198"/>
      <c r="F57" s="198"/>
      <c r="G57" s="198"/>
      <c r="H57" s="199"/>
    </row>
    <row r="58" spans="1:14" ht="31.5" customHeight="1" x14ac:dyDescent="0.25">
      <c r="A58" s="193"/>
      <c r="B58" s="194"/>
      <c r="C58" s="194"/>
      <c r="D58" s="193" t="s">
        <v>234</v>
      </c>
      <c r="E58" s="194"/>
      <c r="F58" s="194"/>
      <c r="G58" s="194"/>
      <c r="H58" s="200"/>
    </row>
    <row r="59" spans="1:14" x14ac:dyDescent="0.25">
      <c r="A59" s="195"/>
      <c r="B59" s="196"/>
      <c r="C59" s="196"/>
      <c r="D59" s="195" t="s">
        <v>235</v>
      </c>
      <c r="E59" s="196"/>
      <c r="F59" s="196"/>
      <c r="G59" s="196"/>
      <c r="H59" s="206"/>
    </row>
    <row r="60" spans="1:14" ht="15.75" customHeight="1" x14ac:dyDescent="0.25">
      <c r="A60" s="104" t="s">
        <v>46</v>
      </c>
      <c r="B60" s="104"/>
      <c r="C60" s="104"/>
      <c r="D60" s="140" t="s">
        <v>193</v>
      </c>
      <c r="E60" s="140"/>
      <c r="F60" s="140"/>
      <c r="G60" s="140"/>
      <c r="H60" s="140"/>
      <c r="J60" s="25"/>
      <c r="K60" s="24"/>
      <c r="N60" s="24"/>
    </row>
    <row r="61" spans="1:14" ht="15.75" customHeight="1" x14ac:dyDescent="0.25">
      <c r="A61" s="104" t="s">
        <v>89</v>
      </c>
      <c r="B61" s="104"/>
      <c r="C61" s="104"/>
      <c r="D61" s="141" t="str">
        <f>(IF(G52="NA","60 Years After Completion",IF(G52&lt;&gt;"NA",""&amp;60-ROUNDDOWN((E3-G52)/360,0)&amp;" Years"," ")))</f>
        <v>60 Years After Completion</v>
      </c>
      <c r="E61" s="141"/>
      <c r="F61" s="141"/>
      <c r="G61" s="141"/>
      <c r="H61" s="141"/>
      <c r="N61" s="24"/>
    </row>
    <row r="62" spans="1:14" ht="15.75" customHeight="1" x14ac:dyDescent="0.25">
      <c r="A62" s="104" t="s">
        <v>90</v>
      </c>
      <c r="B62" s="104"/>
      <c r="C62" s="104"/>
      <c r="D62" s="147" t="s">
        <v>24</v>
      </c>
      <c r="E62" s="147"/>
      <c r="F62" s="147"/>
      <c r="G62" s="147"/>
      <c r="H62" s="147"/>
      <c r="J62" s="26"/>
      <c r="K62" s="26"/>
    </row>
    <row r="63" spans="1:14" ht="79.5" customHeight="1" x14ac:dyDescent="0.25">
      <c r="A63" s="104" t="s">
        <v>76</v>
      </c>
      <c r="B63" s="104"/>
      <c r="C63" s="104"/>
      <c r="D63" s="106" t="s">
        <v>194</v>
      </c>
      <c r="E63" s="147"/>
      <c r="F63" s="147"/>
      <c r="G63" s="147"/>
      <c r="H63" s="147"/>
    </row>
    <row r="64" spans="1:14" x14ac:dyDescent="0.25">
      <c r="A64" s="147" t="s">
        <v>153</v>
      </c>
      <c r="B64" s="147"/>
      <c r="C64" s="147"/>
      <c r="D64" s="147" t="s">
        <v>30</v>
      </c>
      <c r="E64" s="147"/>
      <c r="F64" s="147"/>
      <c r="G64" s="147"/>
      <c r="H64" s="147"/>
      <c r="I64" s="27"/>
      <c r="J64" s="27"/>
      <c r="K64" s="27"/>
      <c r="L64" s="27"/>
      <c r="M64" s="27"/>
      <c r="N64" s="27"/>
    </row>
    <row r="65" spans="1:10" ht="15.75" customHeight="1" x14ac:dyDescent="0.25">
      <c r="A65" s="173" t="s">
        <v>88</v>
      </c>
      <c r="B65" s="173"/>
      <c r="C65" s="173"/>
      <c r="D65" s="154" t="str">
        <f ca="1">(IF(G113&gt;95%,"Nothing",IF(G113&gt;0%,"Cement, Aggregate, Steel, etc",IF(G113=0%,"Work not yet Started"))))</f>
        <v>Cement, Aggregate, Steel, etc</v>
      </c>
      <c r="E65" s="154"/>
      <c r="F65" s="154"/>
      <c r="G65" s="154"/>
      <c r="H65" s="154"/>
      <c r="J65" s="26"/>
    </row>
    <row r="66" spans="1:10" ht="33.75" customHeight="1" thickBot="1" x14ac:dyDescent="0.3">
      <c r="A66" s="165" t="s">
        <v>121</v>
      </c>
      <c r="B66" s="165"/>
      <c r="C66" s="165"/>
      <c r="D66" s="154" t="str">
        <f ca="1">(IF(D65="Nothing","Yes",IF(D65="Cement, Aggregate, Steel, etc","Under Construction",IF(D65="Work not yet Started","Work not yet Started"))))</f>
        <v>Under Construction</v>
      </c>
      <c r="E66" s="154"/>
      <c r="F66" s="154" t="str">
        <f ca="1">(IF(D65="Nothing","Yes",IF(D65="Cement, Aggregate, Steel, etc","Under Construction",IF(D65="Work not yet Started","Work not yet Started"))))</f>
        <v>Under Construction</v>
      </c>
      <c r="G66" s="154"/>
      <c r="H66" s="154"/>
    </row>
    <row r="67" spans="1:10" ht="15.75" customHeight="1" x14ac:dyDescent="0.25">
      <c r="A67" s="70" t="s">
        <v>145</v>
      </c>
      <c r="B67" s="71"/>
      <c r="C67" s="72" t="str">
        <f>D57</f>
        <v>Building No.1 (Regency Type A) = Gr/St + 1st to 4th Floor</v>
      </c>
      <c r="D67" s="73"/>
      <c r="E67" s="73"/>
      <c r="F67" s="73"/>
      <c r="G67" s="73"/>
      <c r="H67" s="74"/>
      <c r="I67" s="50" t="str">
        <f ca="1">IF(D80=100%,"All work Completed. Possession granted to the Building.",IF(D79=100%,"All work Completed, Waiting for OC",I68&amp;""&amp;I69&amp;""&amp;J68&amp;""&amp;J67&amp;" "&amp;J69))</f>
        <v xml:space="preserve">Excavation, Plinth Completed </v>
      </c>
      <c r="J67" s="51"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c>
    </row>
    <row r="68" spans="1:10" x14ac:dyDescent="0.25">
      <c r="A68" s="16" t="s">
        <v>147</v>
      </c>
      <c r="B68" s="54">
        <f>IF(AND(ISNUMBER(SEARCH("1B",C67))),1,IF(AND(ISNUMBER(SEARCH("2B",C67))),2,IF(AND(ISNUMBER(SEARCH("3B",C67))),3,IF(AND(ISNUMBER(SEARCH("4B",C67))),4,IF(ISNUMBER(SEARCH("5B",C67)),5,0)))))</f>
        <v>0</v>
      </c>
      <c r="C68" s="48" t="s">
        <v>73</v>
      </c>
      <c r="D68" s="48">
        <v>1</v>
      </c>
      <c r="E68" s="48" t="s">
        <v>72</v>
      </c>
      <c r="F68" s="58">
        <v>0</v>
      </c>
      <c r="G68" s="49" t="s">
        <v>82</v>
      </c>
      <c r="H68" s="17">
        <f ca="1">--TRIM(RIGHT(SUBSTITUTE(LEFT(C67,_xlfn.AGGREGATE(16,6,FIND({0,1,2,3,4,5,6,7,8,9},C67,ROW(INDIRECT("1:"&amp;LEN(C67)))),1))," ",REPT(" ",LEN(C67))),LEN(C67)))</f>
        <v>4</v>
      </c>
      <c r="I68" s="52" t="str">
        <f ca="1">IF(D71=100%,"Excavation","")&amp;IF(D72=100%,", Plinth","")&amp;IF(D73=100%,", RCC Slab","")&amp;IF(D74=100%,", Brickwork","")&amp;IF(D75=100%,", Internal Plaster","")&amp;IF(D76=100%,", External Plaster","")&amp;IF(D77=100%,", Flooring","")&amp;IF(D78=100%,", Painting","")&amp;IF(D79=100%,", Building common Amenities","")</f>
        <v>Excavation, Plinth</v>
      </c>
      <c r="J68" s="53"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x14ac:dyDescent="0.25">
      <c r="A69" s="75" t="s">
        <v>92</v>
      </c>
      <c r="B69" s="76"/>
      <c r="C69" s="77" t="str">
        <f ca="1">I67</f>
        <v xml:space="preserve">Excavation, Plinth Completed </v>
      </c>
      <c r="D69" s="77"/>
      <c r="E69" s="77"/>
      <c r="F69" s="77"/>
      <c r="G69" s="77"/>
      <c r="H69" s="78"/>
      <c r="I69" s="52" t="str">
        <f ca="1">IF(I68&lt;&gt;""," Completed","")</f>
        <v xml:space="preserve"> Completed</v>
      </c>
      <c r="J69" s="53" t="str">
        <f ca="1">IF(J67&lt;&gt;"","Completed","")</f>
        <v/>
      </c>
    </row>
    <row r="70" spans="1:10" ht="15.75" customHeight="1" x14ac:dyDescent="0.25">
      <c r="A70" s="79" t="s">
        <v>49</v>
      </c>
      <c r="B70" s="80"/>
      <c r="C70" s="44" t="s">
        <v>144</v>
      </c>
      <c r="D70" s="44" t="s">
        <v>85</v>
      </c>
      <c r="E70" s="80" t="s">
        <v>87</v>
      </c>
      <c r="F70" s="80"/>
      <c r="G70" s="80" t="s">
        <v>86</v>
      </c>
      <c r="H70" s="81"/>
      <c r="I70" s="14" t="s">
        <v>146</v>
      </c>
      <c r="J70" s="28">
        <f ca="1">H68*25%</f>
        <v>1</v>
      </c>
    </row>
    <row r="71" spans="1:10" x14ac:dyDescent="0.25">
      <c r="A71" s="79" t="s">
        <v>133</v>
      </c>
      <c r="B71" s="80"/>
      <c r="C71" s="44">
        <f ca="1">J72</f>
        <v>4</v>
      </c>
      <c r="D71" s="19">
        <f ca="1">((100/H68)*C71)/100</f>
        <v>1</v>
      </c>
      <c r="E71" s="82">
        <f ca="1">(((C72/H68*10)+(40/(D68+F68+H68)*C73)+(7.5/(H68)*C74)+(7.5/(H68)*C75)+(10/H68*C76)+(10/H68*C77)+(5/H68*C78)+(5/H68*C79)+(5/H68*C80))/100)</f>
        <v>0.1</v>
      </c>
      <c r="F71" s="83"/>
      <c r="G71" s="82">
        <f ca="1">((((C71/H68)*20)+((C72/H68)*25)+(30/(H68+F68+D68)*C73)+(5/H68*C74)+(5/H68*C75)+(5/H68*C76)+(5/H68*C77)+(0/H68*C78)+(0/H68*C79)+(5/H68*C80))/100)</f>
        <v>0.45</v>
      </c>
      <c r="H71" s="88"/>
      <c r="I71" s="14" t="s">
        <v>103</v>
      </c>
      <c r="J71" s="29">
        <f ca="1">H68*50%</f>
        <v>2</v>
      </c>
    </row>
    <row r="72" spans="1:10" x14ac:dyDescent="0.25">
      <c r="A72" s="79" t="s">
        <v>50</v>
      </c>
      <c r="B72" s="80"/>
      <c r="C72" s="56">
        <f ca="1">J80</f>
        <v>4</v>
      </c>
      <c r="D72" s="19">
        <f ca="1">((100/H68)*C72)/100</f>
        <v>1</v>
      </c>
      <c r="E72" s="84"/>
      <c r="F72" s="85"/>
      <c r="G72" s="84"/>
      <c r="H72" s="89"/>
      <c r="I72" s="14" t="s">
        <v>104</v>
      </c>
      <c r="J72" s="29">
        <f ca="1">H68</f>
        <v>4</v>
      </c>
    </row>
    <row r="73" spans="1:10" ht="15.75" customHeight="1" x14ac:dyDescent="0.25">
      <c r="A73" s="79" t="s">
        <v>134</v>
      </c>
      <c r="B73" s="80"/>
      <c r="C73" s="44">
        <v>0</v>
      </c>
      <c r="D73" s="19">
        <f ca="1">((100/(D68+F68+H68))*C73)/100</f>
        <v>0</v>
      </c>
      <c r="E73" s="84"/>
      <c r="F73" s="85"/>
      <c r="G73" s="84"/>
      <c r="H73" s="89"/>
      <c r="I73" s="14" t="s">
        <v>105</v>
      </c>
      <c r="J73" s="30">
        <f ca="1">(IF(B68&gt;1,(H68/(B68+2)),H68/4))</f>
        <v>1</v>
      </c>
    </row>
    <row r="74" spans="1:10" ht="15.75" customHeight="1" x14ac:dyDescent="0.25">
      <c r="A74" s="79" t="s">
        <v>141</v>
      </c>
      <c r="B74" s="80" t="s">
        <v>135</v>
      </c>
      <c r="C74" s="44">
        <v>0</v>
      </c>
      <c r="D74" s="19">
        <f ca="1">((100/H68)*C74)/100</f>
        <v>0</v>
      </c>
      <c r="E74" s="84"/>
      <c r="F74" s="85"/>
      <c r="G74" s="84"/>
      <c r="H74" s="89"/>
      <c r="I74" s="14" t="s">
        <v>106</v>
      </c>
      <c r="J74" s="30">
        <f ca="1">(IF(B68&gt;1,(H68/(B68+2)+J73),H68/4+J73))</f>
        <v>2</v>
      </c>
    </row>
    <row r="75" spans="1:10" ht="15.75" customHeight="1" x14ac:dyDescent="0.25">
      <c r="A75" s="79" t="s">
        <v>142</v>
      </c>
      <c r="B75" s="80" t="s">
        <v>135</v>
      </c>
      <c r="C75" s="44">
        <v>0</v>
      </c>
      <c r="D75" s="19">
        <f ca="1">((100/H68)*C75)/100</f>
        <v>0</v>
      </c>
      <c r="E75" s="84"/>
      <c r="F75" s="85"/>
      <c r="G75" s="84"/>
      <c r="H75" s="89"/>
      <c r="I75" s="14" t="s">
        <v>151</v>
      </c>
      <c r="J75" s="30">
        <f>(IF(B68&gt;1,(H68/(B68+2)+J74),0))</f>
        <v>0</v>
      </c>
    </row>
    <row r="76" spans="1:10" ht="15" customHeight="1" x14ac:dyDescent="0.25">
      <c r="A76" s="79" t="s">
        <v>140</v>
      </c>
      <c r="B76" s="80" t="s">
        <v>137</v>
      </c>
      <c r="C76" s="44">
        <v>0</v>
      </c>
      <c r="D76" s="19">
        <f ca="1">((100/(H68))*C76)/100</f>
        <v>0</v>
      </c>
      <c r="E76" s="84"/>
      <c r="F76" s="85"/>
      <c r="G76" s="84"/>
      <c r="H76" s="89"/>
      <c r="I76" s="14" t="s">
        <v>148</v>
      </c>
      <c r="J76" s="30">
        <f>(IF(B68&gt;2,(H68/(B68+2)+J75),0))</f>
        <v>0</v>
      </c>
    </row>
    <row r="77" spans="1:10" ht="15.75" customHeight="1" x14ac:dyDescent="0.25">
      <c r="A77" s="79" t="s">
        <v>136</v>
      </c>
      <c r="B77" s="80" t="s">
        <v>136</v>
      </c>
      <c r="C77" s="44">
        <v>0</v>
      </c>
      <c r="D77" s="19">
        <f ca="1">((100/H68)*C77)/100</f>
        <v>0</v>
      </c>
      <c r="E77" s="84"/>
      <c r="F77" s="85"/>
      <c r="G77" s="84"/>
      <c r="H77" s="89"/>
      <c r="I77" s="14" t="s">
        <v>149</v>
      </c>
      <c r="J77" s="31">
        <f>(IF(B68&gt;3,(H68/(B68+2)+J76),0))</f>
        <v>0</v>
      </c>
    </row>
    <row r="78" spans="1:10" ht="15.75" customHeight="1" x14ac:dyDescent="0.25">
      <c r="A78" s="79" t="s">
        <v>143</v>
      </c>
      <c r="B78" s="80"/>
      <c r="C78" s="44">
        <v>0</v>
      </c>
      <c r="D78" s="19">
        <f ca="1">((100/H68)*C78)/100</f>
        <v>0</v>
      </c>
      <c r="E78" s="84"/>
      <c r="F78" s="85"/>
      <c r="G78" s="84"/>
      <c r="H78" s="89"/>
      <c r="I78" s="14" t="s">
        <v>150</v>
      </c>
      <c r="J78" s="30">
        <f>(IF(B68&gt;4,(H68/(B68+2)+J77),0))</f>
        <v>0</v>
      </c>
    </row>
    <row r="79" spans="1:10" ht="15.75" customHeight="1" x14ac:dyDescent="0.25">
      <c r="A79" s="79" t="s">
        <v>138</v>
      </c>
      <c r="B79" s="80" t="s">
        <v>138</v>
      </c>
      <c r="C79" s="44">
        <v>0</v>
      </c>
      <c r="D79" s="19">
        <f ca="1">((100/(H68))*C79)/100</f>
        <v>0</v>
      </c>
      <c r="E79" s="84"/>
      <c r="F79" s="85"/>
      <c r="G79" s="84"/>
      <c r="H79" s="89"/>
      <c r="I79" s="14" t="s">
        <v>152</v>
      </c>
      <c r="J79" s="30">
        <f ca="1">(IF(B68=1,(H68/(B68+3)+J74),IF(B68=0,(H68/4+J74),IF(B68&gt;1,0))))</f>
        <v>3</v>
      </c>
    </row>
    <row r="80" spans="1:10" ht="16.5" thickBot="1" x14ac:dyDescent="0.3">
      <c r="A80" s="91" t="s">
        <v>139</v>
      </c>
      <c r="B80" s="92"/>
      <c r="C80" s="45">
        <v>0</v>
      </c>
      <c r="D80" s="20">
        <f ca="1">((100/(H68))*C80)/100</f>
        <v>0</v>
      </c>
      <c r="E80" s="86"/>
      <c r="F80" s="87"/>
      <c r="G80" s="86"/>
      <c r="H80" s="90"/>
      <c r="I80" s="15" t="s">
        <v>107</v>
      </c>
      <c r="J80" s="32">
        <f ca="1">(IF(B68&gt;1.5,(H68/(B68+2)+J74+MAX(0,J75-J74)+MAX(0,J76-J75)+MAX(0,J77-J76)+MAX(0,J78-J77)+MAX(0,J79-J78)),IF(B68=1,(H68/(B68+3)+J79),IF(B68=0,H68/4+J79))))</f>
        <v>4</v>
      </c>
    </row>
    <row r="81" spans="1:10" x14ac:dyDescent="0.25">
      <c r="A81" s="70" t="s">
        <v>145</v>
      </c>
      <c r="B81" s="71"/>
      <c r="C81" s="72" t="s">
        <v>234</v>
      </c>
      <c r="D81" s="73"/>
      <c r="E81" s="73"/>
      <c r="F81" s="73"/>
      <c r="G81" s="73"/>
      <c r="H81" s="74"/>
      <c r="I81" s="50" t="str">
        <f ca="1">IF(D94=100%,"All work Completed. Possession granted to the Building.",IF(D93=100%,"All work Completed, Waiting for OC",I82&amp;""&amp;I83&amp;""&amp;J82&amp;""&amp;J81&amp;" "&amp;J83))</f>
        <v>Excavation, Plinth, RCC Slab Completed, Brickwork upto 19 Floor, Internal Plaster upto 12 Floor Completed</v>
      </c>
      <c r="J81" s="51"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Brickwork upto 19 Floor, Internal Plaster upto 12 Floor</v>
      </c>
    </row>
    <row r="82" spans="1:10" x14ac:dyDescent="0.25">
      <c r="A82" s="16" t="s">
        <v>147</v>
      </c>
      <c r="B82" s="55">
        <f>IF(AND(ISNUMBER(SEARCH("1B",C81))),1,IF(AND(ISNUMBER(SEARCH("2B",C81))),2,IF(AND(ISNUMBER(SEARCH("3B",C81))),3,IF(AND(ISNUMBER(SEARCH("4B",C81))),4,IF(ISNUMBER(SEARCH("5B",C81)),5,0)))))</f>
        <v>0</v>
      </c>
      <c r="C82" s="48" t="s">
        <v>73</v>
      </c>
      <c r="D82" s="48">
        <v>1</v>
      </c>
      <c r="E82" s="48" t="s">
        <v>72</v>
      </c>
      <c r="F82" s="58">
        <v>0</v>
      </c>
      <c r="G82" s="49" t="s">
        <v>82</v>
      </c>
      <c r="H82" s="17">
        <f ca="1">--TRIM(RIGHT(SUBSTITUTE(LEFT(C81,_xlfn.AGGREGATE(16,6,FIND({0,1,2,3,4,5,6,7,8,9},C81,ROW(INDIRECT("1:"&amp;LEN(C81)))),1))," ",REPT(" ",LEN(C81))),LEN(C81)))</f>
        <v>22</v>
      </c>
      <c r="I82" s="52" t="str">
        <f ca="1">IF(D85=100%,"Excavation","")&amp;IF(D86=100%,", Plinth","")&amp;IF(D87=100%,", RCC Slab","")&amp;IF(D88=100%,", Brickwork","")&amp;IF(D89=100%,", Internal Plaster","")&amp;IF(D90=100%,", External Plaster","")&amp;IF(D91=100%,", Flooring","")&amp;IF(D92=100%,", Painting","")&amp;IF(D93=100%,", Building common Amenities","")</f>
        <v>Excavation, Plinth, RCC Slab</v>
      </c>
      <c r="J82" s="53"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t="30.95" customHeight="1" x14ac:dyDescent="0.25">
      <c r="A83" s="75" t="s">
        <v>92</v>
      </c>
      <c r="B83" s="76"/>
      <c r="C83" s="77" t="str">
        <f ca="1">(IF($G$52="NA",I81,"All work Completed. OC Received."))</f>
        <v>Excavation, Plinth, RCC Slab Completed, Brickwork upto 19 Floor, Internal Plaster upto 12 Floor Completed</v>
      </c>
      <c r="D83" s="77"/>
      <c r="E83" s="77"/>
      <c r="F83" s="77"/>
      <c r="G83" s="77"/>
      <c r="H83" s="78"/>
      <c r="I83" s="52" t="str">
        <f ca="1">IF(I82&lt;&gt;""," Completed","")</f>
        <v xml:space="preserve"> Completed</v>
      </c>
      <c r="J83" s="53" t="str">
        <f ca="1">IF(J81&lt;&gt;"","Completed","")</f>
        <v>Completed</v>
      </c>
    </row>
    <row r="84" spans="1:10" ht="15.75" customHeight="1" x14ac:dyDescent="0.25">
      <c r="A84" s="79" t="s">
        <v>49</v>
      </c>
      <c r="B84" s="80"/>
      <c r="C84" s="44" t="s">
        <v>144</v>
      </c>
      <c r="D84" s="44" t="s">
        <v>85</v>
      </c>
      <c r="E84" s="80" t="s">
        <v>87</v>
      </c>
      <c r="F84" s="80"/>
      <c r="G84" s="80" t="s">
        <v>86</v>
      </c>
      <c r="H84" s="81"/>
      <c r="I84" s="14" t="s">
        <v>146</v>
      </c>
      <c r="J84" s="28">
        <f ca="1">H82*25%</f>
        <v>5.5</v>
      </c>
    </row>
    <row r="85" spans="1:10" x14ac:dyDescent="0.25">
      <c r="A85" s="79" t="s">
        <v>133</v>
      </c>
      <c r="B85" s="80"/>
      <c r="C85" s="44">
        <f ca="1">J86</f>
        <v>22</v>
      </c>
      <c r="D85" s="19">
        <f ca="1">((100/H82)*C85)/100</f>
        <v>1.0000000000000002</v>
      </c>
      <c r="E85" s="82">
        <f ca="1">(((C86/H82*10)+(40/(D82+F82+H82)*C87)+(7.5/(H82)*C88)+(7.5/(H82)*C89)+(10/H82*C90)+(10/H82*C91)+(5/H82*C92)+(5/H82*C93)+(5/H82*C94))/100)</f>
        <v>0.60568181818181821</v>
      </c>
      <c r="F85" s="83"/>
      <c r="G85" s="82">
        <f ca="1">((((C85/H82)*20)+((C86/H82)*25)+(30/(H82+F82+D82)*C87)+(5/H82*C88)+(5/H82*C89)+(5/H82*C90)+(5/H82*C91)+(0/H82*C92)+(0/H82*C93)+(5/H82*C94))/100)</f>
        <v>0.82045454545454544</v>
      </c>
      <c r="H85" s="88"/>
      <c r="I85" s="14" t="s">
        <v>103</v>
      </c>
      <c r="J85" s="29">
        <f ca="1">H82*50%</f>
        <v>11</v>
      </c>
    </row>
    <row r="86" spans="1:10" x14ac:dyDescent="0.25">
      <c r="A86" s="79" t="s">
        <v>50</v>
      </c>
      <c r="B86" s="80"/>
      <c r="C86" s="56">
        <f ca="1">J94</f>
        <v>22</v>
      </c>
      <c r="D86" s="19">
        <f ca="1">((100/H82)*C86)/100</f>
        <v>1.0000000000000002</v>
      </c>
      <c r="E86" s="84"/>
      <c r="F86" s="85"/>
      <c r="G86" s="84"/>
      <c r="H86" s="89"/>
      <c r="I86" s="14" t="s">
        <v>104</v>
      </c>
      <c r="J86" s="29">
        <f ca="1">H82</f>
        <v>22</v>
      </c>
    </row>
    <row r="87" spans="1:10" ht="15.75" customHeight="1" x14ac:dyDescent="0.25">
      <c r="A87" s="79" t="s">
        <v>134</v>
      </c>
      <c r="B87" s="80"/>
      <c r="C87" s="44">
        <v>23</v>
      </c>
      <c r="D87" s="19">
        <f ca="1">((100/(D82+F82+H82))*C87)/100</f>
        <v>1</v>
      </c>
      <c r="E87" s="84"/>
      <c r="F87" s="85"/>
      <c r="G87" s="84"/>
      <c r="H87" s="89"/>
      <c r="I87" s="14" t="s">
        <v>105</v>
      </c>
      <c r="J87" s="30">
        <f ca="1">(IF(B82&gt;1,(H82/(B82+2)),H82/4))</f>
        <v>5.5</v>
      </c>
    </row>
    <row r="88" spans="1:10" ht="15.75" customHeight="1" x14ac:dyDescent="0.25">
      <c r="A88" s="79" t="s">
        <v>141</v>
      </c>
      <c r="B88" s="80" t="s">
        <v>135</v>
      </c>
      <c r="C88" s="44">
        <v>19</v>
      </c>
      <c r="D88" s="19">
        <f ca="1">((100/H82)*C88)/100</f>
        <v>0.86363636363636376</v>
      </c>
      <c r="E88" s="84"/>
      <c r="F88" s="85"/>
      <c r="G88" s="84"/>
      <c r="H88" s="89"/>
      <c r="I88" s="14" t="s">
        <v>106</v>
      </c>
      <c r="J88" s="30">
        <f ca="1">(IF(B82&gt;1,(H82/(B82+2)+J87),H82/4+J87))</f>
        <v>11</v>
      </c>
    </row>
    <row r="89" spans="1:10" ht="15.75" customHeight="1" x14ac:dyDescent="0.25">
      <c r="A89" s="79" t="s">
        <v>142</v>
      </c>
      <c r="B89" s="80" t="s">
        <v>135</v>
      </c>
      <c r="C89" s="44">
        <v>12</v>
      </c>
      <c r="D89" s="19">
        <f ca="1">((100/H82)*C89)/100</f>
        <v>0.54545454545454541</v>
      </c>
      <c r="E89" s="84"/>
      <c r="F89" s="85"/>
      <c r="G89" s="84"/>
      <c r="H89" s="89"/>
      <c r="I89" s="14" t="s">
        <v>151</v>
      </c>
      <c r="J89" s="30">
        <f>(IF(B82&gt;1,(H82/(B82+2)+J88),0))</f>
        <v>0</v>
      </c>
    </row>
    <row r="90" spans="1:10" ht="15" customHeight="1" x14ac:dyDescent="0.25">
      <c r="A90" s="79" t="s">
        <v>140</v>
      </c>
      <c r="B90" s="80" t="s">
        <v>137</v>
      </c>
      <c r="C90" s="44">
        <v>0</v>
      </c>
      <c r="D90" s="19">
        <f ca="1">((100/(H82))*C90)/100</f>
        <v>0</v>
      </c>
      <c r="E90" s="84"/>
      <c r="F90" s="85"/>
      <c r="G90" s="84"/>
      <c r="H90" s="89"/>
      <c r="I90" s="14" t="s">
        <v>148</v>
      </c>
      <c r="J90" s="30">
        <f>(IF(B82&gt;2,(H82/(B82+2)+J89),0))</f>
        <v>0</v>
      </c>
    </row>
    <row r="91" spans="1:10" ht="15.75" customHeight="1" x14ac:dyDescent="0.25">
      <c r="A91" s="79" t="s">
        <v>136</v>
      </c>
      <c r="B91" s="80" t="s">
        <v>136</v>
      </c>
      <c r="C91" s="44">
        <v>0</v>
      </c>
      <c r="D91" s="19">
        <f ca="1">((100/H82)*C91)/100</f>
        <v>0</v>
      </c>
      <c r="E91" s="84"/>
      <c r="F91" s="85"/>
      <c r="G91" s="84"/>
      <c r="H91" s="89"/>
      <c r="I91" s="14" t="s">
        <v>149</v>
      </c>
      <c r="J91" s="31">
        <f>(IF(B82&gt;3,(H82/(B82+2)+J90),0))</f>
        <v>0</v>
      </c>
    </row>
    <row r="92" spans="1:10" ht="15.75" customHeight="1" x14ac:dyDescent="0.25">
      <c r="A92" s="79" t="s">
        <v>143</v>
      </c>
      <c r="B92" s="80"/>
      <c r="C92" s="44">
        <v>0</v>
      </c>
      <c r="D92" s="19">
        <f ca="1">((100/H82)*C92)/100</f>
        <v>0</v>
      </c>
      <c r="E92" s="84"/>
      <c r="F92" s="85"/>
      <c r="G92" s="84"/>
      <c r="H92" s="89"/>
      <c r="I92" s="14" t="s">
        <v>150</v>
      </c>
      <c r="J92" s="30">
        <f>(IF(B82&gt;4,(H82/(B82+2)+J91),0))</f>
        <v>0</v>
      </c>
    </row>
    <row r="93" spans="1:10" ht="15.75" customHeight="1" x14ac:dyDescent="0.25">
      <c r="A93" s="79" t="s">
        <v>138</v>
      </c>
      <c r="B93" s="80" t="s">
        <v>138</v>
      </c>
      <c r="C93" s="44">
        <v>0</v>
      </c>
      <c r="D93" s="19">
        <f ca="1">((100/(H82))*C93)/100</f>
        <v>0</v>
      </c>
      <c r="E93" s="84"/>
      <c r="F93" s="85"/>
      <c r="G93" s="84"/>
      <c r="H93" s="89"/>
      <c r="I93" s="14" t="s">
        <v>152</v>
      </c>
      <c r="J93" s="30">
        <f ca="1">(IF(B82=1,(H82/(B82+3)+J88),IF(B82=0,(H82/4+J88),IF(B82&gt;1,0))))</f>
        <v>16.5</v>
      </c>
    </row>
    <row r="94" spans="1:10" ht="16.5" thickBot="1" x14ac:dyDescent="0.3">
      <c r="A94" s="91" t="s">
        <v>139</v>
      </c>
      <c r="B94" s="92"/>
      <c r="C94" s="45">
        <v>0</v>
      </c>
      <c r="D94" s="20">
        <f ca="1">((100/(H82))*C94)/100</f>
        <v>0</v>
      </c>
      <c r="E94" s="86"/>
      <c r="F94" s="87"/>
      <c r="G94" s="86"/>
      <c r="H94" s="90"/>
      <c r="I94" s="15" t="s">
        <v>107</v>
      </c>
      <c r="J94" s="32">
        <f ca="1">(IF(B82&gt;1.5,(H82/(B82+2)+J88+MAX(0,J89-J88)+MAX(0,J90-J89)+MAX(0,J91-J90)+MAX(0,J92-J91)+MAX(0,J93-J92)),IF(B82=1,(H82/(B82+3)+J93),IF(B82=0,H82/4+J93))))</f>
        <v>22</v>
      </c>
    </row>
    <row r="95" spans="1:10" hidden="1" x14ac:dyDescent="0.25">
      <c r="A95" s="70" t="s">
        <v>145</v>
      </c>
      <c r="B95" s="71"/>
      <c r="C95" s="72" t="s">
        <v>236</v>
      </c>
      <c r="D95" s="73"/>
      <c r="E95" s="73"/>
      <c r="F95" s="73"/>
      <c r="G95" s="73"/>
      <c r="H95" s="74"/>
      <c r="I95" s="50" t="str">
        <f ca="1">IF(D108=100%,"All work Completed. Possession granted to the Building.",IF(D107=100%,"All work Completed, Waiting for OC",I96&amp;""&amp;I97&amp;""&amp;J96&amp;""&amp;J95&amp;" "&amp;J97))</f>
        <v xml:space="preserve">Excavation, Plinth Completed </v>
      </c>
      <c r="J95" s="51"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c>
    </row>
    <row r="96" spans="1:10" hidden="1" x14ac:dyDescent="0.25">
      <c r="A96" s="16" t="s">
        <v>147</v>
      </c>
      <c r="B96" s="68">
        <f>IF(AND(ISNUMBER(SEARCH("1B",C95))),1,IF(AND(ISNUMBER(SEARCH("2B",C95))),2,IF(AND(ISNUMBER(SEARCH("3B",C95))),3,IF(AND(ISNUMBER(SEARCH("4B",C95))),4,IF(ISNUMBER(SEARCH("5B",C95)),5,0)))))</f>
        <v>0</v>
      </c>
      <c r="C96" s="68" t="s">
        <v>73</v>
      </c>
      <c r="D96" s="68">
        <v>1</v>
      </c>
      <c r="E96" s="68" t="s">
        <v>72</v>
      </c>
      <c r="F96" s="68">
        <v>0</v>
      </c>
      <c r="G96" s="49" t="s">
        <v>82</v>
      </c>
      <c r="H96" s="17">
        <f ca="1">--TRIM(RIGHT(SUBSTITUTE(LEFT(C95,_xlfn.AGGREGATE(16,6,FIND({0,1,2,3,4,5,6,7,8,9},C95,ROW(INDIRECT("1:"&amp;LEN(C95)))),1))," ",REPT(" ",LEN(C95))),LEN(C95)))</f>
        <v>22</v>
      </c>
      <c r="I96" s="52" t="str">
        <f ca="1">IF(D99=100%,"Excavation","")&amp;IF(D100=100%,", Plinth","")&amp;IF(D101=100%,", RCC Slab","")&amp;IF(D102=100%,", Brickwork","")&amp;IF(D103=100%,", Internal Plaster","")&amp;IF(D104=100%,", External Plaster","")&amp;IF(D105=100%,", Flooring","")&amp;IF(D106=100%,", Painting","")&amp;IF(D107=100%,", Building common Amenities","")</f>
        <v>Excavation, Plinth</v>
      </c>
      <c r="J96" s="53"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
      </c>
    </row>
    <row r="97" spans="1:10" hidden="1" x14ac:dyDescent="0.25">
      <c r="A97" s="75" t="s">
        <v>92</v>
      </c>
      <c r="B97" s="76"/>
      <c r="C97" s="77" t="str">
        <f ca="1">(IF($G$52="NA",I95,"All work Completed. OC Received."))</f>
        <v xml:space="preserve">Excavation, Plinth Completed </v>
      </c>
      <c r="D97" s="77"/>
      <c r="E97" s="77"/>
      <c r="F97" s="77"/>
      <c r="G97" s="77"/>
      <c r="H97" s="78"/>
      <c r="I97" s="52" t="str">
        <f ca="1">IF(I96&lt;&gt;""," Completed","")</f>
        <v xml:space="preserve"> Completed</v>
      </c>
      <c r="J97" s="53" t="str">
        <f ca="1">IF(J95&lt;&gt;"","Completed","")</f>
        <v/>
      </c>
    </row>
    <row r="98" spans="1:10" ht="15.75" hidden="1" customHeight="1" x14ac:dyDescent="0.25">
      <c r="A98" s="79" t="s">
        <v>49</v>
      </c>
      <c r="B98" s="80"/>
      <c r="C98" s="67" t="s">
        <v>144</v>
      </c>
      <c r="D98" s="67" t="s">
        <v>85</v>
      </c>
      <c r="E98" s="80" t="s">
        <v>87</v>
      </c>
      <c r="F98" s="80"/>
      <c r="G98" s="80" t="s">
        <v>86</v>
      </c>
      <c r="H98" s="81"/>
      <c r="I98" s="14" t="s">
        <v>146</v>
      </c>
      <c r="J98" s="28">
        <f ca="1">H96*25%</f>
        <v>5.5</v>
      </c>
    </row>
    <row r="99" spans="1:10" hidden="1" x14ac:dyDescent="0.25">
      <c r="A99" s="79" t="s">
        <v>133</v>
      </c>
      <c r="B99" s="80"/>
      <c r="C99" s="67">
        <f ca="1">J100</f>
        <v>22</v>
      </c>
      <c r="D99" s="19">
        <f ca="1">((100/H96)*C99)/100</f>
        <v>1.0000000000000002</v>
      </c>
      <c r="E99" s="82">
        <f ca="1">(((C100/H96*10)+(40/(D96+F96+H96)*C101)+(7.5/(H96)*C102)+(7.5/(H96)*C103)+(10/H96*C104)+(10/H96*C105)+(5/H96*C106)+(5/H96*C107)+(5/H96*C108))/100)</f>
        <v>0.1</v>
      </c>
      <c r="F99" s="83"/>
      <c r="G99" s="82">
        <f ca="1">((((C99/H96)*20)+((C100/H96)*25)+(30/(H96+F96+D96)*C101)+(5/H96*C102)+(5/H96*C103)+(5/H96*C104)+(5/H96*C105)+(0/H96*C106)+(0/H96*C107)+(5/H96*C108))/100)</f>
        <v>0.45</v>
      </c>
      <c r="H99" s="88"/>
      <c r="I99" s="14" t="s">
        <v>103</v>
      </c>
      <c r="J99" s="29">
        <f ca="1">H96*50%</f>
        <v>11</v>
      </c>
    </row>
    <row r="100" spans="1:10" hidden="1" x14ac:dyDescent="0.25">
      <c r="A100" s="79" t="s">
        <v>50</v>
      </c>
      <c r="B100" s="80"/>
      <c r="C100" s="56">
        <f ca="1">J108</f>
        <v>22</v>
      </c>
      <c r="D100" s="19">
        <f ca="1">((100/H96)*C100)/100</f>
        <v>1.0000000000000002</v>
      </c>
      <c r="E100" s="84"/>
      <c r="F100" s="85"/>
      <c r="G100" s="84"/>
      <c r="H100" s="89"/>
      <c r="I100" s="14" t="s">
        <v>104</v>
      </c>
      <c r="J100" s="29">
        <f ca="1">H96</f>
        <v>22</v>
      </c>
    </row>
    <row r="101" spans="1:10" ht="15.75" hidden="1" customHeight="1" x14ac:dyDescent="0.25">
      <c r="A101" s="79" t="s">
        <v>134</v>
      </c>
      <c r="B101" s="80"/>
      <c r="C101" s="67">
        <v>0</v>
      </c>
      <c r="D101" s="19">
        <f ca="1">((100/(D96+F96+H96))*C101)/100</f>
        <v>0</v>
      </c>
      <c r="E101" s="84"/>
      <c r="F101" s="85"/>
      <c r="G101" s="84"/>
      <c r="H101" s="89"/>
      <c r="I101" s="14" t="s">
        <v>105</v>
      </c>
      <c r="J101" s="30">
        <f ca="1">(IF(B96&gt;1,(H96/(B96+2)),H96/4))</f>
        <v>5.5</v>
      </c>
    </row>
    <row r="102" spans="1:10" ht="15.75" hidden="1" customHeight="1" x14ac:dyDescent="0.25">
      <c r="A102" s="79" t="s">
        <v>141</v>
      </c>
      <c r="B102" s="80" t="s">
        <v>135</v>
      </c>
      <c r="C102" s="67">
        <v>0</v>
      </c>
      <c r="D102" s="19">
        <f ca="1">((100/H96)*C102)/100</f>
        <v>0</v>
      </c>
      <c r="E102" s="84"/>
      <c r="F102" s="85"/>
      <c r="G102" s="84"/>
      <c r="H102" s="89"/>
      <c r="I102" s="14" t="s">
        <v>106</v>
      </c>
      <c r="J102" s="30">
        <f ca="1">(IF(B96&gt;1,(H96/(B96+2)+J101),H96/4+J101))</f>
        <v>11</v>
      </c>
    </row>
    <row r="103" spans="1:10" ht="15.75" hidden="1" customHeight="1" x14ac:dyDescent="0.25">
      <c r="A103" s="79" t="s">
        <v>142</v>
      </c>
      <c r="B103" s="80" t="s">
        <v>135</v>
      </c>
      <c r="C103" s="67">
        <v>0</v>
      </c>
      <c r="D103" s="19">
        <f ca="1">((100/H96)*C103)/100</f>
        <v>0</v>
      </c>
      <c r="E103" s="84"/>
      <c r="F103" s="85"/>
      <c r="G103" s="84"/>
      <c r="H103" s="89"/>
      <c r="I103" s="14" t="s">
        <v>151</v>
      </c>
      <c r="J103" s="30">
        <f>(IF(B96&gt;1,(H96/(B96+2)+J102),0))</f>
        <v>0</v>
      </c>
    </row>
    <row r="104" spans="1:10" ht="15" hidden="1" customHeight="1" x14ac:dyDescent="0.25">
      <c r="A104" s="79" t="s">
        <v>140</v>
      </c>
      <c r="B104" s="80" t="s">
        <v>137</v>
      </c>
      <c r="C104" s="67">
        <v>0</v>
      </c>
      <c r="D104" s="19">
        <f ca="1">((100/(H96))*C104)/100</f>
        <v>0</v>
      </c>
      <c r="E104" s="84"/>
      <c r="F104" s="85"/>
      <c r="G104" s="84"/>
      <c r="H104" s="89"/>
      <c r="I104" s="14" t="s">
        <v>148</v>
      </c>
      <c r="J104" s="30">
        <f>(IF(B96&gt;2,(H96/(B96+2)+J103),0))</f>
        <v>0</v>
      </c>
    </row>
    <row r="105" spans="1:10" ht="15.75" hidden="1" customHeight="1" x14ac:dyDescent="0.25">
      <c r="A105" s="79" t="s">
        <v>136</v>
      </c>
      <c r="B105" s="80" t="s">
        <v>136</v>
      </c>
      <c r="C105" s="67">
        <v>0</v>
      </c>
      <c r="D105" s="19">
        <f ca="1">((100/H96)*C105)/100</f>
        <v>0</v>
      </c>
      <c r="E105" s="84"/>
      <c r="F105" s="85"/>
      <c r="G105" s="84"/>
      <c r="H105" s="89"/>
      <c r="I105" s="14" t="s">
        <v>149</v>
      </c>
      <c r="J105" s="31">
        <f>(IF(B96&gt;3,(H96/(B96+2)+J104),0))</f>
        <v>0</v>
      </c>
    </row>
    <row r="106" spans="1:10" ht="15.75" hidden="1" customHeight="1" x14ac:dyDescent="0.25">
      <c r="A106" s="79" t="s">
        <v>143</v>
      </c>
      <c r="B106" s="80"/>
      <c r="C106" s="67">
        <v>0</v>
      </c>
      <c r="D106" s="19">
        <f ca="1">((100/H96)*C106)/100</f>
        <v>0</v>
      </c>
      <c r="E106" s="84"/>
      <c r="F106" s="85"/>
      <c r="G106" s="84"/>
      <c r="H106" s="89"/>
      <c r="I106" s="14" t="s">
        <v>150</v>
      </c>
      <c r="J106" s="30">
        <f>(IF(B96&gt;4,(H96/(B96+2)+J105),0))</f>
        <v>0</v>
      </c>
    </row>
    <row r="107" spans="1:10" ht="15.75" hidden="1" customHeight="1" x14ac:dyDescent="0.25">
      <c r="A107" s="79" t="s">
        <v>138</v>
      </c>
      <c r="B107" s="80" t="s">
        <v>138</v>
      </c>
      <c r="C107" s="67">
        <v>0</v>
      </c>
      <c r="D107" s="19">
        <f ca="1">((100/(H96))*C107)/100</f>
        <v>0</v>
      </c>
      <c r="E107" s="84"/>
      <c r="F107" s="85"/>
      <c r="G107" s="84"/>
      <c r="H107" s="89"/>
      <c r="I107" s="14" t="s">
        <v>152</v>
      </c>
      <c r="J107" s="30">
        <f ca="1">(IF(B96=1,(H96/(B96+3)+J102),IF(B96=0,(H96/4+J102),IF(B96&gt;1,0))))</f>
        <v>16.5</v>
      </c>
    </row>
    <row r="108" spans="1:10" ht="16.5" hidden="1" thickBot="1" x14ac:dyDescent="0.3">
      <c r="A108" s="91" t="s">
        <v>139</v>
      </c>
      <c r="B108" s="92"/>
      <c r="C108" s="69">
        <v>0</v>
      </c>
      <c r="D108" s="20">
        <f ca="1">((100/(H96))*C108)/100</f>
        <v>0</v>
      </c>
      <c r="E108" s="86"/>
      <c r="F108" s="87"/>
      <c r="G108" s="86"/>
      <c r="H108" s="90"/>
      <c r="I108" s="15" t="s">
        <v>107</v>
      </c>
      <c r="J108" s="32">
        <f ca="1">(IF(B96&gt;1.5,(H96/(B96+2)+J102+MAX(0,J103-J102)+MAX(0,J104-J103)+MAX(0,J105-J104)+MAX(0,J106-J105)+MAX(0,J107-J106)),IF(B96=1,(H96/(B96+3)+J107),IF(B96=0,H96/4+J107))))</f>
        <v>22</v>
      </c>
    </row>
    <row r="109" spans="1:10" ht="15.75" customHeight="1" x14ac:dyDescent="0.25">
      <c r="A109" s="70" t="s">
        <v>145</v>
      </c>
      <c r="B109" s="71"/>
      <c r="C109" s="72" t="str">
        <f>D59</f>
        <v>Building No.1 (Trinity Tower Type C) = Gr/St + 1st to 22nd Floor</v>
      </c>
      <c r="D109" s="73"/>
      <c r="E109" s="73"/>
      <c r="F109" s="73"/>
      <c r="G109" s="73"/>
      <c r="H109" s="74"/>
      <c r="I109" s="50" t="str">
        <f ca="1">IF(D122=100%,"All work Completed. Possession granted to the Building.",IF(D121=100%,"All work Completed, Waiting for OC",I110&amp;""&amp;I111&amp;""&amp;J110&amp;""&amp;J109&amp;" "&amp;J111))</f>
        <v>Excavation, Plinth, RCC Slab Completed, Brickwork upto 21 Floor, Internal Plaster upto 15 Floor Completed</v>
      </c>
      <c r="J109" s="51" t="str">
        <f ca="1">(IF(C115=(D110+F110+H110),"",IF(C115&gt;0,", RCC upto "&amp;C115&amp;" Slab","")))&amp;(IF(C116=H110,"",IF(C116&gt;0,", Brickwork upto "&amp;C116&amp;" Floor","")))&amp;(IF(C117=H110,"",IF(C117&gt;0,", Internal Plaster upto "&amp;C117&amp;" Floor","")))&amp;(IF(C118=H110,"",IF(C118&gt;0,", External Plaster upto "&amp;C118&amp;" Floor","")))&amp;(IF(C119=H110,"",IF(C119&gt;0,", Flooring upto "&amp;C119&amp;" Floor","")))&amp;(IF(C120=H110,"",IF(C120&gt;0,", Painting upto "&amp;C120&amp;" Floor","")))&amp;(IF(C121=H110,"",IF(C121&gt;0,", Finishing upto "&amp;C121&amp;" Floor","")))&amp;(IF(C122=H110,"",IF(C122&gt;0,", Possession upto "&amp;C122&amp;" Floor","")))</f>
        <v>, Brickwork upto 21 Floor, Internal Plaster upto 15 Floor</v>
      </c>
    </row>
    <row r="110" spans="1:10" x14ac:dyDescent="0.25">
      <c r="A110" s="16" t="s">
        <v>147</v>
      </c>
      <c r="B110" s="55">
        <f>IF(AND(ISNUMBER(SEARCH("1B",C109))),1,IF(AND(ISNUMBER(SEARCH("2B",C109))),2,IF(AND(ISNUMBER(SEARCH("3B",C109))),3,IF(AND(ISNUMBER(SEARCH("4B",C109))),4,IF(ISNUMBER(SEARCH("5B",C109)),5,0)))))</f>
        <v>0</v>
      </c>
      <c r="C110" s="48" t="s">
        <v>73</v>
      </c>
      <c r="D110" s="48">
        <v>1</v>
      </c>
      <c r="E110" s="48" t="s">
        <v>72</v>
      </c>
      <c r="F110" s="58">
        <v>0</v>
      </c>
      <c r="G110" s="49" t="s">
        <v>82</v>
      </c>
      <c r="H110" s="17">
        <f ca="1">--TRIM(RIGHT(SUBSTITUTE(LEFT(C109,_xlfn.AGGREGATE(16,6,FIND({0,1,2,3,4,5,6,7,8,9},C109,ROW(INDIRECT("1:"&amp;LEN(C109)))),1))," ",REPT(" ",LEN(C109))),LEN(C109)))</f>
        <v>22</v>
      </c>
      <c r="I110" s="52" t="str">
        <f ca="1">IF(D113=100%,"Excavation","")&amp;IF(D114=100%,", Plinth","")&amp;IF(D115=100%,", RCC Slab","")&amp;IF(D116=100%,", Brickwork","")&amp;IF(D117=100%,", Internal Plaster","")&amp;IF(D118=100%,", External Plaster","")&amp;IF(D119=100%,", Flooring","")&amp;IF(D120=100%,", Painting","")&amp;IF(D121=100%,", Building common Amenities","")</f>
        <v>Excavation, Plinth, RCC Slab</v>
      </c>
      <c r="J110" s="53" t="str">
        <f ca="1">(IF(C113=0,"Work not yet Started.",IF(D113=25%,"Piling work in process",IF(D113=50%,"Excavation work in process",IF(D113=100%,"","0")))))&amp;(IF(C114=0%,"",IF(C114=J115,", Footing work is process",IF(C114=J116,", Footing work Completed",IF(C114=J117,", 1st Basement Completed",IF(C114=J118,", 1st &amp; 2nd Basement Completed",IF(C114=J119,", 1st to 3rd Basement Completed",IF(C114=J120,", 1st to 4th Basement Completed",IF(C114=J121,", Plinth work is process",IF(C114=J122,"","0"))))))))))</f>
        <v/>
      </c>
    </row>
    <row r="111" spans="1:10" ht="31.5" customHeight="1" x14ac:dyDescent="0.25">
      <c r="A111" s="75" t="s">
        <v>92</v>
      </c>
      <c r="B111" s="76"/>
      <c r="C111" s="77" t="str">
        <f ca="1">(IF($G$52="NA",I109,"All work Completed. OC Received."))</f>
        <v>Excavation, Plinth, RCC Slab Completed, Brickwork upto 21 Floor, Internal Plaster upto 15 Floor Completed</v>
      </c>
      <c r="D111" s="77"/>
      <c r="E111" s="77"/>
      <c r="F111" s="77"/>
      <c r="G111" s="77"/>
      <c r="H111" s="78"/>
      <c r="I111" s="52" t="str">
        <f ca="1">IF(I110&lt;&gt;""," Completed","")</f>
        <v xml:space="preserve"> Completed</v>
      </c>
      <c r="J111" s="53" t="str">
        <f ca="1">IF(J109&lt;&gt;"","Completed","")</f>
        <v>Completed</v>
      </c>
    </row>
    <row r="112" spans="1:10" ht="15.75" customHeight="1" x14ac:dyDescent="0.25">
      <c r="A112" s="79" t="s">
        <v>49</v>
      </c>
      <c r="B112" s="80"/>
      <c r="C112" s="44" t="s">
        <v>144</v>
      </c>
      <c r="D112" s="44" t="s">
        <v>85</v>
      </c>
      <c r="E112" s="80" t="s">
        <v>87</v>
      </c>
      <c r="F112" s="80"/>
      <c r="G112" s="80" t="s">
        <v>86</v>
      </c>
      <c r="H112" s="81"/>
      <c r="I112" s="14" t="s">
        <v>146</v>
      </c>
      <c r="J112" s="28">
        <f ca="1">H110*25%</f>
        <v>5.5</v>
      </c>
    </row>
    <row r="113" spans="1:10" x14ac:dyDescent="0.25">
      <c r="A113" s="79" t="s">
        <v>133</v>
      </c>
      <c r="B113" s="80"/>
      <c r="C113" s="44">
        <f ca="1">J114</f>
        <v>22</v>
      </c>
      <c r="D113" s="19">
        <f ca="1">((100/H110)*C113)/100</f>
        <v>1.0000000000000002</v>
      </c>
      <c r="E113" s="82">
        <f ca="1">(((C114/H110*10)+(40/(D110+F110+H110)*C115)+(7.5/(H110)*C116)+(7.5/(H110)*C117)+(10/H110*C118)+(10/H110*C119)+(5/H110*C120)+(5/H110*C121)+(5/H110*C122))/100)</f>
        <v>0.62272727272727268</v>
      </c>
      <c r="F113" s="83"/>
      <c r="G113" s="82">
        <f ca="1">((((C113/H110)*20)+((C114/H110)*25)+(30/(H110+F110+D110)*C115)+(5/H110*C116)+(5/H110*C117)+(5/H110*C118)+(5/H110*C119)+(0/H110*C120)+(0/H110*C121)+(5/H110*C122))/100)</f>
        <v>0.83181818181818168</v>
      </c>
      <c r="H113" s="88"/>
      <c r="I113" s="14" t="s">
        <v>103</v>
      </c>
      <c r="J113" s="29">
        <f ca="1">H110*50%</f>
        <v>11</v>
      </c>
    </row>
    <row r="114" spans="1:10" x14ac:dyDescent="0.25">
      <c r="A114" s="79" t="s">
        <v>50</v>
      </c>
      <c r="B114" s="80"/>
      <c r="C114" s="56">
        <f ca="1">J122</f>
        <v>22</v>
      </c>
      <c r="D114" s="19">
        <f ca="1">((100/H110)*C114)/100</f>
        <v>1.0000000000000002</v>
      </c>
      <c r="E114" s="84"/>
      <c r="F114" s="85"/>
      <c r="G114" s="84"/>
      <c r="H114" s="89"/>
      <c r="I114" s="14" t="s">
        <v>104</v>
      </c>
      <c r="J114" s="29">
        <f ca="1">H110</f>
        <v>22</v>
      </c>
    </row>
    <row r="115" spans="1:10" ht="15.75" customHeight="1" x14ac:dyDescent="0.25">
      <c r="A115" s="79" t="s">
        <v>134</v>
      </c>
      <c r="B115" s="80"/>
      <c r="C115" s="44">
        <v>23</v>
      </c>
      <c r="D115" s="19">
        <f ca="1">((100/(D110+F110+H110))*C115)/100</f>
        <v>1</v>
      </c>
      <c r="E115" s="84"/>
      <c r="F115" s="85"/>
      <c r="G115" s="84"/>
      <c r="H115" s="89"/>
      <c r="I115" s="14" t="s">
        <v>105</v>
      </c>
      <c r="J115" s="30">
        <f ca="1">(IF(B110&gt;1,(H110/(B110+2)),H110/4))</f>
        <v>5.5</v>
      </c>
    </row>
    <row r="116" spans="1:10" ht="15.75" customHeight="1" x14ac:dyDescent="0.25">
      <c r="A116" s="79" t="s">
        <v>141</v>
      </c>
      <c r="B116" s="80" t="s">
        <v>135</v>
      </c>
      <c r="C116" s="44">
        <v>21</v>
      </c>
      <c r="D116" s="19">
        <f ca="1">((100/H110)*C116)/100</f>
        <v>0.9545454545454547</v>
      </c>
      <c r="E116" s="84"/>
      <c r="F116" s="85"/>
      <c r="G116" s="84"/>
      <c r="H116" s="89"/>
      <c r="I116" s="14" t="s">
        <v>106</v>
      </c>
      <c r="J116" s="30">
        <f ca="1">(IF(B110&gt;1,(H110/(B110+2)+J115),H110/4+J115))</f>
        <v>11</v>
      </c>
    </row>
    <row r="117" spans="1:10" ht="15.75" customHeight="1" x14ac:dyDescent="0.25">
      <c r="A117" s="79" t="s">
        <v>142</v>
      </c>
      <c r="B117" s="80" t="s">
        <v>135</v>
      </c>
      <c r="C117" s="44">
        <v>15</v>
      </c>
      <c r="D117" s="19">
        <f ca="1">((100/H110)*C117)/100</f>
        <v>0.68181818181818188</v>
      </c>
      <c r="E117" s="84"/>
      <c r="F117" s="85"/>
      <c r="G117" s="84"/>
      <c r="H117" s="89"/>
      <c r="I117" s="14" t="s">
        <v>151</v>
      </c>
      <c r="J117" s="30">
        <f>(IF(B110&gt;1,(H110/(B110+2)+J116),0))</f>
        <v>0</v>
      </c>
    </row>
    <row r="118" spans="1:10" ht="15" customHeight="1" x14ac:dyDescent="0.25">
      <c r="A118" s="79" t="s">
        <v>140</v>
      </c>
      <c r="B118" s="80" t="s">
        <v>137</v>
      </c>
      <c r="C118" s="44">
        <v>0</v>
      </c>
      <c r="D118" s="19">
        <f ca="1">((100/(H110))*C118)/100</f>
        <v>0</v>
      </c>
      <c r="E118" s="84"/>
      <c r="F118" s="85"/>
      <c r="G118" s="84"/>
      <c r="H118" s="89"/>
      <c r="I118" s="14" t="s">
        <v>148</v>
      </c>
      <c r="J118" s="30">
        <f>(IF(B110&gt;2,(H110/(B110+2)+J117),0))</f>
        <v>0</v>
      </c>
    </row>
    <row r="119" spans="1:10" ht="15.75" customHeight="1" x14ac:dyDescent="0.25">
      <c r="A119" s="79" t="s">
        <v>136</v>
      </c>
      <c r="B119" s="80" t="s">
        <v>136</v>
      </c>
      <c r="C119" s="44">
        <v>0</v>
      </c>
      <c r="D119" s="19">
        <f ca="1">((100/H110)*C119)/100</f>
        <v>0</v>
      </c>
      <c r="E119" s="84"/>
      <c r="F119" s="85"/>
      <c r="G119" s="84"/>
      <c r="H119" s="89"/>
      <c r="I119" s="14" t="s">
        <v>149</v>
      </c>
      <c r="J119" s="31">
        <f>(IF(B110&gt;3,(H110/(B110+2)+J118),0))</f>
        <v>0</v>
      </c>
    </row>
    <row r="120" spans="1:10" ht="15.75" customHeight="1" x14ac:dyDescent="0.25">
      <c r="A120" s="79" t="s">
        <v>143</v>
      </c>
      <c r="B120" s="80"/>
      <c r="C120" s="44">
        <v>0</v>
      </c>
      <c r="D120" s="19">
        <f ca="1">((100/H110)*C120)/100</f>
        <v>0</v>
      </c>
      <c r="E120" s="84"/>
      <c r="F120" s="85"/>
      <c r="G120" s="84"/>
      <c r="H120" s="89"/>
      <c r="I120" s="14" t="s">
        <v>150</v>
      </c>
      <c r="J120" s="30">
        <f>(IF(B110&gt;4,(H110/(B110+2)+J119),0))</f>
        <v>0</v>
      </c>
    </row>
    <row r="121" spans="1:10" ht="15.75" customHeight="1" x14ac:dyDescent="0.25">
      <c r="A121" s="79" t="s">
        <v>138</v>
      </c>
      <c r="B121" s="80" t="s">
        <v>138</v>
      </c>
      <c r="C121" s="44">
        <v>0</v>
      </c>
      <c r="D121" s="19">
        <f ca="1">((100/(H110))*C121)/100</f>
        <v>0</v>
      </c>
      <c r="E121" s="84"/>
      <c r="F121" s="85"/>
      <c r="G121" s="84"/>
      <c r="H121" s="89"/>
      <c r="I121" s="14" t="s">
        <v>152</v>
      </c>
      <c r="J121" s="30">
        <f ca="1">(IF(B110=1,(H110/(B110+3)+J116),IF(B110=0,(H110/4+J116),IF(B110&gt;1,0))))</f>
        <v>16.5</v>
      </c>
    </row>
    <row r="122" spans="1:10" ht="16.5" thickBot="1" x14ac:dyDescent="0.3">
      <c r="A122" s="91" t="s">
        <v>139</v>
      </c>
      <c r="B122" s="92"/>
      <c r="C122" s="45">
        <v>0</v>
      </c>
      <c r="D122" s="20">
        <f ca="1">((100/(H110))*C122)/100</f>
        <v>0</v>
      </c>
      <c r="E122" s="86"/>
      <c r="F122" s="87"/>
      <c r="G122" s="86"/>
      <c r="H122" s="90"/>
      <c r="I122" s="15" t="s">
        <v>107</v>
      </c>
      <c r="J122" s="32">
        <f ca="1">(IF(B110&gt;1.5,(H110/(B110+2)+J116+MAX(0,J117-J116)+MAX(0,J118-J117)+MAX(0,J119-J118)+MAX(0,J120-J119)+MAX(0,J121-J120)),IF(B110=1,(H110/(B110+3)+J121),IF(B110=0,H110/4+J121))))</f>
        <v>22</v>
      </c>
    </row>
    <row r="123" spans="1:10" x14ac:dyDescent="0.25">
      <c r="A123" s="187" t="s">
        <v>162</v>
      </c>
      <c r="B123" s="187"/>
      <c r="C123" s="187"/>
      <c r="D123" s="187"/>
      <c r="E123" s="187"/>
      <c r="F123" s="178" t="s">
        <v>167</v>
      </c>
      <c r="G123" s="178"/>
      <c r="H123" s="178"/>
    </row>
    <row r="124" spans="1:10" x14ac:dyDescent="0.25">
      <c r="A124" s="104" t="s">
        <v>165</v>
      </c>
      <c r="B124" s="104"/>
      <c r="C124" s="104"/>
      <c r="D124" s="104"/>
      <c r="E124" s="104"/>
      <c r="F124" s="115">
        <v>5700</v>
      </c>
      <c r="G124" s="115"/>
      <c r="H124" s="115"/>
    </row>
    <row r="125" spans="1:10" x14ac:dyDescent="0.25">
      <c r="A125" s="104" t="s">
        <v>164</v>
      </c>
      <c r="B125" s="104"/>
      <c r="C125" s="104"/>
      <c r="D125" s="104"/>
      <c r="E125" s="104"/>
      <c r="F125" s="115">
        <v>10000</v>
      </c>
      <c r="G125" s="115"/>
      <c r="H125" s="115"/>
    </row>
    <row r="126" spans="1:10" x14ac:dyDescent="0.25">
      <c r="A126" s="104" t="s">
        <v>166</v>
      </c>
      <c r="B126" s="104"/>
      <c r="C126" s="104"/>
      <c r="D126" s="104"/>
      <c r="E126" s="104"/>
      <c r="F126" s="115">
        <v>8000</v>
      </c>
      <c r="G126" s="115"/>
      <c r="H126" s="115"/>
    </row>
    <row r="127" spans="1:10" s="33" customFormat="1" hidden="1" x14ac:dyDescent="0.25">
      <c r="A127" s="104" t="s">
        <v>163</v>
      </c>
      <c r="B127" s="104"/>
      <c r="C127" s="104"/>
      <c r="D127" s="104"/>
      <c r="E127" s="104"/>
      <c r="F127" s="115"/>
      <c r="G127" s="115"/>
      <c r="H127" s="115"/>
    </row>
    <row r="128" spans="1:10" s="33" customFormat="1" hidden="1" x14ac:dyDescent="0.25">
      <c r="A128" s="104" t="s">
        <v>97</v>
      </c>
      <c r="B128" s="104"/>
      <c r="C128" s="104"/>
      <c r="D128" s="104"/>
      <c r="E128" s="104"/>
      <c r="F128" s="115"/>
      <c r="G128" s="115"/>
      <c r="H128" s="115"/>
    </row>
    <row r="129" spans="1:8" s="33" customFormat="1" hidden="1" x14ac:dyDescent="0.25">
      <c r="A129" s="104" t="s">
        <v>98</v>
      </c>
      <c r="B129" s="104"/>
      <c r="C129" s="104"/>
      <c r="D129" s="104"/>
      <c r="E129" s="104"/>
      <c r="F129" s="115"/>
      <c r="G129" s="115"/>
      <c r="H129" s="115"/>
    </row>
    <row r="130" spans="1:8" s="33" customFormat="1" hidden="1" x14ac:dyDescent="0.25">
      <c r="A130" s="104" t="s">
        <v>168</v>
      </c>
      <c r="B130" s="104"/>
      <c r="C130" s="104"/>
      <c r="D130" s="104"/>
      <c r="E130" s="104"/>
      <c r="F130" s="115"/>
      <c r="G130" s="115"/>
      <c r="H130" s="115"/>
    </row>
    <row r="131" spans="1:8" s="33" customFormat="1" hidden="1" x14ac:dyDescent="0.25">
      <c r="A131" s="104" t="s">
        <v>99</v>
      </c>
      <c r="B131" s="104"/>
      <c r="C131" s="104"/>
      <c r="D131" s="104"/>
      <c r="E131" s="104"/>
      <c r="F131" s="115"/>
      <c r="G131" s="115"/>
      <c r="H131" s="115"/>
    </row>
    <row r="132" spans="1:8" s="33" customFormat="1" hidden="1" x14ac:dyDescent="0.25">
      <c r="A132" s="104" t="s">
        <v>100</v>
      </c>
      <c r="B132" s="104"/>
      <c r="C132" s="104"/>
      <c r="D132" s="104"/>
      <c r="E132" s="104"/>
      <c r="F132" s="115"/>
      <c r="G132" s="115"/>
      <c r="H132" s="115"/>
    </row>
    <row r="133" spans="1:8" s="33" customFormat="1" hidden="1" x14ac:dyDescent="0.25">
      <c r="A133" s="104" t="s">
        <v>101</v>
      </c>
      <c r="B133" s="104"/>
      <c r="C133" s="104"/>
      <c r="D133" s="104"/>
      <c r="E133" s="104"/>
      <c r="F133" s="115"/>
      <c r="G133" s="115"/>
      <c r="H133" s="115"/>
    </row>
    <row r="134" spans="1:8" s="33" customFormat="1" hidden="1" x14ac:dyDescent="0.25">
      <c r="A134" s="104" t="s">
        <v>102</v>
      </c>
      <c r="B134" s="104"/>
      <c r="C134" s="104"/>
      <c r="D134" s="104"/>
      <c r="E134" s="104"/>
      <c r="F134" s="115"/>
      <c r="G134" s="115"/>
      <c r="H134" s="115"/>
    </row>
    <row r="135" spans="1:8" x14ac:dyDescent="0.25">
      <c r="A135" s="104" t="s">
        <v>51</v>
      </c>
      <c r="B135" s="104"/>
      <c r="C135" s="104"/>
      <c r="D135" s="104"/>
      <c r="E135" s="104"/>
      <c r="F135" s="115">
        <v>200000</v>
      </c>
      <c r="G135" s="115"/>
      <c r="H135" s="115"/>
    </row>
    <row r="136" spans="1:8" s="34" customFormat="1" x14ac:dyDescent="0.25">
      <c r="A136" s="139" t="s">
        <v>52</v>
      </c>
      <c r="B136" s="139"/>
      <c r="C136" s="139"/>
      <c r="D136" s="139"/>
      <c r="E136" s="139"/>
      <c r="F136" s="115">
        <f>F124*0.8</f>
        <v>4560</v>
      </c>
      <c r="G136" s="115"/>
      <c r="H136" s="115"/>
    </row>
    <row r="137" spans="1:8" s="35" customFormat="1" ht="15.75" customHeight="1" x14ac:dyDescent="0.25">
      <c r="A137" s="130" t="s">
        <v>77</v>
      </c>
      <c r="B137" s="130"/>
      <c r="C137" s="130"/>
      <c r="D137" s="130"/>
      <c r="E137" s="130"/>
      <c r="F137" s="130"/>
      <c r="G137" s="130"/>
      <c r="H137" s="130"/>
    </row>
    <row r="138" spans="1:8" s="35" customFormat="1" ht="15.75" customHeight="1" x14ac:dyDescent="0.25">
      <c r="A138" s="135" t="s">
        <v>53</v>
      </c>
      <c r="B138" s="135"/>
      <c r="C138" s="132" t="s">
        <v>80</v>
      </c>
      <c r="D138" s="132"/>
      <c r="E138" s="134" t="s">
        <v>54</v>
      </c>
      <c r="F138" s="134"/>
      <c r="G138" s="135" t="s">
        <v>55</v>
      </c>
      <c r="H138" s="135"/>
    </row>
    <row r="139" spans="1:8" s="35" customFormat="1" x14ac:dyDescent="0.25">
      <c r="A139" s="127" t="s">
        <v>200</v>
      </c>
      <c r="B139" s="61" t="s">
        <v>202</v>
      </c>
      <c r="C139" s="123">
        <f>COUNT(D156:D158)</f>
        <v>3</v>
      </c>
      <c r="D139" s="124"/>
      <c r="E139" s="125">
        <f>SUM(D156:D158)</f>
        <v>500.84892000000002</v>
      </c>
      <c r="F139" s="126"/>
      <c r="G139" s="125">
        <f>SUM(F156:F158)</f>
        <v>751.27337999999997</v>
      </c>
      <c r="H139" s="126"/>
    </row>
    <row r="140" spans="1:8" s="35" customFormat="1" x14ac:dyDescent="0.25">
      <c r="A140" s="128"/>
      <c r="B140" s="61" t="s">
        <v>204</v>
      </c>
      <c r="C140" s="123">
        <f>COUNT(D160)</f>
        <v>1</v>
      </c>
      <c r="D140" s="124"/>
      <c r="E140" s="125">
        <f>SUM(D160)</f>
        <v>756.49392</v>
      </c>
      <c r="F140" s="126"/>
      <c r="G140" s="125">
        <f>SUM(F160)</f>
        <v>1134.7408800000001</v>
      </c>
      <c r="H140" s="126"/>
    </row>
    <row r="141" spans="1:8" s="35" customFormat="1" x14ac:dyDescent="0.25">
      <c r="A141" s="130" t="s">
        <v>155</v>
      </c>
      <c r="B141" s="130"/>
      <c r="C141" s="131">
        <f t="shared" ref="C141:G141" si="0">SUM(C139:D140)</f>
        <v>4</v>
      </c>
      <c r="D141" s="132"/>
      <c r="E141" s="133">
        <f t="shared" si="0"/>
        <v>1257.34284</v>
      </c>
      <c r="F141" s="134"/>
      <c r="G141" s="135">
        <f t="shared" si="0"/>
        <v>1886.0142599999999</v>
      </c>
      <c r="H141" s="135"/>
    </row>
    <row r="142" spans="1:8" s="35" customFormat="1" x14ac:dyDescent="0.25">
      <c r="A142" s="130" t="s">
        <v>71</v>
      </c>
      <c r="B142" s="130"/>
      <c r="C142" s="130"/>
      <c r="D142" s="130"/>
      <c r="E142" s="130"/>
      <c r="F142" s="130"/>
      <c r="G142" s="130"/>
      <c r="H142" s="130"/>
    </row>
    <row r="143" spans="1:8" s="35" customFormat="1" ht="15.75" customHeight="1" x14ac:dyDescent="0.25">
      <c r="A143" s="135" t="s">
        <v>53</v>
      </c>
      <c r="B143" s="135"/>
      <c r="C143" s="132" t="s">
        <v>80</v>
      </c>
      <c r="D143" s="132"/>
      <c r="E143" s="134" t="s">
        <v>54</v>
      </c>
      <c r="F143" s="134"/>
      <c r="G143" s="135" t="s">
        <v>55</v>
      </c>
      <c r="H143" s="135"/>
    </row>
    <row r="144" spans="1:8" s="35" customFormat="1" x14ac:dyDescent="0.25">
      <c r="A144" s="168" t="s">
        <v>200</v>
      </c>
      <c r="B144" s="168"/>
      <c r="C144" s="123">
        <f>COUNT(D167)</f>
        <v>1</v>
      </c>
      <c r="D144" s="124"/>
      <c r="E144" s="125">
        <f>SUM(D167)</f>
        <v>686.47409999999991</v>
      </c>
      <c r="F144" s="126"/>
      <c r="G144" s="125">
        <f>SUM(F167)</f>
        <v>1029.7111499999999</v>
      </c>
      <c r="H144" s="126"/>
    </row>
    <row r="145" spans="1:14" s="35" customFormat="1" x14ac:dyDescent="0.25">
      <c r="A145" s="127" t="s">
        <v>214</v>
      </c>
      <c r="B145" s="64" t="s">
        <v>217</v>
      </c>
      <c r="C145" s="124">
        <f>COUNT(D172:D175)*18+COUNT(D177,D179:D180)*3</f>
        <v>81</v>
      </c>
      <c r="D145" s="124"/>
      <c r="E145" s="125">
        <f>SUM(D172:D175)*18+SUM(D177,D179:D180)*3</f>
        <v>34401.474900000001</v>
      </c>
      <c r="F145" s="125"/>
      <c r="G145" s="125">
        <f>SUM(F172:F175)*18+SUM(F177,F179:F180)*3</f>
        <v>51602.212350000002</v>
      </c>
      <c r="H145" s="125"/>
    </row>
    <row r="146" spans="1:14" s="35" customFormat="1" x14ac:dyDescent="0.25">
      <c r="A146" s="128"/>
      <c r="B146" s="64" t="s">
        <v>218</v>
      </c>
      <c r="C146" s="124">
        <f>COUNT(D184:D187)*18+COUNT(D190:D192)*3</f>
        <v>81</v>
      </c>
      <c r="D146" s="124"/>
      <c r="E146" s="125">
        <f>SUM(D184:D187)*18+SUM(D190:D192)*3</f>
        <v>34335.679949999998</v>
      </c>
      <c r="F146" s="125"/>
      <c r="G146" s="125">
        <f>SUM(F184:F187)*18+SUM(F190:F192)*3</f>
        <v>49643.500724999998</v>
      </c>
      <c r="H146" s="125"/>
    </row>
    <row r="147" spans="1:14" s="35" customFormat="1" x14ac:dyDescent="0.25">
      <c r="A147" s="168" t="s">
        <v>207</v>
      </c>
      <c r="B147" s="168"/>
      <c r="C147" s="124">
        <f>COUNT(D196:D199)*19+COUNT(D202:D204)*3</f>
        <v>85</v>
      </c>
      <c r="D147" s="124"/>
      <c r="E147" s="125">
        <f>SUM(D196:D199)*19+SUM(D202:D204)*3</f>
        <v>32917.442219999997</v>
      </c>
      <c r="F147" s="125"/>
      <c r="G147" s="125">
        <f>SUM(F196:F199)*19+SUM(F202:F204)*3</f>
        <v>49376.163329999996</v>
      </c>
      <c r="H147" s="125"/>
    </row>
    <row r="148" spans="1:14" s="35" customFormat="1" ht="16.5" thickBot="1" x14ac:dyDescent="0.3">
      <c r="A148" s="182" t="s">
        <v>155</v>
      </c>
      <c r="B148" s="182"/>
      <c r="C148" s="180">
        <f t="shared" ref="C148:G148" si="1">SUM(C144:D147)</f>
        <v>248</v>
      </c>
      <c r="D148" s="181"/>
      <c r="E148" s="183">
        <f t="shared" si="1"/>
        <v>102341.07117</v>
      </c>
      <c r="F148" s="184"/>
      <c r="G148" s="129">
        <f t="shared" si="1"/>
        <v>151651.58755499998</v>
      </c>
      <c r="H148" s="129"/>
    </row>
    <row r="149" spans="1:14" s="35" customFormat="1" ht="16.5" thickBot="1" x14ac:dyDescent="0.3">
      <c r="A149" s="189" t="s">
        <v>173</v>
      </c>
      <c r="B149" s="190"/>
      <c r="C149" s="191">
        <f>C141+C148</f>
        <v>252</v>
      </c>
      <c r="D149" s="191"/>
      <c r="E149" s="179">
        <f>E141+E148</f>
        <v>103598.41400999999</v>
      </c>
      <c r="F149" s="179"/>
      <c r="G149" s="185">
        <f>G141+G148</f>
        <v>153537.60181499997</v>
      </c>
      <c r="H149" s="186"/>
    </row>
    <row r="150" spans="1:14" s="34" customFormat="1" x14ac:dyDescent="0.25">
      <c r="A150" s="178" t="s">
        <v>56</v>
      </c>
      <c r="B150" s="178"/>
      <c r="C150" s="178"/>
      <c r="D150" s="178"/>
      <c r="E150" s="178"/>
      <c r="F150" s="178"/>
      <c r="G150" s="178"/>
      <c r="H150" s="178"/>
    </row>
    <row r="151" spans="1:14" x14ac:dyDescent="0.25">
      <c r="A151" s="153" t="s">
        <v>57</v>
      </c>
      <c r="B151" s="153"/>
      <c r="C151" s="153"/>
      <c r="D151" s="153"/>
      <c r="E151" s="153"/>
      <c r="F151" s="153"/>
      <c r="G151" s="153"/>
      <c r="H151" s="153"/>
    </row>
    <row r="152" spans="1:14" ht="47.25" customHeight="1" x14ac:dyDescent="0.25">
      <c r="A152" s="116" t="s">
        <v>123</v>
      </c>
      <c r="B152" s="116" t="s">
        <v>122</v>
      </c>
      <c r="C152" s="116" t="s">
        <v>58</v>
      </c>
      <c r="D152" s="116" t="s">
        <v>59</v>
      </c>
      <c r="E152" s="174" t="s">
        <v>161</v>
      </c>
      <c r="F152" s="43" t="s">
        <v>154</v>
      </c>
      <c r="G152" s="120" t="s">
        <v>61</v>
      </c>
      <c r="H152" s="176"/>
    </row>
    <row r="153" spans="1:14" s="37" customFormat="1" x14ac:dyDescent="0.25">
      <c r="A153" s="117"/>
      <c r="B153" s="117"/>
      <c r="C153" s="117"/>
      <c r="D153" s="117"/>
      <c r="E153" s="175"/>
      <c r="F153" s="13">
        <v>0.5</v>
      </c>
      <c r="G153" s="121"/>
      <c r="H153" s="177"/>
    </row>
    <row r="154" spans="1:14" s="60" customFormat="1" x14ac:dyDescent="0.25">
      <c r="A154" s="100" t="s">
        <v>226</v>
      </c>
      <c r="B154" s="101"/>
      <c r="C154" s="101"/>
      <c r="D154" s="101"/>
      <c r="E154" s="101"/>
      <c r="F154" s="101"/>
      <c r="G154" s="101"/>
      <c r="H154" s="102"/>
      <c r="J154" s="36"/>
    </row>
    <row r="155" spans="1:14" s="37" customFormat="1" x14ac:dyDescent="0.25">
      <c r="A155" s="94" t="s">
        <v>201</v>
      </c>
      <c r="B155" s="95"/>
      <c r="C155" s="95"/>
      <c r="D155" s="95"/>
      <c r="E155" s="95"/>
      <c r="F155" s="95"/>
      <c r="G155" s="95"/>
      <c r="H155" s="96"/>
      <c r="J155" s="36"/>
    </row>
    <row r="156" spans="1:14" s="37" customFormat="1" x14ac:dyDescent="0.25">
      <c r="A156" s="97">
        <v>1</v>
      </c>
      <c r="B156" s="98"/>
      <c r="C156" s="42" t="s">
        <v>202</v>
      </c>
      <c r="D156" s="62">
        <f>(15.64)*10.764</f>
        <v>168.34896000000001</v>
      </c>
      <c r="E156" s="42">
        <v>0</v>
      </c>
      <c r="F156" s="42">
        <f>(D156+E156)*(($F$153)+1)</f>
        <v>252.52343999999999</v>
      </c>
      <c r="G156" s="97" t="str">
        <f>A155</f>
        <v xml:space="preserve">Ground Floor for Commercial </v>
      </c>
      <c r="H156" s="98"/>
      <c r="I156" s="36">
        <f>5.03*3.06</f>
        <v>15.391800000000002</v>
      </c>
      <c r="L156" s="99"/>
      <c r="M156" s="99"/>
      <c r="N156" s="36"/>
    </row>
    <row r="157" spans="1:14" s="37" customFormat="1" x14ac:dyDescent="0.25">
      <c r="A157" s="97">
        <f t="shared" ref="A157:A158" si="2">A156+1</f>
        <v>2</v>
      </c>
      <c r="B157" s="98"/>
      <c r="C157" s="59" t="s">
        <v>202</v>
      </c>
      <c r="D157" s="62">
        <f>(15.25)*10.764</f>
        <v>164.15099999999998</v>
      </c>
      <c r="E157" s="42">
        <v>0</v>
      </c>
      <c r="F157" s="42">
        <f t="shared" ref="F157:F158" si="3">(D157+E157)*(($F$153)+1)</f>
        <v>246.22649999999999</v>
      </c>
      <c r="G157" s="97" t="str">
        <f t="shared" ref="G157:G158" si="4">G156</f>
        <v xml:space="preserve">Ground Floor for Commercial </v>
      </c>
      <c r="H157" s="98"/>
      <c r="I157" s="62">
        <v>10.763999999999999</v>
      </c>
      <c r="L157" s="99"/>
      <c r="M157" s="99"/>
      <c r="N157" s="36"/>
    </row>
    <row r="158" spans="1:14" s="37" customFormat="1" x14ac:dyDescent="0.25">
      <c r="A158" s="97">
        <f t="shared" si="2"/>
        <v>3</v>
      </c>
      <c r="B158" s="98"/>
      <c r="C158" s="59" t="s">
        <v>202</v>
      </c>
      <c r="D158" s="62">
        <f>(15.64)*10.764</f>
        <v>168.34896000000001</v>
      </c>
      <c r="E158" s="42">
        <v>0</v>
      </c>
      <c r="F158" s="42">
        <f t="shared" si="3"/>
        <v>252.52343999999999</v>
      </c>
      <c r="G158" s="97" t="str">
        <f t="shared" si="4"/>
        <v xml:space="preserve">Ground Floor for Commercial </v>
      </c>
      <c r="H158" s="98"/>
      <c r="I158" s="36"/>
      <c r="L158" s="99"/>
      <c r="M158" s="99"/>
      <c r="N158" s="36"/>
    </row>
    <row r="159" spans="1:14" s="60" customFormat="1" x14ac:dyDescent="0.25">
      <c r="A159" s="94" t="s">
        <v>203</v>
      </c>
      <c r="B159" s="95"/>
      <c r="C159" s="95"/>
      <c r="D159" s="95"/>
      <c r="E159" s="95"/>
      <c r="F159" s="95"/>
      <c r="G159" s="95"/>
      <c r="H159" s="96"/>
      <c r="J159" s="36"/>
    </row>
    <row r="160" spans="1:14" s="60" customFormat="1" x14ac:dyDescent="0.25">
      <c r="A160" s="97">
        <v>1</v>
      </c>
      <c r="B160" s="98"/>
      <c r="C160" s="59" t="s">
        <v>204</v>
      </c>
      <c r="D160" s="62">
        <f>(70.28)*10.764</f>
        <v>756.49392</v>
      </c>
      <c r="E160" s="59">
        <v>0</v>
      </c>
      <c r="F160" s="59">
        <f>(D160+E160)*(($F$153)+1)</f>
        <v>1134.7408800000001</v>
      </c>
      <c r="G160" s="97" t="str">
        <f>A159</f>
        <v xml:space="preserve">1st &amp; 2nd Floor </v>
      </c>
      <c r="H160" s="98"/>
      <c r="I160" s="36">
        <f>6.23*9.39+1.2*(1.42+1.42)+1.47*2.24+1.47*2.24</f>
        <v>68.493300000000005</v>
      </c>
      <c r="L160" s="99"/>
      <c r="M160" s="99"/>
      <c r="N160" s="36"/>
    </row>
    <row r="161" spans="1:14" s="37" customFormat="1" x14ac:dyDescent="0.25">
      <c r="A161" s="97"/>
      <c r="B161" s="122"/>
      <c r="C161" s="122"/>
      <c r="D161" s="122"/>
      <c r="E161" s="122"/>
      <c r="F161" s="122"/>
      <c r="G161" s="122"/>
      <c r="H161" s="98"/>
      <c r="I161" s="36"/>
      <c r="N161" s="36"/>
    </row>
    <row r="162" spans="1:14" ht="47.25" customHeight="1" x14ac:dyDescent="0.25">
      <c r="A162" s="120" t="s">
        <v>124</v>
      </c>
      <c r="B162" s="120" t="s">
        <v>125</v>
      </c>
      <c r="C162" s="116" t="s">
        <v>58</v>
      </c>
      <c r="D162" s="116" t="s">
        <v>59</v>
      </c>
      <c r="E162" s="174" t="s">
        <v>60</v>
      </c>
      <c r="F162" s="43" t="s">
        <v>154</v>
      </c>
      <c r="G162" s="120" t="s">
        <v>61</v>
      </c>
      <c r="H162" s="176"/>
      <c r="I162" s="36"/>
    </row>
    <row r="163" spans="1:14" s="37" customFormat="1" x14ac:dyDescent="0.25">
      <c r="A163" s="121"/>
      <c r="B163" s="121"/>
      <c r="C163" s="117"/>
      <c r="D163" s="117"/>
      <c r="E163" s="175"/>
      <c r="F163" s="13">
        <v>0.5</v>
      </c>
      <c r="G163" s="121"/>
      <c r="H163" s="177"/>
      <c r="I163" s="36"/>
    </row>
    <row r="164" spans="1:14" s="60" customFormat="1" x14ac:dyDescent="0.25">
      <c r="A164" s="100" t="s">
        <v>226</v>
      </c>
      <c r="B164" s="101"/>
      <c r="C164" s="101"/>
      <c r="D164" s="101"/>
      <c r="E164" s="101"/>
      <c r="F164" s="101"/>
      <c r="G164" s="101"/>
      <c r="H164" s="102"/>
      <c r="J164" s="36"/>
    </row>
    <row r="165" spans="1:14" s="60" customFormat="1" x14ac:dyDescent="0.25">
      <c r="A165" s="94" t="s">
        <v>201</v>
      </c>
      <c r="B165" s="95"/>
      <c r="C165" s="95"/>
      <c r="D165" s="95"/>
      <c r="E165" s="95"/>
      <c r="F165" s="95"/>
      <c r="G165" s="95"/>
      <c r="H165" s="96"/>
      <c r="J165" s="36"/>
    </row>
    <row r="166" spans="1:14" s="37" customFormat="1" x14ac:dyDescent="0.25">
      <c r="A166" s="94" t="s">
        <v>205</v>
      </c>
      <c r="B166" s="95"/>
      <c r="C166" s="95"/>
      <c r="D166" s="95"/>
      <c r="E166" s="95"/>
      <c r="F166" s="95"/>
      <c r="G166" s="95"/>
      <c r="H166" s="96"/>
      <c r="I166" s="37">
        <f>2.75*6.37+3.1*2.85+3.33*3.35+3.33*3.35+2.26*1.25+2.26*1.25+1.2*2.28</f>
        <v>57.049500000000002</v>
      </c>
      <c r="J166" s="36"/>
    </row>
    <row r="167" spans="1:14" s="37" customFormat="1" x14ac:dyDescent="0.25">
      <c r="A167" s="97">
        <v>1</v>
      </c>
      <c r="B167" s="98"/>
      <c r="C167" s="42" t="s">
        <v>206</v>
      </c>
      <c r="D167" s="62">
        <f>(58+1.05*(2.75+2.75))*10.764</f>
        <v>686.47409999999991</v>
      </c>
      <c r="E167" s="42">
        <v>0</v>
      </c>
      <c r="F167" s="42">
        <f>D167*(($F$163)+1)+(IF(E167&lt;101,E167,IF(E167&lt;201,E167/2,IF(E167&lt;=301,E167/3,E167/4))))</f>
        <v>1029.7111499999999</v>
      </c>
      <c r="G167" s="97" t="str">
        <f>A166</f>
        <v>3rd &amp; 4th Floor for Residential</v>
      </c>
      <c r="H167" s="98"/>
      <c r="I167" s="36"/>
      <c r="J167" s="37">
        <v>42</v>
      </c>
      <c r="L167" s="99"/>
      <c r="M167" s="99"/>
      <c r="N167" s="36"/>
    </row>
    <row r="168" spans="1:14" s="60" customFormat="1" x14ac:dyDescent="0.25">
      <c r="A168" s="100" t="s">
        <v>227</v>
      </c>
      <c r="B168" s="101"/>
      <c r="C168" s="101"/>
      <c r="D168" s="101"/>
      <c r="E168" s="101"/>
      <c r="F168" s="101"/>
      <c r="G168" s="101"/>
      <c r="H168" s="102"/>
      <c r="J168" s="36" t="s">
        <v>220</v>
      </c>
      <c r="K168" s="60" t="s">
        <v>221</v>
      </c>
      <c r="M168" s="60" t="s">
        <v>222</v>
      </c>
      <c r="N168" s="60" t="s">
        <v>115</v>
      </c>
    </row>
    <row r="169" spans="1:14" s="60" customFormat="1" x14ac:dyDescent="0.25">
      <c r="A169" s="94" t="s">
        <v>217</v>
      </c>
      <c r="B169" s="95"/>
      <c r="C169" s="95"/>
      <c r="D169" s="95"/>
      <c r="E169" s="95"/>
      <c r="F169" s="95"/>
      <c r="G169" s="95"/>
      <c r="H169" s="96"/>
      <c r="J169" s="63">
        <f>4000000/F173</f>
        <v>6451.5463066187704</v>
      </c>
      <c r="K169" s="60">
        <v>9000</v>
      </c>
      <c r="M169" s="63">
        <f>3900000/F172</f>
        <v>5973.3142187278336</v>
      </c>
      <c r="N169" s="63">
        <f>3600000/F172</f>
        <v>5513.8285095949232</v>
      </c>
    </row>
    <row r="170" spans="1:14" s="60" customFormat="1" x14ac:dyDescent="0.25">
      <c r="A170" s="94" t="s">
        <v>215</v>
      </c>
      <c r="B170" s="95"/>
      <c r="C170" s="95"/>
      <c r="D170" s="95"/>
      <c r="E170" s="95"/>
      <c r="F170" s="95"/>
      <c r="G170" s="95"/>
      <c r="H170" s="96"/>
      <c r="J170" s="36"/>
      <c r="K170" s="65">
        <f>K169/1.5</f>
        <v>6000</v>
      </c>
      <c r="N170" s="63">
        <f>3000000/F173</f>
        <v>4838.659729964078</v>
      </c>
    </row>
    <row r="171" spans="1:14" s="60" customFormat="1" x14ac:dyDescent="0.25">
      <c r="A171" s="103" t="s">
        <v>216</v>
      </c>
      <c r="B171" s="103"/>
      <c r="C171" s="103"/>
      <c r="D171" s="103"/>
      <c r="E171" s="103"/>
      <c r="F171" s="103"/>
      <c r="G171" s="103"/>
      <c r="H171" s="103"/>
      <c r="I171" s="60">
        <v>6</v>
      </c>
      <c r="J171" s="60">
        <f>6000*F173</f>
        <v>3720038.3999999999</v>
      </c>
      <c r="K171" s="60">
        <v>8500</v>
      </c>
      <c r="L171" s="60">
        <f>8500*D172</f>
        <v>3699788.625</v>
      </c>
    </row>
    <row r="172" spans="1:14" s="60" customFormat="1" x14ac:dyDescent="0.25">
      <c r="A172" s="93">
        <v>1</v>
      </c>
      <c r="B172" s="93"/>
      <c r="C172" s="59" t="s">
        <v>211</v>
      </c>
      <c r="D172" s="62">
        <f>(29.96+1.45*2.7+2*0.75*1.1*2.75+0.75*2.7)*10.764</f>
        <v>435.26925</v>
      </c>
      <c r="E172" s="59">
        <v>0</v>
      </c>
      <c r="F172" s="59">
        <f t="shared" ref="F172:F173" si="5">D172*(($F$163)+1)+(IF(E172&lt;101,E172,IF(E172&lt;201,E172/2,IF(E172&lt;=301,E172/3,E172/4))))</f>
        <v>652.90387499999997</v>
      </c>
      <c r="G172" s="93" t="str">
        <f>A171</f>
        <v>2nd to 7th, 9th to 12th &amp; 14th to 17th, 19th to 22nd Floor for Residential</v>
      </c>
      <c r="H172" s="93"/>
      <c r="I172" s="36">
        <v>4</v>
      </c>
      <c r="K172" s="63">
        <f>K171/1.5</f>
        <v>5666.666666666667</v>
      </c>
      <c r="N172" s="36"/>
    </row>
    <row r="173" spans="1:14" s="60" customFormat="1" x14ac:dyDescent="0.25">
      <c r="A173" s="93">
        <f>A172+1</f>
        <v>2</v>
      </c>
      <c r="B173" s="93"/>
      <c r="C173" s="59" t="s">
        <v>211</v>
      </c>
      <c r="D173" s="62">
        <f>(29.96+1.45*2.7+0.75*2+1.1*2.75)*10.764</f>
        <v>413.33759999999995</v>
      </c>
      <c r="E173" s="59">
        <v>0</v>
      </c>
      <c r="F173" s="59">
        <f t="shared" si="5"/>
        <v>620.00639999999999</v>
      </c>
      <c r="G173" s="93" t="str">
        <f>G172</f>
        <v>2nd to 7th, 9th to 12th &amp; 14th to 17th, 19th to 22nd Floor for Residential</v>
      </c>
      <c r="H173" s="93"/>
      <c r="I173" s="36">
        <v>4</v>
      </c>
      <c r="N173" s="36"/>
    </row>
    <row r="174" spans="1:14" s="60" customFormat="1" x14ac:dyDescent="0.25">
      <c r="A174" s="93">
        <f>A173+1</f>
        <v>3</v>
      </c>
      <c r="B174" s="93"/>
      <c r="C174" s="59" t="s">
        <v>211</v>
      </c>
      <c r="D174" s="62">
        <f>(29.96+1.45*2.7+0.75*2+1.1*2.75)*10.764</f>
        <v>413.33759999999995</v>
      </c>
      <c r="E174" s="59">
        <v>0</v>
      </c>
      <c r="F174" s="59">
        <f>D174*(($F$163)+1)+(IF(E174&lt;101,E174,IF(E174&lt;201,E174/2,IF(E174&lt;=301,E174/3,E174/4))))</f>
        <v>620.00639999999999</v>
      </c>
      <c r="G174" s="93" t="str">
        <f>G173</f>
        <v>2nd to 7th, 9th to 12th &amp; 14th to 17th, 19th to 22nd Floor for Residential</v>
      </c>
      <c r="H174" s="93"/>
      <c r="I174" s="36">
        <v>4</v>
      </c>
      <c r="J174" s="62">
        <v>10.763999999999999</v>
      </c>
      <c r="K174" s="60">
        <v>15000</v>
      </c>
      <c r="L174" s="60" t="s">
        <v>202</v>
      </c>
      <c r="N174" s="36"/>
    </row>
    <row r="175" spans="1:14" s="60" customFormat="1" x14ac:dyDescent="0.25">
      <c r="A175" s="93">
        <f>A174+1</f>
        <v>4</v>
      </c>
      <c r="B175" s="93"/>
      <c r="C175" s="59" t="s">
        <v>211</v>
      </c>
      <c r="D175" s="62">
        <f>(29.96+1.45*2.7+2*0.75*1.1*2.75+0.75*2.7)*10.764</f>
        <v>435.26925</v>
      </c>
      <c r="E175" s="59">
        <v>0</v>
      </c>
      <c r="F175" s="59">
        <f>D175*(($F$163)+1)+(IF(E175&lt;101,E175,IF(E175&lt;201,E175/2,IF(E175&lt;=301,E175/3,E175/4))))</f>
        <v>652.90387499999997</v>
      </c>
      <c r="G175" s="93" t="str">
        <f>G174</f>
        <v>2nd to 7th, 9th to 12th &amp; 14th to 17th, 19th to 22nd Floor for Residential</v>
      </c>
      <c r="H175" s="93"/>
      <c r="I175" s="63">
        <f>SUM(I171:I174)</f>
        <v>18</v>
      </c>
      <c r="K175" s="63">
        <f>K174/1.5</f>
        <v>10000</v>
      </c>
      <c r="N175" s="36"/>
    </row>
    <row r="176" spans="1:14" s="60" customFormat="1" ht="15.75" customHeight="1" x14ac:dyDescent="0.25">
      <c r="A176" s="94" t="s">
        <v>212</v>
      </c>
      <c r="B176" s="95"/>
      <c r="C176" s="95"/>
      <c r="D176" s="95"/>
      <c r="E176" s="95"/>
      <c r="F176" s="95"/>
      <c r="G176" s="95"/>
      <c r="H176" s="96"/>
      <c r="I176" s="36"/>
      <c r="K176" s="60">
        <v>12000</v>
      </c>
      <c r="L176" s="60" t="s">
        <v>204</v>
      </c>
    </row>
    <row r="177" spans="1:14" s="60" customFormat="1" x14ac:dyDescent="0.25">
      <c r="A177" s="97">
        <v>1</v>
      </c>
      <c r="B177" s="98"/>
      <c r="C177" s="59" t="s">
        <v>211</v>
      </c>
      <c r="D177" s="62">
        <f>(29.96+1.45*2.7+2*0.75*1.1*2.75+0.75*2.7)*10.764</f>
        <v>435.26925</v>
      </c>
      <c r="E177" s="59">
        <v>0</v>
      </c>
      <c r="F177" s="59">
        <f>D177*(($F$163)+1)+(IF(E177&lt;101,E177,IF(E177&lt;201,E177/2,IF(E177&lt;=301,E177/3,E177/4))))</f>
        <v>652.90387499999997</v>
      </c>
      <c r="G177" s="97" t="str">
        <f>A176</f>
        <v>8th, 13th &amp; 18th Floor (Part Refuge Area)</v>
      </c>
      <c r="H177" s="98"/>
      <c r="I177" s="36"/>
      <c r="K177" s="63">
        <f>K176/1.5</f>
        <v>8000</v>
      </c>
    </row>
    <row r="178" spans="1:14" s="60" customFormat="1" x14ac:dyDescent="0.25">
      <c r="A178" s="97">
        <v>2</v>
      </c>
      <c r="B178" s="98"/>
      <c r="C178" s="97" t="s">
        <v>213</v>
      </c>
      <c r="D178" s="122"/>
      <c r="E178" s="122"/>
      <c r="F178" s="98"/>
      <c r="G178" s="97" t="str">
        <f>G177</f>
        <v>8th, 13th &amp; 18th Floor (Part Refuge Area)</v>
      </c>
      <c r="H178" s="98"/>
      <c r="I178" s="36"/>
    </row>
    <row r="179" spans="1:14" s="60" customFormat="1" ht="15.75" customHeight="1" x14ac:dyDescent="0.25">
      <c r="A179" s="97">
        <v>3</v>
      </c>
      <c r="B179" s="98"/>
      <c r="C179" s="59" t="s">
        <v>211</v>
      </c>
      <c r="D179" s="62">
        <f>(29.96+1.45*2.7+0.75*2+1.1*2.75)*10.764</f>
        <v>413.33759999999995</v>
      </c>
      <c r="E179" s="59">
        <v>0</v>
      </c>
      <c r="F179" s="59">
        <f>D179*(($F$163)+1)+(IF(E179&lt;101,E179,IF(E179&lt;201,E179/2,IF(E179&lt;=301,E179/3,E179/4))))</f>
        <v>620.00639999999999</v>
      </c>
      <c r="G179" s="97" t="str">
        <f>G178</f>
        <v>8th, 13th &amp; 18th Floor (Part Refuge Area)</v>
      </c>
      <c r="H179" s="98"/>
      <c r="I179" s="36"/>
    </row>
    <row r="180" spans="1:14" s="60" customFormat="1" ht="15.75" customHeight="1" x14ac:dyDescent="0.25">
      <c r="A180" s="97">
        <v>4</v>
      </c>
      <c r="B180" s="98"/>
      <c r="C180" s="59" t="s">
        <v>211</v>
      </c>
      <c r="D180" s="62">
        <f>(29.96+1.45*2.7+2*0.75*1.1*2.75+0.75*2.7)*10.764</f>
        <v>435.26925</v>
      </c>
      <c r="E180" s="59">
        <v>0</v>
      </c>
      <c r="F180" s="59">
        <f>D180*(($F$163)+1)+(IF(E180&lt;101,E180,IF(E180&lt;201,E180/2,IF(E180&lt;=301,E180/3,E180/4))))</f>
        <v>652.90387499999997</v>
      </c>
      <c r="G180" s="97" t="str">
        <f>G179</f>
        <v>8th, 13th &amp; 18th Floor (Part Refuge Area)</v>
      </c>
      <c r="H180" s="98"/>
      <c r="I180" s="66" t="s">
        <v>223</v>
      </c>
    </row>
    <row r="181" spans="1:14" s="60" customFormat="1" x14ac:dyDescent="0.25">
      <c r="A181" s="94" t="s">
        <v>218</v>
      </c>
      <c r="B181" s="95"/>
      <c r="C181" s="95"/>
      <c r="D181" s="95"/>
      <c r="E181" s="95"/>
      <c r="F181" s="95"/>
      <c r="G181" s="95"/>
      <c r="H181" s="96"/>
      <c r="J181" s="36"/>
    </row>
    <row r="182" spans="1:14" s="60" customFormat="1" x14ac:dyDescent="0.25">
      <c r="A182" s="94" t="s">
        <v>215</v>
      </c>
      <c r="B182" s="95"/>
      <c r="C182" s="95"/>
      <c r="D182" s="95"/>
      <c r="E182" s="95"/>
      <c r="F182" s="95"/>
      <c r="G182" s="95"/>
      <c r="H182" s="96"/>
      <c r="J182" s="36"/>
    </row>
    <row r="183" spans="1:14" s="60" customFormat="1" x14ac:dyDescent="0.25">
      <c r="A183" s="103" t="s">
        <v>216</v>
      </c>
      <c r="B183" s="103"/>
      <c r="C183" s="103"/>
      <c r="D183" s="103"/>
      <c r="E183" s="103"/>
      <c r="F183" s="103"/>
      <c r="G183" s="103"/>
      <c r="H183" s="103"/>
      <c r="I183" s="60">
        <v>6</v>
      </c>
      <c r="K183" s="99"/>
      <c r="L183" s="99"/>
    </row>
    <row r="184" spans="1:14" s="60" customFormat="1" x14ac:dyDescent="0.25">
      <c r="A184" s="93">
        <v>1</v>
      </c>
      <c r="B184" s="93"/>
      <c r="C184" s="59" t="s">
        <v>211</v>
      </c>
      <c r="D184" s="62">
        <f>(29.96+1.45*2.7+2*0.75*1.1*2.75+0.75*2.7)*10.764</f>
        <v>435.26925</v>
      </c>
      <c r="E184" s="59">
        <v>0</v>
      </c>
      <c r="F184" s="59">
        <f t="shared" ref="F184:F185" si="6">D184*(($F$163)+1)+(IF(E184&lt;101,E184,IF(E184&lt;201,E184/2,IF(E184&lt;=301,E184/3,E184/4))))</f>
        <v>652.90387499999997</v>
      </c>
      <c r="G184" s="93" t="str">
        <f>A183</f>
        <v>2nd to 7th, 9th to 12th &amp; 14th to 17th, 19th to 22nd Floor for Residential</v>
      </c>
      <c r="H184" s="93"/>
      <c r="I184" s="36">
        <v>4</v>
      </c>
      <c r="N184" s="36"/>
    </row>
    <row r="185" spans="1:14" s="60" customFormat="1" x14ac:dyDescent="0.25">
      <c r="A185" s="93">
        <f>A184+1</f>
        <v>2</v>
      </c>
      <c r="B185" s="93"/>
      <c r="C185" s="59" t="s">
        <v>211</v>
      </c>
      <c r="D185" s="62">
        <f>(29.96+1.45*2.7+0.75*2+1.1*2.75)*10.764</f>
        <v>413.33759999999995</v>
      </c>
      <c r="E185" s="59">
        <v>0</v>
      </c>
      <c r="F185" s="59">
        <f t="shared" si="6"/>
        <v>620.00639999999999</v>
      </c>
      <c r="G185" s="93" t="str">
        <f>G184</f>
        <v>2nd to 7th, 9th to 12th &amp; 14th to 17th, 19th to 22nd Floor for Residential</v>
      </c>
      <c r="H185" s="93"/>
      <c r="I185" s="36">
        <v>4</v>
      </c>
      <c r="N185" s="36"/>
    </row>
    <row r="186" spans="1:14" s="60" customFormat="1" x14ac:dyDescent="0.25">
      <c r="A186" s="93">
        <f>A185+1</f>
        <v>3</v>
      </c>
      <c r="B186" s="93"/>
      <c r="C186" s="59" t="s">
        <v>211</v>
      </c>
      <c r="D186" s="62">
        <f>(29.96+1.45*2.7+0.75*2+1.1*2.75)*10.764</f>
        <v>413.33759999999995</v>
      </c>
      <c r="E186" s="59">
        <v>0</v>
      </c>
      <c r="F186" s="59">
        <f>D186*(($F$163)+1)+(IF(E186&lt;101,E186,IF(E186&lt;201,E186/2,IF(E186&lt;=301,E186/3,E186/4))))</f>
        <v>620.00639999999999</v>
      </c>
      <c r="G186" s="93" t="str">
        <f>G185</f>
        <v>2nd to 7th, 9th to 12th &amp; 14th to 17th, 19th to 22nd Floor for Residential</v>
      </c>
      <c r="H186" s="93"/>
      <c r="I186" s="36">
        <v>4</v>
      </c>
      <c r="N186" s="36"/>
    </row>
    <row r="187" spans="1:14" s="60" customFormat="1" x14ac:dyDescent="0.25">
      <c r="A187" s="93">
        <f>A186+1</f>
        <v>4</v>
      </c>
      <c r="B187" s="93"/>
      <c r="C187" s="59" t="s">
        <v>211</v>
      </c>
      <c r="D187" s="62">
        <f>(29.96+1.45*2.7+2*0.75*1.1*2.75+0.75*2.7)*10.764</f>
        <v>435.26925</v>
      </c>
      <c r="E187" s="59">
        <v>0</v>
      </c>
      <c r="F187" s="59">
        <f>D187*(($F$163)+1)+(IF(E187&lt;101,E187,IF(E187&lt;201,E187/2,IF(E187&lt;=301,E187/3,E187/4))))</f>
        <v>652.90387499999997</v>
      </c>
      <c r="G187" s="93" t="str">
        <f>G186</f>
        <v>2nd to 7th, 9th to 12th &amp; 14th to 17th, 19th to 22nd Floor for Residential</v>
      </c>
      <c r="H187" s="93"/>
      <c r="I187" s="63">
        <f>SUM(I183:I186)</f>
        <v>18</v>
      </c>
      <c r="N187" s="36"/>
    </row>
    <row r="188" spans="1:14" s="60" customFormat="1" ht="15.75" customHeight="1" x14ac:dyDescent="0.25">
      <c r="A188" s="94" t="s">
        <v>212</v>
      </c>
      <c r="B188" s="95"/>
      <c r="C188" s="95"/>
      <c r="D188" s="95"/>
      <c r="E188" s="95"/>
      <c r="F188" s="95"/>
      <c r="G188" s="95"/>
      <c r="H188" s="96"/>
      <c r="I188" s="36"/>
    </row>
    <row r="189" spans="1:14" s="60" customFormat="1" x14ac:dyDescent="0.25">
      <c r="A189" s="97">
        <v>1</v>
      </c>
      <c r="B189" s="98"/>
      <c r="C189" s="97" t="s">
        <v>213</v>
      </c>
      <c r="D189" s="122"/>
      <c r="E189" s="122"/>
      <c r="F189" s="98"/>
      <c r="G189" s="97" t="str">
        <f>A188</f>
        <v>8th, 13th &amp; 18th Floor (Part Refuge Area)</v>
      </c>
      <c r="H189" s="98"/>
      <c r="I189" s="36"/>
    </row>
    <row r="190" spans="1:14" s="60" customFormat="1" x14ac:dyDescent="0.25">
      <c r="A190" s="97">
        <v>2</v>
      </c>
      <c r="B190" s="98"/>
      <c r="C190" s="59" t="s">
        <v>211</v>
      </c>
      <c r="D190" s="62">
        <f>(29.96+1.45*2.7+0.75*2+1.1*2.75)*10.764</f>
        <v>413.33759999999995</v>
      </c>
      <c r="E190" s="59">
        <v>0</v>
      </c>
      <c r="F190" s="59">
        <v>0</v>
      </c>
      <c r="G190" s="97" t="str">
        <f>G189</f>
        <v>8th, 13th &amp; 18th Floor (Part Refuge Area)</v>
      </c>
      <c r="H190" s="98"/>
      <c r="I190" s="36"/>
    </row>
    <row r="191" spans="1:14" s="60" customFormat="1" ht="15.75" customHeight="1" x14ac:dyDescent="0.25">
      <c r="A191" s="97">
        <v>3</v>
      </c>
      <c r="B191" s="98"/>
      <c r="C191" s="59" t="s">
        <v>211</v>
      </c>
      <c r="D191" s="62">
        <f>(29.96+1.45*2.7+0.75*2+1.1*2.75)*10.764</f>
        <v>413.33759999999995</v>
      </c>
      <c r="E191" s="59">
        <v>0</v>
      </c>
      <c r="F191" s="59">
        <f>D191*(($F$163)+1)+(IF(E191&lt;101,E191,IF(E191&lt;201,E191/2,IF(E191&lt;=301,E191/3,E191/4))))</f>
        <v>620.00639999999999</v>
      </c>
      <c r="G191" s="97" t="str">
        <f>G190</f>
        <v>8th, 13th &amp; 18th Floor (Part Refuge Area)</v>
      </c>
      <c r="H191" s="98"/>
      <c r="I191" s="36"/>
    </row>
    <row r="192" spans="1:14" s="60" customFormat="1" ht="15.75" customHeight="1" x14ac:dyDescent="0.25">
      <c r="A192" s="97">
        <v>4</v>
      </c>
      <c r="B192" s="98"/>
      <c r="C192" s="59" t="s">
        <v>211</v>
      </c>
      <c r="D192" s="62">
        <f>(29.96+1.45*2.7+2*0.75*1.1*2.75+0.75*2.7)*10.764</f>
        <v>435.26925</v>
      </c>
      <c r="E192" s="59">
        <v>0</v>
      </c>
      <c r="F192" s="59">
        <f>D192*(($F$163)+1)+(IF(E192&lt;101,E192,IF(E192&lt;201,E192/2,IF(E192&lt;=301,E192/3,E192/4))))</f>
        <v>652.90387499999997</v>
      </c>
      <c r="G192" s="97" t="str">
        <f>G191</f>
        <v>8th, 13th &amp; 18th Floor (Part Refuge Area)</v>
      </c>
      <c r="H192" s="98"/>
      <c r="I192" s="36"/>
    </row>
    <row r="193" spans="1:14" s="60" customFormat="1" x14ac:dyDescent="0.25">
      <c r="A193" s="100" t="s">
        <v>228</v>
      </c>
      <c r="B193" s="101"/>
      <c r="C193" s="101"/>
      <c r="D193" s="101"/>
      <c r="E193" s="101"/>
      <c r="F193" s="101"/>
      <c r="G193" s="101"/>
      <c r="H193" s="102"/>
      <c r="J193" s="36"/>
    </row>
    <row r="194" spans="1:14" s="60" customFormat="1" x14ac:dyDescent="0.25">
      <c r="A194" s="94" t="s">
        <v>208</v>
      </c>
      <c r="B194" s="95"/>
      <c r="C194" s="95"/>
      <c r="D194" s="95"/>
      <c r="E194" s="95"/>
      <c r="F194" s="95"/>
      <c r="G194" s="95"/>
      <c r="H194" s="96"/>
      <c r="J194" s="36"/>
    </row>
    <row r="195" spans="1:14" s="37" customFormat="1" x14ac:dyDescent="0.25">
      <c r="A195" s="103" t="s">
        <v>209</v>
      </c>
      <c r="B195" s="103"/>
      <c r="C195" s="103"/>
      <c r="D195" s="103"/>
      <c r="E195" s="103"/>
      <c r="F195" s="103"/>
      <c r="G195" s="103"/>
      <c r="H195" s="103"/>
      <c r="I195" s="37">
        <v>7</v>
      </c>
      <c r="K195" s="99"/>
      <c r="L195" s="99"/>
    </row>
    <row r="196" spans="1:14" s="37" customFormat="1" x14ac:dyDescent="0.25">
      <c r="A196" s="93">
        <v>1</v>
      </c>
      <c r="B196" s="93"/>
      <c r="C196" s="42" t="s">
        <v>210</v>
      </c>
      <c r="D196" s="62">
        <f>(24.68+1*2.7+0.75*2.4+0.75*2.7)*10.764</f>
        <v>335.89061999999996</v>
      </c>
      <c r="E196" s="42">
        <v>0</v>
      </c>
      <c r="F196" s="42">
        <f t="shared" ref="F196:F197" si="7">D196*(($F$163)+1)+(IF(E196&lt;101,E196,IF(E196&lt;201,E196/2,IF(E196&lt;=301,E196/3,E196/4))))</f>
        <v>503.83592999999996</v>
      </c>
      <c r="G196" s="93" t="str">
        <f>A195</f>
        <v>1st to 7th, 9th to 12th &amp; 14th to 17th &amp; 19th to 22th Floor for Residential</v>
      </c>
      <c r="H196" s="93"/>
      <c r="I196" s="36">
        <v>4</v>
      </c>
      <c r="N196" s="36"/>
    </row>
    <row r="197" spans="1:14" s="37" customFormat="1" x14ac:dyDescent="0.25">
      <c r="A197" s="93">
        <f>A196+1</f>
        <v>2</v>
      </c>
      <c r="B197" s="93"/>
      <c r="C197" s="42" t="s">
        <v>211</v>
      </c>
      <c r="D197" s="62">
        <f>(29.96+1.45*2.7+1.1*2.75+0.75*(2+2.7))*10.764</f>
        <v>435.13469999999995</v>
      </c>
      <c r="E197" s="42">
        <v>0</v>
      </c>
      <c r="F197" s="42">
        <f t="shared" si="7"/>
        <v>652.70204999999987</v>
      </c>
      <c r="G197" s="93" t="str">
        <f>G196</f>
        <v>1st to 7th, 9th to 12th &amp; 14th to 17th &amp; 19th to 22th Floor for Residential</v>
      </c>
      <c r="H197" s="93"/>
      <c r="I197" s="36">
        <v>4</v>
      </c>
      <c r="N197" s="36"/>
    </row>
    <row r="198" spans="1:14" s="37" customFormat="1" x14ac:dyDescent="0.25">
      <c r="A198" s="93">
        <f>A197+1</f>
        <v>3</v>
      </c>
      <c r="B198" s="93"/>
      <c r="C198" s="59" t="s">
        <v>211</v>
      </c>
      <c r="D198" s="62">
        <f>(29.96+1.45*2.7+1.1*2.75+0.75*(2+2.7))*10.764</f>
        <v>435.13469999999995</v>
      </c>
      <c r="E198" s="42">
        <v>0</v>
      </c>
      <c r="F198" s="42">
        <f>D198*(($F$163)+1)+(IF(E198&lt;101,E198,IF(E198&lt;201,E198/2,IF(E198&lt;=301,E198/3,E198/4))))</f>
        <v>652.70204999999987</v>
      </c>
      <c r="G198" s="93" t="str">
        <f>G197</f>
        <v>1st to 7th, 9th to 12th &amp; 14th to 17th &amp; 19th to 22th Floor for Residential</v>
      </c>
      <c r="H198" s="93"/>
      <c r="I198" s="36">
        <v>4</v>
      </c>
      <c r="N198" s="36"/>
    </row>
    <row r="199" spans="1:14" s="37" customFormat="1" x14ac:dyDescent="0.25">
      <c r="A199" s="93">
        <f>A198+1</f>
        <v>4</v>
      </c>
      <c r="B199" s="93"/>
      <c r="C199" s="59" t="s">
        <v>210</v>
      </c>
      <c r="D199" s="62">
        <f>(24.68+1*2.7+0.75*2.4+0.75*2.7)*10.764</f>
        <v>335.89061999999996</v>
      </c>
      <c r="E199" s="42">
        <v>0</v>
      </c>
      <c r="F199" s="42">
        <f>D199*(($F$163)+1)+(IF(E199&lt;101,E199,IF(E199&lt;201,E199/2,IF(E199&lt;=301,E199/3,E199/4))))</f>
        <v>503.83592999999996</v>
      </c>
      <c r="G199" s="93" t="str">
        <f>G198</f>
        <v>1st to 7th, 9th to 12th &amp; 14th to 17th &amp; 19th to 22th Floor for Residential</v>
      </c>
      <c r="H199" s="93"/>
      <c r="I199" s="63">
        <f>SUM(I195:I198)</f>
        <v>19</v>
      </c>
      <c r="N199" s="36"/>
    </row>
    <row r="200" spans="1:14" s="37" customFormat="1" ht="15.75" customHeight="1" x14ac:dyDescent="0.25">
      <c r="A200" s="94" t="s">
        <v>212</v>
      </c>
      <c r="B200" s="95"/>
      <c r="C200" s="95"/>
      <c r="D200" s="95"/>
      <c r="E200" s="95"/>
      <c r="F200" s="95"/>
      <c r="G200" s="95"/>
      <c r="H200" s="96"/>
      <c r="I200" s="36"/>
    </row>
    <row r="201" spans="1:14" s="37" customFormat="1" x14ac:dyDescent="0.25">
      <c r="A201" s="97">
        <v>1</v>
      </c>
      <c r="B201" s="98"/>
      <c r="C201" s="97" t="s">
        <v>213</v>
      </c>
      <c r="D201" s="122"/>
      <c r="E201" s="122"/>
      <c r="F201" s="98"/>
      <c r="G201" s="97" t="str">
        <f>A200</f>
        <v>8th, 13th &amp; 18th Floor (Part Refuge Area)</v>
      </c>
      <c r="H201" s="98"/>
      <c r="I201" s="36"/>
    </row>
    <row r="202" spans="1:14" s="37" customFormat="1" x14ac:dyDescent="0.25">
      <c r="A202" s="97">
        <v>2</v>
      </c>
      <c r="B202" s="98"/>
      <c r="C202" s="59" t="s">
        <v>211</v>
      </c>
      <c r="D202" s="62">
        <f>(29.96+1.45*2.7+1.1*2.75+0.75*(2+2.7))*10.764</f>
        <v>435.13469999999995</v>
      </c>
      <c r="E202" s="42">
        <v>0</v>
      </c>
      <c r="F202" s="42">
        <f>D202*(($F$163)+1)+(IF(E202&lt;101,E202,IF(E202&lt;201,E202/2,IF(E202&lt;=301,E202/3,E202/4))))</f>
        <v>652.70204999999987</v>
      </c>
      <c r="G202" s="97" t="str">
        <f>G201</f>
        <v>8th, 13th &amp; 18th Floor (Part Refuge Area)</v>
      </c>
      <c r="H202" s="98"/>
      <c r="I202" s="36"/>
    </row>
    <row r="203" spans="1:14" s="37" customFormat="1" ht="15.75" customHeight="1" x14ac:dyDescent="0.25">
      <c r="A203" s="97">
        <v>3</v>
      </c>
      <c r="B203" s="98"/>
      <c r="C203" s="59" t="s">
        <v>211</v>
      </c>
      <c r="D203" s="62">
        <f>(29.96+1.45*2.7+1.1*2.75+0.75*(2+2.7))*10.764</f>
        <v>435.13469999999995</v>
      </c>
      <c r="E203" s="42">
        <v>0</v>
      </c>
      <c r="F203" s="42">
        <f>D203*(($F$163)+1)+(IF(E203&lt;101,E203,IF(E203&lt;201,E203/2,IF(E203&lt;=301,E203/3,E203/4))))</f>
        <v>652.70204999999987</v>
      </c>
      <c r="G203" s="97" t="str">
        <f>G202</f>
        <v>8th, 13th &amp; 18th Floor (Part Refuge Area)</v>
      </c>
      <c r="H203" s="98"/>
      <c r="I203" s="36"/>
    </row>
    <row r="204" spans="1:14" s="37" customFormat="1" ht="15.75" customHeight="1" x14ac:dyDescent="0.25">
      <c r="A204" s="97">
        <v>4</v>
      </c>
      <c r="B204" s="98"/>
      <c r="C204" s="59" t="s">
        <v>210</v>
      </c>
      <c r="D204" s="62">
        <f>(24.68+1*2.7+0.75*2.4+0.75*2.7)*10.764</f>
        <v>335.89061999999996</v>
      </c>
      <c r="E204" s="42">
        <v>0</v>
      </c>
      <c r="F204" s="42">
        <f>D204*(($F$163)+1)+(IF(E204&lt;101,E204,IF(E204&lt;201,E204/2,IF(E204&lt;=301,E204/3,E204/4))))</f>
        <v>503.83592999999996</v>
      </c>
      <c r="G204" s="97" t="str">
        <f>G203</f>
        <v>8th, 13th &amp; 18th Floor (Part Refuge Area)</v>
      </c>
      <c r="H204" s="98"/>
      <c r="I204" s="36"/>
    </row>
    <row r="205" spans="1:14" s="35" customFormat="1" x14ac:dyDescent="0.25">
      <c r="A205" s="119" t="s">
        <v>69</v>
      </c>
      <c r="B205" s="119"/>
      <c r="C205" s="119"/>
      <c r="D205" s="119"/>
      <c r="E205" s="119"/>
      <c r="F205" s="119"/>
      <c r="G205" s="119"/>
      <c r="H205" s="119"/>
    </row>
    <row r="206" spans="1:14" s="35" customFormat="1" ht="66" customHeight="1" x14ac:dyDescent="0.25">
      <c r="A206" s="47" t="s">
        <v>158</v>
      </c>
      <c r="B206" s="170" t="s">
        <v>240</v>
      </c>
      <c r="C206" s="171"/>
      <c r="D206" s="171"/>
      <c r="E206" s="171"/>
      <c r="F206" s="171"/>
      <c r="G206" s="171"/>
      <c r="H206" s="172"/>
    </row>
    <row r="207" spans="1:14" s="35" customFormat="1" x14ac:dyDescent="0.25">
      <c r="A207" s="47" t="s">
        <v>158</v>
      </c>
      <c r="B207" s="170" t="str">
        <f>(IF(F162="Saleable area Loading :","We have considered Saleable area of Flats as per our Calculation.","We considered Saleable area of Flat as per Builder area Sheet."))</f>
        <v>We have considered Saleable area of Flats as per our Calculation.</v>
      </c>
      <c r="C207" s="171"/>
      <c r="D207" s="171"/>
      <c r="E207" s="171"/>
      <c r="F207" s="171"/>
      <c r="G207" s="171"/>
      <c r="H207" s="172"/>
    </row>
    <row r="208" spans="1:14" s="35" customFormat="1" x14ac:dyDescent="0.25">
      <c r="A208" s="47" t="s">
        <v>158</v>
      </c>
      <c r="B208" s="170" t="str">
        <f>(IF(F152="Saleable area Loading :","We have considered Saleable area of Commercial as per our Calculation.","We considered Saleable area of Commercial as per Builder area Sheet."))</f>
        <v>We have considered Saleable area of Commercial as per our Calculation.</v>
      </c>
      <c r="C208" s="171"/>
      <c r="D208" s="171"/>
      <c r="E208" s="171"/>
      <c r="F208" s="171"/>
      <c r="G208" s="171"/>
      <c r="H208" s="172"/>
    </row>
    <row r="209" spans="1:8" s="35" customFormat="1" x14ac:dyDescent="0.25">
      <c r="A209" s="47" t="s">
        <v>158</v>
      </c>
      <c r="B209" s="107" t="s">
        <v>127</v>
      </c>
      <c r="C209" s="108"/>
      <c r="D209" s="108"/>
      <c r="E209" s="108"/>
      <c r="F209" s="108"/>
      <c r="G209" s="108"/>
      <c r="H209" s="109"/>
    </row>
    <row r="210" spans="1:8" s="35" customFormat="1" x14ac:dyDescent="0.25">
      <c r="A210" s="47" t="s">
        <v>158</v>
      </c>
      <c r="B210" s="107" t="s">
        <v>128</v>
      </c>
      <c r="C210" s="108"/>
      <c r="D210" s="108"/>
      <c r="E210" s="108"/>
      <c r="F210" s="108"/>
      <c r="G210" s="108"/>
      <c r="H210" s="109"/>
    </row>
    <row r="211" spans="1:8" s="35" customFormat="1" x14ac:dyDescent="0.25">
      <c r="A211" s="47" t="s">
        <v>158</v>
      </c>
      <c r="B211" s="107" t="s">
        <v>157</v>
      </c>
      <c r="C211" s="108"/>
      <c r="D211" s="108"/>
      <c r="E211" s="108"/>
      <c r="F211" s="108"/>
      <c r="G211" s="108"/>
      <c r="H211" s="109"/>
    </row>
    <row r="212" spans="1:8" s="35" customFormat="1" x14ac:dyDescent="0.25">
      <c r="A212" s="57" t="s">
        <v>158</v>
      </c>
      <c r="B212" s="107" t="s">
        <v>129</v>
      </c>
      <c r="C212" s="108"/>
      <c r="D212" s="108"/>
      <c r="E212" s="108"/>
      <c r="F212" s="108"/>
      <c r="G212" s="108"/>
      <c r="H212" s="109"/>
    </row>
    <row r="213" spans="1:8" s="35" customFormat="1" ht="34.5" customHeight="1" x14ac:dyDescent="0.25">
      <c r="A213" s="57" t="s">
        <v>158</v>
      </c>
      <c r="B213" s="107" t="s">
        <v>159</v>
      </c>
      <c r="C213" s="108"/>
      <c r="D213" s="108"/>
      <c r="E213" s="108"/>
      <c r="F213" s="108"/>
      <c r="G213" s="108"/>
      <c r="H213" s="109"/>
    </row>
    <row r="214" spans="1:8" s="35" customFormat="1" x14ac:dyDescent="0.25">
      <c r="A214" s="57" t="s">
        <v>158</v>
      </c>
      <c r="B214" s="107" t="s">
        <v>130</v>
      </c>
      <c r="C214" s="108"/>
      <c r="D214" s="108"/>
      <c r="E214" s="108"/>
      <c r="F214" s="108"/>
      <c r="G214" s="108"/>
      <c r="H214" s="109"/>
    </row>
    <row r="215" spans="1:8" x14ac:dyDescent="0.25">
      <c r="A215" s="169" t="s">
        <v>62</v>
      </c>
      <c r="B215" s="169"/>
      <c r="C215" s="169"/>
      <c r="D215" s="169"/>
      <c r="E215" s="169"/>
      <c r="F215" s="169"/>
      <c r="G215" s="169"/>
      <c r="H215" s="169"/>
    </row>
    <row r="216" spans="1:8" x14ac:dyDescent="0.25">
      <c r="A216" s="104" t="s">
        <v>63</v>
      </c>
      <c r="B216" s="104"/>
      <c r="C216" s="104"/>
      <c r="D216" s="104"/>
      <c r="E216" s="104"/>
      <c r="F216" s="104"/>
      <c r="G216" s="104"/>
      <c r="H216" s="104"/>
    </row>
    <row r="217" spans="1:8" ht="15.75" customHeight="1" x14ac:dyDescent="0.25">
      <c r="A217" s="188" t="s">
        <v>64</v>
      </c>
      <c r="B217" s="188"/>
      <c r="C217" s="188"/>
      <c r="D217" s="188"/>
      <c r="E217" s="188"/>
      <c r="F217" s="188"/>
      <c r="G217" s="188"/>
      <c r="H217" s="188"/>
    </row>
    <row r="218" spans="1:8" x14ac:dyDescent="0.25">
      <c r="A218" s="104" t="s">
        <v>65</v>
      </c>
      <c r="B218" s="104"/>
      <c r="C218" s="104"/>
      <c r="D218" s="104"/>
      <c r="E218" s="104"/>
      <c r="F218" s="104"/>
      <c r="G218" s="104"/>
      <c r="H218" s="104"/>
    </row>
    <row r="219" spans="1:8" x14ac:dyDescent="0.25">
      <c r="A219" s="104" t="s">
        <v>66</v>
      </c>
      <c r="B219" s="104"/>
      <c r="C219" s="104"/>
      <c r="D219" s="104"/>
      <c r="E219" s="104"/>
      <c r="F219" s="104"/>
      <c r="G219" s="104"/>
      <c r="H219" s="104"/>
    </row>
    <row r="220" spans="1:8" x14ac:dyDescent="0.25">
      <c r="A220" s="104" t="s">
        <v>131</v>
      </c>
      <c r="B220" s="104"/>
      <c r="C220" s="104"/>
      <c r="D220" s="104"/>
      <c r="E220" s="104"/>
      <c r="F220" s="104"/>
      <c r="G220" s="104"/>
      <c r="H220" s="104"/>
    </row>
    <row r="221" spans="1:8" x14ac:dyDescent="0.25">
      <c r="A221" s="147" t="s">
        <v>132</v>
      </c>
      <c r="B221" s="147"/>
      <c r="C221" s="147"/>
      <c r="D221" s="147"/>
      <c r="E221" s="147"/>
      <c r="F221" s="147"/>
      <c r="G221" s="147"/>
      <c r="H221" s="147"/>
    </row>
    <row r="222" spans="1:8" x14ac:dyDescent="0.25">
      <c r="A222" s="167" t="s">
        <v>79</v>
      </c>
      <c r="B222" s="167"/>
      <c r="C222" s="167" t="s">
        <v>182</v>
      </c>
      <c r="D222" s="167"/>
      <c r="E222" s="167" t="s">
        <v>109</v>
      </c>
      <c r="F222" s="167"/>
      <c r="G222" s="167" t="s">
        <v>239</v>
      </c>
      <c r="H222" s="167"/>
    </row>
    <row r="223" spans="1:8" x14ac:dyDescent="0.25">
      <c r="A223" s="166" t="s">
        <v>81</v>
      </c>
      <c r="B223" s="166"/>
      <c r="C223" s="166"/>
      <c r="D223" s="166"/>
      <c r="E223" s="166"/>
      <c r="F223" s="166"/>
      <c r="G223" s="166"/>
      <c r="H223" s="166"/>
    </row>
    <row r="224" spans="1:8" x14ac:dyDescent="0.25">
      <c r="A224" s="166"/>
      <c r="B224" s="166"/>
      <c r="C224" s="166"/>
      <c r="D224" s="166"/>
      <c r="E224" s="166"/>
      <c r="F224" s="166"/>
      <c r="G224" s="166"/>
      <c r="H224" s="166"/>
    </row>
    <row r="225" spans="1:8" x14ac:dyDescent="0.25">
      <c r="A225" s="166"/>
      <c r="B225" s="166"/>
      <c r="C225" s="166"/>
      <c r="D225" s="166"/>
      <c r="E225" s="166"/>
      <c r="F225" s="166"/>
      <c r="G225" s="166"/>
      <c r="H225" s="166"/>
    </row>
    <row r="226" spans="1:8" x14ac:dyDescent="0.25">
      <c r="A226" s="166"/>
      <c r="B226" s="166"/>
      <c r="C226" s="166"/>
      <c r="D226" s="166"/>
      <c r="E226" s="166"/>
      <c r="F226" s="166"/>
      <c r="G226" s="166"/>
      <c r="H226" s="166"/>
    </row>
    <row r="227" spans="1:8" x14ac:dyDescent="0.25">
      <c r="A227" s="38" t="s">
        <v>67</v>
      </c>
      <c r="B227" s="39"/>
      <c r="C227" s="39"/>
      <c r="D227" s="38" t="str">
        <f>E8</f>
        <v>Trinity Oasis</v>
      </c>
      <c r="F227" s="39"/>
      <c r="G227" s="39"/>
      <c r="H227" s="39"/>
    </row>
    <row r="228" spans="1:8" x14ac:dyDescent="0.25">
      <c r="A228" s="39"/>
      <c r="B228" s="39"/>
      <c r="C228" s="39"/>
      <c r="D228" s="39"/>
      <c r="E228" s="39"/>
      <c r="F228" s="39"/>
      <c r="G228" s="39"/>
      <c r="H228" s="39"/>
    </row>
    <row r="229" spans="1:8" x14ac:dyDescent="0.25">
      <c r="A229" s="39"/>
      <c r="B229" s="39"/>
      <c r="C229" s="39"/>
      <c r="D229" s="39"/>
      <c r="E229" s="39"/>
      <c r="F229" s="39"/>
      <c r="G229" s="39"/>
      <c r="H229" s="39"/>
    </row>
    <row r="230" spans="1:8" ht="15" customHeight="1" x14ac:dyDescent="0.25"/>
    <row r="252" spans="9:9" x14ac:dyDescent="0.25">
      <c r="I252"/>
    </row>
    <row r="271" spans="1:1" x14ac:dyDescent="0.25">
      <c r="A271" s="41" t="s">
        <v>171</v>
      </c>
    </row>
    <row r="308" spans="1:1" hidden="1" x14ac:dyDescent="0.25"/>
    <row r="309" spans="1:1" hidden="1" x14ac:dyDescent="0.25"/>
    <row r="310" spans="1:1" hidden="1" x14ac:dyDescent="0.25"/>
    <row r="311" spans="1:1" hidden="1" x14ac:dyDescent="0.25"/>
    <row r="312" spans="1:1" hidden="1" x14ac:dyDescent="0.25"/>
    <row r="313" spans="1:1" hidden="1" x14ac:dyDescent="0.25"/>
    <row r="314" spans="1:1" hidden="1" x14ac:dyDescent="0.25"/>
    <row r="315" spans="1:1" x14ac:dyDescent="0.25">
      <c r="A315" s="41" t="s">
        <v>68</v>
      </c>
    </row>
    <row r="353" hidden="1" x14ac:dyDescent="0.25"/>
    <row r="354" hidden="1" x14ac:dyDescent="0.25"/>
    <row r="355" hidden="1" x14ac:dyDescent="0.25"/>
    <row r="356" hidden="1" x14ac:dyDescent="0.25"/>
    <row r="357" hidden="1" x14ac:dyDescent="0.25"/>
    <row r="358" hidden="1" x14ac:dyDescent="0.25"/>
    <row r="359" hidden="1" x14ac:dyDescent="0.25"/>
  </sheetData>
  <mergeCells count="410">
    <mergeCell ref="E41:H41"/>
    <mergeCell ref="A41:D41"/>
    <mergeCell ref="A81:B81"/>
    <mergeCell ref="C81:H81"/>
    <mergeCell ref="A76:B76"/>
    <mergeCell ref="A48:B48"/>
    <mergeCell ref="C48:E48"/>
    <mergeCell ref="G48:H48"/>
    <mergeCell ref="G50:H50"/>
    <mergeCell ref="D54:H54"/>
    <mergeCell ref="C50:E50"/>
    <mergeCell ref="A57:C59"/>
    <mergeCell ref="D57:H57"/>
    <mergeCell ref="D58:H58"/>
    <mergeCell ref="C49:E49"/>
    <mergeCell ref="A52:B52"/>
    <mergeCell ref="C52:E52"/>
    <mergeCell ref="A53:H53"/>
    <mergeCell ref="A54:C54"/>
    <mergeCell ref="A55:C55"/>
    <mergeCell ref="D55:H55"/>
    <mergeCell ref="G52:H52"/>
    <mergeCell ref="D59:H59"/>
    <mergeCell ref="C51:H51"/>
    <mergeCell ref="A220:H220"/>
    <mergeCell ref="A217:H217"/>
    <mergeCell ref="A196:B196"/>
    <mergeCell ref="A143:B143"/>
    <mergeCell ref="D162:D163"/>
    <mergeCell ref="E162:E163"/>
    <mergeCell ref="G162:H163"/>
    <mergeCell ref="A89:B89"/>
    <mergeCell ref="A90:B90"/>
    <mergeCell ref="A91:B91"/>
    <mergeCell ref="A119:B119"/>
    <mergeCell ref="F124:H124"/>
    <mergeCell ref="G139:H139"/>
    <mergeCell ref="A122:B122"/>
    <mergeCell ref="C138:D138"/>
    <mergeCell ref="F134:H134"/>
    <mergeCell ref="F132:H132"/>
    <mergeCell ref="A202:B202"/>
    <mergeCell ref="A151:H151"/>
    <mergeCell ref="G138:H138"/>
    <mergeCell ref="A133:E133"/>
    <mergeCell ref="C139:D139"/>
    <mergeCell ref="A149:B149"/>
    <mergeCell ref="C149:D149"/>
    <mergeCell ref="F131:H131"/>
    <mergeCell ref="A131:E131"/>
    <mergeCell ref="A116:B116"/>
    <mergeCell ref="A117:B117"/>
    <mergeCell ref="A118:B118"/>
    <mergeCell ref="A120:B120"/>
    <mergeCell ref="A121:B121"/>
    <mergeCell ref="A126:E126"/>
    <mergeCell ref="A123:E123"/>
    <mergeCell ref="F127:H127"/>
    <mergeCell ref="E148:F148"/>
    <mergeCell ref="G149:H149"/>
    <mergeCell ref="E146:F146"/>
    <mergeCell ref="G146:H146"/>
    <mergeCell ref="A145:A146"/>
    <mergeCell ref="A147:B147"/>
    <mergeCell ref="C147:D147"/>
    <mergeCell ref="E147:F147"/>
    <mergeCell ref="G147:H147"/>
    <mergeCell ref="G112:H112"/>
    <mergeCell ref="A111:B111"/>
    <mergeCell ref="C111:H111"/>
    <mergeCell ref="A112:B112"/>
    <mergeCell ref="A128:E128"/>
    <mergeCell ref="A216:H216"/>
    <mergeCell ref="E143:F143"/>
    <mergeCell ref="B214:H214"/>
    <mergeCell ref="G158:H158"/>
    <mergeCell ref="G156:H156"/>
    <mergeCell ref="G157:H157"/>
    <mergeCell ref="B212:H212"/>
    <mergeCell ref="B208:H208"/>
    <mergeCell ref="A150:H150"/>
    <mergeCell ref="G198:H198"/>
    <mergeCell ref="G197:H197"/>
    <mergeCell ref="B152:B153"/>
    <mergeCell ref="A152:A153"/>
    <mergeCell ref="C162:C163"/>
    <mergeCell ref="C148:D148"/>
    <mergeCell ref="A166:H166"/>
    <mergeCell ref="A204:B204"/>
    <mergeCell ref="A201:B201"/>
    <mergeCell ref="A148:B148"/>
    <mergeCell ref="A154:H154"/>
    <mergeCell ref="A159:H159"/>
    <mergeCell ref="A160:B160"/>
    <mergeCell ref="G160:H160"/>
    <mergeCell ref="D64:H64"/>
    <mergeCell ref="A65:C65"/>
    <mergeCell ref="D65:H65"/>
    <mergeCell ref="A71:B71"/>
    <mergeCell ref="G70:H70"/>
    <mergeCell ref="A94:B94"/>
    <mergeCell ref="A113:B113"/>
    <mergeCell ref="A78:B78"/>
    <mergeCell ref="A155:H155"/>
    <mergeCell ref="E152:E153"/>
    <mergeCell ref="G152:H153"/>
    <mergeCell ref="A85:B85"/>
    <mergeCell ref="E85:F94"/>
    <mergeCell ref="A92:B92"/>
    <mergeCell ref="A93:B93"/>
    <mergeCell ref="E113:F122"/>
    <mergeCell ref="F123:H123"/>
    <mergeCell ref="F128:H128"/>
    <mergeCell ref="F133:H133"/>
    <mergeCell ref="E149:F149"/>
    <mergeCell ref="G174:H174"/>
    <mergeCell ref="G179:H179"/>
    <mergeCell ref="A83:B83"/>
    <mergeCell ref="C83:H83"/>
    <mergeCell ref="A84:B84"/>
    <mergeCell ref="E84:F84"/>
    <mergeCell ref="G84:H84"/>
    <mergeCell ref="A129:E129"/>
    <mergeCell ref="F129:H129"/>
    <mergeCell ref="A130:E130"/>
    <mergeCell ref="A132:E132"/>
    <mergeCell ref="F126:H126"/>
    <mergeCell ref="E138:F138"/>
    <mergeCell ref="A138:B138"/>
    <mergeCell ref="E139:F139"/>
    <mergeCell ref="G177:H177"/>
    <mergeCell ref="A178:B178"/>
    <mergeCell ref="C144:D144"/>
    <mergeCell ref="E144:F144"/>
    <mergeCell ref="G144:H144"/>
    <mergeCell ref="F130:H130"/>
    <mergeCell ref="A124:E124"/>
    <mergeCell ref="A109:B109"/>
    <mergeCell ref="C109:H109"/>
    <mergeCell ref="A223:H226"/>
    <mergeCell ref="A222:B222"/>
    <mergeCell ref="E222:F222"/>
    <mergeCell ref="C222:D222"/>
    <mergeCell ref="G222:H222"/>
    <mergeCell ref="A137:H137"/>
    <mergeCell ref="A135:E135"/>
    <mergeCell ref="F135:H135"/>
    <mergeCell ref="A136:E136"/>
    <mergeCell ref="F136:H136"/>
    <mergeCell ref="A195:H195"/>
    <mergeCell ref="A144:B144"/>
    <mergeCell ref="A203:B203"/>
    <mergeCell ref="A218:H218"/>
    <mergeCell ref="A142:H142"/>
    <mergeCell ref="A221:H221"/>
    <mergeCell ref="A219:H219"/>
    <mergeCell ref="A215:H215"/>
    <mergeCell ref="C143:D143"/>
    <mergeCell ref="G143:H143"/>
    <mergeCell ref="A179:B179"/>
    <mergeCell ref="A199:B199"/>
    <mergeCell ref="B206:H206"/>
    <mergeCell ref="B207:H207"/>
    <mergeCell ref="A46:H46"/>
    <mergeCell ref="D56:H56"/>
    <mergeCell ref="A56:C56"/>
    <mergeCell ref="G49:H49"/>
    <mergeCell ref="A50:B51"/>
    <mergeCell ref="A77:B77"/>
    <mergeCell ref="A70:B70"/>
    <mergeCell ref="A73:B73"/>
    <mergeCell ref="A69:B69"/>
    <mergeCell ref="A67:B67"/>
    <mergeCell ref="C67:H67"/>
    <mergeCell ref="A75:B75"/>
    <mergeCell ref="A62:C62"/>
    <mergeCell ref="D62:H62"/>
    <mergeCell ref="C69:H69"/>
    <mergeCell ref="A72:B72"/>
    <mergeCell ref="A74:B74"/>
    <mergeCell ref="E70:F70"/>
    <mergeCell ref="A63:C63"/>
    <mergeCell ref="D63:H63"/>
    <mergeCell ref="A66:C66"/>
    <mergeCell ref="D66:H66"/>
    <mergeCell ref="A64:C64"/>
    <mergeCell ref="A49:B49"/>
    <mergeCell ref="A1:H1"/>
    <mergeCell ref="A2:H2"/>
    <mergeCell ref="A3:D3"/>
    <mergeCell ref="E3:H3"/>
    <mergeCell ref="A4:D4"/>
    <mergeCell ref="A8:D8"/>
    <mergeCell ref="E8:H8"/>
    <mergeCell ref="A9:D9"/>
    <mergeCell ref="E9:H9"/>
    <mergeCell ref="E4:H4"/>
    <mergeCell ref="G20:H20"/>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16:B16"/>
    <mergeCell ref="C16:H16"/>
    <mergeCell ref="C33:E33"/>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F35:H35"/>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A36:H36"/>
    <mergeCell ref="A35:B35"/>
    <mergeCell ref="C35:E35"/>
    <mergeCell ref="G113:H122"/>
    <mergeCell ref="A40:D40"/>
    <mergeCell ref="E40:H40"/>
    <mergeCell ref="F32:H32"/>
    <mergeCell ref="F33:H33"/>
    <mergeCell ref="A39:H39"/>
    <mergeCell ref="A60:C60"/>
    <mergeCell ref="A61:C61"/>
    <mergeCell ref="D60:H60"/>
    <mergeCell ref="E71:F80"/>
    <mergeCell ref="G71:H80"/>
    <mergeCell ref="A79:B79"/>
    <mergeCell ref="A80:B80"/>
    <mergeCell ref="D61:H61"/>
    <mergeCell ref="A42:D42"/>
    <mergeCell ref="E42:H42"/>
    <mergeCell ref="E43:H43"/>
    <mergeCell ref="E44:H44"/>
    <mergeCell ref="E45:H45"/>
    <mergeCell ref="A37:B37"/>
    <mergeCell ref="C37:H37"/>
    <mergeCell ref="K195:L195"/>
    <mergeCell ref="A161:H161"/>
    <mergeCell ref="A162:A163"/>
    <mergeCell ref="A174:B174"/>
    <mergeCell ref="A197:B197"/>
    <mergeCell ref="A198:B198"/>
    <mergeCell ref="A134:E134"/>
    <mergeCell ref="G148:H148"/>
    <mergeCell ref="A141:B141"/>
    <mergeCell ref="C141:D141"/>
    <mergeCell ref="E141:F141"/>
    <mergeCell ref="G141:H141"/>
    <mergeCell ref="C145:D145"/>
    <mergeCell ref="E145:F145"/>
    <mergeCell ref="G145:H145"/>
    <mergeCell ref="G167:H167"/>
    <mergeCell ref="L167:M167"/>
    <mergeCell ref="L158:M158"/>
    <mergeCell ref="L157:M157"/>
    <mergeCell ref="L156:M156"/>
    <mergeCell ref="A158:B158"/>
    <mergeCell ref="G178:H178"/>
    <mergeCell ref="A180:B180"/>
    <mergeCell ref="G180:H180"/>
    <mergeCell ref="E112:F112"/>
    <mergeCell ref="B209:H209"/>
    <mergeCell ref="B210:H210"/>
    <mergeCell ref="A205:H205"/>
    <mergeCell ref="C152:C153"/>
    <mergeCell ref="B162:B163"/>
    <mergeCell ref="A200:H200"/>
    <mergeCell ref="G203:H203"/>
    <mergeCell ref="G201:H201"/>
    <mergeCell ref="A167:B167"/>
    <mergeCell ref="G204:H204"/>
    <mergeCell ref="C201:F201"/>
    <mergeCell ref="C178:F178"/>
    <mergeCell ref="A169:H169"/>
    <mergeCell ref="A181:H181"/>
    <mergeCell ref="G186:H186"/>
    <mergeCell ref="A192:B192"/>
    <mergeCell ref="G192:H192"/>
    <mergeCell ref="C189:F189"/>
    <mergeCell ref="C140:D140"/>
    <mergeCell ref="E140:F140"/>
    <mergeCell ref="G140:H140"/>
    <mergeCell ref="A139:A140"/>
    <mergeCell ref="C146:D146"/>
    <mergeCell ref="A38:B38"/>
    <mergeCell ref="C38:H38"/>
    <mergeCell ref="B213:H213"/>
    <mergeCell ref="A47:B47"/>
    <mergeCell ref="C47:H47"/>
    <mergeCell ref="B211:H211"/>
    <mergeCell ref="A114:B114"/>
    <mergeCell ref="A115:B115"/>
    <mergeCell ref="G85:H94"/>
    <mergeCell ref="A86:B86"/>
    <mergeCell ref="A87:B87"/>
    <mergeCell ref="A88:B88"/>
    <mergeCell ref="F125:H125"/>
    <mergeCell ref="A125:E125"/>
    <mergeCell ref="G202:H202"/>
    <mergeCell ref="G199:H199"/>
    <mergeCell ref="G196:H196"/>
    <mergeCell ref="D152:D153"/>
    <mergeCell ref="A127:E127"/>
    <mergeCell ref="A156:B156"/>
    <mergeCell ref="A157:B157"/>
    <mergeCell ref="A44:D44"/>
    <mergeCell ref="A43:D43"/>
    <mergeCell ref="A45:D45"/>
    <mergeCell ref="L160:M160"/>
    <mergeCell ref="A193:H193"/>
    <mergeCell ref="A194:H194"/>
    <mergeCell ref="A164:H164"/>
    <mergeCell ref="A165:H165"/>
    <mergeCell ref="A168:H168"/>
    <mergeCell ref="A170:H170"/>
    <mergeCell ref="A171:H171"/>
    <mergeCell ref="A172:B172"/>
    <mergeCell ref="G172:H172"/>
    <mergeCell ref="A173:B173"/>
    <mergeCell ref="G173:H173"/>
    <mergeCell ref="A175:B175"/>
    <mergeCell ref="G175:H175"/>
    <mergeCell ref="A176:H176"/>
    <mergeCell ref="A177:B177"/>
    <mergeCell ref="A182:H182"/>
    <mergeCell ref="A183:H183"/>
    <mergeCell ref="K183:L183"/>
    <mergeCell ref="A184:B184"/>
    <mergeCell ref="G184:H184"/>
    <mergeCell ref="A185:B185"/>
    <mergeCell ref="G185:H185"/>
    <mergeCell ref="A186:B186"/>
    <mergeCell ref="A187:B187"/>
    <mergeCell ref="G187:H187"/>
    <mergeCell ref="A188:H188"/>
    <mergeCell ref="A189:B189"/>
    <mergeCell ref="G189:H189"/>
    <mergeCell ref="A190:B190"/>
    <mergeCell ref="G190:H190"/>
    <mergeCell ref="A191:B191"/>
    <mergeCell ref="G191:H191"/>
    <mergeCell ref="A95:B95"/>
    <mergeCell ref="C95:H95"/>
    <mergeCell ref="A97:B97"/>
    <mergeCell ref="C97:H97"/>
    <mergeCell ref="A98:B98"/>
    <mergeCell ref="E98:F98"/>
    <mergeCell ref="G98:H98"/>
    <mergeCell ref="A99:B99"/>
    <mergeCell ref="E99:F108"/>
    <mergeCell ref="G99:H108"/>
    <mergeCell ref="A100:B100"/>
    <mergeCell ref="A101:B101"/>
    <mergeCell ref="A102:B102"/>
    <mergeCell ref="A103:B103"/>
    <mergeCell ref="A104:B104"/>
    <mergeCell ref="A105:B105"/>
    <mergeCell ref="A106:B106"/>
    <mergeCell ref="A107:B107"/>
    <mergeCell ref="A108:B108"/>
  </mergeCells>
  <hyperlinks>
    <hyperlink ref="C38" r:id="rId1"/>
    <hyperlink ref="I180" r:id="rId2"/>
  </hyperlinks>
  <printOptions horizontalCentered="1"/>
  <pageMargins left="0.39370078740157483" right="0.39370078740157483" top="0.78740157480314965" bottom="0.78740157480314965" header="0.15748031496062992" footer="0.19685039370078741"/>
  <pageSetup paperSize="2" scale="93" fitToHeight="0" orientation="portrait" r:id="rId3"/>
  <headerFooter>
    <oddHeader>&amp;C&amp;G</oddHeader>
    <oddFooter>&amp;L&amp;"Times New Roman,Bold"&amp;12Ref No: &amp;F&amp;C&amp;G&amp;R&amp;"Times New Roman,Bold"&amp;12&amp;P</oddFooter>
  </headerFooter>
  <rowBreaks count="6" manualBreakCount="6">
    <brk id="66" max="7" man="1"/>
    <brk id="122" max="16383" man="1"/>
    <brk id="214" max="7" man="1"/>
    <brk id="226" max="16383" man="1"/>
    <brk id="270" max="16383" man="1"/>
    <brk id="314"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3" zoomScale="85" zoomScaleNormal="85" workbookViewId="0">
      <selection activeCell="G34" sqref="G34"/>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8" t="s">
        <v>110</v>
      </c>
      <c r="C3" s="208"/>
      <c r="D3" s="208"/>
      <c r="E3" s="208"/>
      <c r="F3" s="208"/>
      <c r="G3" s="208"/>
      <c r="H3" s="208"/>
    </row>
    <row r="4" spans="1:9" x14ac:dyDescent="0.25">
      <c r="A4" s="2"/>
      <c r="B4" s="3" t="s">
        <v>111</v>
      </c>
      <c r="C4" s="3" t="s">
        <v>112</v>
      </c>
      <c r="D4" s="3" t="s">
        <v>70</v>
      </c>
      <c r="E4" s="3" t="s">
        <v>113</v>
      </c>
      <c r="F4" s="3" t="s">
        <v>119</v>
      </c>
      <c r="G4" s="3" t="s">
        <v>120</v>
      </c>
      <c r="H4" s="3" t="s">
        <v>114</v>
      </c>
    </row>
    <row r="5" spans="1:9" ht="15" customHeight="1" x14ac:dyDescent="0.25">
      <c r="A5" s="2"/>
      <c r="B5" s="5" t="s">
        <v>115</v>
      </c>
      <c r="C5" s="6"/>
      <c r="D5" s="5"/>
      <c r="E5" s="5"/>
      <c r="F5" s="7">
        <f>E5*1.6</f>
        <v>0</v>
      </c>
      <c r="G5" s="7" t="e">
        <f>H5/F5</f>
        <v>#DIV/0!</v>
      </c>
      <c r="H5" s="8"/>
    </row>
    <row r="6" spans="1:9" x14ac:dyDescent="0.25">
      <c r="A6" s="2"/>
      <c r="B6" s="5" t="s">
        <v>115</v>
      </c>
      <c r="C6" s="9"/>
      <c r="D6" s="5"/>
      <c r="E6" s="5"/>
      <c r="F6" s="7">
        <f t="shared" ref="F6:F11" si="0">E6*1.6</f>
        <v>0</v>
      </c>
      <c r="G6" s="7" t="e">
        <f t="shared" ref="G6:G11" si="1">H6/F6</f>
        <v>#DIV/0!</v>
      </c>
      <c r="H6" s="8"/>
    </row>
    <row r="7" spans="1:9" ht="15" customHeight="1" x14ac:dyDescent="0.25">
      <c r="A7" s="2"/>
      <c r="B7" s="5" t="s">
        <v>115</v>
      </c>
      <c r="C7" s="6"/>
      <c r="D7" s="5"/>
      <c r="E7" s="5"/>
      <c r="F7" s="7">
        <f t="shared" si="0"/>
        <v>0</v>
      </c>
      <c r="G7" s="7" t="e">
        <f t="shared" si="1"/>
        <v>#DIV/0!</v>
      </c>
      <c r="H7" s="8"/>
    </row>
    <row r="8" spans="1:9" x14ac:dyDescent="0.25">
      <c r="A8" s="2"/>
      <c r="B8" s="5" t="s">
        <v>115</v>
      </c>
      <c r="C8" s="9"/>
      <c r="D8" s="5"/>
      <c r="E8" s="5"/>
      <c r="F8" s="7">
        <f t="shared" si="0"/>
        <v>0</v>
      </c>
      <c r="G8" s="7" t="e">
        <f t="shared" si="1"/>
        <v>#DIV/0!</v>
      </c>
      <c r="H8" s="8"/>
    </row>
    <row r="9" spans="1:9" ht="15" customHeight="1" x14ac:dyDescent="0.25">
      <c r="A9" s="2"/>
      <c r="B9" s="5" t="s">
        <v>115</v>
      </c>
      <c r="C9" s="9"/>
      <c r="D9" s="5"/>
      <c r="E9" s="5"/>
      <c r="F9" s="7">
        <f t="shared" si="0"/>
        <v>0</v>
      </c>
      <c r="G9" s="7" t="e">
        <f t="shared" si="1"/>
        <v>#DIV/0!</v>
      </c>
      <c r="H9" s="8"/>
    </row>
    <row r="10" spans="1:9" ht="15" customHeight="1" x14ac:dyDescent="0.25">
      <c r="A10" s="2"/>
      <c r="B10" s="5" t="s">
        <v>116</v>
      </c>
      <c r="C10" s="6"/>
      <c r="D10" s="5"/>
      <c r="E10" s="5"/>
      <c r="F10" s="7">
        <f t="shared" si="0"/>
        <v>0</v>
      </c>
      <c r="G10" s="7" t="e">
        <f t="shared" si="1"/>
        <v>#DIV/0!</v>
      </c>
      <c r="H10" s="8"/>
    </row>
    <row r="11" spans="1:9" ht="15" customHeight="1" x14ac:dyDescent="0.25">
      <c r="A11" s="2"/>
      <c r="B11" s="5" t="s">
        <v>116</v>
      </c>
      <c r="C11" s="6"/>
      <c r="D11" s="5"/>
      <c r="E11" s="5"/>
      <c r="F11" s="7">
        <f t="shared" si="0"/>
        <v>0</v>
      </c>
      <c r="G11" s="7" t="e">
        <f t="shared" si="1"/>
        <v>#DIV/0!</v>
      </c>
      <c r="H11" s="8"/>
    </row>
    <row r="12" spans="1:9" ht="15" customHeight="1" x14ac:dyDescent="0.25">
      <c r="A12" s="2"/>
      <c r="B12" s="10" t="s">
        <v>117</v>
      </c>
      <c r="C12" s="5"/>
      <c r="D12" s="5"/>
      <c r="E12" s="5"/>
      <c r="F12" s="5"/>
      <c r="G12" s="11" t="e">
        <f>AVERAGE(G5:G11)</f>
        <v>#DIV/0!</v>
      </c>
      <c r="H12" s="5"/>
    </row>
    <row r="13" spans="1:9" ht="15" customHeight="1" x14ac:dyDescent="0.25">
      <c r="B13" s="10" t="s">
        <v>118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2025-09-19T09:20:39Z</cp:lastPrinted>
  <dcterms:created xsi:type="dcterms:W3CDTF">2019-07-16T09:29:46Z</dcterms:created>
  <dcterms:modified xsi:type="dcterms:W3CDTF">2025-09-19T09:30:57Z</dcterms:modified>
</cp:coreProperties>
</file>