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Sept 2025\15-09-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Report!$A$1:$H$427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1" l="1"/>
  <c r="D294" i="1" l="1"/>
  <c r="F294" i="1" s="1"/>
  <c r="D293" i="1"/>
  <c r="F293" i="1" s="1"/>
  <c r="D292" i="1"/>
  <c r="F292" i="1" s="1"/>
  <c r="D291" i="1"/>
  <c r="F291" i="1" s="1"/>
  <c r="D290" i="1"/>
  <c r="F290" i="1" s="1"/>
  <c r="D289" i="1"/>
  <c r="F289" i="1" s="1"/>
  <c r="J289" i="1" s="1"/>
  <c r="G288" i="1"/>
  <c r="D288" i="1"/>
  <c r="F288" i="1" s="1"/>
  <c r="D177" i="1" l="1"/>
  <c r="D217" i="1"/>
  <c r="D216" i="1"/>
  <c r="D215" i="1"/>
  <c r="D214" i="1"/>
  <c r="D213" i="1"/>
  <c r="D212" i="1"/>
  <c r="D211" i="1"/>
  <c r="D210" i="1"/>
  <c r="D204" i="1"/>
  <c r="D203" i="1"/>
  <c r="D206" i="1"/>
  <c r="D205" i="1"/>
  <c r="D202" i="1"/>
  <c r="D201" i="1"/>
  <c r="D200" i="1"/>
  <c r="D199" i="1"/>
  <c r="D195" i="1"/>
  <c r="D194" i="1"/>
  <c r="D193" i="1"/>
  <c r="D196" i="1"/>
  <c r="D197" i="1"/>
  <c r="D192" i="1"/>
  <c r="K199" i="1"/>
  <c r="D143" i="1" l="1"/>
  <c r="B353" i="1"/>
  <c r="J100" i="1" l="1"/>
  <c r="J99" i="1"/>
  <c r="J98" i="1"/>
  <c r="J97" i="1"/>
  <c r="H90" i="1"/>
  <c r="D102" i="1" l="1"/>
  <c r="D98" i="1"/>
  <c r="D100" i="1"/>
  <c r="J92" i="1"/>
  <c r="D101" i="1"/>
  <c r="D97" i="1"/>
  <c r="J93" i="1"/>
  <c r="D96" i="1"/>
  <c r="J95" i="1"/>
  <c r="J96" i="1" s="1"/>
  <c r="J101" i="1" s="1"/>
  <c r="J102" i="1" s="1"/>
  <c r="C94" i="1" s="1"/>
  <c r="D99" i="1"/>
  <c r="D95" i="1"/>
  <c r="J94" i="1"/>
  <c r="C93" i="1" s="1"/>
  <c r="D93" i="1" s="1"/>
  <c r="F177" i="1"/>
  <c r="F174" i="1"/>
  <c r="F166" i="1"/>
  <c r="D285" i="1"/>
  <c r="F285" i="1" s="1"/>
  <c r="D284" i="1"/>
  <c r="F284" i="1" s="1"/>
  <c r="D283" i="1"/>
  <c r="F283" i="1" s="1"/>
  <c r="D281" i="1"/>
  <c r="F281" i="1" s="1"/>
  <c r="D286" i="1"/>
  <c r="F286" i="1" s="1"/>
  <c r="D282" i="1"/>
  <c r="F282" i="1" s="1"/>
  <c r="G280" i="1"/>
  <c r="D280" i="1"/>
  <c r="F280" i="1" s="1"/>
  <c r="D273" i="1"/>
  <c r="D272" i="1"/>
  <c r="D271" i="1"/>
  <c r="F271" i="1" s="1"/>
  <c r="D278" i="1"/>
  <c r="F278" i="1" s="1"/>
  <c r="D277" i="1"/>
  <c r="F277" i="1" s="1"/>
  <c r="D276" i="1"/>
  <c r="F276" i="1" s="1"/>
  <c r="D275" i="1"/>
  <c r="F275" i="1" s="1"/>
  <c r="D274" i="1"/>
  <c r="F274" i="1" s="1"/>
  <c r="F273" i="1"/>
  <c r="F272" i="1"/>
  <c r="G271" i="1"/>
  <c r="D269" i="1"/>
  <c r="F269" i="1" s="1"/>
  <c r="D268" i="1"/>
  <c r="F268" i="1" s="1"/>
  <c r="D267" i="1"/>
  <c r="F267" i="1" s="1"/>
  <c r="D266" i="1"/>
  <c r="F266" i="1" s="1"/>
  <c r="D265" i="1"/>
  <c r="F265" i="1" s="1"/>
  <c r="D264" i="1"/>
  <c r="D263" i="1"/>
  <c r="D262" i="1"/>
  <c r="E264" i="1"/>
  <c r="E263" i="1"/>
  <c r="E262" i="1"/>
  <c r="G262" i="1"/>
  <c r="D260" i="1"/>
  <c r="D259" i="1"/>
  <c r="E258" i="1"/>
  <c r="E259" i="1"/>
  <c r="D258" i="1"/>
  <c r="E257" i="1"/>
  <c r="D257" i="1"/>
  <c r="F257" i="1" s="1"/>
  <c r="E256" i="1"/>
  <c r="D256" i="1"/>
  <c r="D147" i="1" s="1"/>
  <c r="E186" i="1"/>
  <c r="D186" i="1"/>
  <c r="F186" i="1" s="1"/>
  <c r="E185" i="1"/>
  <c r="D185" i="1"/>
  <c r="F185" i="1" s="1"/>
  <c r="D184" i="1"/>
  <c r="C139" i="1" s="1"/>
  <c r="A185" i="1"/>
  <c r="A186" i="1" s="1"/>
  <c r="G184" i="1"/>
  <c r="F260" i="1"/>
  <c r="G256" i="1"/>
  <c r="D182" i="1"/>
  <c r="F182" i="1" s="1"/>
  <c r="D181" i="1"/>
  <c r="F181" i="1" s="1"/>
  <c r="D180" i="1"/>
  <c r="F180" i="1" s="1"/>
  <c r="D179" i="1"/>
  <c r="F179" i="1" s="1"/>
  <c r="D178" i="1"/>
  <c r="F178" i="1" s="1"/>
  <c r="D176" i="1"/>
  <c r="F176" i="1" s="1"/>
  <c r="D175" i="1"/>
  <c r="F175" i="1" s="1"/>
  <c r="D174" i="1"/>
  <c r="D173" i="1"/>
  <c r="F173" i="1" s="1"/>
  <c r="D172" i="1"/>
  <c r="F172" i="1" s="1"/>
  <c r="D171" i="1"/>
  <c r="F171" i="1" s="1"/>
  <c r="D170" i="1"/>
  <c r="F170" i="1" s="1"/>
  <c r="D169" i="1"/>
  <c r="F169" i="1" s="1"/>
  <c r="D168" i="1"/>
  <c r="F168" i="1" s="1"/>
  <c r="D167" i="1"/>
  <c r="F167" i="1" s="1"/>
  <c r="D166" i="1"/>
  <c r="A167" i="1"/>
  <c r="A168" i="1" s="1"/>
  <c r="A169" i="1" s="1"/>
  <c r="A170" i="1" s="1"/>
  <c r="A171" i="1" s="1"/>
  <c r="A172" i="1" s="1"/>
  <c r="A173" i="1" s="1"/>
  <c r="A174" i="1" s="1"/>
  <c r="A175" i="1" s="1"/>
  <c r="A176" i="1" s="1"/>
  <c r="A177" i="1" s="1"/>
  <c r="A178" i="1" s="1"/>
  <c r="A179" i="1" s="1"/>
  <c r="A180" i="1" s="1"/>
  <c r="A181" i="1" s="1"/>
  <c r="A182" i="1" s="1"/>
  <c r="G166" i="1"/>
  <c r="D249" i="1"/>
  <c r="F249" i="1" s="1"/>
  <c r="D248" i="1"/>
  <c r="F248" i="1" s="1"/>
  <c r="D247" i="1"/>
  <c r="F247" i="1" s="1"/>
  <c r="D246" i="1"/>
  <c r="F246" i="1" s="1"/>
  <c r="D245" i="1"/>
  <c r="F245" i="1" s="1"/>
  <c r="D244" i="1"/>
  <c r="D241" i="1"/>
  <c r="D240" i="1"/>
  <c r="D239" i="1"/>
  <c r="D237" i="1"/>
  <c r="F237" i="1" s="1"/>
  <c r="D242" i="1"/>
  <c r="F242" i="1" s="1"/>
  <c r="D238" i="1"/>
  <c r="F238" i="1" s="1"/>
  <c r="D236" i="1"/>
  <c r="D233" i="1"/>
  <c r="F233" i="1" s="1"/>
  <c r="D232" i="1"/>
  <c r="F232" i="1" s="1"/>
  <c r="D231" i="1"/>
  <c r="F231" i="1" s="1"/>
  <c r="D230" i="1"/>
  <c r="F230" i="1" s="1"/>
  <c r="D229" i="1"/>
  <c r="F229" i="1" s="1"/>
  <c r="D234" i="1"/>
  <c r="F234" i="1" s="1"/>
  <c r="D228" i="1"/>
  <c r="D226" i="1"/>
  <c r="F226" i="1" s="1"/>
  <c r="D225" i="1"/>
  <c r="D224" i="1"/>
  <c r="D223" i="1"/>
  <c r="D221" i="1"/>
  <c r="I221" i="1"/>
  <c r="I222" i="1" s="1"/>
  <c r="D220" i="1"/>
  <c r="I220" i="1"/>
  <c r="E241" i="1"/>
  <c r="E240" i="1"/>
  <c r="E239" i="1"/>
  <c r="E237" i="1"/>
  <c r="E225" i="1"/>
  <c r="E224" i="1"/>
  <c r="E223" i="1"/>
  <c r="E222" i="1"/>
  <c r="D222" i="1"/>
  <c r="F222" i="1" s="1"/>
  <c r="E221" i="1"/>
  <c r="D162" i="1"/>
  <c r="F162" i="1" s="1"/>
  <c r="D161" i="1"/>
  <c r="F161" i="1" s="1"/>
  <c r="D160" i="1"/>
  <c r="F160" i="1" s="1"/>
  <c r="D159" i="1"/>
  <c r="F159" i="1" s="1"/>
  <c r="D158" i="1"/>
  <c r="F158" i="1" s="1"/>
  <c r="D157" i="1"/>
  <c r="F157" i="1" s="1"/>
  <c r="D156" i="1"/>
  <c r="D137" i="1" s="1"/>
  <c r="G156" i="1"/>
  <c r="A157" i="1"/>
  <c r="A158" i="1" s="1"/>
  <c r="A159" i="1" s="1"/>
  <c r="A160" i="1" s="1"/>
  <c r="A161" i="1" s="1"/>
  <c r="A162" i="1" s="1"/>
  <c r="F239" i="1" l="1"/>
  <c r="F221" i="1"/>
  <c r="F184" i="1"/>
  <c r="C147" i="1"/>
  <c r="F223" i="1"/>
  <c r="F240" i="1"/>
  <c r="F156" i="1"/>
  <c r="F256" i="1"/>
  <c r="C145" i="1"/>
  <c r="F224" i="1"/>
  <c r="F241" i="1"/>
  <c r="F258" i="1"/>
  <c r="F225" i="1"/>
  <c r="D138" i="1"/>
  <c r="D139" i="1"/>
  <c r="C137" i="1"/>
  <c r="C138" i="1"/>
  <c r="D145" i="1"/>
  <c r="F259" i="1"/>
  <c r="E93" i="1"/>
  <c r="I89" i="1" s="1"/>
  <c r="C91" i="1" s="1"/>
  <c r="D94" i="1"/>
  <c r="G93" i="1"/>
  <c r="F263" i="1"/>
  <c r="F264" i="1"/>
  <c r="F262" i="1"/>
  <c r="E3" i="1"/>
  <c r="F147" i="1" l="1"/>
  <c r="C140" i="1"/>
  <c r="D140" i="1"/>
  <c r="J227" i="1"/>
  <c r="J235" i="1"/>
  <c r="J243" i="1"/>
  <c r="J114" i="1" l="1"/>
  <c r="J113" i="1"/>
  <c r="J112" i="1"/>
  <c r="J111" i="1"/>
  <c r="J86" i="1"/>
  <c r="J85" i="1"/>
  <c r="J84" i="1"/>
  <c r="J83" i="1"/>
  <c r="J71" i="1"/>
  <c r="J70" i="1"/>
  <c r="J69" i="1"/>
  <c r="J68" i="1"/>
  <c r="H60" i="1"/>
  <c r="H104" i="1"/>
  <c r="D109" i="1" l="1"/>
  <c r="J107" i="1"/>
  <c r="D116" i="1"/>
  <c r="D114" i="1"/>
  <c r="D112" i="1"/>
  <c r="D110" i="1"/>
  <c r="J108" i="1"/>
  <c r="C107" i="1" s="1"/>
  <c r="J106" i="1"/>
  <c r="D115" i="1"/>
  <c r="D113" i="1"/>
  <c r="D111" i="1"/>
  <c r="J109" i="1"/>
  <c r="J110" i="1" s="1"/>
  <c r="J115" i="1" s="1"/>
  <c r="J116" i="1" s="1"/>
  <c r="C108" i="1" s="1"/>
  <c r="D81" i="1"/>
  <c r="J79" i="1"/>
  <c r="D88" i="1"/>
  <c r="D86" i="1"/>
  <c r="D84" i="1"/>
  <c r="D82" i="1"/>
  <c r="J80" i="1"/>
  <c r="C79" i="1" s="1"/>
  <c r="J78" i="1"/>
  <c r="D87" i="1"/>
  <c r="D83" i="1"/>
  <c r="J81" i="1"/>
  <c r="J82" i="1" s="1"/>
  <c r="J87" i="1" s="1"/>
  <c r="J88" i="1" s="1"/>
  <c r="C80" i="1" s="1"/>
  <c r="D85" i="1"/>
  <c r="C66" i="1"/>
  <c r="D66" i="1" s="1"/>
  <c r="J64" i="1"/>
  <c r="D73" i="1"/>
  <c r="D71" i="1"/>
  <c r="D69" i="1"/>
  <c r="D67" i="1"/>
  <c r="J65" i="1"/>
  <c r="C64" i="1" s="1"/>
  <c r="D64" i="1" s="1"/>
  <c r="J63" i="1"/>
  <c r="J66" i="1"/>
  <c r="J67" i="1" s="1"/>
  <c r="J72" i="1" s="1"/>
  <c r="J73" i="1" s="1"/>
  <c r="C65" i="1" s="1"/>
  <c r="D72" i="1"/>
  <c r="D70" i="1"/>
  <c r="D68" i="1"/>
  <c r="E107" i="1" l="1"/>
  <c r="D108" i="1"/>
  <c r="G107" i="1"/>
  <c r="D107" i="1"/>
  <c r="E79" i="1"/>
  <c r="C77" i="1" s="1"/>
  <c r="D80" i="1"/>
  <c r="G79" i="1"/>
  <c r="G77" i="1" s="1"/>
  <c r="D79" i="1"/>
  <c r="E64" i="1"/>
  <c r="D65" i="1"/>
  <c r="G64" i="1"/>
  <c r="G62" i="1" s="1"/>
  <c r="I59" i="1" l="1"/>
  <c r="C61" i="1" s="1"/>
  <c r="C62" i="1"/>
  <c r="I103" i="1"/>
  <c r="C105" i="1" s="1"/>
  <c r="I74" i="1"/>
  <c r="D146" i="1" l="1"/>
  <c r="J245" i="1"/>
  <c r="J249" i="1"/>
  <c r="J248" i="1"/>
  <c r="J246" i="1"/>
  <c r="G244" i="1"/>
  <c r="F244" i="1"/>
  <c r="J244" i="1" s="1"/>
  <c r="J238" i="1"/>
  <c r="J242" i="1"/>
  <c r="G236" i="1"/>
  <c r="F236" i="1"/>
  <c r="J236" i="1" s="1"/>
  <c r="J232" i="1"/>
  <c r="J231" i="1"/>
  <c r="J229" i="1"/>
  <c r="J234" i="1"/>
  <c r="G228" i="1"/>
  <c r="F228" i="1"/>
  <c r="J228" i="1" s="1"/>
  <c r="G220" i="1"/>
  <c r="J226" i="1"/>
  <c r="I233" i="1" l="1"/>
  <c r="J233" i="1"/>
  <c r="I230" i="1"/>
  <c r="J230" i="1"/>
  <c r="J222" i="1"/>
  <c r="F220" i="1"/>
  <c r="J247" i="1"/>
  <c r="J221" i="1"/>
  <c r="J240" i="1"/>
  <c r="F252" i="1"/>
  <c r="F146" i="1" s="1"/>
  <c r="J225" i="1"/>
  <c r="J241" i="1"/>
  <c r="J224" i="1"/>
  <c r="J239" i="1"/>
  <c r="J237" i="1"/>
  <c r="J223" i="1"/>
  <c r="E22" i="3"/>
  <c r="F217" i="1"/>
  <c r="F216" i="1"/>
  <c r="F215" i="1"/>
  <c r="F214" i="1"/>
  <c r="F213" i="1"/>
  <c r="I213" i="1" s="1"/>
  <c r="F212" i="1"/>
  <c r="F211" i="1"/>
  <c r="G210" i="1"/>
  <c r="F206" i="1"/>
  <c r="I206" i="1" s="1"/>
  <c r="F205" i="1"/>
  <c r="I205" i="1" s="1"/>
  <c r="F202" i="1"/>
  <c r="I202" i="1" s="1"/>
  <c r="F201" i="1"/>
  <c r="I201" i="1" s="1"/>
  <c r="F204" i="1"/>
  <c r="I204" i="1" s="1"/>
  <c r="F203" i="1"/>
  <c r="I203" i="1" s="1"/>
  <c r="F200" i="1"/>
  <c r="I200" i="1" s="1"/>
  <c r="F199" i="1"/>
  <c r="I199" i="1" s="1"/>
  <c r="G199" i="1"/>
  <c r="F195" i="1"/>
  <c r="I195" i="1" s="1"/>
  <c r="F194" i="1"/>
  <c r="I194" i="1" s="1"/>
  <c r="G192" i="1"/>
  <c r="F193" i="1"/>
  <c r="I193" i="1" s="1"/>
  <c r="F196" i="1"/>
  <c r="I196" i="1" s="1"/>
  <c r="F197" i="1"/>
  <c r="I197" i="1" s="1"/>
  <c r="I191" i="1"/>
  <c r="J220" i="1" l="1"/>
  <c r="F145" i="1"/>
  <c r="F192" i="1"/>
  <c r="J192" i="1" s="1"/>
  <c r="C143" i="1"/>
  <c r="F210" i="1"/>
  <c r="F144" i="1" s="1"/>
  <c r="C144" i="1"/>
  <c r="D144" i="1"/>
  <c r="G11" i="5"/>
  <c r="F6" i="5"/>
  <c r="G6" i="5" s="1"/>
  <c r="F7" i="5"/>
  <c r="G7" i="5" s="1"/>
  <c r="F8" i="5"/>
  <c r="G8" i="5" s="1"/>
  <c r="F9" i="5"/>
  <c r="G9" i="5" s="1"/>
  <c r="F10" i="5"/>
  <c r="G10" i="5" s="1"/>
  <c r="F11" i="5"/>
  <c r="F5" i="5"/>
  <c r="G5" i="5" s="1"/>
  <c r="C148" i="1" l="1"/>
  <c r="D148" i="1"/>
  <c r="K144" i="1"/>
  <c r="F143" i="1"/>
  <c r="F148" i="1" s="1"/>
  <c r="I192" i="1"/>
  <c r="G12" i="5"/>
  <c r="C13" i="1" l="1"/>
  <c r="E7" i="1" l="1"/>
  <c r="E40" i="1" l="1"/>
  <c r="D309" i="1" l="1"/>
  <c r="F134" i="1"/>
  <c r="C46" i="1"/>
  <c r="E41" i="1"/>
  <c r="D51" i="1" s="1"/>
  <c r="H21" i="3" l="1"/>
  <c r="E21" i="3"/>
  <c r="H20" i="3"/>
  <c r="E20" i="3"/>
  <c r="H19" i="3"/>
  <c r="E19" i="3"/>
  <c r="H18" i="3"/>
  <c r="E18" i="3"/>
  <c r="H17" i="3"/>
  <c r="E17" i="3"/>
  <c r="H16" i="3"/>
  <c r="E16" i="3"/>
  <c r="H15" i="3"/>
  <c r="E15" i="3"/>
  <c r="H14" i="3"/>
  <c r="E14" i="3"/>
  <c r="H13" i="3"/>
  <c r="E13" i="3"/>
  <c r="H12" i="3"/>
  <c r="E12" i="3"/>
  <c r="H11" i="3"/>
  <c r="E11" i="3"/>
  <c r="H10" i="3"/>
  <c r="E10" i="3"/>
  <c r="H9" i="3"/>
  <c r="E9" i="3"/>
  <c r="H8" i="3"/>
  <c r="E8" i="3"/>
  <c r="H7" i="3"/>
  <c r="E7" i="3"/>
  <c r="H6" i="3"/>
  <c r="E6" i="3"/>
  <c r="E23" i="3" l="1"/>
  <c r="H23" i="3"/>
  <c r="G23" i="3" s="1"/>
  <c r="D23" i="3" l="1"/>
  <c r="D25" i="3" s="1"/>
  <c r="E25" i="3"/>
  <c r="F138" i="1"/>
  <c r="F139" i="1"/>
  <c r="F137" i="1"/>
  <c r="F140" i="1" l="1"/>
  <c r="J144" i="1"/>
</calcChain>
</file>

<file path=xl/sharedStrings.xml><?xml version="1.0" encoding="utf-8"?>
<sst xmlns="http://schemas.openxmlformats.org/spreadsheetml/2006/main" count="575" uniqueCount="276">
  <si>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</si>
  <si>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</si>
  <si>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</si>
  <si>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</si>
  <si>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</si>
  <si>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</si>
  <si>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</si>
  <si>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</si>
  <si>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</si>
  <si>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</si>
  <si>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</si>
  <si>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</si>
  <si>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</si>
  <si>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</si>
  <si>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</si>
  <si>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</si>
  <si>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</si>
  <si>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</si>
  <si>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</si>
  <si>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</si>
  <si>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</si>
  <si>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</si>
  <si>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</si>
  <si>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</si>
  <si>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</si>
  <si>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</si>
  <si>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</si>
  <si>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</si>
  <si>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</si>
  <si>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</si>
  <si>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</si>
  <si>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</si>
  <si>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</si>
  <si>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</si>
  <si>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</si>
  <si>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</si>
  <si>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</si>
  <si>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</si>
  <si>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</si>
  <si>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</si>
  <si>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</si>
  <si>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</si>
  <si>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</si>
  <si>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</si>
  <si>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</si>
  <si>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</si>
  <si>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</si>
  <si>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</si>
  <si>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</si>
  <si>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</si>
  <si>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</si>
  <si>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</si>
  <si>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</si>
  <si>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</si>
  <si>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</si>
  <si>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</si>
  <si>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</si>
  <si>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</si>
  <si>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</si>
  <si>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</si>
  <si>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</si>
  <si>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</si>
  <si>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</si>
  <si>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</si>
  <si>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</si>
  <si>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</si>
  <si>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</si>
  <si>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</si>
  <si>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</si>
  <si>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</si>
  <si>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</si>
  <si>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</si>
  <si>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</si>
  <si>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</si>
  <si>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</si>
  <si>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</si>
  <si>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</si>
  <si>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</si>
  <si>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</si>
  <si>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</si>
  <si>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</si>
  <si>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</si>
  <si>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</si>
  <si>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</si>
  <si>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</si>
  <si>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</si>
  <si>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</si>
  <si>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Terrace</t>
  </si>
  <si>
    <t>L</t>
  </si>
  <si>
    <t>W</t>
  </si>
  <si>
    <t>Hall</t>
  </si>
  <si>
    <t>kitch</t>
  </si>
  <si>
    <t>Bed1</t>
  </si>
  <si>
    <t>Bed2</t>
  </si>
  <si>
    <t>toilet1</t>
  </si>
  <si>
    <t>toilet2</t>
  </si>
  <si>
    <t>passage1</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</si>
  <si>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</si>
  <si>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</si>
  <si>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</si>
  <si>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</si>
  <si>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</si>
  <si>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</si>
  <si>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</si>
  <si>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</si>
  <si>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</si>
  <si>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</si>
  <si>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</si>
  <si>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</si>
  <si>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</si>
  <si>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</si>
  <si>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</si>
  <si>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</si>
  <si>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</si>
  <si>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</si>
  <si>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</si>
  <si>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</si>
  <si>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</si>
  <si>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</si>
  <si>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</si>
  <si>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</si>
  <si>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</si>
  <si>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</si>
  <si>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</si>
  <si>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</si>
  <si>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</si>
  <si>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</si>
  <si>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</si>
  <si>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</si>
  <si>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</si>
  <si>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</si>
  <si>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</si>
  <si>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</si>
  <si>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</si>
  <si>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</si>
  <si>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</si>
  <si>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</si>
  <si>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</si>
  <si>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</si>
  <si>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</si>
  <si>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</si>
  <si>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</si>
  <si>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</si>
  <si>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</si>
  <si>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</si>
  <si>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Report By :</t>
  </si>
  <si>
    <t>Market Research Data</t>
  </si>
  <si>
    <t>Source</t>
  </si>
  <si>
    <t>Distance from proposed property</t>
  </si>
  <si>
    <t>Net Carpet</t>
  </si>
  <si>
    <t>Market Value</t>
  </si>
  <si>
    <t>Magic Brick</t>
  </si>
  <si>
    <t>Suraj Palette - 500m</t>
  </si>
  <si>
    <t>3BHK</t>
  </si>
  <si>
    <t>Mangrish Apartment sea side - 1.1KM</t>
  </si>
  <si>
    <t>4BHK</t>
  </si>
  <si>
    <t>Suvidha Emerald - 1.1KM</t>
  </si>
  <si>
    <t>99 Acres</t>
  </si>
  <si>
    <t>Kings Krest - 350m</t>
  </si>
  <si>
    <t>Average</t>
  </si>
  <si>
    <t xml:space="preserve">Valuation Adopted </t>
  </si>
  <si>
    <t>Saleable Area</t>
  </si>
  <si>
    <t>Rate on Saleable</t>
  </si>
  <si>
    <t>Axis Sanpada</t>
  </si>
  <si>
    <t xml:space="preserve">M/s. Sadguru Associate
</t>
  </si>
  <si>
    <t>Gut No</t>
  </si>
  <si>
    <t>Manjarli</t>
  </si>
  <si>
    <t>Thane</t>
  </si>
  <si>
    <t>Ambernath</t>
  </si>
  <si>
    <t>Badlapur</t>
  </si>
  <si>
    <t>Middle Class</t>
  </si>
  <si>
    <t>Developing</t>
  </si>
  <si>
    <t>Cement, Aggregate, Steel, etc</t>
  </si>
  <si>
    <t>Ground Floor for Residential &amp; Parking</t>
  </si>
  <si>
    <t>1BHK</t>
  </si>
  <si>
    <t>1st to 4th Floor for Residential</t>
  </si>
  <si>
    <t>5th to 7th Floor for Residential</t>
  </si>
  <si>
    <t>Phase I</t>
  </si>
  <si>
    <t>Wing A</t>
  </si>
  <si>
    <t>Phase II</t>
  </si>
  <si>
    <t xml:space="preserve">Type D </t>
  </si>
  <si>
    <t>Ground &amp; 1st Floor for Residential</t>
  </si>
  <si>
    <t>Type D</t>
  </si>
  <si>
    <t>Bunglow</t>
  </si>
  <si>
    <t>Bed3</t>
  </si>
  <si>
    <t>Bal</t>
  </si>
  <si>
    <t>E.P</t>
  </si>
  <si>
    <t xml:space="preserve">Bunglow </t>
  </si>
  <si>
    <t>Wing B</t>
  </si>
  <si>
    <t>Shop</t>
  </si>
  <si>
    <t>Nitin Zate (7798025253)</t>
  </si>
  <si>
    <t>Wheather the construction is as per approved Building plan : Under Construction</t>
  </si>
  <si>
    <t>1st Floor for Residential</t>
  </si>
  <si>
    <t>2BHK</t>
  </si>
  <si>
    <t>8th Floor (Part Refuge Area)</t>
  </si>
  <si>
    <t>Ground &amp; 1st Floor</t>
  </si>
  <si>
    <t>Development Charges + Club House Charges</t>
  </si>
  <si>
    <t>250000/-</t>
  </si>
  <si>
    <t>100000/-</t>
  </si>
  <si>
    <t>19.1753795, 73.238561</t>
  </si>
  <si>
    <t>Sai Savali Apartment</t>
  </si>
  <si>
    <t>Dipali Park Road</t>
  </si>
  <si>
    <t>Open Plot</t>
  </si>
  <si>
    <t>2.9km from Badlapur Railway Station</t>
  </si>
  <si>
    <t>1 &amp; Hissa No. 1/2, 3, 3A</t>
  </si>
  <si>
    <t>Flats - 132, Shops - 7</t>
  </si>
  <si>
    <t>Approved Plans, CC, Cost Sheet</t>
  </si>
  <si>
    <t>Recommended rate of the Bunglow Per Sq. Ft. ( on Saleable area)</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</si>
  <si>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</si>
  <si>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</si>
  <si>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</si>
  <si>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</si>
  <si>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</si>
  <si>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</si>
  <si>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</si>
  <si>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</si>
  <si>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</si>
  <si>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</si>
  <si>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</si>
  <si>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</si>
  <si>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</si>
  <si>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</si>
  <si>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</si>
  <si>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</si>
  <si>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</si>
  <si>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</si>
  <si>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Phase I &amp; II (Wing A) = Gr. + 1st to 7th Floor</t>
  </si>
  <si>
    <t>Phase II (Wing B) = Gr. + 1st to 12th Floor</t>
  </si>
  <si>
    <t>Phase II (Type D) = Gr. + 1st Floor</t>
  </si>
  <si>
    <t>Location Link</t>
  </si>
  <si>
    <t>https://goo.gl/maps/7PSrd7X46iUVYceJ7</t>
  </si>
  <si>
    <t>Phase I = Wing A
Phase II = Wing A &amp; B, Type D
Phase III = Wing C</t>
  </si>
  <si>
    <t>KBNP/NRV/BP/450-144</t>
  </si>
  <si>
    <t>K.B.N.P/NRV/BP/450/2022-2023 Unique No. 144</t>
  </si>
  <si>
    <t>Valid Up to: 
Wing A = Gr + 1st to 7th Floor
Wing B = Gr + 1st to 12th Floor
Wing C = Gr + 1st to 14th Floor
Type D = Gr + 1st Floor</t>
  </si>
  <si>
    <t>04 Buildings</t>
  </si>
  <si>
    <t>Phase I &amp; II (Wing A) = Gr. + 1st to 7th Floor
Phase II (Wing B) = Gr + 1st to 12th Floor
Phase III (Wing C) = Gr + 1st to 14th Floor
Phase II (Type D) = Gr + 1st Floor</t>
  </si>
  <si>
    <t>Phase I (Wing A) = Gr. + 1st to 4th Floor
Phase II (Wing A) = 5th to 7th Floor
Phase II (Wing B) = Gr + 1st to 12th Floor
Phase III (Wing C) = Gr + 1st to 14th Floor
Phase II (Type D) = Gr + 1st Floor</t>
  </si>
  <si>
    <r>
      <t xml:space="preserve">Shop No.
</t>
    </r>
    <r>
      <rPr>
        <b/>
        <sz val="11"/>
        <color rgb="FF000000"/>
        <rFont val="Times New Roman"/>
        <family val="1"/>
      </rPr>
      <t>(Approved Plan)</t>
    </r>
  </si>
  <si>
    <t>Shop No.
(Sale Plan)</t>
  </si>
  <si>
    <t>Attached Loft area</t>
  </si>
  <si>
    <t>Saleable area Loading :</t>
  </si>
  <si>
    <t>Ground Floor for Entrance Lobby, Commercial &amp; Parking</t>
  </si>
  <si>
    <t>B Wing</t>
  </si>
  <si>
    <t xml:space="preserve">2nd, 4th, 6th, 10th &amp; 12th Floor </t>
  </si>
  <si>
    <t>3rd, 5th, 7th, 9th &amp; 11th Floor</t>
  </si>
  <si>
    <t>Phase III</t>
  </si>
  <si>
    <t>Wing C</t>
  </si>
  <si>
    <t>Office</t>
  </si>
  <si>
    <t>2nd Floor</t>
  </si>
  <si>
    <t>3rd to 7th, 9th to 12th &amp; 14th Floor</t>
  </si>
  <si>
    <t xml:space="preserve">Shop </t>
  </si>
  <si>
    <t>Phase II Wing B</t>
  </si>
  <si>
    <t>Phase III Wing C</t>
  </si>
  <si>
    <t>Phase III (Wing C) = Gr + 1st to 14th Floor</t>
  </si>
  <si>
    <t>1st Floor For Commercial</t>
  </si>
  <si>
    <t xml:space="preserve">Layout : 
</t>
  </si>
  <si>
    <t xml:space="preserve"> </t>
  </si>
  <si>
    <t xml:space="preserve">Office No. 1031, Wing J, Akshar Business Park, Plot No. 03 Sector 25, Near APMC Market, Vashi, 
Navi Mumbai, Maharashtra 400703 TEL: 022-46090378/79/80                                                                                                     Email : vsjcapf@gmail.com. Web site : www.vsjadon.com
</t>
  </si>
  <si>
    <t>13th Floor (Part Refuge Area)</t>
  </si>
  <si>
    <t>Unit No</t>
  </si>
  <si>
    <t>C Wing - 1302</t>
  </si>
  <si>
    <t>Type</t>
  </si>
  <si>
    <t>Bankofficer</t>
  </si>
  <si>
    <t>Rushikesh</t>
  </si>
  <si>
    <t>Loading Increased</t>
  </si>
  <si>
    <t>Date</t>
  </si>
  <si>
    <t>Sudhir Bhosale</t>
  </si>
  <si>
    <t>JVK/KBNP/NRV/2687/2023-2024
Approved upto : Wing B = Gr/St + 1st to 12th Floor
Shops = 7 nos. &amp; Flats = 83 nos.</t>
  </si>
  <si>
    <t>Office rate 6500 by sachin sir On 21/05/2025</t>
  </si>
  <si>
    <t>Phase I (Wing A) = P51700010985 
Phase II (Wing A, B &amp; Type D) = P51700023851
Phase III (Wing C) = P51700050566</t>
  </si>
  <si>
    <t>The Address Phase I, II &amp; III</t>
  </si>
  <si>
    <t>As per RERA - 
Phase I = Completed
Phase II (Wing A, B &amp; D) = 30/12/2023
Phase III (Wing C) = 31/12/2026</t>
  </si>
  <si>
    <t>Contact Details ( Name &amp; Contact No.)</t>
  </si>
  <si>
    <r>
      <t xml:space="preserve">1.Wing A = All work completed. Please provide OC.
  Wing B = All work completed. OC Received.
   Wing C = Construction work is in process at the time of Visit.
   Type D = Construction work is same as last visit (dtd. 09/05/2023). 
2. We considered  Saleable area  as per our calculation.
3. We considered Carpet area as per Approved Plan.
4. We considered Gross carpet area = Net carpet + Balcony + E.P Area + A.P Area.
5. We have considered rate by verifying it from market inquire.
6. We have considered construction percent as per proposed no of floor
7. Recommended rate should be considered as all inclusive rate if other charges are not mentioned. (Excluding GST &amp; other government Taxes)
8. Provide latest approved layout plan &amp; CC.
9. Construction percentage given as per proposed no of floors.
10. Car parking is subjected to authentic documentation.
11.We have updated revised approved Floor plan and CC of Wing A, B &amp; Wing C (on 09/05/2023).
12. Recommended Rates/Other Charges of the Property have been revised on 28/12/2023.
</t>
    </r>
    <r>
      <rPr>
        <b/>
        <sz val="12"/>
        <color rgb="FFFF0000"/>
        <rFont val="Times New Roman"/>
        <family val="1"/>
      </rPr>
      <t xml:space="preserve">13. As per RERA, completion period of project The Address Phase II (Wing D) is expired on 30/12/2023 but still project work is pending.
</t>
    </r>
    <r>
      <rPr>
        <b/>
        <sz val="12"/>
        <rFont val="Times New Roman"/>
        <family val="1"/>
      </rPr>
      <t xml:space="preserve">14. We have updated OC for Wing B (On 29/03/2025).
15. As checked on RERA portal on 18/08/2025, we have observed that above project "  The Address Phase II " is kept under abeyance. Please check from your end.
</t>
    </r>
    <r>
      <rPr>
        <b/>
        <sz val="12"/>
        <color theme="1"/>
        <rFont val="Times New Roman"/>
        <family val="1"/>
      </rPr>
      <t xml:space="preserve">
8. On Site, we meet Miss. Rashmi(7888010666).
</t>
    </r>
  </si>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</sst>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name val="Calibri"/>
      <family val="2"/>
    </font>
    <font>
      <u/>
      <sz val="11"/>
      <color theme="10"/>
      <name val="Calibri"/>
      <family val="2"/>
    </font>
    <font>
      <sz val="11"/>
      <color rgb="FF000000"/>
      <name val="Calibri"/>
      <family val="2"/>
    </font>
    <font>
      <b/>
      <sz val="11"/>
      <color rgb="FF000000"/>
      <name val="Times New Roman"/>
      <family val="1"/>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19" fillId="0" borderId="0"/>
    <xf numFmtId="0" fontId="21" fillId="0" borderId="0" applyNumberFormat="0" applyFill="0" applyBorder="0" applyAlignment="0" applyProtection="0"/>
    <xf numFmtId="9" fontId="22" fillId="0" borderId="0" applyFont="0" applyFill="0" applyBorder="0" applyAlignment="0" applyProtection="0"/>
  </cellStyleXfs>
  <cellXfs count="182">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2" borderId="1" xfId="0" applyFill="1" applyBorder="1"/>
    <xf numFmtId="0" fontId="0" fillId="0" borderId="2" xfId="0" applyBorder="1"/>
    <xf numFmtId="0" fontId="9" fillId="0" borderId="1" xfId="0" applyFont="1" applyBorder="1"/>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1" fontId="4" fillId="0" borderId="1" xfId="1" applyNumberFormat="1" applyFont="1" applyBorder="1" applyAlignment="1" applyProtection="1">
      <alignment horizontal="center" vertical="top" wrapText="1"/>
      <protection locked="0"/>
    </xf>
    <xf numFmtId="0" fontId="7" fillId="0" borderId="0" xfId="1" applyFont="1" applyProtection="1">
      <protection locked="0"/>
    </xf>
    <xf numFmtId="0" fontId="7" fillId="0" borderId="0" xfId="1" applyFont="1" applyProtection="1">
      <protection hidden="1"/>
    </xf>
    <xf numFmtId="0" fontId="5" fillId="0" borderId="0" xfId="4"/>
    <xf numFmtId="0" fontId="1" fillId="0" borderId="0" xfId="5"/>
    <xf numFmtId="0" fontId="9"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7" fillId="0" borderId="1" xfId="5" applyNumberFormat="1" applyFont="1" applyBorder="1" applyAlignment="1">
      <alignment horizontal="center" vertical="center"/>
    </xf>
    <xf numFmtId="0" fontId="5" fillId="0" borderId="1" xfId="4" applyBorder="1" applyAlignment="1">
      <alignment horizontal="center" vertical="center"/>
    </xf>
    <xf numFmtId="0" fontId="10" fillId="0" borderId="0" xfId="0" applyFont="1" applyAlignment="1">
      <alignment horizontal="center" vertical="center"/>
    </xf>
    <xf numFmtId="0" fontId="12" fillId="0" borderId="6" xfId="1" applyFont="1" applyBorder="1" applyAlignment="1" applyProtection="1">
      <alignment horizontal="center" vertical="top"/>
      <protection locked="0"/>
    </xf>
    <xf numFmtId="0" fontId="12" fillId="0" borderId="12" xfId="1" applyFont="1" applyBorder="1" applyProtection="1">
      <protection hidden="1"/>
    </xf>
    <xf numFmtId="0" fontId="12" fillId="0" borderId="13" xfId="1" applyFont="1" applyBorder="1" applyProtection="1">
      <protection hidden="1"/>
    </xf>
    <xf numFmtId="0" fontId="12" fillId="0" borderId="0" xfId="1" applyFont="1" applyProtection="1">
      <protection hidden="1"/>
    </xf>
    <xf numFmtId="0" fontId="12" fillId="0" borderId="14" xfId="1" applyFont="1" applyBorder="1" applyProtection="1">
      <protection hidden="1"/>
    </xf>
    <xf numFmtId="0" fontId="14" fillId="0" borderId="0" xfId="3" applyFont="1" applyProtection="1">
      <protection hidden="1"/>
    </xf>
    <xf numFmtId="0" fontId="12" fillId="0" borderId="14" xfId="1" applyFont="1" applyBorder="1"/>
    <xf numFmtId="0" fontId="14" fillId="0" borderId="14" xfId="3" applyFont="1" applyBorder="1" applyProtection="1">
      <protection hidden="1"/>
    </xf>
    <xf numFmtId="1" fontId="20" fillId="0" borderId="14" xfId="3" applyNumberFormat="1" applyFont="1" applyBorder="1"/>
    <xf numFmtId="1" fontId="20" fillId="0" borderId="14" xfId="3" applyNumberFormat="1" applyFont="1" applyBorder="1" applyAlignment="1">
      <alignment horizontal="right"/>
    </xf>
    <xf numFmtId="0" fontId="14" fillId="0" borderId="15" xfId="3" applyFont="1" applyBorder="1" applyProtection="1">
      <protection hidden="1"/>
    </xf>
    <xf numFmtId="1" fontId="20" fillId="0" borderId="16" xfId="3" applyNumberFormat="1" applyFont="1" applyBorder="1"/>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12" fillId="0" borderId="5"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0" fontId="10"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2" fillId="0" borderId="8" xfId="1" applyFont="1" applyBorder="1" applyAlignment="1" applyProtection="1">
      <alignment horizontal="center" wrapText="1"/>
      <protection locked="0"/>
    </xf>
    <xf numFmtId="9" fontId="12" fillId="0" borderId="8" xfId="1" applyNumberFormat="1" applyFont="1" applyBorder="1" applyAlignment="1" applyProtection="1">
      <alignment horizontal="center" vertical="center" wrapText="1"/>
      <protection hidden="1"/>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7" fillId="0" borderId="1" xfId="1" applyNumberFormat="1" applyFont="1" applyBorder="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10" fillId="0" borderId="0" xfId="1" applyFont="1" applyProtection="1">
      <protection locked="0"/>
    </xf>
    <xf numFmtId="1" fontId="6" fillId="0" borderId="4"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0" xfId="0" applyNumberFormat="1" applyFont="1" applyAlignment="1">
      <alignment horizontal="center" vertical="center"/>
    </xf>
    <xf numFmtId="1" fontId="8" fillId="0" borderId="3" xfId="1" applyNumberFormat="1" applyFont="1" applyBorder="1" applyAlignment="1" applyProtection="1">
      <alignment horizontal="center" vertical="top" wrapText="1"/>
      <protection locked="0"/>
    </xf>
    <xf numFmtId="9" fontId="8" fillId="0" borderId="4" xfId="9"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1" fontId="6" fillId="0" borderId="1" xfId="0" applyNumberFormat="1" applyFont="1" applyBorder="1" applyAlignment="1" applyProtection="1">
      <alignment horizontal="center" wrapText="1"/>
      <protection locked="0"/>
    </xf>
    <xf numFmtId="0" fontId="7" fillId="2" borderId="1" xfId="1" applyFont="1" applyFill="1" applyBorder="1"/>
    <xf numFmtId="9" fontId="7" fillId="2" borderId="1" xfId="1" applyNumberFormat="1" applyFont="1" applyFill="1" applyBorder="1"/>
    <xf numFmtId="14" fontId="7" fillId="2" borderId="1" xfId="1" applyNumberFormat="1" applyFont="1" applyFill="1" applyBorder="1"/>
    <xf numFmtId="0" fontId="10" fillId="0" borderId="0" xfId="1" applyFont="1"/>
    <xf numFmtId="0" fontId="13" fillId="0" borderId="1" xfId="1" applyFont="1" applyBorder="1" applyAlignment="1" applyProtection="1">
      <alignment horizontal="center" vertical="center"/>
      <protection locked="0"/>
    </xf>
    <xf numFmtId="9" fontId="13"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1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8" fillId="0" borderId="4" xfId="1" applyFont="1" applyBorder="1" applyAlignment="1" applyProtection="1">
      <alignment horizontal="center" vertical="top"/>
      <protection locked="0"/>
    </xf>
    <xf numFmtId="0" fontId="8" fillId="0" borderId="1" xfId="1" applyFont="1" applyBorder="1" applyAlignment="1" applyProtection="1">
      <alignment horizontal="center" vertical="top"/>
      <protection locked="0"/>
    </xf>
    <xf numFmtId="1" fontId="8" fillId="0" borderId="3" xfId="1" applyNumberFormat="1" applyFont="1" applyBorder="1" applyAlignment="1" applyProtection="1">
      <alignment horizontal="center" vertical="top" wrapText="1"/>
      <protection locked="0"/>
    </xf>
    <xf numFmtId="1" fontId="8" fillId="0" borderId="4"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4"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9" fontId="12" fillId="0" borderId="1" xfId="1" applyNumberFormat="1" applyFont="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1" fontId="6" fillId="0" borderId="24" xfId="0" applyNumberFormat="1" applyFont="1" applyBorder="1" applyAlignment="1" applyProtection="1">
      <alignment horizontal="center" vertical="center" wrapText="1"/>
      <protection locked="0"/>
    </xf>
    <xf numFmtId="1" fontId="6" fillId="0" borderId="4" xfId="0" applyNumberFormat="1" applyFont="1" applyBorder="1" applyAlignment="1" applyProtection="1">
      <alignment horizontal="center" vertical="center" wrapText="1"/>
      <protection locked="0"/>
    </xf>
    <xf numFmtId="0" fontId="13" fillId="0" borderId="5"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6"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8" xfId="1" applyNumberFormat="1" applyFont="1" applyBorder="1" applyAlignment="1" applyProtection="1">
      <alignment horizontal="center" vertical="center" wrapText="1"/>
      <protection hidden="1"/>
    </xf>
    <xf numFmtId="9" fontId="12" fillId="0" borderId="6" xfId="1" applyNumberFormat="1" applyFont="1" applyBorder="1" applyAlignment="1" applyProtection="1">
      <alignment horizontal="center" vertical="center" wrapText="1"/>
      <protection hidden="1"/>
    </xf>
    <xf numFmtId="9" fontId="12" fillId="0" borderId="9" xfId="1" applyNumberFormat="1" applyFont="1" applyBorder="1" applyAlignment="1" applyProtection="1">
      <alignment horizontal="center" vertical="center" wrapText="1"/>
      <protection hidden="1"/>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7" fillId="0" borderId="10" xfId="0" applyNumberFormat="1" applyFont="1" applyBorder="1" applyAlignment="1" applyProtection="1">
      <alignment horizontal="center" vertical="top" wrapText="1"/>
      <protection locked="0"/>
    </xf>
    <xf numFmtId="1" fontId="7" fillId="0" borderId="17" xfId="0" applyNumberFormat="1" applyFont="1" applyBorder="1" applyAlignment="1" applyProtection="1">
      <alignment horizontal="center" vertical="top" wrapText="1"/>
      <protection locked="0"/>
    </xf>
    <xf numFmtId="1" fontId="7" fillId="0" borderId="1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protection locked="0"/>
    </xf>
    <xf numFmtId="0" fontId="13" fillId="0" borderId="1" xfId="1" applyFont="1" applyBorder="1" applyAlignment="1" applyProtection="1">
      <alignment horizontal="center"/>
      <protection locked="0"/>
    </xf>
    <xf numFmtId="0" fontId="11" fillId="0" borderId="1"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center"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21" fillId="0" borderId="1" xfId="8" applyFill="1" applyBorder="1" applyAlignment="1" applyProtection="1">
      <alignment horizontal="left"/>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14" fontId="10" fillId="0" borderId="10" xfId="1" applyNumberFormat="1" applyFont="1" applyBorder="1" applyAlignment="1" applyProtection="1">
      <alignment horizontal="left" vertical="top" wrapText="1"/>
      <protection locked="0"/>
    </xf>
    <xf numFmtId="0" fontId="10" fillId="0" borderId="1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2" fontId="6" fillId="0" borderId="1" xfId="1" applyNumberFormat="1" applyFont="1" applyBorder="1" applyAlignment="1" applyProtection="1">
      <alignment horizontal="left" vertical="top"/>
      <protection locked="0"/>
    </xf>
    <xf numFmtId="0" fontId="7" fillId="0" borderId="10"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14" fontId="7" fillId="0" borderId="1" xfId="1" applyNumberFormat="1" applyFont="1" applyBorder="1" applyAlignment="1" applyProtection="1">
      <alignment horizontal="left" vertical="top" wrapText="1"/>
      <protection locked="0"/>
    </xf>
    <xf numFmtId="14" fontId="7"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0" fontId="7" fillId="0" borderId="27" xfId="1" applyFont="1" applyBorder="1" applyAlignment="1" applyProtection="1">
      <alignment horizontal="left" vertical="top"/>
      <protection locked="0"/>
    </xf>
    <xf numFmtId="0" fontId="7" fillId="0" borderId="28" xfId="1" applyFont="1" applyBorder="1" applyAlignment="1" applyProtection="1">
      <alignment horizontal="left" vertical="top"/>
      <protection locked="0"/>
    </xf>
    <xf numFmtId="0" fontId="7" fillId="0" borderId="26" xfId="1" applyFont="1" applyBorder="1" applyAlignment="1" applyProtection="1">
      <alignment horizontal="left" vertical="top"/>
      <protection locked="0"/>
    </xf>
    <xf numFmtId="0" fontId="13" fillId="0" borderId="25"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28" xfId="1" applyFont="1" applyBorder="1" applyAlignment="1" applyProtection="1">
      <alignment horizontal="left" vertical="top" wrapText="1"/>
      <protection locked="0"/>
    </xf>
    <xf numFmtId="0" fontId="13" fillId="0" borderId="29"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8" fillId="0" borderId="0" xfId="1" applyFont="1" applyAlignment="1" applyProtection="1">
      <alignment horizontal="left" vertical="top" wrapText="1"/>
      <protection locked="0"/>
    </xf>
    <xf numFmtId="0" fontId="0" fillId="2"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 name="Percent" xfId="9" builtinId="5"/>
  </cellStyles>
  <dxfs count="0"/>
  <tableStyles count="0" defaultTableStyle="TableStyleMedium2" defaultPivotStyle="PivotStyleLight16"/>
  <colors>
    <mruColors>
      <color rgb="FF009900"/>
      <color rgb="FF0066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3" Type="http://schemas.openxmlformats.org/officeDocument/2006/relationships/image" Target="../media/image33.png"/><Relationship Id="rId7" Type="http://schemas.openxmlformats.org/officeDocument/2006/relationships/image" Target="../media/image37.png"/><Relationship Id="rId2" Type="http://schemas.openxmlformats.org/officeDocument/2006/relationships/image" Target="../media/image32.png"/><Relationship Id="rId1" Type="http://schemas.openxmlformats.org/officeDocument/2006/relationships/image" Target="../media/image31.png"/><Relationship Id="rId6" Type="http://schemas.openxmlformats.org/officeDocument/2006/relationships/image" Target="../media/image36.png"/><Relationship Id="rId5" Type="http://schemas.openxmlformats.org/officeDocument/2006/relationships/image" Target="../media/image35.png"/><Relationship Id="rId4" Type="http://schemas.openxmlformats.org/officeDocument/2006/relationships/image" Target="../media/image3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xdr:col>
      <xdr:colOff>505623</xdr:colOff>
      <xdr:row>408</xdr:row>
      <xdr:rowOff>82924</xdr:rowOff>
    </xdr:from>
    <xdr:to>
      <xdr:col>6</xdr:col>
      <xdr:colOff>381301</xdr:colOff>
      <xdr:row>422</xdr:row>
      <xdr:rowOff>105424</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bwMode="auto">
        <a:xfrm>
          <a:off x="1323652" y="63519424"/>
          <a:ext cx="4245973" cy="2846382"/>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519229</xdr:colOff>
      <xdr:row>393</xdr:row>
      <xdr:rowOff>40822</xdr:rowOff>
    </xdr:from>
    <xdr:to>
      <xdr:col>6</xdr:col>
      <xdr:colOff>394612</xdr:colOff>
      <xdr:row>407</xdr:row>
      <xdr:rowOff>63325</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1337258" y="60451734"/>
          <a:ext cx="4245678" cy="2846383"/>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12</xdr:col>
      <xdr:colOff>294705</xdr:colOff>
      <xdr:row>308</xdr:row>
      <xdr:rowOff>0</xdr:rowOff>
    </xdr:from>
    <xdr:to>
      <xdr:col>13</xdr:col>
      <xdr:colOff>295362</xdr:colOff>
      <xdr:row>309</xdr:row>
      <xdr:rowOff>45982</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9962580" y="51044475"/>
          <a:ext cx="610257" cy="2460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B</a:t>
          </a:r>
        </a:p>
      </xdr:txBody>
    </xdr:sp>
    <xdr:clientData/>
  </xdr:twoCellAnchor>
  <xdr:twoCellAnchor>
    <xdr:from>
      <xdr:col>9</xdr:col>
      <xdr:colOff>169807</xdr:colOff>
      <xdr:row>319</xdr:row>
      <xdr:rowOff>28903</xdr:rowOff>
    </xdr:from>
    <xdr:to>
      <xdr:col>10</xdr:col>
      <xdr:colOff>123496</xdr:colOff>
      <xdr:row>320</xdr:row>
      <xdr:rowOff>74885</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8475607" y="70332928"/>
          <a:ext cx="610914" cy="2460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D</a:t>
          </a:r>
        </a:p>
      </xdr:txBody>
    </xdr:sp>
    <xdr:clientData/>
  </xdr:twoCellAnchor>
  <xdr:twoCellAnchor>
    <xdr:from>
      <xdr:col>3</xdr:col>
      <xdr:colOff>800100</xdr:colOff>
      <xdr:row>310</xdr:row>
      <xdr:rowOff>133350</xdr:rowOff>
    </xdr:from>
    <xdr:to>
      <xdr:col>4</xdr:col>
      <xdr:colOff>243998</xdr:colOff>
      <xdr:row>312</xdr:row>
      <xdr:rowOff>171450</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flipH="1">
          <a:off x="3200400" y="51577875"/>
          <a:ext cx="301148" cy="428625"/>
        </a:xfrm>
        <a:prstGeom prst="straightConnector1">
          <a:avLst/>
        </a:prstGeom>
        <a:ln w="28575">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354</xdr:row>
      <xdr:rowOff>133350</xdr:rowOff>
    </xdr:from>
    <xdr:to>
      <xdr:col>4</xdr:col>
      <xdr:colOff>243998</xdr:colOff>
      <xdr:row>356</xdr:row>
      <xdr:rowOff>171450</xdr:rowOff>
    </xdr:to>
    <xdr:cxnSp macro="">
      <xdr:nvCxnSpPr>
        <xdr:cNvPr id="18" name="Straight Arrow Connector 17">
          <a:extLst>
            <a:ext uri="{FF2B5EF4-FFF2-40B4-BE49-F238E27FC236}">
              <a16:creationId xmlns:a16="http://schemas.microsoft.com/office/drawing/2014/main" id="{00000000-0008-0000-0000-000012000000}"/>
            </a:ext>
          </a:extLst>
        </xdr:cNvPr>
        <xdr:cNvCxnSpPr/>
      </xdr:nvCxnSpPr>
      <xdr:spPr>
        <a:xfrm flipH="1">
          <a:off x="3200400" y="67084575"/>
          <a:ext cx="301148" cy="428625"/>
        </a:xfrm>
        <a:prstGeom prst="straightConnector1">
          <a:avLst/>
        </a:prstGeom>
        <a:ln w="28575">
          <a:solidFill>
            <a:schemeClr val="bg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504824</xdr:colOff>
      <xdr:row>354</xdr:row>
      <xdr:rowOff>9525</xdr:rowOff>
    </xdr:from>
    <xdr:to>
      <xdr:col>7</xdr:col>
      <xdr:colOff>594374</xdr:colOff>
      <xdr:row>386</xdr:row>
      <xdr:rowOff>98250</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04824" y="74771250"/>
          <a:ext cx="5690250" cy="6480000"/>
        </a:xfrm>
        <a:prstGeom prst="rect">
          <a:avLst/>
        </a:prstGeom>
        <a:ln>
          <a:solidFill>
            <a:schemeClr val="tx1"/>
          </a:solidFill>
        </a:ln>
      </xdr:spPr>
    </xdr:pic>
    <xdr:clientData/>
  </xdr:twoCellAnchor>
  <xdr:twoCellAnchor>
    <xdr:from>
      <xdr:col>1</xdr:col>
      <xdr:colOff>619125</xdr:colOff>
      <xdr:row>359</xdr:row>
      <xdr:rowOff>114301</xdr:rowOff>
    </xdr:from>
    <xdr:to>
      <xdr:col>3</xdr:col>
      <xdr:colOff>533400</xdr:colOff>
      <xdr:row>365</xdr:row>
      <xdr:rowOff>38101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381125" y="75866626"/>
          <a:ext cx="1552575" cy="1123950"/>
        </a:xfrm>
        <a:prstGeom prst="rect">
          <a:avLst/>
        </a:prstGeom>
        <a:noFill/>
        <a:ln w="28575">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123825</xdr:colOff>
      <xdr:row>358</xdr:row>
      <xdr:rowOff>161925</xdr:rowOff>
    </xdr:from>
    <xdr:to>
      <xdr:col>6</xdr:col>
      <xdr:colOff>514350</xdr:colOff>
      <xdr:row>362</xdr:row>
      <xdr:rowOff>95251</xdr:rowOff>
    </xdr:to>
    <xdr:sp macro="" textlink="">
      <xdr:nvSpPr>
        <xdr:cNvPr id="39" name="Rectangle 38">
          <a:extLst>
            <a:ext uri="{FF2B5EF4-FFF2-40B4-BE49-F238E27FC236}">
              <a16:creationId xmlns:a16="http://schemas.microsoft.com/office/drawing/2014/main" id="{00000000-0008-0000-0000-000027000000}"/>
            </a:ext>
          </a:extLst>
        </xdr:cNvPr>
        <xdr:cNvSpPr/>
      </xdr:nvSpPr>
      <xdr:spPr>
        <a:xfrm>
          <a:off x="3381375" y="75714225"/>
          <a:ext cx="1952625" cy="733426"/>
        </a:xfrm>
        <a:prstGeom prst="rect">
          <a:avLst/>
        </a:prstGeom>
        <a:noFill/>
        <a:ln w="28575">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781050</xdr:colOff>
      <xdr:row>365</xdr:row>
      <xdr:rowOff>85725</xdr:rowOff>
    </xdr:from>
    <xdr:to>
      <xdr:col>4</xdr:col>
      <xdr:colOff>123825</xdr:colOff>
      <xdr:row>370</xdr:row>
      <xdr:rowOff>0</xdr:rowOff>
    </xdr:to>
    <xdr:sp macro="" textlink="">
      <xdr:nvSpPr>
        <xdr:cNvPr id="40" name="Rectangle 39">
          <a:extLst>
            <a:ext uri="{FF2B5EF4-FFF2-40B4-BE49-F238E27FC236}">
              <a16:creationId xmlns:a16="http://schemas.microsoft.com/office/drawing/2014/main" id="{00000000-0008-0000-0000-000028000000}"/>
            </a:ext>
          </a:extLst>
        </xdr:cNvPr>
        <xdr:cNvSpPr/>
      </xdr:nvSpPr>
      <xdr:spPr>
        <a:xfrm>
          <a:off x="1543050" y="77038200"/>
          <a:ext cx="1838325" cy="914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571500</xdr:colOff>
      <xdr:row>358</xdr:row>
      <xdr:rowOff>161925</xdr:rowOff>
    </xdr:from>
    <xdr:to>
      <xdr:col>4</xdr:col>
      <xdr:colOff>85725</xdr:colOff>
      <xdr:row>361</xdr:row>
      <xdr:rowOff>114300</xdr:rowOff>
    </xdr:to>
    <xdr:sp macro="" textlink="">
      <xdr:nvSpPr>
        <xdr:cNvPr id="41" name="Rectangle 40">
          <a:extLst>
            <a:ext uri="{FF2B5EF4-FFF2-40B4-BE49-F238E27FC236}">
              <a16:creationId xmlns:a16="http://schemas.microsoft.com/office/drawing/2014/main" id="{00000000-0008-0000-0000-000029000000}"/>
            </a:ext>
          </a:extLst>
        </xdr:cNvPr>
        <xdr:cNvSpPr/>
      </xdr:nvSpPr>
      <xdr:spPr>
        <a:xfrm>
          <a:off x="2971800" y="75714225"/>
          <a:ext cx="371475" cy="552450"/>
        </a:xfrm>
        <a:prstGeom prst="rect">
          <a:avLst/>
        </a:prstGeom>
        <a:noFill/>
        <a:ln w="28575">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ln>
              <a:solidFill>
                <a:srgbClr val="FF0066"/>
              </a:solidFill>
            </a:ln>
            <a:solidFill>
              <a:srgbClr val="FF0066"/>
            </a:solidFill>
          </a:endParaRPr>
        </a:p>
      </xdr:txBody>
    </xdr:sp>
    <xdr:clientData/>
  </xdr:twoCellAnchor>
  <xdr:twoCellAnchor>
    <xdr:from>
      <xdr:col>3</xdr:col>
      <xdr:colOff>381000</xdr:colOff>
      <xdr:row>357</xdr:row>
      <xdr:rowOff>47625</xdr:rowOff>
    </xdr:from>
    <xdr:to>
      <xdr:col>4</xdr:col>
      <xdr:colOff>742950</xdr:colOff>
      <xdr:row>360</xdr:row>
      <xdr:rowOff>104775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2781300" y="75399900"/>
          <a:ext cx="1219200"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ln>
                <a:noFill/>
              </a:ln>
              <a:solidFill>
                <a:srgbClr val="FF0066"/>
              </a:solidFill>
            </a:rPr>
            <a:t>Type D</a:t>
          </a:r>
        </a:p>
      </xdr:txBody>
    </xdr:sp>
    <xdr:clientData/>
  </xdr:twoCellAnchor>
  <xdr:twoCellAnchor>
    <xdr:from>
      <xdr:col>4</xdr:col>
      <xdr:colOff>762000</xdr:colOff>
      <xdr:row>357</xdr:row>
      <xdr:rowOff>66675</xdr:rowOff>
    </xdr:from>
    <xdr:to>
      <xdr:col>6</xdr:col>
      <xdr:colOff>419100</xdr:colOff>
      <xdr:row>360</xdr:row>
      <xdr:rowOff>123825</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4019550" y="75418950"/>
          <a:ext cx="1219200"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ln>
                <a:noFill/>
              </a:ln>
              <a:solidFill>
                <a:srgbClr val="0066FF"/>
              </a:solidFill>
            </a:rPr>
            <a:t>Wing A</a:t>
          </a:r>
        </a:p>
      </xdr:txBody>
    </xdr:sp>
    <xdr:clientData/>
  </xdr:twoCellAnchor>
  <xdr:twoCellAnchor>
    <xdr:from>
      <xdr:col>2</xdr:col>
      <xdr:colOff>19050</xdr:colOff>
      <xdr:row>357</xdr:row>
      <xdr:rowOff>190500</xdr:rowOff>
    </xdr:from>
    <xdr:to>
      <xdr:col>3</xdr:col>
      <xdr:colOff>390525</xdr:colOff>
      <xdr:row>361</xdr:row>
      <xdr:rowOff>47625</xdr:rowOff>
    </xdr:to>
    <xdr:sp macro="" textlink="">
      <xdr:nvSpPr>
        <xdr:cNvPr id="43" name="Rectangle 42">
          <a:extLst>
            <a:ext uri="{FF2B5EF4-FFF2-40B4-BE49-F238E27FC236}">
              <a16:creationId xmlns:a16="http://schemas.microsoft.com/office/drawing/2014/main" id="{00000000-0008-0000-0000-00002B000000}"/>
            </a:ext>
          </a:extLst>
        </xdr:cNvPr>
        <xdr:cNvSpPr/>
      </xdr:nvSpPr>
      <xdr:spPr>
        <a:xfrm>
          <a:off x="1571625" y="75542775"/>
          <a:ext cx="1219200"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ln>
                <a:noFill/>
              </a:ln>
              <a:solidFill>
                <a:srgbClr val="009900"/>
              </a:solidFill>
            </a:rPr>
            <a:t>Wing B</a:t>
          </a:r>
        </a:p>
      </xdr:txBody>
    </xdr:sp>
    <xdr:clientData/>
  </xdr:twoCellAnchor>
  <xdr:twoCellAnchor>
    <xdr:from>
      <xdr:col>2</xdr:col>
      <xdr:colOff>495300</xdr:colOff>
      <xdr:row>369</xdr:row>
      <xdr:rowOff>171450</xdr:rowOff>
    </xdr:from>
    <xdr:to>
      <xdr:col>4</xdr:col>
      <xdr:colOff>9525</xdr:colOff>
      <xdr:row>373</xdr:row>
      <xdr:rowOff>28575</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2047875" y="77924025"/>
          <a:ext cx="1219200"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ln>
                <a:noFill/>
              </a:ln>
              <a:solidFill>
                <a:srgbClr val="FF0000"/>
              </a:solidFill>
            </a:rPr>
            <a:t>Wing C</a:t>
          </a:r>
        </a:p>
      </xdr:txBody>
    </xdr:sp>
    <xdr:clientData/>
  </xdr:twoCellAnchor>
  <xdr:twoCellAnchor>
    <xdr:from>
      <xdr:col>8</xdr:col>
      <xdr:colOff>1285876</xdr:colOff>
      <xdr:row>314</xdr:row>
      <xdr:rowOff>19051</xdr:rowOff>
    </xdr:from>
    <xdr:to>
      <xdr:col>9</xdr:col>
      <xdr:colOff>285750</xdr:colOff>
      <xdr:row>316</xdr:row>
      <xdr:rowOff>9525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229601" y="69561076"/>
          <a:ext cx="361949" cy="390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t>A</a:t>
          </a:r>
        </a:p>
      </xdr:txBody>
    </xdr:sp>
    <xdr:clientData/>
  </xdr:twoCellAnchor>
  <xdr:twoCellAnchor>
    <xdr:from>
      <xdr:col>10</xdr:col>
      <xdr:colOff>113568</xdr:colOff>
      <xdr:row>314</xdr:row>
      <xdr:rowOff>0</xdr:rowOff>
    </xdr:from>
    <xdr:to>
      <xdr:col>10</xdr:col>
      <xdr:colOff>475517</xdr:colOff>
      <xdr:row>315</xdr:row>
      <xdr:rowOff>190499</xdr:rowOff>
    </xdr:to>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9076593" y="69542025"/>
          <a:ext cx="361949" cy="390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t>B</a:t>
          </a:r>
        </a:p>
      </xdr:txBody>
    </xdr:sp>
    <xdr:clientData/>
  </xdr:twoCellAnchor>
  <xdr:twoCellAnchor>
    <xdr:from>
      <xdr:col>11</xdr:col>
      <xdr:colOff>174035</xdr:colOff>
      <xdr:row>314</xdr:row>
      <xdr:rowOff>80953</xdr:rowOff>
    </xdr:from>
    <xdr:to>
      <xdr:col>11</xdr:col>
      <xdr:colOff>535984</xdr:colOff>
      <xdr:row>316</xdr:row>
      <xdr:rowOff>71427</xdr:rowOff>
    </xdr:to>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9746660" y="69622978"/>
          <a:ext cx="361949" cy="390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t>C</a:t>
          </a:r>
        </a:p>
      </xdr:txBody>
    </xdr:sp>
    <xdr:clientData/>
  </xdr:twoCellAnchor>
  <xdr:twoCellAnchor editAs="oneCell">
    <xdr:from>
      <xdr:col>21</xdr:col>
      <xdr:colOff>601683</xdr:colOff>
      <xdr:row>306</xdr:row>
      <xdr:rowOff>199035</xdr:rowOff>
    </xdr:from>
    <xdr:to>
      <xdr:col>32</xdr:col>
      <xdr:colOff>482655</xdr:colOff>
      <xdr:row>344</xdr:row>
      <xdr:rowOff>157497</xdr:rowOff>
    </xdr:to>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
        <a:stretch>
          <a:fillRect/>
        </a:stretch>
      </xdr:blipFill>
      <xdr:spPr>
        <a:xfrm>
          <a:off x="16395865" y="67722626"/>
          <a:ext cx="6548472" cy="7838236"/>
        </a:xfrm>
        <a:prstGeom prst="rect">
          <a:avLst/>
        </a:prstGeom>
      </xdr:spPr>
    </xdr:pic>
    <xdr:clientData/>
  </xdr:twoCellAnchor>
  <xdr:twoCellAnchor>
    <xdr:from>
      <xdr:col>8</xdr:col>
      <xdr:colOff>168088</xdr:colOff>
      <xdr:row>305</xdr:row>
      <xdr:rowOff>190500</xdr:rowOff>
    </xdr:from>
    <xdr:to>
      <xdr:col>8</xdr:col>
      <xdr:colOff>868857</xdr:colOff>
      <xdr:row>307</xdr:row>
      <xdr:rowOff>103440</xdr:rowOff>
    </xdr:to>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7138147" y="67056000"/>
          <a:ext cx="700769" cy="31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C</a:t>
          </a:r>
        </a:p>
      </xdr:txBody>
    </xdr:sp>
    <xdr:clientData/>
  </xdr:twoCellAnchor>
  <xdr:twoCellAnchor>
    <xdr:from>
      <xdr:col>8</xdr:col>
      <xdr:colOff>760268</xdr:colOff>
      <xdr:row>309</xdr:row>
      <xdr:rowOff>7505</xdr:rowOff>
    </xdr:from>
    <xdr:to>
      <xdr:col>17</xdr:col>
      <xdr:colOff>541133</xdr:colOff>
      <xdr:row>346</xdr:row>
      <xdr:rowOff>22921</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8200974" y="66032564"/>
          <a:ext cx="6713571" cy="7202122"/>
          <a:chOff x="361950" y="65951100"/>
          <a:chExt cx="6444901" cy="7292516"/>
        </a:xfrm>
      </xdr:grpSpPr>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939057" y="71083616"/>
            <a:ext cx="2865387" cy="2160000"/>
          </a:xfrm>
          <a:prstGeom prst="rect">
            <a:avLst/>
          </a:prstGeom>
          <a:ln>
            <a:solidFill>
              <a:schemeClr val="tx1"/>
            </a:solidFill>
          </a:ln>
        </xdr:spPr>
      </xdr:pic>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060240" y="68805358"/>
            <a:ext cx="1624519" cy="2160000"/>
          </a:xfrm>
          <a:prstGeom prst="rect">
            <a:avLst/>
          </a:prstGeom>
          <a:ln>
            <a:solidFill>
              <a:schemeClr val="tx1"/>
            </a:solidFill>
          </a:ln>
        </xdr:spPr>
      </xdr:pic>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553772" y="65951100"/>
            <a:ext cx="2057724" cy="2736000"/>
          </a:xfrm>
          <a:prstGeom prst="rect">
            <a:avLst/>
          </a:prstGeom>
          <a:ln>
            <a:solidFill>
              <a:schemeClr val="tx1"/>
            </a:solidFill>
          </a:ln>
        </xdr:spPr>
      </xdr:pic>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178940" y="71083616"/>
            <a:ext cx="1617750" cy="2160000"/>
          </a:xfrm>
          <a:prstGeom prst="rect">
            <a:avLst/>
          </a:prstGeom>
          <a:ln>
            <a:solidFill>
              <a:schemeClr val="tx1"/>
            </a:solidFill>
          </a:ln>
        </xdr:spPr>
      </xdr:pic>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835868" y="68805358"/>
            <a:ext cx="1624519" cy="2160000"/>
          </a:xfrm>
          <a:prstGeom prst="rect">
            <a:avLst/>
          </a:prstGeom>
          <a:ln>
            <a:solidFill>
              <a:schemeClr val="tx1"/>
            </a:solidFill>
          </a:ln>
        </xdr:spPr>
      </xdr:pic>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61950" y="65951100"/>
            <a:ext cx="2057724" cy="2736000"/>
          </a:xfrm>
          <a:prstGeom prst="rect">
            <a:avLst/>
          </a:prstGeom>
          <a:ln>
            <a:solidFill>
              <a:schemeClr val="tx1"/>
            </a:solidFill>
          </a:ln>
        </xdr:spPr>
      </xdr:pic>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745594" y="65951100"/>
            <a:ext cx="2061257" cy="2736000"/>
          </a:xfrm>
          <a:prstGeom prst="rect">
            <a:avLst/>
          </a:prstGeom>
          <a:ln>
            <a:solidFill>
              <a:schemeClr val="tx1"/>
            </a:solidFill>
          </a:ln>
        </xdr:spPr>
      </xdr:pic>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611496" y="68805358"/>
            <a:ext cx="1624519" cy="2160000"/>
          </a:xfrm>
          <a:prstGeom prst="rect">
            <a:avLst/>
          </a:prstGeom>
          <a:ln>
            <a:solidFill>
              <a:schemeClr val="tx1"/>
            </a:solidFill>
          </a:ln>
        </xdr:spPr>
      </xdr:pic>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12054" y="71083616"/>
            <a:ext cx="1624519" cy="2160000"/>
          </a:xfrm>
          <a:prstGeom prst="rect">
            <a:avLst/>
          </a:prstGeom>
          <a:ln>
            <a:solidFill>
              <a:schemeClr val="tx1"/>
            </a:solidFill>
          </a:ln>
        </xdr:spPr>
      </xdr:pic>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1295400" y="68110100"/>
            <a:ext cx="7007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3372922" y="67735450"/>
            <a:ext cx="7007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5894944" y="66186050"/>
            <a:ext cx="7007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3408255" y="69152175"/>
            <a:ext cx="7007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Wing D</a:t>
            </a:r>
          </a:p>
        </xdr:txBody>
      </xdr:sp>
    </xdr:grpSp>
    <xdr:clientData/>
  </xdr:twoCellAnchor>
  <xdr:twoCellAnchor>
    <xdr:from>
      <xdr:col>0</xdr:col>
      <xdr:colOff>323850</xdr:colOff>
      <xdr:row>309</xdr:row>
      <xdr:rowOff>82550</xdr:rowOff>
    </xdr:from>
    <xdr:to>
      <xdr:col>7</xdr:col>
      <xdr:colOff>1041644</xdr:colOff>
      <xdr:row>351</xdr:row>
      <xdr:rowOff>76200</xdr:rowOff>
    </xdr:to>
    <xdr:grpSp>
      <xdr:nvGrpSpPr>
        <xdr:cNvPr id="15" name="Group 14"/>
        <xdr:cNvGrpSpPr/>
      </xdr:nvGrpSpPr>
      <xdr:grpSpPr>
        <a:xfrm>
          <a:off x="323850" y="66107609"/>
          <a:ext cx="6716676" cy="8151532"/>
          <a:chOff x="323850" y="66687700"/>
          <a:chExt cx="6572494" cy="8255000"/>
        </a:xfrm>
      </xdr:grpSpPr>
      <xdr:pic>
        <xdr:nvPicPr>
          <xdr:cNvPr id="75" name="Picture 7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5071031" y="73188052"/>
            <a:ext cx="1543294" cy="1754648"/>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353050" y="66687700"/>
            <a:ext cx="1543294" cy="205200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353050" y="68854484"/>
            <a:ext cx="1543294" cy="2052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000250" y="66687700"/>
            <a:ext cx="1543294" cy="2052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384014" y="73188052"/>
            <a:ext cx="1536863" cy="1754648"/>
          </a:xfrm>
          <a:prstGeom prst="rect">
            <a:avLst/>
          </a:prstGeom>
          <a:ln>
            <a:solidFill>
              <a:schemeClr val="tx1"/>
            </a:solidFill>
          </a:ln>
        </xdr:spPr>
      </xdr:pic>
      <xdr:pic>
        <xdr:nvPicPr>
          <xdr:cNvPr id="80" name="Picture 7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23850" y="66687700"/>
            <a:ext cx="1543294" cy="2052000"/>
          </a:xfrm>
          <a:prstGeom prst="rect">
            <a:avLst/>
          </a:prstGeom>
          <a:ln>
            <a:solidFill>
              <a:schemeClr val="tx1"/>
            </a:solidFill>
          </a:ln>
        </xdr:spPr>
      </xdr:pic>
      <xdr:pic>
        <xdr:nvPicPr>
          <xdr:cNvPr id="81" name="Picture 8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920750" y="73188052"/>
            <a:ext cx="2313110" cy="1754648"/>
          </a:xfrm>
          <a:prstGeom prst="rect">
            <a:avLst/>
          </a:prstGeom>
          <a:ln>
            <a:solidFill>
              <a:schemeClr val="tx1"/>
            </a:solidFill>
          </a:ln>
        </xdr:spPr>
      </xdr:pic>
      <xdr:pic>
        <xdr:nvPicPr>
          <xdr:cNvPr id="82" name="Picture 8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676650" y="68854484"/>
            <a:ext cx="1543294" cy="2052000"/>
          </a:xfrm>
          <a:prstGeom prst="rect">
            <a:avLst/>
          </a:prstGeom>
          <a:ln>
            <a:solidFill>
              <a:schemeClr val="tx1"/>
            </a:solidFill>
          </a:ln>
        </xdr:spPr>
      </xdr:pic>
      <xdr:pic>
        <xdr:nvPicPr>
          <xdr:cNvPr id="83" name="Picture 8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23850" y="68854484"/>
            <a:ext cx="1543294" cy="2052000"/>
          </a:xfrm>
          <a:prstGeom prst="rect">
            <a:avLst/>
          </a:prstGeom>
          <a:ln>
            <a:solidFill>
              <a:schemeClr val="tx1"/>
            </a:solidFill>
          </a:ln>
        </xdr:spPr>
      </xdr:pic>
      <xdr:pic>
        <xdr:nvPicPr>
          <xdr:cNvPr id="84" name="Picture 8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676650" y="66687700"/>
            <a:ext cx="1543294" cy="2052000"/>
          </a:xfrm>
          <a:prstGeom prst="rect">
            <a:avLst/>
          </a:prstGeom>
          <a:ln>
            <a:solidFill>
              <a:schemeClr val="tx1"/>
            </a:solidFill>
          </a:ln>
        </xdr:spPr>
      </xdr:pic>
      <xdr:pic>
        <xdr:nvPicPr>
          <xdr:cNvPr id="85" name="Picture 84"/>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676650" y="71015739"/>
            <a:ext cx="1543294" cy="2052000"/>
          </a:xfrm>
          <a:prstGeom prst="rect">
            <a:avLst/>
          </a:prstGeom>
          <a:ln>
            <a:solidFill>
              <a:schemeClr val="tx1"/>
            </a:solidFill>
          </a:ln>
        </xdr:spPr>
      </xdr:pic>
      <xdr:pic>
        <xdr:nvPicPr>
          <xdr:cNvPr id="86" name="Picture 85"/>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23850" y="71021268"/>
            <a:ext cx="1543294" cy="2052000"/>
          </a:xfrm>
          <a:prstGeom prst="rect">
            <a:avLst/>
          </a:prstGeom>
          <a:ln>
            <a:solidFill>
              <a:schemeClr val="tx1"/>
            </a:solidFill>
          </a:ln>
        </xdr:spPr>
      </xdr:pic>
      <xdr:pic>
        <xdr:nvPicPr>
          <xdr:cNvPr id="87" name="Picture 86"/>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2000250" y="71021268"/>
            <a:ext cx="1543294" cy="2052000"/>
          </a:xfrm>
          <a:prstGeom prst="rect">
            <a:avLst/>
          </a:prstGeom>
          <a:ln>
            <a:solidFill>
              <a:schemeClr val="tx1"/>
            </a:solidFill>
          </a:ln>
        </xdr:spPr>
      </xdr:pic>
      <xdr:pic>
        <xdr:nvPicPr>
          <xdr:cNvPr id="88" name="Picture 87"/>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5353050" y="71015739"/>
            <a:ext cx="1543294" cy="2052000"/>
          </a:xfrm>
          <a:prstGeom prst="rect">
            <a:avLst/>
          </a:prstGeom>
          <a:ln>
            <a:solidFill>
              <a:schemeClr val="tx1"/>
            </a:solidFill>
          </a:ln>
        </xdr:spPr>
      </xdr:pic>
      <xdr:pic>
        <xdr:nvPicPr>
          <xdr:cNvPr id="89" name="Picture 88"/>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2000250" y="68854484"/>
            <a:ext cx="1543294" cy="2052000"/>
          </a:xfrm>
          <a:prstGeom prst="rect">
            <a:avLst/>
          </a:prstGeom>
          <a:ln>
            <a:solidFill>
              <a:schemeClr val="tx1"/>
            </a:solidFill>
          </a:ln>
        </xdr:spPr>
      </xdr:pic>
      <xdr:sp macro="" textlink="">
        <xdr:nvSpPr>
          <xdr:cNvPr id="90" name="TextBox 89">
            <a:extLst>
              <a:ext uri="{FF2B5EF4-FFF2-40B4-BE49-F238E27FC236}">
                <a16:creationId xmlns:a16="http://schemas.microsoft.com/office/drawing/2014/main" id="{00000000-0008-0000-0000-000040000000}"/>
              </a:ext>
            </a:extLst>
          </xdr:cNvPr>
          <xdr:cNvSpPr txBox="1"/>
        </xdr:nvSpPr>
        <xdr:spPr>
          <a:xfrm>
            <a:off x="762000" y="67970400"/>
            <a:ext cx="70736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sp macro="" textlink="">
        <xdr:nvSpPr>
          <xdr:cNvPr id="91" name="TextBox 90">
            <a:extLst>
              <a:ext uri="{FF2B5EF4-FFF2-40B4-BE49-F238E27FC236}">
                <a16:creationId xmlns:a16="http://schemas.microsoft.com/office/drawing/2014/main" id="{00000000-0008-0000-0000-000040000000}"/>
              </a:ext>
            </a:extLst>
          </xdr:cNvPr>
          <xdr:cNvSpPr txBox="1"/>
        </xdr:nvSpPr>
        <xdr:spPr>
          <a:xfrm>
            <a:off x="2520950" y="68173600"/>
            <a:ext cx="70736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sp macro="" textlink="">
        <xdr:nvSpPr>
          <xdr:cNvPr id="92" name="TextBox 91">
            <a:extLst>
              <a:ext uri="{FF2B5EF4-FFF2-40B4-BE49-F238E27FC236}">
                <a16:creationId xmlns:a16="http://schemas.microsoft.com/office/drawing/2014/main" id="{00000000-0008-0000-0000-000040000000}"/>
              </a:ext>
            </a:extLst>
          </xdr:cNvPr>
          <xdr:cNvSpPr txBox="1"/>
        </xdr:nvSpPr>
        <xdr:spPr>
          <a:xfrm>
            <a:off x="4260850" y="68332350"/>
            <a:ext cx="70736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sp macro="" textlink="">
        <xdr:nvSpPr>
          <xdr:cNvPr id="93" name="TextBox 92">
            <a:extLst>
              <a:ext uri="{FF2B5EF4-FFF2-40B4-BE49-F238E27FC236}">
                <a16:creationId xmlns:a16="http://schemas.microsoft.com/office/drawing/2014/main" id="{00000000-0008-0000-0000-000040000000}"/>
              </a:ext>
            </a:extLst>
          </xdr:cNvPr>
          <xdr:cNvSpPr txBox="1"/>
        </xdr:nvSpPr>
        <xdr:spPr>
          <a:xfrm>
            <a:off x="2425700" y="69914934"/>
            <a:ext cx="70736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Type D</a:t>
            </a:r>
          </a:p>
        </xdr:txBody>
      </xdr:sp>
      <xdr:sp macro="" textlink="">
        <xdr:nvSpPr>
          <xdr:cNvPr id="94" name="TextBox 93">
            <a:extLst>
              <a:ext uri="{FF2B5EF4-FFF2-40B4-BE49-F238E27FC236}">
                <a16:creationId xmlns:a16="http://schemas.microsoft.com/office/drawing/2014/main" id="{00000000-0008-0000-0000-000040000000}"/>
              </a:ext>
            </a:extLst>
          </xdr:cNvPr>
          <xdr:cNvSpPr txBox="1"/>
        </xdr:nvSpPr>
        <xdr:spPr>
          <a:xfrm>
            <a:off x="704850" y="70149884"/>
            <a:ext cx="70736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0" cap="none" spc="0">
                <a:ln w="0"/>
                <a:solidFill>
                  <a:srgbClr val="FFFF00"/>
                </a:solidFill>
                <a:effectLst>
                  <a:outerShdw blurRad="38100" dist="25400" dir="5400000" algn="ctr" rotWithShape="0">
                    <a:srgbClr val="6E747A">
                      <a:alpha val="43000"/>
                    </a:srgbClr>
                  </a:outerShdw>
                </a:effectLst>
              </a:rPr>
              <a:t>Type D</a:t>
            </a:r>
          </a:p>
        </xdr:txBody>
      </xdr:sp>
      <xdr:cxnSp macro="">
        <xdr:nvCxnSpPr>
          <xdr:cNvPr id="12" name="Straight Arrow Connector 11"/>
          <xdr:cNvCxnSpPr>
            <a:stCxn id="94" idx="0"/>
          </xdr:cNvCxnSpPr>
        </xdr:nvCxnSpPr>
        <xdr:spPr>
          <a:xfrm flipH="1" flipV="1">
            <a:off x="1003300" y="69735700"/>
            <a:ext cx="55230" cy="41418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13</xdr:row>
      <xdr:rowOff>180975</xdr:rowOff>
    </xdr:from>
    <xdr:to>
      <xdr:col>7</xdr:col>
      <xdr:colOff>340659</xdr:colOff>
      <xdr:row>32</xdr:row>
      <xdr:rowOff>161925</xdr:rowOff>
    </xdr:to>
    <xdr:pic>
      <xdr:nvPicPr>
        <xdr:cNvPr id="2" name="Picture 1">
          <a:extLst>
            <a:ext uri="{FF2B5EF4-FFF2-40B4-BE49-F238E27FC236}">
              <a16:creationId xmlns:a16="http://schemas.microsoft.com/office/drawing/2014/main" id="{00000000-0008-0000-0300-0000FD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90" t="9114" r="6999" b="20760"/>
        <a:stretch>
          <a:fillRect/>
        </a:stretch>
      </xdr:blipFill>
      <xdr:spPr bwMode="auto">
        <a:xfrm>
          <a:off x="561975" y="3238500"/>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495300</xdr:colOff>
      <xdr:row>33</xdr:row>
      <xdr:rowOff>142875</xdr:rowOff>
    </xdr:from>
    <xdr:to>
      <xdr:col>7</xdr:col>
      <xdr:colOff>350184</xdr:colOff>
      <xdr:row>52</xdr:row>
      <xdr:rowOff>123825</xdr:rowOff>
    </xdr:to>
    <xdr:pic>
      <xdr:nvPicPr>
        <xdr:cNvPr id="3" name="Picture 3">
          <a:extLst>
            <a:ext uri="{FF2B5EF4-FFF2-40B4-BE49-F238E27FC236}">
              <a16:creationId xmlns:a16="http://schemas.microsoft.com/office/drawing/2014/main" id="{00000000-0008-0000-0300-0000FE0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375" t="9486" r="6375" b="20201"/>
        <a:stretch>
          <a:fillRect/>
        </a:stretch>
      </xdr:blipFill>
      <xdr:spPr bwMode="auto">
        <a:xfrm>
          <a:off x="495300" y="701040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466725</xdr:colOff>
      <xdr:row>53</xdr:row>
      <xdr:rowOff>85725</xdr:rowOff>
    </xdr:from>
    <xdr:to>
      <xdr:col>7</xdr:col>
      <xdr:colOff>321609</xdr:colOff>
      <xdr:row>72</xdr:row>
      <xdr:rowOff>66675</xdr:rowOff>
    </xdr:to>
    <xdr:pic>
      <xdr:nvPicPr>
        <xdr:cNvPr id="4" name="Picture 4">
          <a:extLst>
            <a:ext uri="{FF2B5EF4-FFF2-40B4-BE49-F238E27FC236}">
              <a16:creationId xmlns:a16="http://schemas.microsoft.com/office/drawing/2014/main" id="{00000000-0008-0000-0300-0000FF09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6354" t="9300" r="6477" b="19829"/>
        <a:stretch>
          <a:fillRect/>
        </a:stretch>
      </xdr:blipFill>
      <xdr:spPr bwMode="auto">
        <a:xfrm>
          <a:off x="466725" y="10763250"/>
          <a:ext cx="81534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428625</xdr:colOff>
      <xdr:row>73</xdr:row>
      <xdr:rowOff>57150</xdr:rowOff>
    </xdr:from>
    <xdr:to>
      <xdr:col>7</xdr:col>
      <xdr:colOff>264459</xdr:colOff>
      <xdr:row>92</xdr:row>
      <xdr:rowOff>38100</xdr:rowOff>
    </xdr:to>
    <xdr:pic>
      <xdr:nvPicPr>
        <xdr:cNvPr id="5" name="Picture 5">
          <a:extLst>
            <a:ext uri="{FF2B5EF4-FFF2-40B4-BE49-F238E27FC236}">
              <a16:creationId xmlns:a16="http://schemas.microsoft.com/office/drawing/2014/main" id="{00000000-0008-0000-0300-0000000A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4999" t="9486" r="7312" b="18713"/>
        <a:stretch>
          <a:fillRect/>
        </a:stretch>
      </xdr:blipFill>
      <xdr:spPr bwMode="auto">
        <a:xfrm>
          <a:off x="428625" y="14544675"/>
          <a:ext cx="81343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93</xdr:row>
      <xdr:rowOff>38100</xdr:rowOff>
    </xdr:from>
    <xdr:to>
      <xdr:col>7</xdr:col>
      <xdr:colOff>197784</xdr:colOff>
      <xdr:row>112</xdr:row>
      <xdr:rowOff>19050</xdr:rowOff>
    </xdr:to>
    <xdr:pic>
      <xdr:nvPicPr>
        <xdr:cNvPr id="6" name="Picture 6">
          <a:extLst>
            <a:ext uri="{FF2B5EF4-FFF2-40B4-BE49-F238E27FC236}">
              <a16:creationId xmlns:a16="http://schemas.microsoft.com/office/drawing/2014/main" id="{00000000-0008-0000-0300-0000010A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4659" t="9200" r="6323" b="20015"/>
        <a:stretch>
          <a:fillRect/>
        </a:stretch>
      </xdr:blipFill>
      <xdr:spPr bwMode="auto">
        <a:xfrm>
          <a:off x="419100" y="1833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113</xdr:row>
      <xdr:rowOff>38100</xdr:rowOff>
    </xdr:from>
    <xdr:to>
      <xdr:col>7</xdr:col>
      <xdr:colOff>178734</xdr:colOff>
      <xdr:row>132</xdr:row>
      <xdr:rowOff>19050</xdr:rowOff>
    </xdr:to>
    <xdr:pic>
      <xdr:nvPicPr>
        <xdr:cNvPr id="7" name="Picture 7">
          <a:extLst>
            <a:ext uri="{FF2B5EF4-FFF2-40B4-BE49-F238E27FC236}">
              <a16:creationId xmlns:a16="http://schemas.microsoft.com/office/drawing/2014/main" id="{00000000-0008-0000-0300-0000020A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793" t="9233" r="8308" b="11932"/>
        <a:stretch>
          <a:fillRect/>
        </a:stretch>
      </xdr:blipFill>
      <xdr:spPr bwMode="auto">
        <a:xfrm>
          <a:off x="400050" y="22145625"/>
          <a:ext cx="80772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132</xdr:row>
      <xdr:rowOff>171450</xdr:rowOff>
    </xdr:from>
    <xdr:to>
      <xdr:col>7</xdr:col>
      <xdr:colOff>112059</xdr:colOff>
      <xdr:row>155</xdr:row>
      <xdr:rowOff>85725</xdr:rowOff>
    </xdr:to>
    <xdr:pic>
      <xdr:nvPicPr>
        <xdr:cNvPr id="8" name="Picture 8">
          <a:extLst>
            <a:ext uri="{FF2B5EF4-FFF2-40B4-BE49-F238E27FC236}">
              <a16:creationId xmlns:a16="http://schemas.microsoft.com/office/drawing/2014/main" id="{00000000-0008-0000-0300-0000030A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793" t="9470" r="11882" b="6960"/>
        <a:stretch>
          <a:fillRect/>
        </a:stretch>
      </xdr:blipFill>
      <xdr:spPr bwMode="auto">
        <a:xfrm>
          <a:off x="400050" y="25898475"/>
          <a:ext cx="8010525" cy="4295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PSrd7X46iUVYceJ7"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2"/>
  <sheetViews>
    <sheetView tabSelected="1" view="pageLayout" zoomScale="85" zoomScaleNormal="100" zoomScaleSheetLayoutView="100" zoomScalePageLayoutView="85" workbookViewId="0">
      <selection activeCell="E9" sqref="E9:H9"/>
    </sheetView>
  </sheetViews>
  <sheetFormatPr defaultColWidth="9.08984375" defaultRowHeight="15.5" x14ac:dyDescent="0.35"/>
  <cols>
    <col min="1" max="1" width="11.453125" style="14" customWidth="1"/>
    <col min="2" max="2" width="11.90625" style="14" customWidth="1"/>
    <col min="3" max="3" width="12.6328125" style="14" customWidth="1"/>
    <col min="4" max="4" width="12.90625" style="14" customWidth="1"/>
    <col min="5" max="7" width="11.6328125" style="14" customWidth="1"/>
    <col min="8" max="8" width="20.08984375" style="14" customWidth="1"/>
    <col min="9" max="9" width="20.453125" style="7" customWidth="1"/>
    <col min="10" max="10" width="9.90625" style="7" bestFit="1" customWidth="1"/>
    <col min="11" max="13" width="9.08984375" style="7"/>
    <col min="14" max="14" width="11.36328125" style="7" bestFit="1" customWidth="1"/>
    <col min="15" max="252" width="9.08984375" style="7"/>
    <col min="253" max="253" width="8.6328125" style="7" customWidth="1"/>
    <col min="254" max="254" width="9.90625" style="7" customWidth="1"/>
    <col min="255" max="255" width="14.453125" style="7" customWidth="1"/>
    <col min="256" max="256" width="7.36328125" style="7" customWidth="1"/>
    <col min="257" max="257" width="5.54296875" style="7" customWidth="1"/>
    <col min="258" max="258" width="9" style="7" customWidth="1"/>
    <col min="259" max="260" width="9.90625" style="7" customWidth="1"/>
    <col min="261" max="261" width="11.08984375" style="7" customWidth="1"/>
    <col min="262" max="262" width="2.90625" style="7" customWidth="1"/>
    <col min="263" max="263" width="3.54296875" style="7" customWidth="1"/>
    <col min="264" max="508" width="9.08984375" style="7"/>
    <col min="509" max="509" width="8.6328125" style="7" customWidth="1"/>
    <col min="510" max="510" width="9.90625" style="7" customWidth="1"/>
    <col min="511" max="511" width="14.453125" style="7" customWidth="1"/>
    <col min="512" max="512" width="7.36328125" style="7" customWidth="1"/>
    <col min="513" max="513" width="5.54296875" style="7" customWidth="1"/>
    <col min="514" max="514" width="9" style="7" customWidth="1"/>
    <col min="515" max="516" width="9.90625" style="7" customWidth="1"/>
    <col min="517" max="517" width="11.08984375" style="7" customWidth="1"/>
    <col min="518" max="518" width="2.90625" style="7" customWidth="1"/>
    <col min="519" max="519" width="3.54296875" style="7" customWidth="1"/>
    <col min="520" max="764" width="9.08984375" style="7"/>
    <col min="765" max="765" width="8.6328125" style="7" customWidth="1"/>
    <col min="766" max="766" width="9.90625" style="7" customWidth="1"/>
    <col min="767" max="767" width="14.453125" style="7" customWidth="1"/>
    <col min="768" max="768" width="7.36328125" style="7" customWidth="1"/>
    <col min="769" max="769" width="5.54296875" style="7" customWidth="1"/>
    <col min="770" max="770" width="9" style="7" customWidth="1"/>
    <col min="771" max="772" width="9.90625" style="7" customWidth="1"/>
    <col min="773" max="773" width="11.08984375" style="7" customWidth="1"/>
    <col min="774" max="774" width="2.90625" style="7" customWidth="1"/>
    <col min="775" max="775" width="3.54296875" style="7" customWidth="1"/>
    <col min="776" max="1020" width="9.08984375" style="7"/>
    <col min="1021" max="1021" width="8.6328125" style="7" customWidth="1"/>
    <col min="1022" max="1022" width="9.90625" style="7" customWidth="1"/>
    <col min="1023" max="1023" width="14.453125" style="7" customWidth="1"/>
    <col min="1024" max="1024" width="7.36328125" style="7" customWidth="1"/>
    <col min="1025" max="1025" width="5.54296875" style="7" customWidth="1"/>
    <col min="1026" max="1026" width="9" style="7" customWidth="1"/>
    <col min="1027" max="1028" width="9.90625" style="7" customWidth="1"/>
    <col min="1029" max="1029" width="11.08984375" style="7" customWidth="1"/>
    <col min="1030" max="1030" width="2.90625" style="7" customWidth="1"/>
    <col min="1031" max="1031" width="3.54296875" style="7" customWidth="1"/>
    <col min="1032" max="1276" width="9.08984375" style="7"/>
    <col min="1277" max="1277" width="8.6328125" style="7" customWidth="1"/>
    <col min="1278" max="1278" width="9.90625" style="7" customWidth="1"/>
    <col min="1279" max="1279" width="14.453125" style="7" customWidth="1"/>
    <col min="1280" max="1280" width="7.36328125" style="7" customWidth="1"/>
    <col min="1281" max="1281" width="5.54296875" style="7" customWidth="1"/>
    <col min="1282" max="1282" width="9" style="7" customWidth="1"/>
    <col min="1283" max="1284" width="9.90625" style="7" customWidth="1"/>
    <col min="1285" max="1285" width="11.08984375" style="7" customWidth="1"/>
    <col min="1286" max="1286" width="2.90625" style="7" customWidth="1"/>
    <col min="1287" max="1287" width="3.54296875" style="7" customWidth="1"/>
    <col min="1288" max="1532" width="9.08984375" style="7"/>
    <col min="1533" max="1533" width="8.6328125" style="7" customWidth="1"/>
    <col min="1534" max="1534" width="9.90625" style="7" customWidth="1"/>
    <col min="1535" max="1535" width="14.453125" style="7" customWidth="1"/>
    <col min="1536" max="1536" width="7.36328125" style="7" customWidth="1"/>
    <col min="1537" max="1537" width="5.54296875" style="7" customWidth="1"/>
    <col min="1538" max="1538" width="9" style="7" customWidth="1"/>
    <col min="1539" max="1540" width="9.90625" style="7" customWidth="1"/>
    <col min="1541" max="1541" width="11.08984375" style="7" customWidth="1"/>
    <col min="1542" max="1542" width="2.90625" style="7" customWidth="1"/>
    <col min="1543" max="1543" width="3.54296875" style="7" customWidth="1"/>
    <col min="1544" max="1788" width="9.08984375" style="7"/>
    <col min="1789" max="1789" width="8.6328125" style="7" customWidth="1"/>
    <col min="1790" max="1790" width="9.90625" style="7" customWidth="1"/>
    <col min="1791" max="1791" width="14.453125" style="7" customWidth="1"/>
    <col min="1792" max="1792" width="7.36328125" style="7" customWidth="1"/>
    <col min="1793" max="1793" width="5.54296875" style="7" customWidth="1"/>
    <col min="1794" max="1794" width="9" style="7" customWidth="1"/>
    <col min="1795" max="1796" width="9.90625" style="7" customWidth="1"/>
    <col min="1797" max="1797" width="11.08984375" style="7" customWidth="1"/>
    <col min="1798" max="1798" width="2.90625" style="7" customWidth="1"/>
    <col min="1799" max="1799" width="3.54296875" style="7" customWidth="1"/>
    <col min="1800" max="2044" width="9.08984375" style="7"/>
    <col min="2045" max="2045" width="8.6328125" style="7" customWidth="1"/>
    <col min="2046" max="2046" width="9.90625" style="7" customWidth="1"/>
    <col min="2047" max="2047" width="14.453125" style="7" customWidth="1"/>
    <col min="2048" max="2048" width="7.36328125" style="7" customWidth="1"/>
    <col min="2049" max="2049" width="5.54296875" style="7" customWidth="1"/>
    <col min="2050" max="2050" width="9" style="7" customWidth="1"/>
    <col min="2051" max="2052" width="9.90625" style="7" customWidth="1"/>
    <col min="2053" max="2053" width="11.08984375" style="7" customWidth="1"/>
    <col min="2054" max="2054" width="2.90625" style="7" customWidth="1"/>
    <col min="2055" max="2055" width="3.54296875" style="7" customWidth="1"/>
    <col min="2056" max="2300" width="9.08984375" style="7"/>
    <col min="2301" max="2301" width="8.6328125" style="7" customWidth="1"/>
    <col min="2302" max="2302" width="9.90625" style="7" customWidth="1"/>
    <col min="2303" max="2303" width="14.453125" style="7" customWidth="1"/>
    <col min="2304" max="2304" width="7.36328125" style="7" customWidth="1"/>
    <col min="2305" max="2305" width="5.54296875" style="7" customWidth="1"/>
    <col min="2306" max="2306" width="9" style="7" customWidth="1"/>
    <col min="2307" max="2308" width="9.90625" style="7" customWidth="1"/>
    <col min="2309" max="2309" width="11.08984375" style="7" customWidth="1"/>
    <col min="2310" max="2310" width="2.90625" style="7" customWidth="1"/>
    <col min="2311" max="2311" width="3.54296875" style="7" customWidth="1"/>
    <col min="2312" max="2556" width="9.08984375" style="7"/>
    <col min="2557" max="2557" width="8.6328125" style="7" customWidth="1"/>
    <col min="2558" max="2558" width="9.90625" style="7" customWidth="1"/>
    <col min="2559" max="2559" width="14.453125" style="7" customWidth="1"/>
    <col min="2560" max="2560" width="7.36328125" style="7" customWidth="1"/>
    <col min="2561" max="2561" width="5.54296875" style="7" customWidth="1"/>
    <col min="2562" max="2562" width="9" style="7" customWidth="1"/>
    <col min="2563" max="2564" width="9.90625" style="7" customWidth="1"/>
    <col min="2565" max="2565" width="11.08984375" style="7" customWidth="1"/>
    <col min="2566" max="2566" width="2.90625" style="7" customWidth="1"/>
    <col min="2567" max="2567" width="3.54296875" style="7" customWidth="1"/>
    <col min="2568" max="2812" width="9.08984375" style="7"/>
    <col min="2813" max="2813" width="8.6328125" style="7" customWidth="1"/>
    <col min="2814" max="2814" width="9.90625" style="7" customWidth="1"/>
    <col min="2815" max="2815" width="14.453125" style="7" customWidth="1"/>
    <col min="2816" max="2816" width="7.36328125" style="7" customWidth="1"/>
    <col min="2817" max="2817" width="5.54296875" style="7" customWidth="1"/>
    <col min="2818" max="2818" width="9" style="7" customWidth="1"/>
    <col min="2819" max="2820" width="9.90625" style="7" customWidth="1"/>
    <col min="2821" max="2821" width="11.08984375" style="7" customWidth="1"/>
    <col min="2822" max="2822" width="2.90625" style="7" customWidth="1"/>
    <col min="2823" max="2823" width="3.54296875" style="7" customWidth="1"/>
    <col min="2824" max="3068" width="9.08984375" style="7"/>
    <col min="3069" max="3069" width="8.6328125" style="7" customWidth="1"/>
    <col min="3070" max="3070" width="9.90625" style="7" customWidth="1"/>
    <col min="3071" max="3071" width="14.453125" style="7" customWidth="1"/>
    <col min="3072" max="3072" width="7.36328125" style="7" customWidth="1"/>
    <col min="3073" max="3073" width="5.54296875" style="7" customWidth="1"/>
    <col min="3074" max="3074" width="9" style="7" customWidth="1"/>
    <col min="3075" max="3076" width="9.90625" style="7" customWidth="1"/>
    <col min="3077" max="3077" width="11.08984375" style="7" customWidth="1"/>
    <col min="3078" max="3078" width="2.90625" style="7" customWidth="1"/>
    <col min="3079" max="3079" width="3.54296875" style="7" customWidth="1"/>
    <col min="3080" max="3324" width="9.08984375" style="7"/>
    <col min="3325" max="3325" width="8.6328125" style="7" customWidth="1"/>
    <col min="3326" max="3326" width="9.90625" style="7" customWidth="1"/>
    <col min="3327" max="3327" width="14.453125" style="7" customWidth="1"/>
    <col min="3328" max="3328" width="7.36328125" style="7" customWidth="1"/>
    <col min="3329" max="3329" width="5.54296875" style="7" customWidth="1"/>
    <col min="3330" max="3330" width="9" style="7" customWidth="1"/>
    <col min="3331" max="3332" width="9.90625" style="7" customWidth="1"/>
    <col min="3333" max="3333" width="11.08984375" style="7" customWidth="1"/>
    <col min="3334" max="3334" width="2.90625" style="7" customWidth="1"/>
    <col min="3335" max="3335" width="3.54296875" style="7" customWidth="1"/>
    <col min="3336" max="3580" width="9.08984375" style="7"/>
    <col min="3581" max="3581" width="8.6328125" style="7" customWidth="1"/>
    <col min="3582" max="3582" width="9.90625" style="7" customWidth="1"/>
    <col min="3583" max="3583" width="14.453125" style="7" customWidth="1"/>
    <col min="3584" max="3584" width="7.36328125" style="7" customWidth="1"/>
    <col min="3585" max="3585" width="5.54296875" style="7" customWidth="1"/>
    <col min="3586" max="3586" width="9" style="7" customWidth="1"/>
    <col min="3587" max="3588" width="9.90625" style="7" customWidth="1"/>
    <col min="3589" max="3589" width="11.08984375" style="7" customWidth="1"/>
    <col min="3590" max="3590" width="2.90625" style="7" customWidth="1"/>
    <col min="3591" max="3591" width="3.54296875" style="7" customWidth="1"/>
    <col min="3592" max="3836" width="9.08984375" style="7"/>
    <col min="3837" max="3837" width="8.6328125" style="7" customWidth="1"/>
    <col min="3838" max="3838" width="9.90625" style="7" customWidth="1"/>
    <col min="3839" max="3839" width="14.453125" style="7" customWidth="1"/>
    <col min="3840" max="3840" width="7.36328125" style="7" customWidth="1"/>
    <col min="3841" max="3841" width="5.54296875" style="7" customWidth="1"/>
    <col min="3842" max="3842" width="9" style="7" customWidth="1"/>
    <col min="3843" max="3844" width="9.90625" style="7" customWidth="1"/>
    <col min="3845" max="3845" width="11.08984375" style="7" customWidth="1"/>
    <col min="3846" max="3846" width="2.90625" style="7" customWidth="1"/>
    <col min="3847" max="3847" width="3.54296875" style="7" customWidth="1"/>
    <col min="3848" max="4092" width="9.08984375" style="7"/>
    <col min="4093" max="4093" width="8.6328125" style="7" customWidth="1"/>
    <col min="4094" max="4094" width="9.90625" style="7" customWidth="1"/>
    <col min="4095" max="4095" width="14.453125" style="7" customWidth="1"/>
    <col min="4096" max="4096" width="7.36328125" style="7" customWidth="1"/>
    <col min="4097" max="4097" width="5.54296875" style="7" customWidth="1"/>
    <col min="4098" max="4098" width="9" style="7" customWidth="1"/>
    <col min="4099" max="4100" width="9.90625" style="7" customWidth="1"/>
    <col min="4101" max="4101" width="11.08984375" style="7" customWidth="1"/>
    <col min="4102" max="4102" width="2.90625" style="7" customWidth="1"/>
    <col min="4103" max="4103" width="3.54296875" style="7" customWidth="1"/>
    <col min="4104" max="4348" width="9.08984375" style="7"/>
    <col min="4349" max="4349" width="8.6328125" style="7" customWidth="1"/>
    <col min="4350" max="4350" width="9.90625" style="7" customWidth="1"/>
    <col min="4351" max="4351" width="14.453125" style="7" customWidth="1"/>
    <col min="4352" max="4352" width="7.36328125" style="7" customWidth="1"/>
    <col min="4353" max="4353" width="5.54296875" style="7" customWidth="1"/>
    <col min="4354" max="4354" width="9" style="7" customWidth="1"/>
    <col min="4355" max="4356" width="9.90625" style="7" customWidth="1"/>
    <col min="4357" max="4357" width="11.08984375" style="7" customWidth="1"/>
    <col min="4358" max="4358" width="2.90625" style="7" customWidth="1"/>
    <col min="4359" max="4359" width="3.54296875" style="7" customWidth="1"/>
    <col min="4360" max="4604" width="9.08984375" style="7"/>
    <col min="4605" max="4605" width="8.6328125" style="7" customWidth="1"/>
    <col min="4606" max="4606" width="9.90625" style="7" customWidth="1"/>
    <col min="4607" max="4607" width="14.453125" style="7" customWidth="1"/>
    <col min="4608" max="4608" width="7.36328125" style="7" customWidth="1"/>
    <col min="4609" max="4609" width="5.54296875" style="7" customWidth="1"/>
    <col min="4610" max="4610" width="9" style="7" customWidth="1"/>
    <col min="4611" max="4612" width="9.90625" style="7" customWidth="1"/>
    <col min="4613" max="4613" width="11.08984375" style="7" customWidth="1"/>
    <col min="4614" max="4614" width="2.90625" style="7" customWidth="1"/>
    <col min="4615" max="4615" width="3.54296875" style="7" customWidth="1"/>
    <col min="4616" max="4860" width="9.08984375" style="7"/>
    <col min="4861" max="4861" width="8.6328125" style="7" customWidth="1"/>
    <col min="4862" max="4862" width="9.90625" style="7" customWidth="1"/>
    <col min="4863" max="4863" width="14.453125" style="7" customWidth="1"/>
    <col min="4864" max="4864" width="7.36328125" style="7" customWidth="1"/>
    <col min="4865" max="4865" width="5.54296875" style="7" customWidth="1"/>
    <col min="4866" max="4866" width="9" style="7" customWidth="1"/>
    <col min="4867" max="4868" width="9.90625" style="7" customWidth="1"/>
    <col min="4869" max="4869" width="11.08984375" style="7" customWidth="1"/>
    <col min="4870" max="4870" width="2.90625" style="7" customWidth="1"/>
    <col min="4871" max="4871" width="3.54296875" style="7" customWidth="1"/>
    <col min="4872" max="5116" width="9.08984375" style="7"/>
    <col min="5117" max="5117" width="8.6328125" style="7" customWidth="1"/>
    <col min="5118" max="5118" width="9.90625" style="7" customWidth="1"/>
    <col min="5119" max="5119" width="14.453125" style="7" customWidth="1"/>
    <col min="5120" max="5120" width="7.36328125" style="7" customWidth="1"/>
    <col min="5121" max="5121" width="5.54296875" style="7" customWidth="1"/>
    <col min="5122" max="5122" width="9" style="7" customWidth="1"/>
    <col min="5123" max="5124" width="9.90625" style="7" customWidth="1"/>
    <col min="5125" max="5125" width="11.08984375" style="7" customWidth="1"/>
    <col min="5126" max="5126" width="2.90625" style="7" customWidth="1"/>
    <col min="5127" max="5127" width="3.54296875" style="7" customWidth="1"/>
    <col min="5128" max="5372" width="9.08984375" style="7"/>
    <col min="5373" max="5373" width="8.6328125" style="7" customWidth="1"/>
    <col min="5374" max="5374" width="9.90625" style="7" customWidth="1"/>
    <col min="5375" max="5375" width="14.453125" style="7" customWidth="1"/>
    <col min="5376" max="5376" width="7.36328125" style="7" customWidth="1"/>
    <col min="5377" max="5377" width="5.54296875" style="7" customWidth="1"/>
    <col min="5378" max="5378" width="9" style="7" customWidth="1"/>
    <col min="5379" max="5380" width="9.90625" style="7" customWidth="1"/>
    <col min="5381" max="5381" width="11.08984375" style="7" customWidth="1"/>
    <col min="5382" max="5382" width="2.90625" style="7" customWidth="1"/>
    <col min="5383" max="5383" width="3.54296875" style="7" customWidth="1"/>
    <col min="5384" max="5628" width="9.08984375" style="7"/>
    <col min="5629" max="5629" width="8.6328125" style="7" customWidth="1"/>
    <col min="5630" max="5630" width="9.90625" style="7" customWidth="1"/>
    <col min="5631" max="5631" width="14.453125" style="7" customWidth="1"/>
    <col min="5632" max="5632" width="7.36328125" style="7" customWidth="1"/>
    <col min="5633" max="5633" width="5.54296875" style="7" customWidth="1"/>
    <col min="5634" max="5634" width="9" style="7" customWidth="1"/>
    <col min="5635" max="5636" width="9.90625" style="7" customWidth="1"/>
    <col min="5637" max="5637" width="11.08984375" style="7" customWidth="1"/>
    <col min="5638" max="5638" width="2.90625" style="7" customWidth="1"/>
    <col min="5639" max="5639" width="3.54296875" style="7" customWidth="1"/>
    <col min="5640" max="5884" width="9.08984375" style="7"/>
    <col min="5885" max="5885" width="8.6328125" style="7" customWidth="1"/>
    <col min="5886" max="5886" width="9.90625" style="7" customWidth="1"/>
    <col min="5887" max="5887" width="14.453125" style="7" customWidth="1"/>
    <col min="5888" max="5888" width="7.36328125" style="7" customWidth="1"/>
    <col min="5889" max="5889" width="5.54296875" style="7" customWidth="1"/>
    <col min="5890" max="5890" width="9" style="7" customWidth="1"/>
    <col min="5891" max="5892" width="9.90625" style="7" customWidth="1"/>
    <col min="5893" max="5893" width="11.08984375" style="7" customWidth="1"/>
    <col min="5894" max="5894" width="2.90625" style="7" customWidth="1"/>
    <col min="5895" max="5895" width="3.54296875" style="7" customWidth="1"/>
    <col min="5896" max="6140" width="9.08984375" style="7"/>
    <col min="6141" max="6141" width="8.6328125" style="7" customWidth="1"/>
    <col min="6142" max="6142" width="9.90625" style="7" customWidth="1"/>
    <col min="6143" max="6143" width="14.453125" style="7" customWidth="1"/>
    <col min="6144" max="6144" width="7.36328125" style="7" customWidth="1"/>
    <col min="6145" max="6145" width="5.54296875" style="7" customWidth="1"/>
    <col min="6146" max="6146" width="9" style="7" customWidth="1"/>
    <col min="6147" max="6148" width="9.90625" style="7" customWidth="1"/>
    <col min="6149" max="6149" width="11.08984375" style="7" customWidth="1"/>
    <col min="6150" max="6150" width="2.90625" style="7" customWidth="1"/>
    <col min="6151" max="6151" width="3.54296875" style="7" customWidth="1"/>
    <col min="6152" max="6396" width="9.08984375" style="7"/>
    <col min="6397" max="6397" width="8.6328125" style="7" customWidth="1"/>
    <col min="6398" max="6398" width="9.90625" style="7" customWidth="1"/>
    <col min="6399" max="6399" width="14.453125" style="7" customWidth="1"/>
    <col min="6400" max="6400" width="7.36328125" style="7" customWidth="1"/>
    <col min="6401" max="6401" width="5.54296875" style="7" customWidth="1"/>
    <col min="6402" max="6402" width="9" style="7" customWidth="1"/>
    <col min="6403" max="6404" width="9.90625" style="7" customWidth="1"/>
    <col min="6405" max="6405" width="11.08984375" style="7" customWidth="1"/>
    <col min="6406" max="6406" width="2.90625" style="7" customWidth="1"/>
    <col min="6407" max="6407" width="3.54296875" style="7" customWidth="1"/>
    <col min="6408" max="6652" width="9.08984375" style="7"/>
    <col min="6653" max="6653" width="8.6328125" style="7" customWidth="1"/>
    <col min="6654" max="6654" width="9.90625" style="7" customWidth="1"/>
    <col min="6655" max="6655" width="14.453125" style="7" customWidth="1"/>
    <col min="6656" max="6656" width="7.36328125" style="7" customWidth="1"/>
    <col min="6657" max="6657" width="5.54296875" style="7" customWidth="1"/>
    <col min="6658" max="6658" width="9" style="7" customWidth="1"/>
    <col min="6659" max="6660" width="9.90625" style="7" customWidth="1"/>
    <col min="6661" max="6661" width="11.08984375" style="7" customWidth="1"/>
    <col min="6662" max="6662" width="2.90625" style="7" customWidth="1"/>
    <col min="6663" max="6663" width="3.54296875" style="7" customWidth="1"/>
    <col min="6664" max="6908" width="9.08984375" style="7"/>
    <col min="6909" max="6909" width="8.6328125" style="7" customWidth="1"/>
    <col min="6910" max="6910" width="9.90625" style="7" customWidth="1"/>
    <col min="6911" max="6911" width="14.453125" style="7" customWidth="1"/>
    <col min="6912" max="6912" width="7.36328125" style="7" customWidth="1"/>
    <col min="6913" max="6913" width="5.54296875" style="7" customWidth="1"/>
    <col min="6914" max="6914" width="9" style="7" customWidth="1"/>
    <col min="6915" max="6916" width="9.90625" style="7" customWidth="1"/>
    <col min="6917" max="6917" width="11.08984375" style="7" customWidth="1"/>
    <col min="6918" max="6918" width="2.90625" style="7" customWidth="1"/>
    <col min="6919" max="6919" width="3.54296875" style="7" customWidth="1"/>
    <col min="6920" max="7164" width="9.08984375" style="7"/>
    <col min="7165" max="7165" width="8.6328125" style="7" customWidth="1"/>
    <col min="7166" max="7166" width="9.90625" style="7" customWidth="1"/>
    <col min="7167" max="7167" width="14.453125" style="7" customWidth="1"/>
    <col min="7168" max="7168" width="7.36328125" style="7" customWidth="1"/>
    <col min="7169" max="7169" width="5.54296875" style="7" customWidth="1"/>
    <col min="7170" max="7170" width="9" style="7" customWidth="1"/>
    <col min="7171" max="7172" width="9.90625" style="7" customWidth="1"/>
    <col min="7173" max="7173" width="11.08984375" style="7" customWidth="1"/>
    <col min="7174" max="7174" width="2.90625" style="7" customWidth="1"/>
    <col min="7175" max="7175" width="3.54296875" style="7" customWidth="1"/>
    <col min="7176" max="7420" width="9.08984375" style="7"/>
    <col min="7421" max="7421" width="8.6328125" style="7" customWidth="1"/>
    <col min="7422" max="7422" width="9.90625" style="7" customWidth="1"/>
    <col min="7423" max="7423" width="14.453125" style="7" customWidth="1"/>
    <col min="7424" max="7424" width="7.36328125" style="7" customWidth="1"/>
    <col min="7425" max="7425" width="5.54296875" style="7" customWidth="1"/>
    <col min="7426" max="7426" width="9" style="7" customWidth="1"/>
    <col min="7427" max="7428" width="9.90625" style="7" customWidth="1"/>
    <col min="7429" max="7429" width="11.08984375" style="7" customWidth="1"/>
    <col min="7430" max="7430" width="2.90625" style="7" customWidth="1"/>
    <col min="7431" max="7431" width="3.54296875" style="7" customWidth="1"/>
    <col min="7432" max="7676" width="9.08984375" style="7"/>
    <col min="7677" max="7677" width="8.6328125" style="7" customWidth="1"/>
    <col min="7678" max="7678" width="9.90625" style="7" customWidth="1"/>
    <col min="7679" max="7679" width="14.453125" style="7" customWidth="1"/>
    <col min="7680" max="7680" width="7.36328125" style="7" customWidth="1"/>
    <col min="7681" max="7681" width="5.54296875" style="7" customWidth="1"/>
    <col min="7682" max="7682" width="9" style="7" customWidth="1"/>
    <col min="7683" max="7684" width="9.90625" style="7" customWidth="1"/>
    <col min="7685" max="7685" width="11.08984375" style="7" customWidth="1"/>
    <col min="7686" max="7686" width="2.90625" style="7" customWidth="1"/>
    <col min="7687" max="7687" width="3.54296875" style="7" customWidth="1"/>
    <col min="7688" max="7932" width="9.08984375" style="7"/>
    <col min="7933" max="7933" width="8.6328125" style="7" customWidth="1"/>
    <col min="7934" max="7934" width="9.90625" style="7" customWidth="1"/>
    <col min="7935" max="7935" width="14.453125" style="7" customWidth="1"/>
    <col min="7936" max="7936" width="7.36328125" style="7" customWidth="1"/>
    <col min="7937" max="7937" width="5.54296875" style="7" customWidth="1"/>
    <col min="7938" max="7938" width="9" style="7" customWidth="1"/>
    <col min="7939" max="7940" width="9.90625" style="7" customWidth="1"/>
    <col min="7941" max="7941" width="11.08984375" style="7" customWidth="1"/>
    <col min="7942" max="7942" width="2.90625" style="7" customWidth="1"/>
    <col min="7943" max="7943" width="3.54296875" style="7" customWidth="1"/>
    <col min="7944" max="8188" width="9.08984375" style="7"/>
    <col min="8189" max="8189" width="8.6328125" style="7" customWidth="1"/>
    <col min="8190" max="8190" width="9.90625" style="7" customWidth="1"/>
    <col min="8191" max="8191" width="14.453125" style="7" customWidth="1"/>
    <col min="8192" max="8192" width="7.36328125" style="7" customWidth="1"/>
    <col min="8193" max="8193" width="5.54296875" style="7" customWidth="1"/>
    <col min="8194" max="8194" width="9" style="7" customWidth="1"/>
    <col min="8195" max="8196" width="9.90625" style="7" customWidth="1"/>
    <col min="8197" max="8197" width="11.08984375" style="7" customWidth="1"/>
    <col min="8198" max="8198" width="2.90625" style="7" customWidth="1"/>
    <col min="8199" max="8199" width="3.54296875" style="7" customWidth="1"/>
    <col min="8200" max="8444" width="9.08984375" style="7"/>
    <col min="8445" max="8445" width="8.6328125" style="7" customWidth="1"/>
    <col min="8446" max="8446" width="9.90625" style="7" customWidth="1"/>
    <col min="8447" max="8447" width="14.453125" style="7" customWidth="1"/>
    <col min="8448" max="8448" width="7.36328125" style="7" customWidth="1"/>
    <col min="8449" max="8449" width="5.54296875" style="7" customWidth="1"/>
    <col min="8450" max="8450" width="9" style="7" customWidth="1"/>
    <col min="8451" max="8452" width="9.90625" style="7" customWidth="1"/>
    <col min="8453" max="8453" width="11.08984375" style="7" customWidth="1"/>
    <col min="8454" max="8454" width="2.90625" style="7" customWidth="1"/>
    <col min="8455" max="8455" width="3.54296875" style="7" customWidth="1"/>
    <col min="8456" max="8700" width="9.08984375" style="7"/>
    <col min="8701" max="8701" width="8.6328125" style="7" customWidth="1"/>
    <col min="8702" max="8702" width="9.90625" style="7" customWidth="1"/>
    <col min="8703" max="8703" width="14.453125" style="7" customWidth="1"/>
    <col min="8704" max="8704" width="7.36328125" style="7" customWidth="1"/>
    <col min="8705" max="8705" width="5.54296875" style="7" customWidth="1"/>
    <col min="8706" max="8706" width="9" style="7" customWidth="1"/>
    <col min="8707" max="8708" width="9.90625" style="7" customWidth="1"/>
    <col min="8709" max="8709" width="11.08984375" style="7" customWidth="1"/>
    <col min="8710" max="8710" width="2.90625" style="7" customWidth="1"/>
    <col min="8711" max="8711" width="3.54296875" style="7" customWidth="1"/>
    <col min="8712" max="8956" width="9.08984375" style="7"/>
    <col min="8957" max="8957" width="8.6328125" style="7" customWidth="1"/>
    <col min="8958" max="8958" width="9.90625" style="7" customWidth="1"/>
    <col min="8959" max="8959" width="14.453125" style="7" customWidth="1"/>
    <col min="8960" max="8960" width="7.36328125" style="7" customWidth="1"/>
    <col min="8961" max="8961" width="5.54296875" style="7" customWidth="1"/>
    <col min="8962" max="8962" width="9" style="7" customWidth="1"/>
    <col min="8963" max="8964" width="9.90625" style="7" customWidth="1"/>
    <col min="8965" max="8965" width="11.08984375" style="7" customWidth="1"/>
    <col min="8966" max="8966" width="2.90625" style="7" customWidth="1"/>
    <col min="8967" max="8967" width="3.54296875" style="7" customWidth="1"/>
    <col min="8968" max="9212" width="9.08984375" style="7"/>
    <col min="9213" max="9213" width="8.6328125" style="7" customWidth="1"/>
    <col min="9214" max="9214" width="9.90625" style="7" customWidth="1"/>
    <col min="9215" max="9215" width="14.453125" style="7" customWidth="1"/>
    <col min="9216" max="9216" width="7.36328125" style="7" customWidth="1"/>
    <col min="9217" max="9217" width="5.54296875" style="7" customWidth="1"/>
    <col min="9218" max="9218" width="9" style="7" customWidth="1"/>
    <col min="9219" max="9220" width="9.90625" style="7" customWidth="1"/>
    <col min="9221" max="9221" width="11.08984375" style="7" customWidth="1"/>
    <col min="9222" max="9222" width="2.90625" style="7" customWidth="1"/>
    <col min="9223" max="9223" width="3.54296875" style="7" customWidth="1"/>
    <col min="9224" max="9468" width="9.08984375" style="7"/>
    <col min="9469" max="9469" width="8.6328125" style="7" customWidth="1"/>
    <col min="9470" max="9470" width="9.90625" style="7" customWidth="1"/>
    <col min="9471" max="9471" width="14.453125" style="7" customWidth="1"/>
    <col min="9472" max="9472" width="7.36328125" style="7" customWidth="1"/>
    <col min="9473" max="9473" width="5.54296875" style="7" customWidth="1"/>
    <col min="9474" max="9474" width="9" style="7" customWidth="1"/>
    <col min="9475" max="9476" width="9.90625" style="7" customWidth="1"/>
    <col min="9477" max="9477" width="11.08984375" style="7" customWidth="1"/>
    <col min="9478" max="9478" width="2.90625" style="7" customWidth="1"/>
    <col min="9479" max="9479" width="3.54296875" style="7" customWidth="1"/>
    <col min="9480" max="9724" width="9.08984375" style="7"/>
    <col min="9725" max="9725" width="8.6328125" style="7" customWidth="1"/>
    <col min="9726" max="9726" width="9.90625" style="7" customWidth="1"/>
    <col min="9727" max="9727" width="14.453125" style="7" customWidth="1"/>
    <col min="9728" max="9728" width="7.36328125" style="7" customWidth="1"/>
    <col min="9729" max="9729" width="5.54296875" style="7" customWidth="1"/>
    <col min="9730" max="9730" width="9" style="7" customWidth="1"/>
    <col min="9731" max="9732" width="9.90625" style="7" customWidth="1"/>
    <col min="9733" max="9733" width="11.08984375" style="7" customWidth="1"/>
    <col min="9734" max="9734" width="2.90625" style="7" customWidth="1"/>
    <col min="9735" max="9735" width="3.54296875" style="7" customWidth="1"/>
    <col min="9736" max="9980" width="9.08984375" style="7"/>
    <col min="9981" max="9981" width="8.6328125" style="7" customWidth="1"/>
    <col min="9982" max="9982" width="9.90625" style="7" customWidth="1"/>
    <col min="9983" max="9983" width="14.453125" style="7" customWidth="1"/>
    <col min="9984" max="9984" width="7.36328125" style="7" customWidth="1"/>
    <col min="9985" max="9985" width="5.54296875" style="7" customWidth="1"/>
    <col min="9986" max="9986" width="9" style="7" customWidth="1"/>
    <col min="9987" max="9988" width="9.90625" style="7" customWidth="1"/>
    <col min="9989" max="9989" width="11.08984375" style="7" customWidth="1"/>
    <col min="9990" max="9990" width="2.90625" style="7" customWidth="1"/>
    <col min="9991" max="9991" width="3.54296875" style="7" customWidth="1"/>
    <col min="9992" max="10236" width="9.08984375" style="7"/>
    <col min="10237" max="10237" width="8.6328125" style="7" customWidth="1"/>
    <col min="10238" max="10238" width="9.90625" style="7" customWidth="1"/>
    <col min="10239" max="10239" width="14.453125" style="7" customWidth="1"/>
    <col min="10240" max="10240" width="7.36328125" style="7" customWidth="1"/>
    <col min="10241" max="10241" width="5.54296875" style="7" customWidth="1"/>
    <col min="10242" max="10242" width="9" style="7" customWidth="1"/>
    <col min="10243" max="10244" width="9.90625" style="7" customWidth="1"/>
    <col min="10245" max="10245" width="11.08984375" style="7" customWidth="1"/>
    <col min="10246" max="10246" width="2.90625" style="7" customWidth="1"/>
    <col min="10247" max="10247" width="3.54296875" style="7" customWidth="1"/>
    <col min="10248" max="10492" width="9.08984375" style="7"/>
    <col min="10493" max="10493" width="8.6328125" style="7" customWidth="1"/>
    <col min="10494" max="10494" width="9.90625" style="7" customWidth="1"/>
    <col min="10495" max="10495" width="14.453125" style="7" customWidth="1"/>
    <col min="10496" max="10496" width="7.36328125" style="7" customWidth="1"/>
    <col min="10497" max="10497" width="5.54296875" style="7" customWidth="1"/>
    <col min="10498" max="10498" width="9" style="7" customWidth="1"/>
    <col min="10499" max="10500" width="9.90625" style="7" customWidth="1"/>
    <col min="10501" max="10501" width="11.08984375" style="7" customWidth="1"/>
    <col min="10502" max="10502" width="2.90625" style="7" customWidth="1"/>
    <col min="10503" max="10503" width="3.54296875" style="7" customWidth="1"/>
    <col min="10504" max="10748" width="9.08984375" style="7"/>
    <col min="10749" max="10749" width="8.6328125" style="7" customWidth="1"/>
    <col min="10750" max="10750" width="9.90625" style="7" customWidth="1"/>
    <col min="10751" max="10751" width="14.453125" style="7" customWidth="1"/>
    <col min="10752" max="10752" width="7.36328125" style="7" customWidth="1"/>
    <col min="10753" max="10753" width="5.54296875" style="7" customWidth="1"/>
    <col min="10754" max="10754" width="9" style="7" customWidth="1"/>
    <col min="10755" max="10756" width="9.90625" style="7" customWidth="1"/>
    <col min="10757" max="10757" width="11.08984375" style="7" customWidth="1"/>
    <col min="10758" max="10758" width="2.90625" style="7" customWidth="1"/>
    <col min="10759" max="10759" width="3.54296875" style="7" customWidth="1"/>
    <col min="10760" max="11004" width="9.08984375" style="7"/>
    <col min="11005" max="11005" width="8.6328125" style="7" customWidth="1"/>
    <col min="11006" max="11006" width="9.90625" style="7" customWidth="1"/>
    <col min="11007" max="11007" width="14.453125" style="7" customWidth="1"/>
    <col min="11008" max="11008" width="7.36328125" style="7" customWidth="1"/>
    <col min="11009" max="11009" width="5.54296875" style="7" customWidth="1"/>
    <col min="11010" max="11010" width="9" style="7" customWidth="1"/>
    <col min="11011" max="11012" width="9.90625" style="7" customWidth="1"/>
    <col min="11013" max="11013" width="11.08984375" style="7" customWidth="1"/>
    <col min="11014" max="11014" width="2.90625" style="7" customWidth="1"/>
    <col min="11015" max="11015" width="3.54296875" style="7" customWidth="1"/>
    <col min="11016" max="11260" width="9.08984375" style="7"/>
    <col min="11261" max="11261" width="8.6328125" style="7" customWidth="1"/>
    <col min="11262" max="11262" width="9.90625" style="7" customWidth="1"/>
    <col min="11263" max="11263" width="14.453125" style="7" customWidth="1"/>
    <col min="11264" max="11264" width="7.36328125" style="7" customWidth="1"/>
    <col min="11265" max="11265" width="5.54296875" style="7" customWidth="1"/>
    <col min="11266" max="11266" width="9" style="7" customWidth="1"/>
    <col min="11267" max="11268" width="9.90625" style="7" customWidth="1"/>
    <col min="11269" max="11269" width="11.08984375" style="7" customWidth="1"/>
    <col min="11270" max="11270" width="2.90625" style="7" customWidth="1"/>
    <col min="11271" max="11271" width="3.54296875" style="7" customWidth="1"/>
    <col min="11272" max="11516" width="9.08984375" style="7"/>
    <col min="11517" max="11517" width="8.6328125" style="7" customWidth="1"/>
    <col min="11518" max="11518" width="9.90625" style="7" customWidth="1"/>
    <col min="11519" max="11519" width="14.453125" style="7" customWidth="1"/>
    <col min="11520" max="11520" width="7.36328125" style="7" customWidth="1"/>
    <col min="11521" max="11521" width="5.54296875" style="7" customWidth="1"/>
    <col min="11522" max="11522" width="9" style="7" customWidth="1"/>
    <col min="11523" max="11524" width="9.90625" style="7" customWidth="1"/>
    <col min="11525" max="11525" width="11.08984375" style="7" customWidth="1"/>
    <col min="11526" max="11526" width="2.90625" style="7" customWidth="1"/>
    <col min="11527" max="11527" width="3.54296875" style="7" customWidth="1"/>
    <col min="11528" max="11772" width="9.08984375" style="7"/>
    <col min="11773" max="11773" width="8.6328125" style="7" customWidth="1"/>
    <col min="11774" max="11774" width="9.90625" style="7" customWidth="1"/>
    <col min="11775" max="11775" width="14.453125" style="7" customWidth="1"/>
    <col min="11776" max="11776" width="7.36328125" style="7" customWidth="1"/>
    <col min="11777" max="11777" width="5.54296875" style="7" customWidth="1"/>
    <col min="11778" max="11778" width="9" style="7" customWidth="1"/>
    <col min="11779" max="11780" width="9.90625" style="7" customWidth="1"/>
    <col min="11781" max="11781" width="11.08984375" style="7" customWidth="1"/>
    <col min="11782" max="11782" width="2.90625" style="7" customWidth="1"/>
    <col min="11783" max="11783" width="3.54296875" style="7" customWidth="1"/>
    <col min="11784" max="12028" width="9.08984375" style="7"/>
    <col min="12029" max="12029" width="8.6328125" style="7" customWidth="1"/>
    <col min="12030" max="12030" width="9.90625" style="7" customWidth="1"/>
    <col min="12031" max="12031" width="14.453125" style="7" customWidth="1"/>
    <col min="12032" max="12032" width="7.36328125" style="7" customWidth="1"/>
    <col min="12033" max="12033" width="5.54296875" style="7" customWidth="1"/>
    <col min="12034" max="12034" width="9" style="7" customWidth="1"/>
    <col min="12035" max="12036" width="9.90625" style="7" customWidth="1"/>
    <col min="12037" max="12037" width="11.08984375" style="7" customWidth="1"/>
    <col min="12038" max="12038" width="2.90625" style="7" customWidth="1"/>
    <col min="12039" max="12039" width="3.54296875" style="7" customWidth="1"/>
    <col min="12040" max="12284" width="9.08984375" style="7"/>
    <col min="12285" max="12285" width="8.6328125" style="7" customWidth="1"/>
    <col min="12286" max="12286" width="9.90625" style="7" customWidth="1"/>
    <col min="12287" max="12287" width="14.453125" style="7" customWidth="1"/>
    <col min="12288" max="12288" width="7.36328125" style="7" customWidth="1"/>
    <col min="12289" max="12289" width="5.54296875" style="7" customWidth="1"/>
    <col min="12290" max="12290" width="9" style="7" customWidth="1"/>
    <col min="12291" max="12292" width="9.90625" style="7" customWidth="1"/>
    <col min="12293" max="12293" width="11.08984375" style="7" customWidth="1"/>
    <col min="12294" max="12294" width="2.90625" style="7" customWidth="1"/>
    <col min="12295" max="12295" width="3.54296875" style="7" customWidth="1"/>
    <col min="12296" max="12540" width="9.08984375" style="7"/>
    <col min="12541" max="12541" width="8.6328125" style="7" customWidth="1"/>
    <col min="12542" max="12542" width="9.90625" style="7" customWidth="1"/>
    <col min="12543" max="12543" width="14.453125" style="7" customWidth="1"/>
    <col min="12544" max="12544" width="7.36328125" style="7" customWidth="1"/>
    <col min="12545" max="12545" width="5.54296875" style="7" customWidth="1"/>
    <col min="12546" max="12546" width="9" style="7" customWidth="1"/>
    <col min="12547" max="12548" width="9.90625" style="7" customWidth="1"/>
    <col min="12549" max="12549" width="11.08984375" style="7" customWidth="1"/>
    <col min="12550" max="12550" width="2.90625" style="7" customWidth="1"/>
    <col min="12551" max="12551" width="3.54296875" style="7" customWidth="1"/>
    <col min="12552" max="12796" width="9.08984375" style="7"/>
    <col min="12797" max="12797" width="8.6328125" style="7" customWidth="1"/>
    <col min="12798" max="12798" width="9.90625" style="7" customWidth="1"/>
    <col min="12799" max="12799" width="14.453125" style="7" customWidth="1"/>
    <col min="12800" max="12800" width="7.36328125" style="7" customWidth="1"/>
    <col min="12801" max="12801" width="5.54296875" style="7" customWidth="1"/>
    <col min="12802" max="12802" width="9" style="7" customWidth="1"/>
    <col min="12803" max="12804" width="9.90625" style="7" customWidth="1"/>
    <col min="12805" max="12805" width="11.08984375" style="7" customWidth="1"/>
    <col min="12806" max="12806" width="2.90625" style="7" customWidth="1"/>
    <col min="12807" max="12807" width="3.54296875" style="7" customWidth="1"/>
    <col min="12808" max="13052" width="9.08984375" style="7"/>
    <col min="13053" max="13053" width="8.6328125" style="7" customWidth="1"/>
    <col min="13054" max="13054" width="9.90625" style="7" customWidth="1"/>
    <col min="13055" max="13055" width="14.453125" style="7" customWidth="1"/>
    <col min="13056" max="13056" width="7.36328125" style="7" customWidth="1"/>
    <col min="13057" max="13057" width="5.54296875" style="7" customWidth="1"/>
    <col min="13058" max="13058" width="9" style="7" customWidth="1"/>
    <col min="13059" max="13060" width="9.90625" style="7" customWidth="1"/>
    <col min="13061" max="13061" width="11.08984375" style="7" customWidth="1"/>
    <col min="13062" max="13062" width="2.90625" style="7" customWidth="1"/>
    <col min="13063" max="13063" width="3.54296875" style="7" customWidth="1"/>
    <col min="13064" max="13308" width="9.08984375" style="7"/>
    <col min="13309" max="13309" width="8.6328125" style="7" customWidth="1"/>
    <col min="13310" max="13310" width="9.90625" style="7" customWidth="1"/>
    <col min="13311" max="13311" width="14.453125" style="7" customWidth="1"/>
    <col min="13312" max="13312" width="7.36328125" style="7" customWidth="1"/>
    <col min="13313" max="13313" width="5.54296875" style="7" customWidth="1"/>
    <col min="13314" max="13314" width="9" style="7" customWidth="1"/>
    <col min="13315" max="13316" width="9.90625" style="7" customWidth="1"/>
    <col min="13317" max="13317" width="11.08984375" style="7" customWidth="1"/>
    <col min="13318" max="13318" width="2.90625" style="7" customWidth="1"/>
    <col min="13319" max="13319" width="3.54296875" style="7" customWidth="1"/>
    <col min="13320" max="13564" width="9.08984375" style="7"/>
    <col min="13565" max="13565" width="8.6328125" style="7" customWidth="1"/>
    <col min="13566" max="13566" width="9.90625" style="7" customWidth="1"/>
    <col min="13567" max="13567" width="14.453125" style="7" customWidth="1"/>
    <col min="13568" max="13568" width="7.36328125" style="7" customWidth="1"/>
    <col min="13569" max="13569" width="5.54296875" style="7" customWidth="1"/>
    <col min="13570" max="13570" width="9" style="7" customWidth="1"/>
    <col min="13571" max="13572" width="9.90625" style="7" customWidth="1"/>
    <col min="13573" max="13573" width="11.08984375" style="7" customWidth="1"/>
    <col min="13574" max="13574" width="2.90625" style="7" customWidth="1"/>
    <col min="13575" max="13575" width="3.54296875" style="7" customWidth="1"/>
    <col min="13576" max="13820" width="9.08984375" style="7"/>
    <col min="13821" max="13821" width="8.6328125" style="7" customWidth="1"/>
    <col min="13822" max="13822" width="9.90625" style="7" customWidth="1"/>
    <col min="13823" max="13823" width="14.453125" style="7" customWidth="1"/>
    <col min="13824" max="13824" width="7.36328125" style="7" customWidth="1"/>
    <col min="13825" max="13825" width="5.54296875" style="7" customWidth="1"/>
    <col min="13826" max="13826" width="9" style="7" customWidth="1"/>
    <col min="13827" max="13828" width="9.90625" style="7" customWidth="1"/>
    <col min="13829" max="13829" width="11.08984375" style="7" customWidth="1"/>
    <col min="13830" max="13830" width="2.90625" style="7" customWidth="1"/>
    <col min="13831" max="13831" width="3.54296875" style="7" customWidth="1"/>
    <col min="13832" max="14076" width="9.08984375" style="7"/>
    <col min="14077" max="14077" width="8.6328125" style="7" customWidth="1"/>
    <col min="14078" max="14078" width="9.90625" style="7" customWidth="1"/>
    <col min="14079" max="14079" width="14.453125" style="7" customWidth="1"/>
    <col min="14080" max="14080" width="7.36328125" style="7" customWidth="1"/>
    <col min="14081" max="14081" width="5.54296875" style="7" customWidth="1"/>
    <col min="14082" max="14082" width="9" style="7" customWidth="1"/>
    <col min="14083" max="14084" width="9.90625" style="7" customWidth="1"/>
    <col min="14085" max="14085" width="11.08984375" style="7" customWidth="1"/>
    <col min="14086" max="14086" width="2.90625" style="7" customWidth="1"/>
    <col min="14087" max="14087" width="3.54296875" style="7" customWidth="1"/>
    <col min="14088" max="14332" width="9.08984375" style="7"/>
    <col min="14333" max="14333" width="8.6328125" style="7" customWidth="1"/>
    <col min="14334" max="14334" width="9.90625" style="7" customWidth="1"/>
    <col min="14335" max="14335" width="14.453125" style="7" customWidth="1"/>
    <col min="14336" max="14336" width="7.36328125" style="7" customWidth="1"/>
    <col min="14337" max="14337" width="5.54296875" style="7" customWidth="1"/>
    <col min="14338" max="14338" width="9" style="7" customWidth="1"/>
    <col min="14339" max="14340" width="9.90625" style="7" customWidth="1"/>
    <col min="14341" max="14341" width="11.08984375" style="7" customWidth="1"/>
    <col min="14342" max="14342" width="2.90625" style="7" customWidth="1"/>
    <col min="14343" max="14343" width="3.54296875" style="7" customWidth="1"/>
    <col min="14344" max="14588" width="9.08984375" style="7"/>
    <col min="14589" max="14589" width="8.6328125" style="7" customWidth="1"/>
    <col min="14590" max="14590" width="9.90625" style="7" customWidth="1"/>
    <col min="14591" max="14591" width="14.453125" style="7" customWidth="1"/>
    <col min="14592" max="14592" width="7.36328125" style="7" customWidth="1"/>
    <col min="14593" max="14593" width="5.54296875" style="7" customWidth="1"/>
    <col min="14594" max="14594" width="9" style="7" customWidth="1"/>
    <col min="14595" max="14596" width="9.90625" style="7" customWidth="1"/>
    <col min="14597" max="14597" width="11.08984375" style="7" customWidth="1"/>
    <col min="14598" max="14598" width="2.90625" style="7" customWidth="1"/>
    <col min="14599" max="14599" width="3.54296875" style="7" customWidth="1"/>
    <col min="14600" max="14844" width="9.08984375" style="7"/>
    <col min="14845" max="14845" width="8.6328125" style="7" customWidth="1"/>
    <col min="14846" max="14846" width="9.90625" style="7" customWidth="1"/>
    <col min="14847" max="14847" width="14.453125" style="7" customWidth="1"/>
    <col min="14848" max="14848" width="7.36328125" style="7" customWidth="1"/>
    <col min="14849" max="14849" width="5.54296875" style="7" customWidth="1"/>
    <col min="14850" max="14850" width="9" style="7" customWidth="1"/>
    <col min="14851" max="14852" width="9.90625" style="7" customWidth="1"/>
    <col min="14853" max="14853" width="11.08984375" style="7" customWidth="1"/>
    <col min="14854" max="14854" width="2.90625" style="7" customWidth="1"/>
    <col min="14855" max="14855" width="3.54296875" style="7" customWidth="1"/>
    <col min="14856" max="15100" width="9.08984375" style="7"/>
    <col min="15101" max="15101" width="8.6328125" style="7" customWidth="1"/>
    <col min="15102" max="15102" width="9.90625" style="7" customWidth="1"/>
    <col min="15103" max="15103" width="14.453125" style="7" customWidth="1"/>
    <col min="15104" max="15104" width="7.36328125" style="7" customWidth="1"/>
    <col min="15105" max="15105" width="5.54296875" style="7" customWidth="1"/>
    <col min="15106" max="15106" width="9" style="7" customWidth="1"/>
    <col min="15107" max="15108" width="9.90625" style="7" customWidth="1"/>
    <col min="15109" max="15109" width="11.08984375" style="7" customWidth="1"/>
    <col min="15110" max="15110" width="2.90625" style="7" customWidth="1"/>
    <col min="15111" max="15111" width="3.54296875" style="7" customWidth="1"/>
    <col min="15112" max="15356" width="9.08984375" style="7"/>
    <col min="15357" max="15357" width="8.6328125" style="7" customWidth="1"/>
    <col min="15358" max="15358" width="9.90625" style="7" customWidth="1"/>
    <col min="15359" max="15359" width="14.453125" style="7" customWidth="1"/>
    <col min="15360" max="15360" width="7.36328125" style="7" customWidth="1"/>
    <col min="15361" max="15361" width="5.54296875" style="7" customWidth="1"/>
    <col min="15362" max="15362" width="9" style="7" customWidth="1"/>
    <col min="15363" max="15364" width="9.90625" style="7" customWidth="1"/>
    <col min="15365" max="15365" width="11.08984375" style="7" customWidth="1"/>
    <col min="15366" max="15366" width="2.90625" style="7" customWidth="1"/>
    <col min="15367" max="15367" width="3.54296875" style="7" customWidth="1"/>
    <col min="15368" max="15612" width="9.08984375" style="7"/>
    <col min="15613" max="15613" width="8.6328125" style="7" customWidth="1"/>
    <col min="15614" max="15614" width="9.90625" style="7" customWidth="1"/>
    <col min="15615" max="15615" width="14.453125" style="7" customWidth="1"/>
    <col min="15616" max="15616" width="7.36328125" style="7" customWidth="1"/>
    <col min="15617" max="15617" width="5.54296875" style="7" customWidth="1"/>
    <col min="15618" max="15618" width="9" style="7" customWidth="1"/>
    <col min="15619" max="15620" width="9.90625" style="7" customWidth="1"/>
    <col min="15621" max="15621" width="11.08984375" style="7" customWidth="1"/>
    <col min="15622" max="15622" width="2.90625" style="7" customWidth="1"/>
    <col min="15623" max="15623" width="3.54296875" style="7" customWidth="1"/>
    <col min="15624" max="15868" width="9.08984375" style="7"/>
    <col min="15869" max="15869" width="8.6328125" style="7" customWidth="1"/>
    <col min="15870" max="15870" width="9.90625" style="7" customWidth="1"/>
    <col min="15871" max="15871" width="14.453125" style="7" customWidth="1"/>
    <col min="15872" max="15872" width="7.36328125" style="7" customWidth="1"/>
    <col min="15873" max="15873" width="5.54296875" style="7" customWidth="1"/>
    <col min="15874" max="15874" width="9" style="7" customWidth="1"/>
    <col min="15875" max="15876" width="9.90625" style="7" customWidth="1"/>
    <col min="15877" max="15877" width="11.08984375" style="7" customWidth="1"/>
    <col min="15878" max="15878" width="2.90625" style="7" customWidth="1"/>
    <col min="15879" max="15879" width="3.54296875" style="7" customWidth="1"/>
    <col min="15880" max="16124" width="9.08984375" style="7"/>
    <col min="16125" max="16125" width="8.6328125" style="7" customWidth="1"/>
    <col min="16126" max="16126" width="9.90625" style="7" customWidth="1"/>
    <col min="16127" max="16127" width="14.453125" style="7" customWidth="1"/>
    <col min="16128" max="16128" width="7.36328125" style="7" customWidth="1"/>
    <col min="16129" max="16129" width="5.54296875" style="7" customWidth="1"/>
    <col min="16130" max="16130" width="9" style="7" customWidth="1"/>
    <col min="16131" max="16132" width="9.90625" style="7" customWidth="1"/>
    <col min="16133" max="16133" width="11.08984375" style="7" customWidth="1"/>
    <col min="16134" max="16134" width="2.90625" style="7" customWidth="1"/>
    <col min="16135" max="16135" width="3.54296875" style="7" customWidth="1"/>
    <col min="16136" max="16384" width="9.08984375" style="7"/>
  </cols>
  <sheetData>
    <row r="1" spans="1:9" ht="46.5" customHeight="1" x14ac:dyDescent="0.35">
      <c r="A1" s="136" t="s">
        <v>258</v>
      </c>
      <c r="B1" s="136"/>
      <c r="C1" s="136"/>
      <c r="D1" s="136"/>
      <c r="E1" s="136"/>
      <c r="F1" s="136"/>
      <c r="G1" s="136"/>
      <c r="H1" s="136"/>
    </row>
    <row r="2" spans="1:9" ht="16.5" customHeight="1" x14ac:dyDescent="0.35">
      <c r="A2" s="84" t="s">
        <v>0</v>
      </c>
      <c r="B2" s="84"/>
      <c r="C2" s="84"/>
      <c r="D2" s="84"/>
      <c r="E2" s="84"/>
      <c r="F2" s="84"/>
      <c r="G2" s="84"/>
      <c r="H2" s="84"/>
    </row>
    <row r="3" spans="1:9" x14ac:dyDescent="0.35">
      <c r="A3" s="124" t="s">
        <v>1</v>
      </c>
      <c r="B3" s="124"/>
      <c r="C3" s="124"/>
      <c r="D3" s="124"/>
      <c r="E3" s="137" t="str">
        <f ca="1">TEXT(TODAY(),"DD/MM/YYYY")</f>
        <v>15/09/2025</v>
      </c>
      <c r="F3" s="137"/>
      <c r="G3" s="137"/>
      <c r="H3" s="137"/>
    </row>
    <row r="4" spans="1:9" ht="15" customHeight="1" x14ac:dyDescent="0.35">
      <c r="A4" s="124" t="s">
        <v>2</v>
      </c>
      <c r="B4" s="124"/>
      <c r="C4" s="124"/>
      <c r="D4" s="124"/>
      <c r="E4" s="140" t="s">
        <v>163</v>
      </c>
      <c r="F4" s="140"/>
      <c r="G4" s="140"/>
      <c r="H4" s="140"/>
    </row>
    <row r="5" spans="1:9" x14ac:dyDescent="0.35">
      <c r="A5" s="124" t="s">
        <v>3</v>
      </c>
      <c r="B5" s="124"/>
      <c r="C5" s="124"/>
      <c r="D5" s="124"/>
      <c r="E5" s="141">
        <v>45915</v>
      </c>
      <c r="F5" s="141"/>
      <c r="G5" s="141"/>
      <c r="H5" s="141"/>
    </row>
    <row r="6" spans="1:9" ht="16.5" customHeight="1" x14ac:dyDescent="0.35">
      <c r="A6" s="124" t="s">
        <v>4</v>
      </c>
      <c r="B6" s="124"/>
      <c r="C6" s="124"/>
      <c r="D6" s="124"/>
      <c r="E6" s="132" t="s">
        <v>164</v>
      </c>
      <c r="F6" s="132"/>
      <c r="G6" s="132"/>
      <c r="H6" s="132"/>
    </row>
    <row r="7" spans="1:9" ht="15" customHeight="1" x14ac:dyDescent="0.35">
      <c r="A7" s="124" t="s">
        <v>5</v>
      </c>
      <c r="B7" s="124"/>
      <c r="C7" s="124"/>
      <c r="D7" s="124"/>
      <c r="E7" s="132" t="str">
        <f>E6</f>
        <v xml:space="preserve">M/s. Sadguru Associate
</v>
      </c>
      <c r="F7" s="132"/>
      <c r="G7" s="132"/>
      <c r="H7" s="132"/>
    </row>
    <row r="8" spans="1:9" x14ac:dyDescent="0.35">
      <c r="A8" s="124" t="s">
        <v>6</v>
      </c>
      <c r="B8" s="124"/>
      <c r="C8" s="124"/>
      <c r="D8" s="124"/>
      <c r="E8" s="138" t="s">
        <v>271</v>
      </c>
      <c r="F8" s="139"/>
      <c r="G8" s="139"/>
      <c r="H8" s="139"/>
    </row>
    <row r="9" spans="1:9" x14ac:dyDescent="0.35">
      <c r="A9" s="124" t="s">
        <v>273</v>
      </c>
      <c r="B9" s="124"/>
      <c r="C9" s="124"/>
      <c r="D9" s="124"/>
      <c r="E9" s="124" t="s">
        <v>190</v>
      </c>
      <c r="F9" s="124"/>
      <c r="G9" s="124"/>
      <c r="H9" s="124"/>
      <c r="I9" s="73" t="s">
        <v>271</v>
      </c>
    </row>
    <row r="10" spans="1:9" ht="48.75" customHeight="1" x14ac:dyDescent="0.35">
      <c r="A10" s="133" t="s">
        <v>7</v>
      </c>
      <c r="B10" s="133"/>
      <c r="C10" s="133"/>
      <c r="D10" s="133"/>
      <c r="E10" s="131" t="s">
        <v>231</v>
      </c>
      <c r="F10" s="133"/>
      <c r="G10" s="133"/>
      <c r="H10" s="133"/>
    </row>
    <row r="11" spans="1:9" x14ac:dyDescent="0.35">
      <c r="A11" s="130" t="s">
        <v>8</v>
      </c>
      <c r="B11" s="130"/>
      <c r="C11" s="130"/>
      <c r="D11" s="130"/>
      <c r="E11" s="129" t="s">
        <v>206</v>
      </c>
      <c r="F11" s="129"/>
      <c r="G11" s="129"/>
      <c r="H11" s="129"/>
    </row>
    <row r="12" spans="1:9" ht="51" customHeight="1" x14ac:dyDescent="0.35">
      <c r="A12" s="124" t="s">
        <v>9</v>
      </c>
      <c r="B12" s="124"/>
      <c r="C12" s="124"/>
      <c r="D12" s="124"/>
      <c r="E12" s="129" t="s">
        <v>270</v>
      </c>
      <c r="F12" s="130"/>
      <c r="G12" s="130"/>
      <c r="H12" s="130"/>
    </row>
    <row r="13" spans="1:9" ht="34.5" customHeight="1" x14ac:dyDescent="0.35">
      <c r="A13" s="132" t="s">
        <v>10</v>
      </c>
      <c r="B13" s="132"/>
      <c r="C13" s="132" t="str">
        <f>CONCATENATE((IF(OR(E8="",E8="NA"),"",E8)),", ",(IF(OR(A14="",A14="NA"),"",A14)),".",(IF(OR(C14="",C14="NA"),"",C14)),", ",(IF(OR(C15="",C15="NA"),"",C15)),", ",(IF(OR(G15="",G15="NA"),"",G15)),", ",(IF(OR(C16="",C16="NA"),"",C16)),", ",(IF(OR(C17="",C17="NA"),"",C17)),", ",(IF(OR(G16="",G16="NA"),"",G16)),".")</f>
        <v>The Address Phase I, II &amp; III, Gut No.1 &amp; Hissa No. 1/2, 3, 3A, Dipali Park Road, Manjarli, Badlapur, Ambernath, Thane.</v>
      </c>
      <c r="D13" s="132"/>
      <c r="E13" s="132"/>
      <c r="F13" s="132"/>
      <c r="G13" s="132"/>
      <c r="H13" s="132"/>
    </row>
    <row r="14" spans="1:9" ht="15.75" customHeight="1" x14ac:dyDescent="0.35">
      <c r="A14" s="129" t="s">
        <v>165</v>
      </c>
      <c r="B14" s="129"/>
      <c r="C14" s="129" t="s">
        <v>204</v>
      </c>
      <c r="D14" s="129"/>
      <c r="E14" s="129"/>
      <c r="F14" s="129"/>
      <c r="G14" s="129"/>
      <c r="H14" s="129"/>
    </row>
    <row r="15" spans="1:9" ht="15.75" customHeight="1" x14ac:dyDescent="0.35">
      <c r="A15" s="129" t="s">
        <v>11</v>
      </c>
      <c r="B15" s="129"/>
      <c r="C15" s="130" t="s">
        <v>201</v>
      </c>
      <c r="D15" s="130"/>
      <c r="E15" s="129" t="s">
        <v>101</v>
      </c>
      <c r="F15" s="129"/>
      <c r="G15" s="129" t="s">
        <v>166</v>
      </c>
      <c r="H15" s="129"/>
    </row>
    <row r="16" spans="1:9" x14ac:dyDescent="0.35">
      <c r="A16" s="130" t="s">
        <v>13</v>
      </c>
      <c r="B16" s="130"/>
      <c r="C16" s="129" t="s">
        <v>169</v>
      </c>
      <c r="D16" s="129"/>
      <c r="E16" s="129" t="s">
        <v>12</v>
      </c>
      <c r="F16" s="129"/>
      <c r="G16" s="134" t="s">
        <v>167</v>
      </c>
      <c r="H16" s="134"/>
    </row>
    <row r="17" spans="1:8" x14ac:dyDescent="0.35">
      <c r="A17" s="130" t="s">
        <v>102</v>
      </c>
      <c r="B17" s="130"/>
      <c r="C17" s="129" t="s">
        <v>168</v>
      </c>
      <c r="D17" s="129"/>
      <c r="E17" s="129" t="s">
        <v>14</v>
      </c>
      <c r="F17" s="129"/>
      <c r="G17" s="129">
        <v>421503</v>
      </c>
      <c r="H17" s="129"/>
    </row>
    <row r="18" spans="1:8" ht="32.25" customHeight="1" x14ac:dyDescent="0.35">
      <c r="A18" s="130" t="s">
        <v>15</v>
      </c>
      <c r="B18" s="130"/>
      <c r="C18" s="129" t="s">
        <v>200</v>
      </c>
      <c r="D18" s="129"/>
      <c r="E18" s="129" t="s">
        <v>16</v>
      </c>
      <c r="F18" s="129"/>
      <c r="G18" s="129" t="s">
        <v>203</v>
      </c>
      <c r="H18" s="129"/>
    </row>
    <row r="19" spans="1:8" ht="15" customHeight="1" x14ac:dyDescent="0.35">
      <c r="A19" s="132" t="s">
        <v>108</v>
      </c>
      <c r="B19" s="132"/>
      <c r="C19" s="132"/>
      <c r="D19" s="132"/>
      <c r="E19" s="133" t="s">
        <v>17</v>
      </c>
      <c r="F19" s="133"/>
      <c r="G19" s="133"/>
      <c r="H19" s="133"/>
    </row>
    <row r="20" spans="1:8" ht="18.75" customHeight="1" x14ac:dyDescent="0.35">
      <c r="A20" s="132"/>
      <c r="B20" s="132"/>
      <c r="C20" s="132"/>
      <c r="D20" s="132"/>
      <c r="E20" s="133"/>
      <c r="F20" s="133"/>
      <c r="G20" s="133"/>
      <c r="H20" s="133"/>
    </row>
    <row r="21" spans="1:8" ht="15" customHeight="1" x14ac:dyDescent="0.35">
      <c r="A21" s="132" t="s">
        <v>18</v>
      </c>
      <c r="B21" s="132"/>
      <c r="C21" s="132"/>
      <c r="D21" s="132"/>
      <c r="E21" s="131" t="s">
        <v>19</v>
      </c>
      <c r="F21" s="131"/>
      <c r="G21" s="131"/>
      <c r="H21" s="131"/>
    </row>
    <row r="22" spans="1:8" ht="15" customHeight="1" x14ac:dyDescent="0.35">
      <c r="A22" s="124" t="s">
        <v>20</v>
      </c>
      <c r="B22" s="124"/>
      <c r="C22" s="124"/>
      <c r="D22" s="124"/>
      <c r="E22" s="129" t="s">
        <v>170</v>
      </c>
      <c r="F22" s="129"/>
      <c r="G22" s="129"/>
      <c r="H22" s="129"/>
    </row>
    <row r="23" spans="1:8" x14ac:dyDescent="0.35">
      <c r="A23" s="124" t="s">
        <v>21</v>
      </c>
      <c r="B23" s="124"/>
      <c r="C23" s="124"/>
      <c r="D23" s="124"/>
      <c r="E23" s="129" t="s">
        <v>22</v>
      </c>
      <c r="F23" s="129"/>
      <c r="G23" s="129"/>
      <c r="H23" s="129"/>
    </row>
    <row r="24" spans="1:8" x14ac:dyDescent="0.35">
      <c r="A24" s="124" t="s">
        <v>23</v>
      </c>
      <c r="B24" s="124"/>
      <c r="C24" s="124"/>
      <c r="D24" s="124"/>
      <c r="E24" s="129" t="s">
        <v>171</v>
      </c>
      <c r="F24" s="129"/>
      <c r="G24" s="129"/>
      <c r="H24" s="129"/>
    </row>
    <row r="25" spans="1:8" x14ac:dyDescent="0.35">
      <c r="A25" s="124" t="s">
        <v>24</v>
      </c>
      <c r="B25" s="124"/>
      <c r="C25" s="124"/>
      <c r="D25" s="124"/>
      <c r="E25" s="131" t="s">
        <v>25</v>
      </c>
      <c r="F25" s="131"/>
      <c r="G25" s="131"/>
      <c r="H25" s="131"/>
    </row>
    <row r="26" spans="1:8" x14ac:dyDescent="0.35">
      <c r="A26" s="124" t="s">
        <v>116</v>
      </c>
      <c r="B26" s="124"/>
      <c r="C26" s="124"/>
      <c r="D26" s="124"/>
      <c r="E26" s="131" t="s">
        <v>117</v>
      </c>
      <c r="F26" s="131"/>
      <c r="G26" s="131"/>
      <c r="H26" s="131"/>
    </row>
    <row r="27" spans="1:8" ht="15" customHeight="1" x14ac:dyDescent="0.35">
      <c r="A27" s="132" t="s">
        <v>36</v>
      </c>
      <c r="B27" s="132"/>
      <c r="C27" s="132"/>
      <c r="D27" s="132"/>
      <c r="E27" s="142" t="s">
        <v>112</v>
      </c>
      <c r="F27" s="142"/>
      <c r="G27" s="142"/>
      <c r="H27" s="142"/>
    </row>
    <row r="28" spans="1:8" x14ac:dyDescent="0.35">
      <c r="A28" s="132" t="s">
        <v>129</v>
      </c>
      <c r="B28" s="132"/>
      <c r="C28" s="132"/>
      <c r="D28" s="132"/>
      <c r="E28" s="132" t="s">
        <v>37</v>
      </c>
      <c r="F28" s="132"/>
      <c r="G28" s="132"/>
      <c r="H28" s="132"/>
    </row>
    <row r="29" spans="1:8" s="11" customFormat="1" x14ac:dyDescent="0.35">
      <c r="A29" s="135" t="s">
        <v>130</v>
      </c>
      <c r="B29" s="135"/>
      <c r="C29" s="145" t="s">
        <v>30</v>
      </c>
      <c r="D29" s="145"/>
      <c r="E29" s="145"/>
      <c r="F29" s="145" t="s">
        <v>32</v>
      </c>
      <c r="G29" s="145"/>
      <c r="H29" s="145"/>
    </row>
    <row r="30" spans="1:8" s="11" customFormat="1" x14ac:dyDescent="0.35">
      <c r="A30" s="143" t="s">
        <v>26</v>
      </c>
      <c r="B30" s="143" t="s">
        <v>31</v>
      </c>
      <c r="C30" s="106" t="s">
        <v>31</v>
      </c>
      <c r="D30" s="106"/>
      <c r="E30" s="106"/>
      <c r="F30" s="106" t="s">
        <v>202</v>
      </c>
      <c r="G30" s="106"/>
      <c r="H30" s="106"/>
    </row>
    <row r="31" spans="1:8" x14ac:dyDescent="0.35">
      <c r="A31" s="143" t="s">
        <v>27</v>
      </c>
      <c r="B31" s="143" t="s">
        <v>31</v>
      </c>
      <c r="C31" s="106" t="s">
        <v>31</v>
      </c>
      <c r="D31" s="106"/>
      <c r="E31" s="106"/>
      <c r="F31" s="106" t="s">
        <v>11</v>
      </c>
      <c r="G31" s="106"/>
      <c r="H31" s="106"/>
    </row>
    <row r="32" spans="1:8" s="11" customFormat="1" x14ac:dyDescent="0.35">
      <c r="A32" s="143" t="s">
        <v>29</v>
      </c>
      <c r="B32" s="143" t="s">
        <v>31</v>
      </c>
      <c r="C32" s="106" t="s">
        <v>31</v>
      </c>
      <c r="D32" s="106"/>
      <c r="E32" s="106"/>
      <c r="F32" s="106" t="s">
        <v>11</v>
      </c>
      <c r="G32" s="106"/>
      <c r="H32" s="106"/>
    </row>
    <row r="33" spans="1:8" x14ac:dyDescent="0.35">
      <c r="A33" s="143" t="s">
        <v>28</v>
      </c>
      <c r="B33" s="143" t="s">
        <v>31</v>
      </c>
      <c r="C33" s="106" t="s">
        <v>31</v>
      </c>
      <c r="D33" s="106"/>
      <c r="E33" s="106"/>
      <c r="F33" s="106" t="s">
        <v>200</v>
      </c>
      <c r="G33" s="106"/>
      <c r="H33" s="106"/>
    </row>
    <row r="34" spans="1:8" x14ac:dyDescent="0.35">
      <c r="A34" s="124" t="s">
        <v>33</v>
      </c>
      <c r="B34" s="124"/>
      <c r="C34" s="124"/>
      <c r="D34" s="124"/>
      <c r="E34" s="124"/>
      <c r="F34" s="124"/>
      <c r="G34" s="124"/>
      <c r="H34" s="124"/>
    </row>
    <row r="35" spans="1:8" ht="15.75" customHeight="1" x14ac:dyDescent="0.35">
      <c r="A35" s="84" t="s">
        <v>34</v>
      </c>
      <c r="B35" s="84"/>
      <c r="C35" s="146">
        <v>19.175379499999998</v>
      </c>
      <c r="D35" s="146"/>
      <c r="E35" s="84" t="s">
        <v>35</v>
      </c>
      <c r="F35" s="84"/>
      <c r="G35" s="147">
        <v>73.238561000000004</v>
      </c>
      <c r="H35" s="147"/>
    </row>
    <row r="36" spans="1:8" ht="15.75" customHeight="1" x14ac:dyDescent="0.35">
      <c r="A36" s="84" t="s">
        <v>229</v>
      </c>
      <c r="B36" s="84"/>
      <c r="C36" s="148" t="s">
        <v>230</v>
      </c>
      <c r="D36" s="134"/>
      <c r="E36" s="134"/>
      <c r="F36" s="134"/>
      <c r="G36" s="134"/>
      <c r="H36" s="134"/>
    </row>
    <row r="37" spans="1:8" x14ac:dyDescent="0.35">
      <c r="A37" s="139" t="s">
        <v>38</v>
      </c>
      <c r="B37" s="139"/>
      <c r="C37" s="139"/>
      <c r="D37" s="139"/>
      <c r="E37" s="139"/>
      <c r="F37" s="139"/>
      <c r="G37" s="139"/>
      <c r="H37" s="139"/>
    </row>
    <row r="38" spans="1:8" x14ac:dyDescent="0.35">
      <c r="A38" s="124" t="s">
        <v>39</v>
      </c>
      <c r="B38" s="124"/>
      <c r="C38" s="124"/>
      <c r="D38" s="124"/>
      <c r="E38" s="144">
        <v>5395</v>
      </c>
      <c r="F38" s="144"/>
      <c r="G38" s="144"/>
      <c r="H38" s="144"/>
    </row>
    <row r="39" spans="1:8" x14ac:dyDescent="0.35">
      <c r="A39" s="124" t="s">
        <v>40</v>
      </c>
      <c r="B39" s="124"/>
      <c r="C39" s="124"/>
      <c r="D39" s="124"/>
      <c r="E39" s="154">
        <v>1.1000000000000001</v>
      </c>
      <c r="F39" s="154"/>
      <c r="G39" s="154"/>
      <c r="H39" s="154"/>
    </row>
    <row r="40" spans="1:8" x14ac:dyDescent="0.35">
      <c r="A40" s="124" t="s">
        <v>41</v>
      </c>
      <c r="B40" s="124"/>
      <c r="C40" s="124"/>
      <c r="D40" s="124"/>
      <c r="E40" s="154">
        <f>E42/E38-E39</f>
        <v>1.6414383688600553</v>
      </c>
      <c r="F40" s="154"/>
      <c r="G40" s="154"/>
      <c r="H40" s="154"/>
    </row>
    <row r="41" spans="1:8" x14ac:dyDescent="0.35">
      <c r="A41" s="124" t="s">
        <v>42</v>
      </c>
      <c r="B41" s="124"/>
      <c r="C41" s="124"/>
      <c r="D41" s="124"/>
      <c r="E41" s="154">
        <f>E39+E40</f>
        <v>2.7414383688600554</v>
      </c>
      <c r="F41" s="154"/>
      <c r="G41" s="154"/>
      <c r="H41" s="154"/>
    </row>
    <row r="42" spans="1:8" x14ac:dyDescent="0.35">
      <c r="A42" s="124" t="s">
        <v>128</v>
      </c>
      <c r="B42" s="124"/>
      <c r="C42" s="124"/>
      <c r="D42" s="124"/>
      <c r="E42" s="161">
        <v>14790.06</v>
      </c>
      <c r="F42" s="161"/>
      <c r="G42" s="161"/>
      <c r="H42" s="161"/>
    </row>
    <row r="43" spans="1:8" x14ac:dyDescent="0.35">
      <c r="A43" s="130" t="s">
        <v>43</v>
      </c>
      <c r="B43" s="130"/>
      <c r="C43" s="130"/>
      <c r="D43" s="130"/>
      <c r="E43" s="130" t="s">
        <v>235</v>
      </c>
      <c r="F43" s="130"/>
      <c r="G43" s="130"/>
      <c r="H43" s="130"/>
    </row>
    <row r="44" spans="1:8" x14ac:dyDescent="0.35">
      <c r="A44" s="159" t="s">
        <v>44</v>
      </c>
      <c r="B44" s="159"/>
      <c r="C44" s="159"/>
      <c r="D44" s="159"/>
      <c r="E44" s="159"/>
      <c r="F44" s="159"/>
      <c r="G44" s="159"/>
      <c r="H44" s="159"/>
    </row>
    <row r="45" spans="1:8" x14ac:dyDescent="0.35">
      <c r="A45" s="129" t="s">
        <v>45</v>
      </c>
      <c r="B45" s="129"/>
      <c r="C45" s="129" t="s">
        <v>232</v>
      </c>
      <c r="D45" s="129"/>
      <c r="E45" s="129"/>
      <c r="F45" s="43" t="s">
        <v>46</v>
      </c>
      <c r="G45" s="165">
        <v>44848</v>
      </c>
      <c r="H45" s="129"/>
    </row>
    <row r="46" spans="1:8" x14ac:dyDescent="0.35">
      <c r="A46" s="129" t="s">
        <v>47</v>
      </c>
      <c r="B46" s="129"/>
      <c r="C46" s="129" t="str">
        <f>C45</f>
        <v>KBNP/NRV/BP/450-144</v>
      </c>
      <c r="D46" s="129"/>
      <c r="E46" s="129"/>
      <c r="F46" s="43" t="s">
        <v>46</v>
      </c>
      <c r="G46" s="165">
        <v>44848</v>
      </c>
      <c r="H46" s="129"/>
    </row>
    <row r="47" spans="1:8" s="10" customFormat="1" ht="31.5" customHeight="1" x14ac:dyDescent="0.35">
      <c r="A47" s="129" t="s">
        <v>48</v>
      </c>
      <c r="B47" s="129"/>
      <c r="C47" s="129" t="s">
        <v>233</v>
      </c>
      <c r="D47" s="130"/>
      <c r="E47" s="130"/>
      <c r="F47" s="49" t="s">
        <v>46</v>
      </c>
      <c r="G47" s="166">
        <v>44848</v>
      </c>
      <c r="H47" s="130"/>
    </row>
    <row r="48" spans="1:8" s="10" customFormat="1" ht="80.25" customHeight="1" x14ac:dyDescent="0.35">
      <c r="A48" s="129"/>
      <c r="B48" s="129"/>
      <c r="C48" s="162" t="s">
        <v>234</v>
      </c>
      <c r="D48" s="163"/>
      <c r="E48" s="163"/>
      <c r="F48" s="163"/>
      <c r="G48" s="163"/>
      <c r="H48" s="164"/>
    </row>
    <row r="49" spans="1:11" ht="63.65" customHeight="1" x14ac:dyDescent="0.35">
      <c r="A49" s="158" t="s">
        <v>49</v>
      </c>
      <c r="B49" s="158"/>
      <c r="C49" s="158" t="s">
        <v>268</v>
      </c>
      <c r="D49" s="159"/>
      <c r="E49" s="159" t="s">
        <v>50</v>
      </c>
      <c r="F49" s="47" t="s">
        <v>46</v>
      </c>
      <c r="G49" s="156">
        <v>45243</v>
      </c>
      <c r="H49" s="157"/>
    </row>
    <row r="50" spans="1:11" x14ac:dyDescent="0.35">
      <c r="A50" s="160" t="s">
        <v>52</v>
      </c>
      <c r="B50" s="160"/>
      <c r="C50" s="160"/>
      <c r="D50" s="160"/>
      <c r="E50" s="160"/>
      <c r="F50" s="160"/>
      <c r="G50" s="160"/>
      <c r="H50" s="160"/>
    </row>
    <row r="51" spans="1:11" x14ac:dyDescent="0.35">
      <c r="A51" s="132" t="s">
        <v>127</v>
      </c>
      <c r="B51" s="132"/>
      <c r="C51" s="132"/>
      <c r="D51" s="124">
        <f>E42</f>
        <v>14790.06</v>
      </c>
      <c r="E51" s="124"/>
      <c r="F51" s="124"/>
      <c r="G51" s="124"/>
      <c r="H51" s="124"/>
    </row>
    <row r="52" spans="1:11" x14ac:dyDescent="0.35">
      <c r="A52" s="129" t="s">
        <v>53</v>
      </c>
      <c r="B52" s="130"/>
      <c r="C52" s="130"/>
      <c r="D52" s="130" t="s">
        <v>205</v>
      </c>
      <c r="E52" s="130"/>
      <c r="F52" s="130"/>
      <c r="G52" s="130"/>
      <c r="H52" s="130"/>
    </row>
    <row r="53" spans="1:11" ht="81.75" customHeight="1" x14ac:dyDescent="0.35">
      <c r="A53" s="129" t="s">
        <v>54</v>
      </c>
      <c r="B53" s="130"/>
      <c r="C53" s="130"/>
      <c r="D53" s="129" t="s">
        <v>237</v>
      </c>
      <c r="E53" s="130"/>
      <c r="F53" s="130"/>
      <c r="G53" s="130"/>
      <c r="H53" s="130"/>
    </row>
    <row r="54" spans="1:11" ht="63.75" customHeight="1" x14ac:dyDescent="0.35">
      <c r="A54" s="129" t="s">
        <v>125</v>
      </c>
      <c r="B54" s="130"/>
      <c r="C54" s="130"/>
      <c r="D54" s="129" t="s">
        <v>236</v>
      </c>
      <c r="E54" s="130"/>
      <c r="F54" s="130"/>
      <c r="G54" s="130"/>
      <c r="H54" s="130"/>
    </row>
    <row r="55" spans="1:11" ht="64.5" customHeight="1" x14ac:dyDescent="0.35">
      <c r="A55" s="124" t="s">
        <v>51</v>
      </c>
      <c r="B55" s="124"/>
      <c r="C55" s="124"/>
      <c r="D55" s="132" t="s">
        <v>272</v>
      </c>
      <c r="E55" s="132"/>
      <c r="F55" s="132"/>
      <c r="G55" s="132"/>
      <c r="H55" s="132"/>
    </row>
    <row r="56" spans="1:11" ht="15.75" customHeight="1" x14ac:dyDescent="0.35">
      <c r="A56" s="124" t="s">
        <v>122</v>
      </c>
      <c r="B56" s="124"/>
      <c r="C56" s="124"/>
      <c r="D56" s="132" t="s">
        <v>123</v>
      </c>
      <c r="E56" s="132"/>
      <c r="F56" s="132"/>
      <c r="G56" s="132"/>
      <c r="H56" s="132"/>
    </row>
    <row r="57" spans="1:11" ht="15.75" customHeight="1" x14ac:dyDescent="0.35">
      <c r="A57" s="124" t="s">
        <v>124</v>
      </c>
      <c r="B57" s="124"/>
      <c r="C57" s="124"/>
      <c r="D57" s="132" t="s">
        <v>25</v>
      </c>
      <c r="E57" s="132"/>
      <c r="F57" s="132"/>
      <c r="G57" s="132"/>
      <c r="H57" s="132"/>
      <c r="J57" s="15"/>
      <c r="K57" s="15"/>
    </row>
    <row r="58" spans="1:11" ht="15.75" customHeight="1" thickBot="1" x14ac:dyDescent="0.4">
      <c r="A58" s="167" t="s">
        <v>121</v>
      </c>
      <c r="B58" s="167"/>
      <c r="C58" s="167"/>
      <c r="D58" s="155" t="s">
        <v>172</v>
      </c>
      <c r="E58" s="155"/>
      <c r="F58" s="155"/>
      <c r="G58" s="155"/>
      <c r="H58" s="155"/>
      <c r="J58" s="15"/>
      <c r="K58" s="15"/>
    </row>
    <row r="59" spans="1:11" ht="15.75" customHeight="1" x14ac:dyDescent="0.35">
      <c r="A59" s="103" t="s">
        <v>208</v>
      </c>
      <c r="B59" s="103"/>
      <c r="C59" s="103" t="s">
        <v>226</v>
      </c>
      <c r="D59" s="103"/>
      <c r="E59" s="103"/>
      <c r="F59" s="103"/>
      <c r="G59" s="103"/>
      <c r="H59" s="103"/>
      <c r="I59" s="30"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completed","0")))))))))))&amp;(IF(C66=(D60+F60+H60),", RCC Slab",IF(C66&gt;0,", RCC upto "&amp;C66&amp;" Slab",""))&amp;(IF(C67=H60,", Brickwork",IF(C67&gt;0,", Brickwork upto "&amp;C67&amp;" Floor",""))&amp;(IF(C68=H60,", Internal Plaster",IF(C68&gt;0,", Internal Plaster upto "&amp;C68&amp;" Floor",""))&amp;(IF(C69=H60,", External Plaster",IF(C69&gt;0,", External Plaster upto "&amp;C69&amp;" Floor",""))&amp;(IF(C70=H60,", Flooring",IF(C70&gt;0,", Flooring upto "&amp;C70&amp;" Floor",""))&amp;(IF(C71=H60,", Painting",IF(C71&gt;0,", Painting upto "&amp;C71&amp;" Floor",""))&amp;(IF(C72&gt;0,", Finishing upto "&amp;C72&amp;" Floor","")&amp;(IF(C66&gt;0.5," Completed",""))))))))))))))</f>
        <v>All work completed. Please provide OC.</v>
      </c>
      <c r="J59" s="31"/>
    </row>
    <row r="60" spans="1:11" x14ac:dyDescent="0.35">
      <c r="A60" s="45" t="s">
        <v>98</v>
      </c>
      <c r="B60" s="45">
        <v>0</v>
      </c>
      <c r="C60" s="45" t="s">
        <v>100</v>
      </c>
      <c r="D60" s="45">
        <v>1</v>
      </c>
      <c r="E60" s="45" t="s">
        <v>99</v>
      </c>
      <c r="F60" s="45">
        <v>0</v>
      </c>
      <c r="G60" s="45" t="s">
        <v>115</v>
      </c>
      <c r="H60" s="45">
        <f ca="1">--TRIM(RIGHT(SUBSTITUTE(LEFT(C59,_xlfn.AGGREGATE(16,6,FIND({0,1,2,3,4,5,6,7,8,9},C59,ROW(INDIRECT("1:"&amp;LEN(C59)))),1))," ",REPT(" ",LEN(C59))),LEN(C59)))</f>
        <v>7</v>
      </c>
      <c r="I60" s="32"/>
      <c r="J60" s="33"/>
    </row>
    <row r="61" spans="1:11" x14ac:dyDescent="0.35">
      <c r="A61" s="112" t="s">
        <v>126</v>
      </c>
      <c r="B61" s="112"/>
      <c r="C61" s="103" t="str">
        <f ca="1">I59</f>
        <v>All work completed. Please provide OC.</v>
      </c>
      <c r="D61" s="103"/>
      <c r="E61" s="103"/>
      <c r="F61" s="103"/>
      <c r="G61" s="103"/>
      <c r="H61" s="103"/>
      <c r="I61" s="32" t="s">
        <v>144</v>
      </c>
      <c r="J61" s="33"/>
    </row>
    <row r="62" spans="1:11" ht="32.15" customHeight="1" thickBot="1" x14ac:dyDescent="0.4">
      <c r="A62" s="74" t="s">
        <v>120</v>
      </c>
      <c r="B62" s="74"/>
      <c r="C62" s="75">
        <f ca="1">E64</f>
        <v>1</v>
      </c>
      <c r="D62" s="76"/>
      <c r="E62" s="76" t="s">
        <v>119</v>
      </c>
      <c r="F62" s="76"/>
      <c r="G62" s="75">
        <f ca="1">G64</f>
        <v>1</v>
      </c>
      <c r="H62" s="76"/>
      <c r="I62" s="32"/>
      <c r="J62" s="33"/>
    </row>
    <row r="63" spans="1:11" ht="31.5" hidden="1" thickBot="1" x14ac:dyDescent="0.4">
      <c r="A63" s="104" t="s">
        <v>55</v>
      </c>
      <c r="B63" s="104"/>
      <c r="C63" s="42" t="s">
        <v>209</v>
      </c>
      <c r="D63" s="42" t="s">
        <v>118</v>
      </c>
      <c r="E63" s="104" t="s">
        <v>120</v>
      </c>
      <c r="F63" s="104"/>
      <c r="G63" s="104" t="s">
        <v>119</v>
      </c>
      <c r="H63" s="104"/>
      <c r="I63" s="34" t="s">
        <v>210</v>
      </c>
      <c r="J63" s="35">
        <f ca="1">H60*25%</f>
        <v>1.75</v>
      </c>
    </row>
    <row r="64" spans="1:11" ht="16" hidden="1" thickBot="1" x14ac:dyDescent="0.4">
      <c r="A64" s="104" t="s">
        <v>211</v>
      </c>
      <c r="B64" s="104"/>
      <c r="C64" s="50">
        <f ca="1">J65</f>
        <v>7</v>
      </c>
      <c r="D64" s="51">
        <f ca="1">((100/H60)*C64)/100</f>
        <v>1</v>
      </c>
      <c r="E64" s="105">
        <f ca="1">(((C65/H60*10)+(40/(D60+F60+H60)*C66)+(7.5/(H60)*C67)+(7.5/(H60)*C68)+(10/H60*C69)+(10/H60*C70)+(5/H60*C71)+(5/H60*C72)+(5/H60*C73))/100)</f>
        <v>1</v>
      </c>
      <c r="F64" s="105"/>
      <c r="G64" s="105">
        <f ca="1">((((C64/H60)*20)+((C65/H60)*25)+(30/(H60+F60+D60)*C66)+(5/H60*C67)+(5/H60*C68)+(5/H60*C69)+(5/H60*C70)+(0/H60*C71)+(0/H60*C72)+(5/H60*C73))/100)</f>
        <v>1</v>
      </c>
      <c r="H64" s="105"/>
      <c r="I64" s="34" t="s">
        <v>138</v>
      </c>
      <c r="J64" s="36">
        <f ca="1">H60*50%</f>
        <v>3.5</v>
      </c>
    </row>
    <row r="65" spans="1:10" ht="16" hidden="1" thickBot="1" x14ac:dyDescent="0.4">
      <c r="A65" s="104" t="s">
        <v>56</v>
      </c>
      <c r="B65" s="104"/>
      <c r="C65" s="52">
        <f ca="1">J73</f>
        <v>7</v>
      </c>
      <c r="D65" s="51">
        <f ca="1">((100/H60)*C65)/100</f>
        <v>1</v>
      </c>
      <c r="E65" s="105"/>
      <c r="F65" s="105"/>
      <c r="G65" s="105"/>
      <c r="H65" s="105"/>
      <c r="I65" s="34" t="s">
        <v>139</v>
      </c>
      <c r="J65" s="36">
        <f ca="1">H60</f>
        <v>7</v>
      </c>
    </row>
    <row r="66" spans="1:10" ht="15.75" hidden="1" customHeight="1" x14ac:dyDescent="0.35">
      <c r="A66" s="106" t="s">
        <v>212</v>
      </c>
      <c r="B66" s="106"/>
      <c r="C66" s="52">
        <f ca="1">D60+H60</f>
        <v>8</v>
      </c>
      <c r="D66" s="51">
        <f ca="1">((100/(D60+F60+H60))*C66)/100</f>
        <v>1</v>
      </c>
      <c r="E66" s="105"/>
      <c r="F66" s="105"/>
      <c r="G66" s="105"/>
      <c r="H66" s="105"/>
      <c r="I66" s="34" t="s">
        <v>140</v>
      </c>
      <c r="J66" s="37">
        <f ca="1">(IF(B60&gt;1,(H60/(B60+2)),H60/4))</f>
        <v>1.75</v>
      </c>
    </row>
    <row r="67" spans="1:10" ht="15.75" hidden="1" customHeight="1" x14ac:dyDescent="0.35">
      <c r="A67" s="104" t="s">
        <v>213</v>
      </c>
      <c r="B67" s="104" t="s">
        <v>214</v>
      </c>
      <c r="C67" s="50">
        <v>7</v>
      </c>
      <c r="D67" s="51">
        <f ca="1">((100/H60)*C67)/100</f>
        <v>1</v>
      </c>
      <c r="E67" s="105"/>
      <c r="F67" s="105"/>
      <c r="G67" s="105"/>
      <c r="H67" s="105"/>
      <c r="I67" s="34" t="s">
        <v>141</v>
      </c>
      <c r="J67" s="37">
        <f ca="1">(IF(B60&gt;1,(H60/(B60+2)+J66),H60/4+J66))</f>
        <v>3.5</v>
      </c>
    </row>
    <row r="68" spans="1:10" ht="15.75" hidden="1" customHeight="1" x14ac:dyDescent="0.35">
      <c r="A68" s="104" t="s">
        <v>215</v>
      </c>
      <c r="B68" s="104" t="s">
        <v>214</v>
      </c>
      <c r="C68" s="50">
        <v>7</v>
      </c>
      <c r="D68" s="51">
        <f ca="1">((100/H60)*C68)/100</f>
        <v>1</v>
      </c>
      <c r="E68" s="105"/>
      <c r="F68" s="105"/>
      <c r="G68" s="105"/>
      <c r="H68" s="105"/>
      <c r="I68" s="34" t="s">
        <v>216</v>
      </c>
      <c r="J68" s="37">
        <f>(IF(B60&gt;1,(H60/(B60+2)+J67),0))</f>
        <v>0</v>
      </c>
    </row>
    <row r="69" spans="1:10" ht="15" hidden="1" customHeight="1" x14ac:dyDescent="0.35">
      <c r="A69" s="104" t="s">
        <v>217</v>
      </c>
      <c r="B69" s="104" t="s">
        <v>218</v>
      </c>
      <c r="C69" s="50">
        <v>7</v>
      </c>
      <c r="D69" s="51">
        <f ca="1">((100/(H60))*C69)/100</f>
        <v>1</v>
      </c>
      <c r="E69" s="105"/>
      <c r="F69" s="105"/>
      <c r="G69" s="105"/>
      <c r="H69" s="105"/>
      <c r="I69" s="34" t="s">
        <v>219</v>
      </c>
      <c r="J69" s="37">
        <f>(IF(B60&gt;2,(H60/(B60+2)+J68),0))</f>
        <v>0</v>
      </c>
    </row>
    <row r="70" spans="1:10" ht="15.75" hidden="1" customHeight="1" x14ac:dyDescent="0.35">
      <c r="A70" s="104" t="s">
        <v>220</v>
      </c>
      <c r="B70" s="104" t="s">
        <v>220</v>
      </c>
      <c r="C70" s="50">
        <v>7</v>
      </c>
      <c r="D70" s="51">
        <f ca="1">((100/H60)*C70)/100</f>
        <v>1</v>
      </c>
      <c r="E70" s="105"/>
      <c r="F70" s="105"/>
      <c r="G70" s="105"/>
      <c r="H70" s="105"/>
      <c r="I70" s="34" t="s">
        <v>221</v>
      </c>
      <c r="J70" s="38">
        <f>(IF(B60&gt;3,(H60/(B60+2)+J69),0))</f>
        <v>0</v>
      </c>
    </row>
    <row r="71" spans="1:10" ht="15.75" hidden="1" customHeight="1" x14ac:dyDescent="0.35">
      <c r="A71" s="104" t="s">
        <v>222</v>
      </c>
      <c r="B71" s="104"/>
      <c r="C71" s="50">
        <v>7</v>
      </c>
      <c r="D71" s="51">
        <f ca="1">((100/H60)*C71)/100</f>
        <v>1</v>
      </c>
      <c r="E71" s="105"/>
      <c r="F71" s="105"/>
      <c r="G71" s="105"/>
      <c r="H71" s="105"/>
      <c r="I71" s="34" t="s">
        <v>223</v>
      </c>
      <c r="J71" s="37">
        <f>(IF(B60&gt;4,(H60/(B60+2)+J70),0))</f>
        <v>0</v>
      </c>
    </row>
    <row r="72" spans="1:10" ht="15.75" hidden="1" customHeight="1" x14ac:dyDescent="0.35">
      <c r="A72" s="104" t="s">
        <v>224</v>
      </c>
      <c r="B72" s="104" t="s">
        <v>224</v>
      </c>
      <c r="C72" s="50">
        <v>7</v>
      </c>
      <c r="D72" s="51">
        <f ca="1">((100/(H60))*C72)/100</f>
        <v>1</v>
      </c>
      <c r="E72" s="105"/>
      <c r="F72" s="105"/>
      <c r="G72" s="105"/>
      <c r="H72" s="105"/>
      <c r="I72" s="34" t="s">
        <v>142</v>
      </c>
      <c r="J72" s="37">
        <f ca="1">(IF(B60=1,(H60/(B60+3)+J67),IF(B60=0,(H60/4+J67),IF(B60&gt;1,0))))</f>
        <v>5.25</v>
      </c>
    </row>
    <row r="73" spans="1:10" ht="16" hidden="1" thickBot="1" x14ac:dyDescent="0.4">
      <c r="A73" s="104" t="s">
        <v>225</v>
      </c>
      <c r="B73" s="104"/>
      <c r="C73" s="50">
        <v>7</v>
      </c>
      <c r="D73" s="51">
        <f ca="1">((100/(H60))*C73)/100</f>
        <v>1</v>
      </c>
      <c r="E73" s="105"/>
      <c r="F73" s="105"/>
      <c r="G73" s="105"/>
      <c r="H73" s="105"/>
      <c r="I73" s="39" t="s">
        <v>143</v>
      </c>
      <c r="J73" s="40">
        <f ca="1">(IF(B60&gt;1.5,(H60/(B60+2)+J67+MAX(0,J68-J67)+MAX(0,J69-J68)+MAX(0,J70-J69)+MAX(0,J71-J70)+MAX(0,J72-J71)),IF(B60=1,(H60/(B60+3)+J72),IF(B60=0,H60/4+J72))))</f>
        <v>7</v>
      </c>
    </row>
    <row r="74" spans="1:10" ht="15.75" customHeight="1" x14ac:dyDescent="0.35">
      <c r="A74" s="103" t="s">
        <v>208</v>
      </c>
      <c r="B74" s="103"/>
      <c r="C74" s="103" t="s">
        <v>227</v>
      </c>
      <c r="D74" s="103"/>
      <c r="E74" s="103"/>
      <c r="F74" s="103"/>
      <c r="G74" s="103"/>
      <c r="H74" s="103"/>
      <c r="I74" s="30" t="str">
        <f>(IF(E79&gt;99%,"All work completed. Please provide OC.",IF(E79&gt;89.8%,"Plinth, RCC, Brick, Plaster, Flooring, Painting work Completed. Finishing work is in process.",IF(E79&lt;94%,(IF(C79=0,"Work not yet Started.",IF(D79=25%,"Piling work in process",IF(D79=50%,"Excavation work in process",IF(D79=100%,"Excavation work Completed. ","0")))&amp;(IF(C80=0%,"",IF(C80=J81,"Footing work is process",IF(C80=J82,"Footing work Completed",IF(C80=J83,"1st Basement Completed",IF(C80=J84,"1st &amp; 2nd Basement Completed",IF(C80=J85,"1st to 3rd Basement Completed",IF(C80=J86,"1st to 4th Basement Completed",IF(C80=J87,"Plinth work is process",IF(C80=J88,"Plinth work completed","0")))))))))))&amp;(IF(C81=(D75+F75+H75),", RCC Slab",IF(C81&gt;0,", RCC upto "&amp;C81&amp;" Slab",""))&amp;(IF(C82=H75,", Brickwork",IF(C82&gt;0,", Brickwork upto "&amp;C82&amp;" Floor",""))&amp;(IF(C83=H75,", Internal Plaster",IF(C83&gt;0,", Internal Plaster upto "&amp;C83&amp;" Floor",""))&amp;(IF(C84=H75,", External Plaster",IF(C84&gt;0,", External Plaster upto "&amp;C84&amp;" Floor",""))&amp;(IF(C85=H75,", Flooring",IF(C85&gt;0,", Flooring upto "&amp;C85&amp;" Floor",""))&amp;(IF(C86=H75,", Painting",IF(C86&gt;0,", Painting upto "&amp;C86&amp;" Floor",""))&amp;(IF(C87&gt;0,", Finishing upto "&amp;C87&amp;" Floor","")&amp;(IF(C81&gt;0.5," Completed",""))))))))))))))</f>
        <v>All work completed. Please provide OC.</v>
      </c>
      <c r="J74" s="31"/>
    </row>
    <row r="75" spans="1:10" x14ac:dyDescent="0.35">
      <c r="A75" s="45" t="s">
        <v>98</v>
      </c>
      <c r="B75" s="45">
        <v>0</v>
      </c>
      <c r="C75" s="45" t="s">
        <v>100</v>
      </c>
      <c r="D75" s="45">
        <v>1</v>
      </c>
      <c r="E75" s="45" t="s">
        <v>99</v>
      </c>
      <c r="F75" s="45">
        <v>0</v>
      </c>
      <c r="G75" s="45" t="s">
        <v>115</v>
      </c>
      <c r="H75" s="45">
        <v>12</v>
      </c>
      <c r="I75" s="32"/>
      <c r="J75" s="33"/>
    </row>
    <row r="76" spans="1:10" x14ac:dyDescent="0.35">
      <c r="A76" s="112" t="s">
        <v>126</v>
      </c>
      <c r="B76" s="112"/>
      <c r="C76" s="103" t="str">
        <f>I76</f>
        <v>All work Completed. OC Received.</v>
      </c>
      <c r="D76" s="103"/>
      <c r="E76" s="103"/>
      <c r="F76" s="103"/>
      <c r="G76" s="103"/>
      <c r="H76" s="103"/>
      <c r="I76" s="32" t="s">
        <v>144</v>
      </c>
      <c r="J76" s="33"/>
    </row>
    <row r="77" spans="1:10" ht="32.15" customHeight="1" thickBot="1" x14ac:dyDescent="0.4">
      <c r="A77" s="74" t="s">
        <v>120</v>
      </c>
      <c r="B77" s="74"/>
      <c r="C77" s="75">
        <f>E79</f>
        <v>1</v>
      </c>
      <c r="D77" s="76"/>
      <c r="E77" s="76" t="s">
        <v>119</v>
      </c>
      <c r="F77" s="76"/>
      <c r="G77" s="75">
        <f>G79</f>
        <v>1</v>
      </c>
      <c r="H77" s="76"/>
      <c r="I77" s="32"/>
      <c r="J77" s="33"/>
    </row>
    <row r="78" spans="1:10" ht="31.5" hidden="1" thickBot="1" x14ac:dyDescent="0.4">
      <c r="A78" s="104" t="s">
        <v>55</v>
      </c>
      <c r="B78" s="104"/>
      <c r="C78" s="42" t="s">
        <v>209</v>
      </c>
      <c r="D78" s="42" t="s">
        <v>118</v>
      </c>
      <c r="E78" s="104" t="s">
        <v>120</v>
      </c>
      <c r="F78" s="104"/>
      <c r="G78" s="104" t="s">
        <v>119</v>
      </c>
      <c r="H78" s="104"/>
      <c r="I78" s="34" t="s">
        <v>210</v>
      </c>
      <c r="J78" s="35">
        <f>H75*25%</f>
        <v>3</v>
      </c>
    </row>
    <row r="79" spans="1:10" ht="16" hidden="1" thickBot="1" x14ac:dyDescent="0.4">
      <c r="A79" s="104" t="s">
        <v>211</v>
      </c>
      <c r="B79" s="104"/>
      <c r="C79" s="50">
        <f>J80</f>
        <v>12</v>
      </c>
      <c r="D79" s="51">
        <f>((100/H75)*C79)/100</f>
        <v>1</v>
      </c>
      <c r="E79" s="105">
        <f>(((C80/H75*10)+(40/(D75+F75+H75)*C81)+(7.5/(H75)*C82)+(7.5/(H75)*C83)+(10/H75*C84)+(10/H75*C85)+(5/H75*C86)+(5/H75*C87)+(5/H75*C88))/100)</f>
        <v>1</v>
      </c>
      <c r="F79" s="105"/>
      <c r="G79" s="105">
        <f>((((C79/H75)*20)+((C80/H75)*25)+(30/(H75+F75+D75)*C81)+(5/H75*C82)+(5/H75*C83)+(5/H75*C84)+(5/H75*C85)+(0/H75*C86)+(0/H75*C87)+(5/H75*C88))/100)</f>
        <v>1</v>
      </c>
      <c r="H79" s="105"/>
      <c r="I79" s="34" t="s">
        <v>138</v>
      </c>
      <c r="J79" s="36">
        <f>H75*50%</f>
        <v>6</v>
      </c>
    </row>
    <row r="80" spans="1:10" ht="16" hidden="1" thickBot="1" x14ac:dyDescent="0.4">
      <c r="A80" s="104" t="s">
        <v>56</v>
      </c>
      <c r="B80" s="104"/>
      <c r="C80" s="52">
        <f>J88</f>
        <v>12</v>
      </c>
      <c r="D80" s="51">
        <f>((100/H75)*C80)/100</f>
        <v>1</v>
      </c>
      <c r="E80" s="105"/>
      <c r="F80" s="105"/>
      <c r="G80" s="105"/>
      <c r="H80" s="105"/>
      <c r="I80" s="34" t="s">
        <v>139</v>
      </c>
      <c r="J80" s="36">
        <f>H75</f>
        <v>12</v>
      </c>
    </row>
    <row r="81" spans="1:10" ht="15.75" hidden="1" customHeight="1" x14ac:dyDescent="0.35">
      <c r="A81" s="106" t="s">
        <v>212</v>
      </c>
      <c r="B81" s="106"/>
      <c r="C81" s="52">
        <v>13</v>
      </c>
      <c r="D81" s="51">
        <f>((100/(D75+F75+H75))*C81)/100</f>
        <v>1</v>
      </c>
      <c r="E81" s="105"/>
      <c r="F81" s="105"/>
      <c r="G81" s="105"/>
      <c r="H81" s="105"/>
      <c r="I81" s="34" t="s">
        <v>140</v>
      </c>
      <c r="J81" s="37">
        <f>(IF(B75&gt;1,(H75/(B75+2)),H75/4))</f>
        <v>3</v>
      </c>
    </row>
    <row r="82" spans="1:10" ht="15.75" hidden="1" customHeight="1" x14ac:dyDescent="0.35">
      <c r="A82" s="104" t="s">
        <v>213</v>
      </c>
      <c r="B82" s="104" t="s">
        <v>214</v>
      </c>
      <c r="C82" s="50">
        <v>12</v>
      </c>
      <c r="D82" s="51">
        <f>((100/H75)*C82)/100</f>
        <v>1</v>
      </c>
      <c r="E82" s="105"/>
      <c r="F82" s="105"/>
      <c r="G82" s="105"/>
      <c r="H82" s="105"/>
      <c r="I82" s="34" t="s">
        <v>141</v>
      </c>
      <c r="J82" s="37">
        <f>(IF(B75&gt;1,(H75/(B75+2)+J81),H75/4+J81))</f>
        <v>6</v>
      </c>
    </row>
    <row r="83" spans="1:10" ht="15.75" hidden="1" customHeight="1" x14ac:dyDescent="0.35">
      <c r="A83" s="104" t="s">
        <v>215</v>
      </c>
      <c r="B83" s="104" t="s">
        <v>214</v>
      </c>
      <c r="C83" s="50">
        <v>12</v>
      </c>
      <c r="D83" s="51">
        <f>((100/H75)*C83)/100</f>
        <v>1</v>
      </c>
      <c r="E83" s="105"/>
      <c r="F83" s="105"/>
      <c r="G83" s="105"/>
      <c r="H83" s="105"/>
      <c r="I83" s="34" t="s">
        <v>216</v>
      </c>
      <c r="J83" s="37">
        <f>(IF(B75&gt;1,(H75/(B75+2)+J82),0))</f>
        <v>0</v>
      </c>
    </row>
    <row r="84" spans="1:10" ht="15" hidden="1" customHeight="1" x14ac:dyDescent="0.35">
      <c r="A84" s="104" t="s">
        <v>217</v>
      </c>
      <c r="B84" s="104" t="s">
        <v>218</v>
      </c>
      <c r="C84" s="50">
        <v>12</v>
      </c>
      <c r="D84" s="51">
        <f>((100/(H75))*C84)/100</f>
        <v>1</v>
      </c>
      <c r="E84" s="105"/>
      <c r="F84" s="105"/>
      <c r="G84" s="105"/>
      <c r="H84" s="105"/>
      <c r="I84" s="34" t="s">
        <v>219</v>
      </c>
      <c r="J84" s="37">
        <f>(IF(B75&gt;2,(H75/(B75+2)+J83),0))</f>
        <v>0</v>
      </c>
    </row>
    <row r="85" spans="1:10" ht="15.75" hidden="1" customHeight="1" x14ac:dyDescent="0.35">
      <c r="A85" s="104" t="s">
        <v>220</v>
      </c>
      <c r="B85" s="104" t="s">
        <v>220</v>
      </c>
      <c r="C85" s="50">
        <v>12</v>
      </c>
      <c r="D85" s="51">
        <f>((100/H75)*C85)/100</f>
        <v>1</v>
      </c>
      <c r="E85" s="105"/>
      <c r="F85" s="105"/>
      <c r="G85" s="105"/>
      <c r="H85" s="105"/>
      <c r="I85" s="34" t="s">
        <v>221</v>
      </c>
      <c r="J85" s="38">
        <f>(IF(B75&gt;3,(H75/(B75+2)+J84),0))</f>
        <v>0</v>
      </c>
    </row>
    <row r="86" spans="1:10" ht="15.75" hidden="1" customHeight="1" x14ac:dyDescent="0.35">
      <c r="A86" s="104" t="s">
        <v>222</v>
      </c>
      <c r="B86" s="104"/>
      <c r="C86" s="50">
        <v>12</v>
      </c>
      <c r="D86" s="51">
        <f>((100/H75)*C86)/100</f>
        <v>1</v>
      </c>
      <c r="E86" s="105"/>
      <c r="F86" s="105"/>
      <c r="G86" s="105"/>
      <c r="H86" s="105"/>
      <c r="I86" s="34" t="s">
        <v>223</v>
      </c>
      <c r="J86" s="37">
        <f>(IF(B75&gt;4,(H75/(B75+2)+J85),0))</f>
        <v>0</v>
      </c>
    </row>
    <row r="87" spans="1:10" ht="15.75" hidden="1" customHeight="1" x14ac:dyDescent="0.35">
      <c r="A87" s="104" t="s">
        <v>224</v>
      </c>
      <c r="B87" s="104" t="s">
        <v>224</v>
      </c>
      <c r="C87" s="50">
        <v>12</v>
      </c>
      <c r="D87" s="51">
        <f>((100/(H75))*C87)/100</f>
        <v>1</v>
      </c>
      <c r="E87" s="105"/>
      <c r="F87" s="105"/>
      <c r="G87" s="105"/>
      <c r="H87" s="105"/>
      <c r="I87" s="34" t="s">
        <v>142</v>
      </c>
      <c r="J87" s="37">
        <f>(IF(B75=1,(H75/(B75+3)+J82),IF(B75=0,(H75/4+J82),IF(B75&gt;1,0))))</f>
        <v>9</v>
      </c>
    </row>
    <row r="88" spans="1:10" ht="16" hidden="1" thickBot="1" x14ac:dyDescent="0.4">
      <c r="A88" s="104" t="s">
        <v>225</v>
      </c>
      <c r="B88" s="104"/>
      <c r="C88" s="50">
        <v>12</v>
      </c>
      <c r="D88" s="51">
        <f>((100/(H75))*C88)/100</f>
        <v>1</v>
      </c>
      <c r="E88" s="105"/>
      <c r="F88" s="105"/>
      <c r="G88" s="105"/>
      <c r="H88" s="105"/>
      <c r="I88" s="39" t="s">
        <v>143</v>
      </c>
      <c r="J88" s="40">
        <f>(IF(B75&gt;1.5,(H75/(B75+2)+J82+MAX(0,J83-J82)+MAX(0,J84-J83)+MAX(0,J85-J84)+MAX(0,J86-J85)+MAX(0,J87-J86)),IF(B75=1,(H75/(B75+3)+J87),IF(B75=0,H75/4+J87))))</f>
        <v>12</v>
      </c>
    </row>
    <row r="89" spans="1:10" ht="15.75" customHeight="1" x14ac:dyDescent="0.35">
      <c r="A89" s="103" t="s">
        <v>208</v>
      </c>
      <c r="B89" s="103"/>
      <c r="C89" s="103" t="s">
        <v>254</v>
      </c>
      <c r="D89" s="103"/>
      <c r="E89" s="103"/>
      <c r="F89" s="103"/>
      <c r="G89" s="103"/>
      <c r="H89" s="103"/>
      <c r="I89" s="30" t="str">
        <f ca="1">(IF(E93&gt;99%,"All work completed. Please provide OC.",IF(E93&gt;89.8%,"Plinth, RCC, Brick, Plaster, Flooring, Painting work Completed. Finishing work is in process.",IF(E93&lt;94%,(IF(C93=0,"Work not yet Started.",IF(D93=25%,"Piling work in process",IF(D93=50%,"Excavation work in process",IF(D93=100%,"Excavation work Completed. ","0")))&amp;(IF(C94=0%,"",IF(C94=J95,"Footing work is process",IF(C94=J96,"Footing work Completed",IF(C94=J97,"1st Basement Completed",IF(C94=J98,"1st &amp; 2nd Basement Completed",IF(C94=J99,"1st to 3rd Basement Completed",IF(C94=J100,"1st to 4th Basement Completed",IF(C94=J101,"Plinth work is process",IF(C94=J102,"Plinth work completed","0")))))))))))&amp;(IF(C95=(D90+F90+H90),", RCC Slab",IF(C95&gt;0,", RCC upto "&amp;C95&amp;" Slab",""))&amp;(IF(C96=H90,", Brickwork",IF(C96&gt;0,", Brickwork upto "&amp;C96&amp;" Floor",""))&amp;(IF(C97=H90,", Internal Plaster",IF(C97&gt;0,", Internal Plaster upto "&amp;C97&amp;" Floor",""))&amp;(IF(C98=H90,", External Plaster",IF(C98&gt;0,", External Plaster upto "&amp;C98&amp;" Floor",""))&amp;(IF(C99=H90,", Flooring",IF(C99&gt;0,", Flooring upto "&amp;C99&amp;" Floor",""))&amp;(IF(C100=H90,", Painting",IF(C100&gt;0,", Painting upto "&amp;C100&amp;" Floor",""))&amp;(IF(C101&gt;0,", Finishing upto "&amp;C101&amp;" Floor","")&amp;(IF(C95&gt;0.5," Completed",""))))))))))))))</f>
        <v>Excavation work Completed. Plinth work completed, RCC Slab, Brickwork, Internal Plaster, External Plaster upto 8 Floor Completed</v>
      </c>
      <c r="J89" s="31"/>
    </row>
    <row r="90" spans="1:10" x14ac:dyDescent="0.35">
      <c r="A90" s="45" t="s">
        <v>98</v>
      </c>
      <c r="B90" s="45">
        <v>0</v>
      </c>
      <c r="C90" s="45" t="s">
        <v>100</v>
      </c>
      <c r="D90" s="45">
        <v>1</v>
      </c>
      <c r="E90" s="45" t="s">
        <v>99</v>
      </c>
      <c r="F90" s="45">
        <v>0</v>
      </c>
      <c r="G90" s="45" t="s">
        <v>115</v>
      </c>
      <c r="H90" s="45">
        <f ca="1">--TRIM(RIGHT(SUBSTITUTE(LEFT(C89,_xlfn.AGGREGATE(16,6,FIND({0,1,2,3,4,5,6,7,8,9},C89,ROW(INDIRECT("1:"&amp;LEN(C89)))),1))," ",REPT(" ",LEN(C89))),LEN(C89)))</f>
        <v>14</v>
      </c>
      <c r="I90" s="32"/>
      <c r="J90" s="33"/>
    </row>
    <row r="91" spans="1:10" ht="31.5" customHeight="1" x14ac:dyDescent="0.35">
      <c r="A91" s="112" t="s">
        <v>126</v>
      </c>
      <c r="B91" s="112"/>
      <c r="C91" s="103" t="str">
        <f ca="1">I89</f>
        <v>Excavation work Completed. Plinth work completed, RCC Slab, Brickwork, Internal Plaster, External Plaster upto 8 Floor Completed</v>
      </c>
      <c r="D91" s="103"/>
      <c r="E91" s="103"/>
      <c r="F91" s="103"/>
      <c r="G91" s="103"/>
      <c r="H91" s="103"/>
      <c r="I91" s="32" t="s">
        <v>144</v>
      </c>
      <c r="J91" s="33"/>
    </row>
    <row r="92" spans="1:10" x14ac:dyDescent="0.35">
      <c r="A92" s="114" t="s">
        <v>55</v>
      </c>
      <c r="B92" s="104"/>
      <c r="C92" s="42" t="s">
        <v>209</v>
      </c>
      <c r="D92" s="45" t="s">
        <v>118</v>
      </c>
      <c r="E92" s="104" t="s">
        <v>120</v>
      </c>
      <c r="F92" s="104"/>
      <c r="G92" s="104" t="s">
        <v>119</v>
      </c>
      <c r="H92" s="115"/>
      <c r="I92" s="34" t="s">
        <v>210</v>
      </c>
      <c r="J92" s="35">
        <f ca="1">H90*25%</f>
        <v>3.5</v>
      </c>
    </row>
    <row r="93" spans="1:10" x14ac:dyDescent="0.35">
      <c r="A93" s="114" t="s">
        <v>211</v>
      </c>
      <c r="B93" s="104"/>
      <c r="C93" s="50">
        <f ca="1">J94</f>
        <v>14</v>
      </c>
      <c r="D93" s="51">
        <f ca="1">((100/H90)*C93)/100</f>
        <v>1</v>
      </c>
      <c r="E93" s="105">
        <f ca="1">(((C94/H90*10)+(40/(D90+F90+H90)*C95)+(7.5/(H90)*C96)+(7.5/(H90)*C97)+(10/H90*C98)+(10/H90*C99)+(5/H90*C100)+(5/H90*C101)+(5/H90*C102))/100)</f>
        <v>0.70714285714285707</v>
      </c>
      <c r="F93" s="105"/>
      <c r="G93" s="105">
        <f ca="1">((((C93/H90)*20)+((C94/H90)*25)+(30/(H90+F90+D90)*C95)+(5/H90*C96)+(5/H90*C97)+(5/H90*C98)+(5/H90*C99)+(0/H90*C100)+(0/H90*C101)+(5/H90*C102))/100)</f>
        <v>0.87857142857142856</v>
      </c>
      <c r="H93" s="117"/>
      <c r="I93" s="34" t="s">
        <v>138</v>
      </c>
      <c r="J93" s="36">
        <f ca="1">H90*50%</f>
        <v>7</v>
      </c>
    </row>
    <row r="94" spans="1:10" x14ac:dyDescent="0.35">
      <c r="A94" s="114" t="s">
        <v>56</v>
      </c>
      <c r="B94" s="104"/>
      <c r="C94" s="52">
        <f ca="1">J102</f>
        <v>14</v>
      </c>
      <c r="D94" s="51">
        <f ca="1">((100/H90)*C94)/100</f>
        <v>1</v>
      </c>
      <c r="E94" s="105"/>
      <c r="F94" s="105"/>
      <c r="G94" s="105"/>
      <c r="H94" s="117"/>
      <c r="I94" s="34" t="s">
        <v>139</v>
      </c>
      <c r="J94" s="36">
        <f ca="1">H90</f>
        <v>14</v>
      </c>
    </row>
    <row r="95" spans="1:10" ht="15.75" customHeight="1" x14ac:dyDescent="0.35">
      <c r="A95" s="114" t="s">
        <v>212</v>
      </c>
      <c r="B95" s="104"/>
      <c r="C95" s="52">
        <v>15</v>
      </c>
      <c r="D95" s="51">
        <f ca="1">((100/(D90+F90+H90))*C95)/100</f>
        <v>1</v>
      </c>
      <c r="E95" s="105"/>
      <c r="F95" s="105"/>
      <c r="G95" s="105"/>
      <c r="H95" s="117"/>
      <c r="I95" s="34" t="s">
        <v>140</v>
      </c>
      <c r="J95" s="37">
        <f ca="1">(IF(B90&gt;1,(H90/(B90+2)),H90/4))</f>
        <v>3.5</v>
      </c>
    </row>
    <row r="96" spans="1:10" ht="15.75" customHeight="1" x14ac:dyDescent="0.35">
      <c r="A96" s="114" t="s">
        <v>213</v>
      </c>
      <c r="B96" s="104" t="s">
        <v>214</v>
      </c>
      <c r="C96" s="50">
        <v>14</v>
      </c>
      <c r="D96" s="51">
        <f ca="1">((100/H90)*C96)/100</f>
        <v>1</v>
      </c>
      <c r="E96" s="105"/>
      <c r="F96" s="105"/>
      <c r="G96" s="105"/>
      <c r="H96" s="117"/>
      <c r="I96" s="34" t="s">
        <v>141</v>
      </c>
      <c r="J96" s="37">
        <f ca="1">(IF(B90&gt;1,(H90/(B90+2)+J95),H90/4+J95))</f>
        <v>7</v>
      </c>
    </row>
    <row r="97" spans="1:10" ht="15.75" customHeight="1" x14ac:dyDescent="0.35">
      <c r="A97" s="114" t="s">
        <v>215</v>
      </c>
      <c r="B97" s="104" t="s">
        <v>214</v>
      </c>
      <c r="C97" s="50">
        <v>14</v>
      </c>
      <c r="D97" s="51">
        <f ca="1">((100/H90)*C97)/100</f>
        <v>1</v>
      </c>
      <c r="E97" s="105"/>
      <c r="F97" s="105"/>
      <c r="G97" s="105"/>
      <c r="H97" s="117"/>
      <c r="I97" s="34" t="s">
        <v>216</v>
      </c>
      <c r="J97" s="37">
        <f>(IF(B90&gt;1,(H90/(B90+2)+J96),0))</f>
        <v>0</v>
      </c>
    </row>
    <row r="98" spans="1:10" ht="15" customHeight="1" x14ac:dyDescent="0.35">
      <c r="A98" s="114" t="s">
        <v>217</v>
      </c>
      <c r="B98" s="104" t="s">
        <v>218</v>
      </c>
      <c r="C98" s="50">
        <v>8</v>
      </c>
      <c r="D98" s="51">
        <f ca="1">((100/(H90))*C98)/100</f>
        <v>0.57142857142857151</v>
      </c>
      <c r="E98" s="105"/>
      <c r="F98" s="105"/>
      <c r="G98" s="105"/>
      <c r="H98" s="117"/>
      <c r="I98" s="34" t="s">
        <v>219</v>
      </c>
      <c r="J98" s="37">
        <f>(IF(B90&gt;2,(H90/(B90+2)+J97),0))</f>
        <v>0</v>
      </c>
    </row>
    <row r="99" spans="1:10" ht="15.75" customHeight="1" x14ac:dyDescent="0.35">
      <c r="A99" s="114" t="s">
        <v>220</v>
      </c>
      <c r="B99" s="104" t="s">
        <v>220</v>
      </c>
      <c r="C99" s="50">
        <v>0</v>
      </c>
      <c r="D99" s="51">
        <f ca="1">((100/H90)*C99)/100</f>
        <v>0</v>
      </c>
      <c r="E99" s="105"/>
      <c r="F99" s="105"/>
      <c r="G99" s="105"/>
      <c r="H99" s="117"/>
      <c r="I99" s="34" t="s">
        <v>221</v>
      </c>
      <c r="J99" s="38">
        <f>(IF(B90&gt;3,(H90/(B90+2)+J98),0))</f>
        <v>0</v>
      </c>
    </row>
    <row r="100" spans="1:10" ht="15.75" customHeight="1" x14ac:dyDescent="0.35">
      <c r="A100" s="114" t="s">
        <v>222</v>
      </c>
      <c r="B100" s="104"/>
      <c r="C100" s="50">
        <v>0</v>
      </c>
      <c r="D100" s="51">
        <f ca="1">((100/H90)*C100)/100</f>
        <v>0</v>
      </c>
      <c r="E100" s="105"/>
      <c r="F100" s="105"/>
      <c r="G100" s="105"/>
      <c r="H100" s="117"/>
      <c r="I100" s="34" t="s">
        <v>223</v>
      </c>
      <c r="J100" s="37">
        <f>(IF(B90&gt;4,(H90/(B90+2)+J99),0))</f>
        <v>0</v>
      </c>
    </row>
    <row r="101" spans="1:10" ht="15.75" customHeight="1" x14ac:dyDescent="0.35">
      <c r="A101" s="114" t="s">
        <v>224</v>
      </c>
      <c r="B101" s="104" t="s">
        <v>224</v>
      </c>
      <c r="C101" s="50">
        <v>0</v>
      </c>
      <c r="D101" s="51">
        <f ca="1">((100/(H90))*C101)/100</f>
        <v>0</v>
      </c>
      <c r="E101" s="105"/>
      <c r="F101" s="105"/>
      <c r="G101" s="105"/>
      <c r="H101" s="117"/>
      <c r="I101" s="34" t="s">
        <v>142</v>
      </c>
      <c r="J101" s="37">
        <f ca="1">(IF(B90=1,(H90/(B90+3)+J96),IF(B90=0,(H90/4+J96),IF(B90&gt;1,0))))</f>
        <v>10.5</v>
      </c>
    </row>
    <row r="102" spans="1:10" ht="16" thickBot="1" x14ac:dyDescent="0.4">
      <c r="A102" s="119" t="s">
        <v>225</v>
      </c>
      <c r="B102" s="120"/>
      <c r="C102" s="53">
        <v>0</v>
      </c>
      <c r="D102" s="54">
        <f ca="1">((100/(H90))*C102)/100</f>
        <v>0</v>
      </c>
      <c r="E102" s="116"/>
      <c r="F102" s="116"/>
      <c r="G102" s="116"/>
      <c r="H102" s="118"/>
      <c r="I102" s="39" t="s">
        <v>143</v>
      </c>
      <c r="J102" s="40">
        <f ca="1">(IF(B90&gt;1.5,(H90/(B90+2)+J96+MAX(0,J97-J96)+MAX(0,J98-J97)+MAX(0,J99-J98)+MAX(0,J100-J99)+MAX(0,J101-J100)),IF(B90=1,(H90/(B90+3)+J101),IF(B90=0,H90/4+J101))))</f>
        <v>14</v>
      </c>
    </row>
    <row r="103" spans="1:10" ht="15.75" customHeight="1" x14ac:dyDescent="0.35">
      <c r="A103" s="172" t="s">
        <v>208</v>
      </c>
      <c r="B103" s="173"/>
      <c r="C103" s="174" t="s">
        <v>228</v>
      </c>
      <c r="D103" s="175"/>
      <c r="E103" s="175"/>
      <c r="F103" s="175"/>
      <c r="G103" s="175"/>
      <c r="H103" s="176"/>
      <c r="I103" s="30" t="str">
        <f ca="1">(IF(E107&gt;99%,"All work completed. Please provide OC.",IF(E107&gt;89.8%,"Plinth, RCC, Brick, Plaster, Flooring, Painting work Completed. Finishing work is in process.",IF(E107&lt;94%,(IF(C107=0,"Work not yet Started.",IF(D107=25%,"Piling work in process",IF(D107=50%,"Excavation work in process",IF(D107=100%,"Excavation work Completed. ","0")))&amp;(IF(C108=0%,"",IF(C108=J109,"Footing work is process",IF(C108=J110,"Footing work Completed",IF(C108=J111,"1st Basement Completed",IF(C108=J112,"1st &amp; 2nd Basement Completed",IF(C108=J113,"1st to 3rd Basement Completed",IF(C108=J114,"1st to 4th Basement Completed",IF(C108=J115,"Plinth work is process",IF(C108=J116,"Plinth work completed","0")))))))))))&amp;(IF(C109=(D104+F104+H104),", RCC Slab",IF(C109&gt;0,", RCC upto "&amp;C109&amp;" Slab",""))&amp;(IF(C110=H104,", Brickwork",IF(C110&gt;0,", Brickwork upto "&amp;C110&amp;" Floor",""))&amp;(IF(C111=H104,", Internal Plaster",IF(C111&gt;0,", Internal Plaster upto "&amp;C111&amp;" Floor",""))&amp;(IF(C112=H104,", External Plaster",IF(C112&gt;0,", External Plaster upto "&amp;C112&amp;" Floor",""))&amp;(IF(C113=H104,", Flooring",IF(C113&gt;0,", Flooring upto "&amp;C113&amp;" Floor",""))&amp;(IF(C114=H104,", Painting",IF(C114&gt;0,", Painting upto "&amp;C114&amp;" Floor",""))&amp;(IF(C115&gt;0,", Finishing upto "&amp;C115&amp;" Floor","")&amp;(IF(C109&gt;0.5," Completed",""))))))))))))))</f>
        <v>Excavation work Completed. Plinth work completed, RCC Slab Completed</v>
      </c>
      <c r="J103" s="31"/>
    </row>
    <row r="104" spans="1:10" x14ac:dyDescent="0.35">
      <c r="A104" s="44" t="s">
        <v>98</v>
      </c>
      <c r="B104" s="45">
        <v>0</v>
      </c>
      <c r="C104" s="45" t="s">
        <v>100</v>
      </c>
      <c r="D104" s="45">
        <v>1</v>
      </c>
      <c r="E104" s="45" t="s">
        <v>99</v>
      </c>
      <c r="F104" s="45">
        <v>0</v>
      </c>
      <c r="G104" s="45" t="s">
        <v>115</v>
      </c>
      <c r="H104" s="29">
        <f ca="1">--TRIM(RIGHT(SUBSTITUTE(LEFT(C103,_xlfn.AGGREGATE(16,6,FIND({0,1,2,3,4,5,6,7,8,9},C103,ROW(INDIRECT("1:"&amp;LEN(C103)))),1))," ",REPT(" ",LEN(C103))),LEN(C103)))</f>
        <v>1</v>
      </c>
      <c r="I104" s="32"/>
      <c r="J104" s="33"/>
    </row>
    <row r="105" spans="1:10" x14ac:dyDescent="0.35">
      <c r="A105" s="111" t="s">
        <v>126</v>
      </c>
      <c r="B105" s="112"/>
      <c r="C105" s="103" t="str">
        <f ca="1">I103</f>
        <v>Excavation work Completed. Plinth work completed, RCC Slab Completed</v>
      </c>
      <c r="D105" s="103"/>
      <c r="E105" s="103"/>
      <c r="F105" s="103"/>
      <c r="G105" s="103"/>
      <c r="H105" s="113"/>
      <c r="I105" s="32" t="s">
        <v>144</v>
      </c>
      <c r="J105" s="33"/>
    </row>
    <row r="106" spans="1:10" x14ac:dyDescent="0.35">
      <c r="A106" s="114" t="s">
        <v>55</v>
      </c>
      <c r="B106" s="104"/>
      <c r="C106" s="42" t="s">
        <v>209</v>
      </c>
      <c r="D106" s="45" t="s">
        <v>118</v>
      </c>
      <c r="E106" s="104" t="s">
        <v>120</v>
      </c>
      <c r="F106" s="104"/>
      <c r="G106" s="104" t="s">
        <v>119</v>
      </c>
      <c r="H106" s="115"/>
      <c r="I106" s="34" t="s">
        <v>210</v>
      </c>
      <c r="J106" s="35">
        <f ca="1">H104*25%</f>
        <v>0.25</v>
      </c>
    </row>
    <row r="107" spans="1:10" x14ac:dyDescent="0.35">
      <c r="A107" s="114" t="s">
        <v>211</v>
      </c>
      <c r="B107" s="104"/>
      <c r="C107" s="50">
        <f ca="1">J108</f>
        <v>1</v>
      </c>
      <c r="D107" s="51">
        <f ca="1">((100/H104)*C107)/100</f>
        <v>1</v>
      </c>
      <c r="E107" s="105">
        <f ca="1">(((C108/H104*10)+(40/(D104+F104+H104)*C109)+(7.5/(H104)*C110)+(7.5/(H104)*C111)+(10/H104*C112)+(10/H104*C113)+(5/H104*C114)+(5/H104*C115)+(5/H104*C116))/100)</f>
        <v>0.5</v>
      </c>
      <c r="F107" s="105"/>
      <c r="G107" s="105">
        <f ca="1">((((C107/H104)*20)+((C108/H104)*25)+(30/(H104+F104+D104)*C109)+(5/H104*C110)+(5/H104*C111)+(5/H104*C112)+(5/H104*C113)+(0/H104*C114)+(0/H104*C115)+(5/H104*C116))/100)</f>
        <v>0.75</v>
      </c>
      <c r="H107" s="117"/>
      <c r="I107" s="34" t="s">
        <v>138</v>
      </c>
      <c r="J107" s="36">
        <f ca="1">H104*50%</f>
        <v>0.5</v>
      </c>
    </row>
    <row r="108" spans="1:10" x14ac:dyDescent="0.35">
      <c r="A108" s="114" t="s">
        <v>56</v>
      </c>
      <c r="B108" s="104"/>
      <c r="C108" s="52">
        <f ca="1">J116</f>
        <v>1</v>
      </c>
      <c r="D108" s="51">
        <f ca="1">((100/H104)*C108)/100</f>
        <v>1</v>
      </c>
      <c r="E108" s="105"/>
      <c r="F108" s="105"/>
      <c r="G108" s="105"/>
      <c r="H108" s="117"/>
      <c r="I108" s="34" t="s">
        <v>139</v>
      </c>
      <c r="J108" s="36">
        <f ca="1">H104</f>
        <v>1</v>
      </c>
    </row>
    <row r="109" spans="1:10" ht="15.75" customHeight="1" x14ac:dyDescent="0.35">
      <c r="A109" s="114" t="s">
        <v>212</v>
      </c>
      <c r="B109" s="104"/>
      <c r="C109" s="52">
        <v>2</v>
      </c>
      <c r="D109" s="51">
        <f ca="1">((100/(D104+F104+H104))*C109)/100</f>
        <v>1</v>
      </c>
      <c r="E109" s="105"/>
      <c r="F109" s="105"/>
      <c r="G109" s="105"/>
      <c r="H109" s="117"/>
      <c r="I109" s="34" t="s">
        <v>140</v>
      </c>
      <c r="J109" s="37">
        <f ca="1">(IF(B104&gt;1,(H104/(B104+2)),H104/4))</f>
        <v>0.25</v>
      </c>
    </row>
    <row r="110" spans="1:10" ht="15.75" customHeight="1" x14ac:dyDescent="0.35">
      <c r="A110" s="114" t="s">
        <v>213</v>
      </c>
      <c r="B110" s="104" t="s">
        <v>214</v>
      </c>
      <c r="C110" s="50">
        <v>0</v>
      </c>
      <c r="D110" s="51">
        <f ca="1">((100/H104)*C110)/100</f>
        <v>0</v>
      </c>
      <c r="E110" s="105"/>
      <c r="F110" s="105"/>
      <c r="G110" s="105"/>
      <c r="H110" s="117"/>
      <c r="I110" s="34" t="s">
        <v>141</v>
      </c>
      <c r="J110" s="37">
        <f ca="1">(IF(B104&gt;1,(H104/(B104+2)+J109),H104/4+J109))</f>
        <v>0.5</v>
      </c>
    </row>
    <row r="111" spans="1:10" ht="15.75" customHeight="1" x14ac:dyDescent="0.35">
      <c r="A111" s="114" t="s">
        <v>215</v>
      </c>
      <c r="B111" s="104" t="s">
        <v>214</v>
      </c>
      <c r="C111" s="50">
        <v>0</v>
      </c>
      <c r="D111" s="51">
        <f ca="1">((100/H104)*C111)/100</f>
        <v>0</v>
      </c>
      <c r="E111" s="105"/>
      <c r="F111" s="105"/>
      <c r="G111" s="105"/>
      <c r="H111" s="117"/>
      <c r="I111" s="34" t="s">
        <v>216</v>
      </c>
      <c r="J111" s="37">
        <f>(IF(B104&gt;1,(H104/(B104+2)+J110),0))</f>
        <v>0</v>
      </c>
    </row>
    <row r="112" spans="1:10" ht="15" customHeight="1" x14ac:dyDescent="0.35">
      <c r="A112" s="114" t="s">
        <v>217</v>
      </c>
      <c r="B112" s="104" t="s">
        <v>218</v>
      </c>
      <c r="C112" s="50">
        <v>0</v>
      </c>
      <c r="D112" s="51">
        <f ca="1">((100/(H104))*C112)/100</f>
        <v>0</v>
      </c>
      <c r="E112" s="105"/>
      <c r="F112" s="105"/>
      <c r="G112" s="105"/>
      <c r="H112" s="117"/>
      <c r="I112" s="34" t="s">
        <v>219</v>
      </c>
      <c r="J112" s="37">
        <f>(IF(B104&gt;2,(H104/(B104+2)+J111),0))</f>
        <v>0</v>
      </c>
    </row>
    <row r="113" spans="1:15" ht="15.75" customHeight="1" x14ac:dyDescent="0.35">
      <c r="A113" s="114" t="s">
        <v>220</v>
      </c>
      <c r="B113" s="104" t="s">
        <v>220</v>
      </c>
      <c r="C113" s="50">
        <v>0</v>
      </c>
      <c r="D113" s="51">
        <f ca="1">((100/H104)*C113)/100</f>
        <v>0</v>
      </c>
      <c r="E113" s="105"/>
      <c r="F113" s="105"/>
      <c r="G113" s="105"/>
      <c r="H113" s="117"/>
      <c r="I113" s="34" t="s">
        <v>221</v>
      </c>
      <c r="J113" s="38">
        <f>(IF(B104&gt;3,(H104/(B104+2)+J112),0))</f>
        <v>0</v>
      </c>
    </row>
    <row r="114" spans="1:15" ht="15.75" customHeight="1" x14ac:dyDescent="0.35">
      <c r="A114" s="114" t="s">
        <v>222</v>
      </c>
      <c r="B114" s="104"/>
      <c r="C114" s="50">
        <v>0</v>
      </c>
      <c r="D114" s="51">
        <f ca="1">((100/H104)*C114)/100</f>
        <v>0</v>
      </c>
      <c r="E114" s="105"/>
      <c r="F114" s="105"/>
      <c r="G114" s="105"/>
      <c r="H114" s="117"/>
      <c r="I114" s="34" t="s">
        <v>223</v>
      </c>
      <c r="J114" s="37">
        <f>(IF(B104&gt;4,(H104/(B104+2)+J113),0))</f>
        <v>0</v>
      </c>
    </row>
    <row r="115" spans="1:15" ht="15.75" customHeight="1" x14ac:dyDescent="0.35">
      <c r="A115" s="114" t="s">
        <v>224</v>
      </c>
      <c r="B115" s="104" t="s">
        <v>224</v>
      </c>
      <c r="C115" s="50">
        <v>0</v>
      </c>
      <c r="D115" s="51">
        <f ca="1">((100/(H104))*C115)/100</f>
        <v>0</v>
      </c>
      <c r="E115" s="105"/>
      <c r="F115" s="105"/>
      <c r="G115" s="105"/>
      <c r="H115" s="117"/>
      <c r="I115" s="34" t="s">
        <v>142</v>
      </c>
      <c r="J115" s="37">
        <f ca="1">(IF(B104=1,(H104/(B104+3)+J110),IF(B104=0,(H104/4+J110),IF(B104&gt;1,0))))</f>
        <v>0.75</v>
      </c>
    </row>
    <row r="116" spans="1:15" ht="16" thickBot="1" x14ac:dyDescent="0.4">
      <c r="A116" s="119" t="s">
        <v>225</v>
      </c>
      <c r="B116" s="120"/>
      <c r="C116" s="53">
        <v>0</v>
      </c>
      <c r="D116" s="54">
        <f ca="1">((100/(H104))*C116)/100</f>
        <v>0</v>
      </c>
      <c r="E116" s="116"/>
      <c r="F116" s="116"/>
      <c r="G116" s="116"/>
      <c r="H116" s="118"/>
      <c r="I116" s="39" t="s">
        <v>143</v>
      </c>
      <c r="J116" s="40">
        <f ca="1">(IF(B104&gt;1.5,(H104/(B104+2)+J110+MAX(0,J111-J110)+MAX(0,J112-J111)+MAX(0,J113-J112)+MAX(0,J114-J113)+MAX(0,J115-J114)),IF(B104=1,(H104/(B104+3)+J115),IF(B104=0,H104/4+J115))))</f>
        <v>1</v>
      </c>
    </row>
    <row r="117" spans="1:15" x14ac:dyDescent="0.35">
      <c r="A117" s="169" t="s">
        <v>191</v>
      </c>
      <c r="B117" s="170"/>
      <c r="C117" s="170"/>
      <c r="D117" s="170"/>
      <c r="E117" s="170"/>
      <c r="F117" s="170"/>
      <c r="G117" s="170"/>
      <c r="H117" s="171"/>
      <c r="K117" s="70" t="s">
        <v>260</v>
      </c>
      <c r="L117" s="70" t="s">
        <v>262</v>
      </c>
      <c r="M117" s="70" t="s">
        <v>265</v>
      </c>
      <c r="N117" s="70" t="s">
        <v>266</v>
      </c>
      <c r="O117" s="70" t="s">
        <v>263</v>
      </c>
    </row>
    <row r="118" spans="1:15" x14ac:dyDescent="0.35">
      <c r="A118" s="124" t="s">
        <v>57</v>
      </c>
      <c r="B118" s="124"/>
      <c r="C118" s="124"/>
      <c r="D118" s="124"/>
      <c r="E118" s="124"/>
      <c r="F118" s="124"/>
      <c r="G118" s="124"/>
      <c r="H118" s="124"/>
      <c r="K118" s="70" t="s">
        <v>261</v>
      </c>
      <c r="L118" s="70" t="s">
        <v>193</v>
      </c>
      <c r="M118" s="71">
        <v>0.5</v>
      </c>
      <c r="N118" s="72">
        <v>45288</v>
      </c>
      <c r="O118" s="70" t="s">
        <v>264</v>
      </c>
    </row>
    <row r="119" spans="1:15" ht="15.75" customHeight="1" x14ac:dyDescent="0.35">
      <c r="A119" s="112" t="s">
        <v>103</v>
      </c>
      <c r="B119" s="112"/>
      <c r="C119" s="103" t="s">
        <v>104</v>
      </c>
      <c r="D119" s="103"/>
      <c r="E119" s="103"/>
      <c r="F119" s="103"/>
      <c r="G119" s="103"/>
      <c r="H119" s="103"/>
    </row>
    <row r="120" spans="1:15" x14ac:dyDescent="0.35">
      <c r="A120" s="139" t="s">
        <v>58</v>
      </c>
      <c r="B120" s="139"/>
      <c r="C120" s="139"/>
      <c r="D120" s="139"/>
      <c r="E120" s="139"/>
      <c r="F120" s="139"/>
      <c r="G120" s="139"/>
      <c r="H120" s="139"/>
    </row>
    <row r="121" spans="1:15" x14ac:dyDescent="0.35">
      <c r="A121" s="124" t="s">
        <v>105</v>
      </c>
      <c r="B121" s="124"/>
      <c r="C121" s="124"/>
      <c r="D121" s="124"/>
      <c r="E121" s="124"/>
      <c r="F121" s="112">
        <v>4800</v>
      </c>
      <c r="G121" s="112"/>
      <c r="H121" s="112"/>
    </row>
    <row r="122" spans="1:15" x14ac:dyDescent="0.35">
      <c r="A122" s="124" t="s">
        <v>113</v>
      </c>
      <c r="B122" s="124"/>
      <c r="C122" s="124"/>
      <c r="D122" s="124"/>
      <c r="E122" s="124"/>
      <c r="F122" s="133">
        <v>8000</v>
      </c>
      <c r="G122" s="133"/>
      <c r="H122" s="133"/>
    </row>
    <row r="123" spans="1:15" ht="15.75" customHeight="1" x14ac:dyDescent="0.35">
      <c r="A123" s="124" t="s">
        <v>114</v>
      </c>
      <c r="B123" s="124"/>
      <c r="C123" s="124"/>
      <c r="D123" s="124"/>
      <c r="E123" s="124"/>
      <c r="F123" s="133">
        <v>6500</v>
      </c>
      <c r="G123" s="133"/>
      <c r="H123" s="133"/>
      <c r="I123" s="7" t="s">
        <v>269</v>
      </c>
    </row>
    <row r="124" spans="1:15" s="12" customFormat="1" ht="15.75" hidden="1" customHeight="1" x14ac:dyDescent="0.3">
      <c r="A124" s="124" t="s">
        <v>131</v>
      </c>
      <c r="B124" s="124"/>
      <c r="C124" s="124"/>
      <c r="D124" s="124"/>
      <c r="E124" s="124"/>
      <c r="F124" s="133" t="s">
        <v>31</v>
      </c>
      <c r="G124" s="133"/>
      <c r="H124" s="133"/>
    </row>
    <row r="125" spans="1:15" s="12" customFormat="1" x14ac:dyDescent="0.3">
      <c r="A125" s="124" t="s">
        <v>207</v>
      </c>
      <c r="B125" s="124"/>
      <c r="C125" s="124"/>
      <c r="D125" s="124"/>
      <c r="E125" s="124"/>
      <c r="F125" s="133">
        <v>5500</v>
      </c>
      <c r="G125" s="133"/>
      <c r="H125" s="133"/>
    </row>
    <row r="126" spans="1:15" s="12" customFormat="1" ht="15" customHeight="1" x14ac:dyDescent="0.3">
      <c r="A126" s="124" t="s">
        <v>196</v>
      </c>
      <c r="B126" s="124"/>
      <c r="C126" s="124"/>
      <c r="D126" s="124"/>
      <c r="E126" s="124"/>
      <c r="F126" s="133" t="s">
        <v>197</v>
      </c>
      <c r="G126" s="133"/>
      <c r="H126" s="133"/>
    </row>
    <row r="127" spans="1:15" s="12" customFormat="1" ht="15.75" hidden="1" customHeight="1" x14ac:dyDescent="0.3">
      <c r="A127" s="124" t="s">
        <v>132</v>
      </c>
      <c r="B127" s="124"/>
      <c r="C127" s="124"/>
      <c r="D127" s="124"/>
      <c r="E127" s="124"/>
      <c r="F127" s="133" t="s">
        <v>31</v>
      </c>
      <c r="G127" s="133"/>
      <c r="H127" s="133"/>
    </row>
    <row r="128" spans="1:15" s="12" customFormat="1" ht="15.75" hidden="1" customHeight="1" x14ac:dyDescent="0.3">
      <c r="A128" s="124" t="s">
        <v>133</v>
      </c>
      <c r="B128" s="124"/>
      <c r="C128" s="124"/>
      <c r="D128" s="124"/>
      <c r="E128" s="124"/>
      <c r="F128" s="133" t="s">
        <v>31</v>
      </c>
      <c r="G128" s="133"/>
      <c r="H128" s="133"/>
    </row>
    <row r="129" spans="1:11" s="12" customFormat="1" ht="15.75" hidden="1" customHeight="1" x14ac:dyDescent="0.3">
      <c r="A129" s="124" t="s">
        <v>134</v>
      </c>
      <c r="B129" s="124"/>
      <c r="C129" s="124"/>
      <c r="D129" s="124"/>
      <c r="E129" s="124"/>
      <c r="F129" s="133" t="s">
        <v>31</v>
      </c>
      <c r="G129" s="133"/>
      <c r="H129" s="133"/>
    </row>
    <row r="130" spans="1:11" s="12" customFormat="1" hidden="1" x14ac:dyDescent="0.3">
      <c r="A130" s="124" t="s">
        <v>135</v>
      </c>
      <c r="B130" s="124"/>
      <c r="C130" s="124"/>
      <c r="D130" s="124"/>
      <c r="E130" s="124"/>
      <c r="F130" s="133" t="s">
        <v>31</v>
      </c>
      <c r="G130" s="133"/>
      <c r="H130" s="133"/>
    </row>
    <row r="131" spans="1:11" s="12" customFormat="1" hidden="1" x14ac:dyDescent="0.3">
      <c r="A131" s="124" t="s">
        <v>136</v>
      </c>
      <c r="B131" s="124"/>
      <c r="C131" s="124"/>
      <c r="D131" s="124"/>
      <c r="E131" s="124"/>
      <c r="F131" s="133" t="s">
        <v>31</v>
      </c>
      <c r="G131" s="133"/>
      <c r="H131" s="133"/>
    </row>
    <row r="132" spans="1:11" s="12" customFormat="1" hidden="1" x14ac:dyDescent="0.3">
      <c r="A132" s="124" t="s">
        <v>137</v>
      </c>
      <c r="B132" s="124"/>
      <c r="C132" s="124"/>
      <c r="D132" s="124"/>
      <c r="E132" s="124"/>
      <c r="F132" s="133" t="s">
        <v>31</v>
      </c>
      <c r="G132" s="133"/>
      <c r="H132" s="133"/>
    </row>
    <row r="133" spans="1:11" x14ac:dyDescent="0.35">
      <c r="A133" s="124" t="s">
        <v>59</v>
      </c>
      <c r="B133" s="124"/>
      <c r="C133" s="124"/>
      <c r="D133" s="124"/>
      <c r="E133" s="124"/>
      <c r="F133" s="131" t="s">
        <v>198</v>
      </c>
      <c r="G133" s="131"/>
      <c r="H133" s="131"/>
    </row>
    <row r="134" spans="1:11" s="8" customFormat="1" x14ac:dyDescent="0.35">
      <c r="A134" s="139" t="s">
        <v>60</v>
      </c>
      <c r="B134" s="139"/>
      <c r="C134" s="139"/>
      <c r="D134" s="139"/>
      <c r="E134" s="139"/>
      <c r="F134" s="133">
        <f>F121*0.8</f>
        <v>3840</v>
      </c>
      <c r="G134" s="133"/>
      <c r="H134" s="133"/>
    </row>
    <row r="135" spans="1:11" s="1" customFormat="1" ht="15.75" customHeight="1" x14ac:dyDescent="0.35">
      <c r="A135" s="121" t="s">
        <v>106</v>
      </c>
      <c r="B135" s="121"/>
      <c r="C135" s="121"/>
      <c r="D135" s="121"/>
      <c r="E135" s="121"/>
      <c r="F135" s="121"/>
      <c r="G135" s="121"/>
      <c r="H135" s="121"/>
    </row>
    <row r="136" spans="1:11" s="1" customFormat="1" ht="15.75" customHeight="1" x14ac:dyDescent="0.35">
      <c r="A136" s="81" t="s">
        <v>61</v>
      </c>
      <c r="B136" s="81"/>
      <c r="C136" s="55" t="s">
        <v>110</v>
      </c>
      <c r="D136" s="177" t="s">
        <v>62</v>
      </c>
      <c r="E136" s="177"/>
      <c r="F136" s="81" t="s">
        <v>63</v>
      </c>
      <c r="G136" s="81"/>
      <c r="H136" s="81"/>
    </row>
    <row r="137" spans="1:11" s="1" customFormat="1" ht="31" x14ac:dyDescent="0.35">
      <c r="A137" s="69" t="s">
        <v>252</v>
      </c>
      <c r="B137" s="64" t="s">
        <v>189</v>
      </c>
      <c r="C137" s="56">
        <f>COUNT(D156:D162)</f>
        <v>7</v>
      </c>
      <c r="D137" s="168">
        <f>SUM(D156:D162)</f>
        <v>1374.77808</v>
      </c>
      <c r="E137" s="168"/>
      <c r="F137" s="168">
        <f>SUM(F156:F162)</f>
        <v>2199.6449279999997</v>
      </c>
      <c r="G137" s="168"/>
      <c r="H137" s="168"/>
    </row>
    <row r="138" spans="1:11" s="1" customFormat="1" x14ac:dyDescent="0.35">
      <c r="A138" s="80" t="s">
        <v>253</v>
      </c>
      <c r="B138" s="64" t="s">
        <v>251</v>
      </c>
      <c r="C138" s="56">
        <f>COUNT(D166:D182)</f>
        <v>17</v>
      </c>
      <c r="D138" s="168">
        <f>SUM(D166:D182)</f>
        <v>3125.4350400000003</v>
      </c>
      <c r="E138" s="168"/>
      <c r="F138" s="168">
        <f>SUM(F166:F182)</f>
        <v>5000.6960640000007</v>
      </c>
      <c r="G138" s="168"/>
      <c r="H138" s="168"/>
    </row>
    <row r="139" spans="1:11" s="1" customFormat="1" x14ac:dyDescent="0.35">
      <c r="A139" s="80"/>
      <c r="B139" s="64" t="s">
        <v>248</v>
      </c>
      <c r="C139" s="56">
        <f>COUNT(D184:D186)</f>
        <v>3</v>
      </c>
      <c r="D139" s="168">
        <f>SUM(D184:D186)</f>
        <v>1145.8278</v>
      </c>
      <c r="E139" s="168"/>
      <c r="F139" s="168">
        <f>SUM(F184:F186)</f>
        <v>2003.1373440000002</v>
      </c>
      <c r="G139" s="168"/>
      <c r="H139" s="168"/>
    </row>
    <row r="140" spans="1:11" s="1" customFormat="1" x14ac:dyDescent="0.35">
      <c r="A140" s="121" t="s">
        <v>65</v>
      </c>
      <c r="B140" s="121"/>
      <c r="C140" s="58">
        <f>SUM(C137:C139)</f>
        <v>27</v>
      </c>
      <c r="D140" s="122">
        <f>SUM(D137:D139)</f>
        <v>5646.0409200000004</v>
      </c>
      <c r="E140" s="122"/>
      <c r="F140" s="122">
        <f>SUM(F137:F139)</f>
        <v>9203.4783360000001</v>
      </c>
      <c r="G140" s="122"/>
      <c r="H140" s="122"/>
    </row>
    <row r="141" spans="1:11" s="1" customFormat="1" x14ac:dyDescent="0.35">
      <c r="A141" s="121" t="s">
        <v>97</v>
      </c>
      <c r="B141" s="121"/>
      <c r="C141" s="121"/>
      <c r="D141" s="121"/>
      <c r="E141" s="121"/>
      <c r="F141" s="121"/>
      <c r="G141" s="121"/>
      <c r="H141" s="121"/>
    </row>
    <row r="142" spans="1:11" s="1" customFormat="1" x14ac:dyDescent="0.35">
      <c r="A142" s="81" t="s">
        <v>61</v>
      </c>
      <c r="B142" s="81"/>
      <c r="C142" s="55" t="s">
        <v>110</v>
      </c>
      <c r="D142" s="177" t="s">
        <v>62</v>
      </c>
      <c r="E142" s="177"/>
      <c r="F142" s="81" t="s">
        <v>63</v>
      </c>
      <c r="G142" s="81"/>
      <c r="H142" s="81"/>
    </row>
    <row r="143" spans="1:11" s="1" customFormat="1" x14ac:dyDescent="0.35">
      <c r="A143" s="48" t="s">
        <v>177</v>
      </c>
      <c r="B143" s="48" t="s">
        <v>178</v>
      </c>
      <c r="C143" s="57">
        <f>COUNT(D192:D197)+COUNT(D199:D206)*4</f>
        <v>38</v>
      </c>
      <c r="D143" s="107">
        <f>SUM(D192:D197)+SUM(D199:D206)*4</f>
        <v>17538.431039999996</v>
      </c>
      <c r="E143" s="107"/>
      <c r="F143" s="123">
        <f>SUM(F192:F197)+SUM(F199:F206)*4</f>
        <v>25430.725008000001</v>
      </c>
      <c r="G143" s="123"/>
      <c r="H143" s="123"/>
    </row>
    <row r="144" spans="1:11" s="1" customFormat="1" x14ac:dyDescent="0.35">
      <c r="A144" s="108" t="s">
        <v>179</v>
      </c>
      <c r="B144" s="48" t="s">
        <v>178</v>
      </c>
      <c r="C144" s="57">
        <f>COUNT(D210:D217)*3</f>
        <v>24</v>
      </c>
      <c r="D144" s="107">
        <f>SUM(D210:D217)*3</f>
        <v>11318.668919999998</v>
      </c>
      <c r="E144" s="107"/>
      <c r="F144" s="123">
        <f>SUM(F210:F217)*3</f>
        <v>16412.069933999999</v>
      </c>
      <c r="G144" s="123"/>
      <c r="H144" s="123"/>
      <c r="J144" s="65">
        <f>SUM(F140,F148)</f>
        <v>194144.43391199998</v>
      </c>
      <c r="K144" s="65">
        <f>SUM(D140,D148)</f>
        <v>131541.462</v>
      </c>
    </row>
    <row r="145" spans="1:14" s="1" customFormat="1" x14ac:dyDescent="0.35">
      <c r="A145" s="109"/>
      <c r="B145" s="48" t="s">
        <v>188</v>
      </c>
      <c r="C145" s="56">
        <f>COUNT(D220:D226)+COUNT(D228:D234)*5+COUNT(D236:D242)*5+COUNT(D244:D249)</f>
        <v>83</v>
      </c>
      <c r="D145" s="107">
        <f>SUM(D220:D226)+SUM(D228:D234)*5+SUM(D236:D242)*5+SUM(D244:D249)</f>
        <v>43519.497839999989</v>
      </c>
      <c r="E145" s="107"/>
      <c r="F145" s="125">
        <f>SUM(F220:F226)+SUM(F228:F234)*5+SUM(F236:F242)*5+SUM(F244:F249)</f>
        <v>64663.298387999988</v>
      </c>
      <c r="G145" s="126"/>
      <c r="H145" s="127"/>
    </row>
    <row r="146" spans="1:14" s="1" customFormat="1" x14ac:dyDescent="0.35">
      <c r="A146" s="110"/>
      <c r="B146" s="48" t="s">
        <v>182</v>
      </c>
      <c r="C146" s="57">
        <v>1</v>
      </c>
      <c r="D146" s="107">
        <f>SUM(D252)</f>
        <v>1415.8158300000002</v>
      </c>
      <c r="E146" s="107"/>
      <c r="F146" s="123">
        <f>SUM(F252)</f>
        <v>2151.3697335000002</v>
      </c>
      <c r="G146" s="123"/>
      <c r="H146" s="123"/>
    </row>
    <row r="147" spans="1:14" s="1" customFormat="1" x14ac:dyDescent="0.35">
      <c r="A147" s="63" t="s">
        <v>246</v>
      </c>
      <c r="B147" s="48" t="s">
        <v>247</v>
      </c>
      <c r="C147" s="57">
        <f>COUNT(D256:D260)+COUNT(D262:D269)+COUNT(D271:D278)*10+COUNT(D280:D286)*2</f>
        <v>107</v>
      </c>
      <c r="D147" s="107">
        <f>SUM(D256:D260)+SUM(D262:D269)+SUM(D271:D278)*10+SUM(D280:D286)*2</f>
        <v>52103.00744999999</v>
      </c>
      <c r="E147" s="107"/>
      <c r="F147" s="123">
        <f>SUM(F256:F260)+SUM(F262:F269)+SUM(F271:F278)*10+SUM(F280:F286)*2</f>
        <v>76283.492512499986</v>
      </c>
      <c r="G147" s="123"/>
      <c r="H147" s="123"/>
    </row>
    <row r="148" spans="1:14" s="28" customFormat="1" ht="15" x14ac:dyDescent="0.35">
      <c r="A148" s="121" t="s">
        <v>65</v>
      </c>
      <c r="B148" s="121"/>
      <c r="C148" s="58">
        <f>SUM(C143:C147)</f>
        <v>253</v>
      </c>
      <c r="D148" s="122">
        <f>SUM(D143:D147)</f>
        <v>125895.42107999999</v>
      </c>
      <c r="E148" s="122"/>
      <c r="F148" s="81">
        <f>SUM(F143:F147)</f>
        <v>184940.95557599998</v>
      </c>
      <c r="G148" s="81"/>
      <c r="H148" s="81"/>
    </row>
    <row r="149" spans="1:14" s="8" customFormat="1" x14ac:dyDescent="0.35">
      <c r="A149" s="83" t="s">
        <v>66</v>
      </c>
      <c r="B149" s="83"/>
      <c r="C149" s="83"/>
      <c r="D149" s="83"/>
      <c r="E149" s="83"/>
      <c r="F149" s="83"/>
      <c r="G149" s="83"/>
      <c r="H149" s="83"/>
    </row>
    <row r="150" spans="1:14" x14ac:dyDescent="0.35">
      <c r="A150" s="84" t="s">
        <v>67</v>
      </c>
      <c r="B150" s="84"/>
      <c r="C150" s="84"/>
      <c r="D150" s="84"/>
      <c r="E150" s="84"/>
      <c r="F150" s="84"/>
      <c r="G150" s="84"/>
      <c r="H150" s="84"/>
    </row>
    <row r="151" spans="1:14" ht="47.25" customHeight="1" x14ac:dyDescent="0.35">
      <c r="A151" s="85" t="s">
        <v>238</v>
      </c>
      <c r="B151" s="85" t="s">
        <v>239</v>
      </c>
      <c r="C151" s="85" t="s">
        <v>68</v>
      </c>
      <c r="D151" s="85" t="s">
        <v>69</v>
      </c>
      <c r="E151" s="87" t="s">
        <v>240</v>
      </c>
      <c r="F151" s="66" t="s">
        <v>241</v>
      </c>
      <c r="G151" s="89" t="s">
        <v>72</v>
      </c>
      <c r="H151" s="90"/>
    </row>
    <row r="152" spans="1:14" s="2" customFormat="1" x14ac:dyDescent="0.35">
      <c r="A152" s="86"/>
      <c r="B152" s="86"/>
      <c r="C152" s="86"/>
      <c r="D152" s="86"/>
      <c r="E152" s="88"/>
      <c r="F152" s="67">
        <v>0.6</v>
      </c>
      <c r="G152" s="91"/>
      <c r="H152" s="92"/>
    </row>
    <row r="153" spans="1:14" s="2" customFormat="1" x14ac:dyDescent="0.35">
      <c r="A153" s="93" t="s">
        <v>179</v>
      </c>
      <c r="B153" s="93"/>
      <c r="C153" s="93"/>
      <c r="D153" s="93"/>
      <c r="E153" s="93"/>
      <c r="F153" s="93"/>
      <c r="G153" s="93"/>
      <c r="H153" s="93"/>
    </row>
    <row r="154" spans="1:14" s="2" customFormat="1" x14ac:dyDescent="0.35">
      <c r="A154" s="93" t="s">
        <v>188</v>
      </c>
      <c r="B154" s="93"/>
      <c r="C154" s="93"/>
      <c r="D154" s="93"/>
      <c r="E154" s="93"/>
      <c r="F154" s="93"/>
      <c r="G154" s="93"/>
      <c r="H154" s="93"/>
    </row>
    <row r="155" spans="1:14" s="2" customFormat="1" x14ac:dyDescent="0.35">
      <c r="A155" s="93" t="s">
        <v>242</v>
      </c>
      <c r="B155" s="93"/>
      <c r="C155" s="93"/>
      <c r="D155" s="93"/>
      <c r="E155" s="93"/>
      <c r="F155" s="93"/>
      <c r="G155" s="93"/>
      <c r="H155" s="93"/>
      <c r="J155" s="59">
        <v>10.763999999999999</v>
      </c>
    </row>
    <row r="156" spans="1:14" s="2" customFormat="1" ht="15.75" customHeight="1" x14ac:dyDescent="0.35">
      <c r="A156" s="94">
        <v>1</v>
      </c>
      <c r="B156" s="95"/>
      <c r="C156" s="41" t="s">
        <v>189</v>
      </c>
      <c r="D156" s="59">
        <f>(27.3)*10.764</f>
        <v>293.85719999999998</v>
      </c>
      <c r="E156" s="41">
        <v>0</v>
      </c>
      <c r="F156" s="41">
        <f>(D156+E156)*(($F$152)+1)</f>
        <v>470.17151999999999</v>
      </c>
      <c r="G156" s="96" t="str">
        <f>A155</f>
        <v>Ground Floor for Entrance Lobby, Commercial &amp; Parking</v>
      </c>
      <c r="H156" s="97"/>
      <c r="I156" s="68"/>
      <c r="L156" s="100"/>
      <c r="M156" s="100"/>
      <c r="N156" s="68"/>
    </row>
    <row r="157" spans="1:14" s="2" customFormat="1" ht="15.75" customHeight="1" x14ac:dyDescent="0.35">
      <c r="A157" s="94">
        <f t="shared" ref="A157:A162" si="0">A156+1</f>
        <v>2</v>
      </c>
      <c r="B157" s="95"/>
      <c r="C157" s="41" t="s">
        <v>189</v>
      </c>
      <c r="D157" s="59">
        <f>(17.46)*10.764</f>
        <v>187.93943999999999</v>
      </c>
      <c r="E157" s="41">
        <v>0</v>
      </c>
      <c r="F157" s="41">
        <f t="shared" ref="F157:F162" si="1">(D157+E157)*(($F$152)+1)</f>
        <v>300.703104</v>
      </c>
      <c r="G157" s="98"/>
      <c r="H157" s="99"/>
      <c r="I157" s="68"/>
      <c r="L157" s="100"/>
      <c r="M157" s="100"/>
      <c r="N157" s="68"/>
    </row>
    <row r="158" spans="1:14" s="2" customFormat="1" ht="15.75" customHeight="1" x14ac:dyDescent="0.35">
      <c r="A158" s="94">
        <f t="shared" si="0"/>
        <v>3</v>
      </c>
      <c r="B158" s="95"/>
      <c r="C158" s="41" t="s">
        <v>189</v>
      </c>
      <c r="D158" s="59">
        <f>(14.6)*10.764</f>
        <v>157.15439999999998</v>
      </c>
      <c r="E158" s="41">
        <v>0</v>
      </c>
      <c r="F158" s="41">
        <f t="shared" si="1"/>
        <v>251.44703999999999</v>
      </c>
      <c r="G158" s="98"/>
      <c r="H158" s="99"/>
      <c r="I158" s="68"/>
      <c r="L158" s="100"/>
      <c r="M158" s="100"/>
      <c r="N158" s="68"/>
    </row>
    <row r="159" spans="1:14" s="2" customFormat="1" ht="15.75" customHeight="1" x14ac:dyDescent="0.35">
      <c r="A159" s="94">
        <f t="shared" si="0"/>
        <v>4</v>
      </c>
      <c r="B159" s="95"/>
      <c r="C159" s="41" t="s">
        <v>189</v>
      </c>
      <c r="D159" s="59">
        <f>(22.55)*10.764</f>
        <v>242.72819999999999</v>
      </c>
      <c r="E159" s="41">
        <v>0</v>
      </c>
      <c r="F159" s="41">
        <f t="shared" si="1"/>
        <v>388.36511999999999</v>
      </c>
      <c r="G159" s="98"/>
      <c r="H159" s="99"/>
      <c r="I159" s="68"/>
      <c r="L159" s="100"/>
      <c r="M159" s="100"/>
      <c r="N159" s="68"/>
    </row>
    <row r="160" spans="1:14" s="2" customFormat="1" ht="15.75" customHeight="1" x14ac:dyDescent="0.35">
      <c r="A160" s="94">
        <f t="shared" si="0"/>
        <v>5</v>
      </c>
      <c r="B160" s="95"/>
      <c r="C160" s="41" t="s">
        <v>189</v>
      </c>
      <c r="D160" s="59">
        <f>(16.36)*10.764</f>
        <v>176.09903999999997</v>
      </c>
      <c r="E160" s="41">
        <v>0</v>
      </c>
      <c r="F160" s="41">
        <f t="shared" si="1"/>
        <v>281.75846399999995</v>
      </c>
      <c r="G160" s="98"/>
      <c r="H160" s="99"/>
      <c r="I160" s="68"/>
      <c r="L160" s="100"/>
      <c r="M160" s="100"/>
      <c r="N160" s="68"/>
    </row>
    <row r="161" spans="1:14" s="2" customFormat="1" ht="15.75" customHeight="1" x14ac:dyDescent="0.35">
      <c r="A161" s="94">
        <f t="shared" si="0"/>
        <v>6</v>
      </c>
      <c r="B161" s="95"/>
      <c r="C161" s="41" t="s">
        <v>189</v>
      </c>
      <c r="D161" s="59">
        <f>(13.09)*10.764</f>
        <v>140.90075999999999</v>
      </c>
      <c r="E161" s="41">
        <v>0</v>
      </c>
      <c r="F161" s="41">
        <f t="shared" si="1"/>
        <v>225.441216</v>
      </c>
      <c r="G161" s="98"/>
      <c r="H161" s="99"/>
      <c r="I161" s="68"/>
      <c r="L161" s="100"/>
      <c r="M161" s="100"/>
      <c r="N161" s="68"/>
    </row>
    <row r="162" spans="1:14" s="2" customFormat="1" ht="15.75" customHeight="1" x14ac:dyDescent="0.35">
      <c r="A162" s="94">
        <f t="shared" si="0"/>
        <v>7</v>
      </c>
      <c r="B162" s="95"/>
      <c r="C162" s="41" t="s">
        <v>189</v>
      </c>
      <c r="D162" s="59">
        <f>(16.36)*10.764</f>
        <v>176.09903999999997</v>
      </c>
      <c r="E162" s="41">
        <v>0</v>
      </c>
      <c r="F162" s="41">
        <f t="shared" si="1"/>
        <v>281.75846399999995</v>
      </c>
      <c r="G162" s="101"/>
      <c r="H162" s="102"/>
      <c r="I162" s="68"/>
      <c r="L162" s="100"/>
      <c r="M162" s="100"/>
      <c r="N162" s="68"/>
    </row>
    <row r="163" spans="1:14" s="2" customFormat="1" x14ac:dyDescent="0.35">
      <c r="A163" s="93" t="s">
        <v>246</v>
      </c>
      <c r="B163" s="93"/>
      <c r="C163" s="93"/>
      <c r="D163" s="93"/>
      <c r="E163" s="93"/>
      <c r="F163" s="93"/>
      <c r="G163" s="93"/>
      <c r="H163" s="93"/>
    </row>
    <row r="164" spans="1:14" s="2" customFormat="1" x14ac:dyDescent="0.35">
      <c r="A164" s="93" t="s">
        <v>247</v>
      </c>
      <c r="B164" s="93"/>
      <c r="C164" s="93"/>
      <c r="D164" s="93"/>
      <c r="E164" s="93"/>
      <c r="F164" s="93"/>
      <c r="G164" s="93"/>
      <c r="H164" s="93"/>
    </row>
    <row r="165" spans="1:14" s="2" customFormat="1" x14ac:dyDescent="0.35">
      <c r="A165" s="93" t="s">
        <v>242</v>
      </c>
      <c r="B165" s="93"/>
      <c r="C165" s="93"/>
      <c r="D165" s="93"/>
      <c r="E165" s="93"/>
      <c r="F165" s="93"/>
      <c r="G165" s="93"/>
      <c r="H165" s="93"/>
      <c r="J165" s="59">
        <v>10.763999999999999</v>
      </c>
    </row>
    <row r="166" spans="1:14" s="2" customFormat="1" ht="15.75" customHeight="1" x14ac:dyDescent="0.35">
      <c r="A166" s="82">
        <v>8</v>
      </c>
      <c r="B166" s="82"/>
      <c r="C166" s="41" t="s">
        <v>189</v>
      </c>
      <c r="D166" s="59">
        <f>(15.52)*10.764</f>
        <v>167.05727999999999</v>
      </c>
      <c r="E166" s="41">
        <v>0</v>
      </c>
      <c r="F166" s="41">
        <f t="shared" ref="F166:F182" si="2">(D166+E166)*(($F$152)+1)</f>
        <v>267.29164800000001</v>
      </c>
      <c r="G166" s="82" t="str">
        <f>A165</f>
        <v>Ground Floor for Entrance Lobby, Commercial &amp; Parking</v>
      </c>
      <c r="H166" s="82"/>
      <c r="I166" s="68"/>
      <c r="L166" s="100"/>
      <c r="M166" s="100"/>
      <c r="N166" s="68"/>
    </row>
    <row r="167" spans="1:14" s="2" customFormat="1" ht="15.75" customHeight="1" x14ac:dyDescent="0.35">
      <c r="A167" s="82">
        <f t="shared" ref="A167:A182" si="3">A166+1</f>
        <v>9</v>
      </c>
      <c r="B167" s="82"/>
      <c r="C167" s="41" t="s">
        <v>189</v>
      </c>
      <c r="D167" s="59">
        <f>(18.56)*10.764</f>
        <v>199.77983999999998</v>
      </c>
      <c r="E167" s="41">
        <v>0</v>
      </c>
      <c r="F167" s="41">
        <f t="shared" si="2"/>
        <v>319.64774399999999</v>
      </c>
      <c r="G167" s="82"/>
      <c r="H167" s="82"/>
      <c r="I167" s="68"/>
      <c r="L167" s="100"/>
      <c r="M167" s="100"/>
      <c r="N167" s="68"/>
    </row>
    <row r="168" spans="1:14" s="2" customFormat="1" ht="15.75" customHeight="1" x14ac:dyDescent="0.35">
      <c r="A168" s="82">
        <f t="shared" si="3"/>
        <v>10</v>
      </c>
      <c r="B168" s="82"/>
      <c r="C168" s="41" t="s">
        <v>189</v>
      </c>
      <c r="D168" s="59">
        <f>(20.35)*10.764</f>
        <v>219.04740000000001</v>
      </c>
      <c r="E168" s="41">
        <v>0</v>
      </c>
      <c r="F168" s="41">
        <f t="shared" si="2"/>
        <v>350.47584000000006</v>
      </c>
      <c r="G168" s="82"/>
      <c r="H168" s="82"/>
      <c r="I168" s="68"/>
      <c r="L168" s="100"/>
      <c r="M168" s="100"/>
      <c r="N168" s="68"/>
    </row>
    <row r="169" spans="1:14" s="2" customFormat="1" ht="15.75" customHeight="1" x14ac:dyDescent="0.35">
      <c r="A169" s="82">
        <f t="shared" si="3"/>
        <v>11</v>
      </c>
      <c r="B169" s="82"/>
      <c r="C169" s="41" t="s">
        <v>189</v>
      </c>
      <c r="D169" s="59">
        <f>(17.02)*10.764</f>
        <v>183.20327999999998</v>
      </c>
      <c r="E169" s="41">
        <v>0</v>
      </c>
      <c r="F169" s="41">
        <f t="shared" si="2"/>
        <v>293.125248</v>
      </c>
      <c r="G169" s="82"/>
      <c r="H169" s="82"/>
      <c r="I169" s="68"/>
      <c r="L169" s="100"/>
      <c r="M169" s="100"/>
      <c r="N169" s="68"/>
    </row>
    <row r="170" spans="1:14" s="2" customFormat="1" ht="15.75" customHeight="1" x14ac:dyDescent="0.35">
      <c r="A170" s="82">
        <f t="shared" si="3"/>
        <v>12</v>
      </c>
      <c r="B170" s="82"/>
      <c r="C170" s="41" t="s">
        <v>189</v>
      </c>
      <c r="D170" s="59">
        <f>(16.08)*10.764</f>
        <v>173.08511999999996</v>
      </c>
      <c r="E170" s="41">
        <v>0</v>
      </c>
      <c r="F170" s="41">
        <f t="shared" si="2"/>
        <v>276.93619199999995</v>
      </c>
      <c r="G170" s="82"/>
      <c r="H170" s="82"/>
      <c r="I170" s="68"/>
      <c r="L170" s="100"/>
      <c r="M170" s="100"/>
      <c r="N170" s="68"/>
    </row>
    <row r="171" spans="1:14" s="2" customFormat="1" ht="15.75" customHeight="1" x14ac:dyDescent="0.35">
      <c r="A171" s="82">
        <f t="shared" si="3"/>
        <v>13</v>
      </c>
      <c r="B171" s="82"/>
      <c r="C171" s="41" t="s">
        <v>189</v>
      </c>
      <c r="D171" s="59">
        <f>(14.89)*10.764</f>
        <v>160.27596</v>
      </c>
      <c r="E171" s="41">
        <v>0</v>
      </c>
      <c r="F171" s="41">
        <f t="shared" si="2"/>
        <v>256.44153599999999</v>
      </c>
      <c r="G171" s="82"/>
      <c r="H171" s="82"/>
      <c r="I171" s="68"/>
      <c r="L171" s="100"/>
      <c r="M171" s="100"/>
      <c r="N171" s="68"/>
    </row>
    <row r="172" spans="1:14" s="2" customFormat="1" ht="15.75" customHeight="1" x14ac:dyDescent="0.35">
      <c r="A172" s="82">
        <f t="shared" si="3"/>
        <v>14</v>
      </c>
      <c r="B172" s="82"/>
      <c r="C172" s="41" t="s">
        <v>189</v>
      </c>
      <c r="D172" s="59">
        <f>(10.87)*10.764</f>
        <v>117.00467999999998</v>
      </c>
      <c r="E172" s="41">
        <v>0</v>
      </c>
      <c r="F172" s="41">
        <f t="shared" si="2"/>
        <v>187.20748799999998</v>
      </c>
      <c r="G172" s="82"/>
      <c r="H172" s="82"/>
      <c r="I172" s="68"/>
      <c r="L172" s="100"/>
      <c r="M172" s="100"/>
      <c r="N172" s="68"/>
    </row>
    <row r="173" spans="1:14" s="2" customFormat="1" ht="15.75" customHeight="1" x14ac:dyDescent="0.35">
      <c r="A173" s="82">
        <f t="shared" si="3"/>
        <v>15</v>
      </c>
      <c r="B173" s="82"/>
      <c r="C173" s="41" t="s">
        <v>189</v>
      </c>
      <c r="D173" s="59">
        <f>(15.72)*10.764</f>
        <v>169.21008</v>
      </c>
      <c r="E173" s="41">
        <v>0</v>
      </c>
      <c r="F173" s="41">
        <f t="shared" si="2"/>
        <v>270.73612800000001</v>
      </c>
      <c r="G173" s="82"/>
      <c r="H173" s="82"/>
      <c r="I173" s="68"/>
      <c r="L173" s="100"/>
      <c r="M173" s="100"/>
      <c r="N173" s="68"/>
    </row>
    <row r="174" spans="1:14" s="2" customFormat="1" ht="15.75" customHeight="1" x14ac:dyDescent="0.35">
      <c r="A174" s="82">
        <f t="shared" si="3"/>
        <v>16</v>
      </c>
      <c r="B174" s="82"/>
      <c r="C174" s="41" t="s">
        <v>189</v>
      </c>
      <c r="D174" s="59">
        <f>(22.55)*10.764</f>
        <v>242.72819999999999</v>
      </c>
      <c r="E174" s="41">
        <v>0</v>
      </c>
      <c r="F174" s="41">
        <f t="shared" si="2"/>
        <v>388.36511999999999</v>
      </c>
      <c r="G174" s="82"/>
      <c r="H174" s="82"/>
      <c r="I174" s="68"/>
      <c r="L174" s="100"/>
      <c r="M174" s="100"/>
      <c r="N174" s="68"/>
    </row>
    <row r="175" spans="1:14" s="2" customFormat="1" ht="15.75" customHeight="1" x14ac:dyDescent="0.35">
      <c r="A175" s="82">
        <f t="shared" si="3"/>
        <v>17</v>
      </c>
      <c r="B175" s="82"/>
      <c r="C175" s="41" t="s">
        <v>189</v>
      </c>
      <c r="D175" s="59">
        <f>(22.55)*10.764</f>
        <v>242.72819999999999</v>
      </c>
      <c r="E175" s="41">
        <v>0</v>
      </c>
      <c r="F175" s="41">
        <f t="shared" si="2"/>
        <v>388.36511999999999</v>
      </c>
      <c r="G175" s="82"/>
      <c r="H175" s="82"/>
      <c r="I175" s="68"/>
      <c r="L175" s="100"/>
      <c r="M175" s="100"/>
      <c r="N175" s="68"/>
    </row>
    <row r="176" spans="1:14" s="2" customFormat="1" ht="15.75" customHeight="1" x14ac:dyDescent="0.35">
      <c r="A176" s="82">
        <f t="shared" si="3"/>
        <v>18</v>
      </c>
      <c r="B176" s="82"/>
      <c r="C176" s="41" t="s">
        <v>189</v>
      </c>
      <c r="D176" s="59">
        <f>(18.86)*10.764</f>
        <v>203.00903999999997</v>
      </c>
      <c r="E176" s="41">
        <v>0</v>
      </c>
      <c r="F176" s="41">
        <f t="shared" si="2"/>
        <v>324.81446399999999</v>
      </c>
      <c r="G176" s="82"/>
      <c r="H176" s="82"/>
      <c r="I176" s="68"/>
      <c r="L176" s="100"/>
      <c r="M176" s="100"/>
      <c r="N176" s="68"/>
    </row>
    <row r="177" spans="1:14" s="2" customFormat="1" ht="15.75" customHeight="1" x14ac:dyDescent="0.35">
      <c r="A177" s="82">
        <f t="shared" si="3"/>
        <v>19</v>
      </c>
      <c r="B177" s="82"/>
      <c r="C177" s="41" t="s">
        <v>189</v>
      </c>
      <c r="D177" s="59">
        <f>(15.12)*10.764</f>
        <v>162.75167999999999</v>
      </c>
      <c r="E177" s="41">
        <v>0</v>
      </c>
      <c r="F177" s="41">
        <f t="shared" si="2"/>
        <v>260.40268800000001</v>
      </c>
      <c r="G177" s="82"/>
      <c r="H177" s="82"/>
      <c r="I177" s="68"/>
      <c r="L177" s="100"/>
      <c r="M177" s="100"/>
      <c r="N177" s="68"/>
    </row>
    <row r="178" spans="1:14" s="2" customFormat="1" ht="15.75" customHeight="1" x14ac:dyDescent="0.35">
      <c r="A178" s="82">
        <f t="shared" si="3"/>
        <v>20</v>
      </c>
      <c r="B178" s="82"/>
      <c r="C178" s="41" t="s">
        <v>189</v>
      </c>
      <c r="D178" s="59">
        <f>(18.01)*10.764</f>
        <v>193.85964000000001</v>
      </c>
      <c r="E178" s="41">
        <v>0</v>
      </c>
      <c r="F178" s="41">
        <f t="shared" si="2"/>
        <v>310.17542400000002</v>
      </c>
      <c r="G178" s="82"/>
      <c r="H178" s="82"/>
      <c r="I178" s="68"/>
      <c r="L178" s="100"/>
      <c r="M178" s="100"/>
      <c r="N178" s="68"/>
    </row>
    <row r="179" spans="1:14" s="2" customFormat="1" ht="15.75" customHeight="1" x14ac:dyDescent="0.35">
      <c r="A179" s="82">
        <f t="shared" si="3"/>
        <v>21</v>
      </c>
      <c r="B179" s="82"/>
      <c r="C179" s="41" t="s">
        <v>189</v>
      </c>
      <c r="D179" s="59">
        <f>(15.06)*10.764</f>
        <v>162.10584</v>
      </c>
      <c r="E179" s="41">
        <v>0</v>
      </c>
      <c r="F179" s="41">
        <f t="shared" si="2"/>
        <v>259.36934400000001</v>
      </c>
      <c r="G179" s="82"/>
      <c r="H179" s="82"/>
      <c r="I179" s="68"/>
      <c r="L179" s="100"/>
      <c r="M179" s="100"/>
      <c r="N179" s="68"/>
    </row>
    <row r="180" spans="1:14" s="2" customFormat="1" ht="15.75" customHeight="1" x14ac:dyDescent="0.35">
      <c r="A180" s="82">
        <f t="shared" si="3"/>
        <v>22</v>
      </c>
      <c r="B180" s="82"/>
      <c r="C180" s="41" t="s">
        <v>189</v>
      </c>
      <c r="D180" s="59">
        <f>(15.12)*10.764</f>
        <v>162.75167999999999</v>
      </c>
      <c r="E180" s="41">
        <v>0</v>
      </c>
      <c r="F180" s="41">
        <f t="shared" si="2"/>
        <v>260.40268800000001</v>
      </c>
      <c r="G180" s="82"/>
      <c r="H180" s="82"/>
      <c r="I180" s="68"/>
      <c r="L180" s="100"/>
      <c r="M180" s="100"/>
      <c r="N180" s="68"/>
    </row>
    <row r="181" spans="1:14" s="2" customFormat="1" ht="15.75" customHeight="1" x14ac:dyDescent="0.35">
      <c r="A181" s="82">
        <f t="shared" si="3"/>
        <v>23</v>
      </c>
      <c r="B181" s="82"/>
      <c r="C181" s="41" t="s">
        <v>189</v>
      </c>
      <c r="D181" s="59">
        <f>(15.52)*10.764</f>
        <v>167.05727999999999</v>
      </c>
      <c r="E181" s="41">
        <v>0</v>
      </c>
      <c r="F181" s="41">
        <f t="shared" si="2"/>
        <v>267.29164800000001</v>
      </c>
      <c r="G181" s="82"/>
      <c r="H181" s="82"/>
      <c r="I181" s="68"/>
      <c r="L181" s="100"/>
      <c r="M181" s="100"/>
      <c r="N181" s="68"/>
    </row>
    <row r="182" spans="1:14" s="2" customFormat="1" ht="15.75" customHeight="1" x14ac:dyDescent="0.35">
      <c r="A182" s="82">
        <f t="shared" si="3"/>
        <v>24</v>
      </c>
      <c r="B182" s="82"/>
      <c r="C182" s="41" t="s">
        <v>189</v>
      </c>
      <c r="D182" s="59">
        <f>(18.56)*10.764</f>
        <v>199.77983999999998</v>
      </c>
      <c r="E182" s="41">
        <v>0</v>
      </c>
      <c r="F182" s="41">
        <f t="shared" si="2"/>
        <v>319.64774399999999</v>
      </c>
      <c r="G182" s="82"/>
      <c r="H182" s="82"/>
      <c r="I182" s="68"/>
      <c r="L182" s="100"/>
      <c r="M182" s="100"/>
      <c r="N182" s="68"/>
    </row>
    <row r="183" spans="1:14" s="2" customFormat="1" x14ac:dyDescent="0.35">
      <c r="A183" s="93" t="s">
        <v>255</v>
      </c>
      <c r="B183" s="93"/>
      <c r="C183" s="93"/>
      <c r="D183" s="93"/>
      <c r="E183" s="93"/>
      <c r="F183" s="93"/>
      <c r="G183" s="93"/>
      <c r="H183" s="93"/>
      <c r="J183" s="59">
        <v>10.763999999999999</v>
      </c>
    </row>
    <row r="184" spans="1:14" s="2" customFormat="1" ht="15.75" customHeight="1" x14ac:dyDescent="0.35">
      <c r="A184" s="82">
        <v>1</v>
      </c>
      <c r="B184" s="82"/>
      <c r="C184" s="41" t="s">
        <v>248</v>
      </c>
      <c r="D184" s="59">
        <f>(39.6)*10.764</f>
        <v>426.25439999999998</v>
      </c>
      <c r="E184" s="59">
        <v>0</v>
      </c>
      <c r="F184" s="41">
        <f t="shared" ref="F184:F186" si="4">(D184+E184)*(($F$152)+1)</f>
        <v>682.00703999999996</v>
      </c>
      <c r="G184" s="82" t="str">
        <f>A183</f>
        <v>1st Floor For Commercial</v>
      </c>
      <c r="H184" s="82"/>
      <c r="I184" s="68"/>
      <c r="L184" s="100"/>
      <c r="M184" s="100"/>
      <c r="N184" s="68"/>
    </row>
    <row r="185" spans="1:14" s="2" customFormat="1" ht="15.75" customHeight="1" x14ac:dyDescent="0.35">
      <c r="A185" s="82">
        <f t="shared" ref="A185:A186" si="5">A184+1</f>
        <v>2</v>
      </c>
      <c r="B185" s="82"/>
      <c r="C185" s="41" t="s">
        <v>248</v>
      </c>
      <c r="D185" s="59">
        <f>(26.61)*10.764</f>
        <v>286.43003999999996</v>
      </c>
      <c r="E185" s="59">
        <f>(3.86)*10.764</f>
        <v>41.549039999999998</v>
      </c>
      <c r="F185" s="41">
        <f t="shared" si="4"/>
        <v>524.76652799999999</v>
      </c>
      <c r="G185" s="82"/>
      <c r="H185" s="82"/>
      <c r="I185" s="68"/>
      <c r="L185" s="100"/>
      <c r="M185" s="100"/>
      <c r="N185" s="68"/>
    </row>
    <row r="186" spans="1:14" s="2" customFormat="1" ht="15.75" customHeight="1" x14ac:dyDescent="0.35">
      <c r="A186" s="82">
        <f t="shared" si="5"/>
        <v>3</v>
      </c>
      <c r="B186" s="82"/>
      <c r="C186" s="41" t="s">
        <v>248</v>
      </c>
      <c r="D186" s="59">
        <f>(40.24)*10.764</f>
        <v>433.14335999999997</v>
      </c>
      <c r="E186" s="59">
        <f>(6)*10.764</f>
        <v>64.584000000000003</v>
      </c>
      <c r="F186" s="41">
        <f t="shared" si="4"/>
        <v>796.36377600000003</v>
      </c>
      <c r="G186" s="82"/>
      <c r="H186" s="82"/>
      <c r="I186" s="68"/>
      <c r="L186" s="100"/>
      <c r="M186" s="100"/>
      <c r="N186" s="68"/>
    </row>
    <row r="187" spans="1:14" s="2" customFormat="1" x14ac:dyDescent="0.35">
      <c r="A187" s="82"/>
      <c r="B187" s="82"/>
      <c r="C187" s="82"/>
      <c r="D187" s="82"/>
      <c r="E187" s="82"/>
      <c r="F187" s="82"/>
      <c r="G187" s="82"/>
      <c r="H187" s="82"/>
      <c r="I187" s="68"/>
      <c r="N187" s="68"/>
    </row>
    <row r="188" spans="1:14" ht="47.25" customHeight="1" x14ac:dyDescent="0.35">
      <c r="A188" s="151" t="s">
        <v>107</v>
      </c>
      <c r="B188" s="151"/>
      <c r="C188" s="46" t="s">
        <v>68</v>
      </c>
      <c r="D188" s="46" t="s">
        <v>69</v>
      </c>
      <c r="E188" s="13" t="s">
        <v>70</v>
      </c>
      <c r="F188" s="46" t="s">
        <v>71</v>
      </c>
      <c r="G188" s="151" t="s">
        <v>72</v>
      </c>
      <c r="H188" s="151"/>
    </row>
    <row r="189" spans="1:14" x14ac:dyDescent="0.35">
      <c r="A189" s="93" t="s">
        <v>177</v>
      </c>
      <c r="B189" s="93"/>
      <c r="C189" s="93"/>
      <c r="D189" s="93"/>
      <c r="E189" s="93"/>
      <c r="F189" s="93"/>
      <c r="G189" s="93"/>
      <c r="H189" s="93"/>
    </row>
    <row r="190" spans="1:14" x14ac:dyDescent="0.35">
      <c r="A190" s="93" t="s">
        <v>257</v>
      </c>
      <c r="B190" s="93"/>
      <c r="C190" s="93"/>
      <c r="D190" s="93"/>
      <c r="E190" s="93"/>
      <c r="F190" s="93"/>
      <c r="G190" s="93"/>
      <c r="H190" s="93"/>
    </row>
    <row r="191" spans="1:14" s="2" customFormat="1" x14ac:dyDescent="0.35">
      <c r="A191" s="93" t="s">
        <v>173</v>
      </c>
      <c r="B191" s="93"/>
      <c r="C191" s="93"/>
      <c r="D191" s="93"/>
      <c r="E191" s="93"/>
      <c r="F191" s="93"/>
      <c r="G191" s="93"/>
      <c r="H191" s="93"/>
      <c r="I191" s="2">
        <f>2.74*4.88+2.29*2.52+2.74*2.82+0.91*1.22+1.22*1.52+0.6*1.22</f>
        <v>30.565399999999997</v>
      </c>
    </row>
    <row r="192" spans="1:14" s="2" customFormat="1" x14ac:dyDescent="0.35">
      <c r="A192" s="82">
        <v>1</v>
      </c>
      <c r="B192" s="82"/>
      <c r="C192" s="41" t="s">
        <v>174</v>
      </c>
      <c r="D192" s="59">
        <f>((37.95))*10.764</f>
        <v>408.49380000000002</v>
      </c>
      <c r="E192" s="41">
        <v>0</v>
      </c>
      <c r="F192" s="41">
        <f>D192*1.45+E192</f>
        <v>592.31601000000001</v>
      </c>
      <c r="G192" s="96" t="str">
        <f>A191</f>
        <v>Ground Floor for Residential &amp; Parking</v>
      </c>
      <c r="H192" s="97"/>
      <c r="I192" s="2">
        <f>3060000/F192</f>
        <v>5166.1612185697968</v>
      </c>
      <c r="J192" s="2">
        <f>F192/D192</f>
        <v>1.45</v>
      </c>
    </row>
    <row r="193" spans="1:11" s="2" customFormat="1" x14ac:dyDescent="0.35">
      <c r="A193" s="82">
        <v>2</v>
      </c>
      <c r="B193" s="82"/>
      <c r="C193" s="41" t="s">
        <v>174</v>
      </c>
      <c r="D193" s="59">
        <f t="shared" ref="D193:D197" si="6">((37.95))*10.764</f>
        <v>408.49380000000002</v>
      </c>
      <c r="E193" s="41">
        <v>0</v>
      </c>
      <c r="F193" s="41">
        <f t="shared" ref="F193:F197" si="7">D193*1.45+E193</f>
        <v>592.31601000000001</v>
      </c>
      <c r="G193" s="98"/>
      <c r="H193" s="99"/>
      <c r="I193" s="2">
        <f t="shared" ref="I193:I206" si="8">3060000/F193</f>
        <v>5166.1612185697968</v>
      </c>
    </row>
    <row r="194" spans="1:11" s="2" customFormat="1" x14ac:dyDescent="0.35">
      <c r="A194" s="82">
        <v>3</v>
      </c>
      <c r="B194" s="82"/>
      <c r="C194" s="41" t="s">
        <v>174</v>
      </c>
      <c r="D194" s="59">
        <f>((37.76))*10.764</f>
        <v>406.44863999999995</v>
      </c>
      <c r="E194" s="41">
        <v>0</v>
      </c>
      <c r="F194" s="41">
        <f t="shared" si="7"/>
        <v>589.35052799999994</v>
      </c>
      <c r="G194" s="98"/>
      <c r="H194" s="99"/>
      <c r="I194" s="2">
        <f t="shared" si="8"/>
        <v>5192.1562035149318</v>
      </c>
    </row>
    <row r="195" spans="1:11" s="2" customFormat="1" x14ac:dyDescent="0.35">
      <c r="A195" s="82">
        <v>4</v>
      </c>
      <c r="B195" s="82"/>
      <c r="C195" s="41" t="s">
        <v>174</v>
      </c>
      <c r="D195" s="59">
        <f>((37.76))*10.764</f>
        <v>406.44863999999995</v>
      </c>
      <c r="E195" s="41">
        <v>0</v>
      </c>
      <c r="F195" s="41">
        <f t="shared" si="7"/>
        <v>589.35052799999994</v>
      </c>
      <c r="G195" s="98"/>
      <c r="H195" s="99"/>
      <c r="I195" s="2">
        <f t="shared" si="8"/>
        <v>5192.1562035149318</v>
      </c>
    </row>
    <row r="196" spans="1:11" s="2" customFormat="1" x14ac:dyDescent="0.35">
      <c r="A196" s="82">
        <v>5</v>
      </c>
      <c r="B196" s="82"/>
      <c r="C196" s="41" t="s">
        <v>174</v>
      </c>
      <c r="D196" s="59">
        <f t="shared" si="6"/>
        <v>408.49380000000002</v>
      </c>
      <c r="E196" s="41">
        <v>0</v>
      </c>
      <c r="F196" s="41">
        <f t="shared" si="7"/>
        <v>592.31601000000001</v>
      </c>
      <c r="G196" s="98"/>
      <c r="H196" s="99"/>
      <c r="I196" s="2">
        <f t="shared" si="8"/>
        <v>5166.1612185697968</v>
      </c>
    </row>
    <row r="197" spans="1:11" s="2" customFormat="1" x14ac:dyDescent="0.35">
      <c r="A197" s="82">
        <v>6</v>
      </c>
      <c r="B197" s="82"/>
      <c r="C197" s="41" t="s">
        <v>174</v>
      </c>
      <c r="D197" s="59">
        <f t="shared" si="6"/>
        <v>408.49380000000002</v>
      </c>
      <c r="E197" s="41">
        <v>0</v>
      </c>
      <c r="F197" s="41">
        <f t="shared" si="7"/>
        <v>592.31601000000001</v>
      </c>
      <c r="G197" s="101"/>
      <c r="H197" s="102"/>
      <c r="I197" s="2">
        <f t="shared" si="8"/>
        <v>5166.1612185697968</v>
      </c>
    </row>
    <row r="198" spans="1:11" s="2" customFormat="1" ht="15.65" customHeight="1" x14ac:dyDescent="0.35">
      <c r="A198" s="77" t="s">
        <v>175</v>
      </c>
      <c r="B198" s="78"/>
      <c r="C198" s="78"/>
      <c r="D198" s="78"/>
      <c r="E198" s="78"/>
      <c r="F198" s="78"/>
      <c r="G198" s="78"/>
      <c r="H198" s="79"/>
    </row>
    <row r="199" spans="1:11" s="2" customFormat="1" ht="15.65" customHeight="1" x14ac:dyDescent="0.35">
      <c r="A199" s="82">
        <v>1</v>
      </c>
      <c r="B199" s="82"/>
      <c r="C199" s="41" t="s">
        <v>174</v>
      </c>
      <c r="D199" s="59">
        <f>(37.95+(2.75+2.29+2.75)*0.75)*10.764</f>
        <v>471.38247000000001</v>
      </c>
      <c r="E199" s="41">
        <v>0</v>
      </c>
      <c r="F199" s="41">
        <f>D199*1.45+E199</f>
        <v>683.50458149999997</v>
      </c>
      <c r="G199" s="96" t="str">
        <f>A198</f>
        <v>1st to 4th Floor for Residential</v>
      </c>
      <c r="H199" s="97"/>
      <c r="I199" s="2">
        <f t="shared" si="8"/>
        <v>4476.9268309578993</v>
      </c>
      <c r="K199" s="2">
        <f>2.75*4.9+2.29*2.44+2.75*3.82+0.92*1.22+1.22*1.53+0.92*2.29+1.22*0.9</f>
        <v>35.761400000000002</v>
      </c>
    </row>
    <row r="200" spans="1:11" s="2" customFormat="1" x14ac:dyDescent="0.35">
      <c r="A200" s="82">
        <v>2</v>
      </c>
      <c r="B200" s="82"/>
      <c r="C200" s="41" t="s">
        <v>174</v>
      </c>
      <c r="D200" s="59">
        <f>(37.95+(2.75+2.29+2.75)*0.75)*10.764</f>
        <v>471.38247000000001</v>
      </c>
      <c r="E200" s="41">
        <v>0</v>
      </c>
      <c r="F200" s="41">
        <f t="shared" ref="F200:F204" si="9">D200*1.45+E200</f>
        <v>683.50458149999997</v>
      </c>
      <c r="G200" s="98"/>
      <c r="H200" s="99"/>
      <c r="I200" s="2">
        <f t="shared" si="8"/>
        <v>4476.9268309578993</v>
      </c>
    </row>
    <row r="201" spans="1:11" s="2" customFormat="1" x14ac:dyDescent="0.35">
      <c r="A201" s="82">
        <v>3</v>
      </c>
      <c r="B201" s="82"/>
      <c r="C201" s="41" t="s">
        <v>174</v>
      </c>
      <c r="D201" s="59">
        <f>((37.76)+(2.75+2.6+2.75)*0.75)*10.764</f>
        <v>471.8399399999999</v>
      </c>
      <c r="E201" s="41">
        <v>0</v>
      </c>
      <c r="F201" s="41">
        <f t="shared" si="9"/>
        <v>684.16791299999988</v>
      </c>
      <c r="G201" s="98"/>
      <c r="H201" s="99"/>
      <c r="I201" s="2">
        <f t="shared" si="8"/>
        <v>4472.5862494518951</v>
      </c>
    </row>
    <row r="202" spans="1:11" s="2" customFormat="1" x14ac:dyDescent="0.35">
      <c r="A202" s="82">
        <v>4</v>
      </c>
      <c r="B202" s="82"/>
      <c r="C202" s="41" t="s">
        <v>174</v>
      </c>
      <c r="D202" s="59">
        <f>((37.76)+(2.75+2.6+2.75)*0.75)*10.764</f>
        <v>471.8399399999999</v>
      </c>
      <c r="E202" s="41">
        <v>0</v>
      </c>
      <c r="F202" s="41">
        <f t="shared" si="9"/>
        <v>684.16791299999988</v>
      </c>
      <c r="G202" s="98"/>
      <c r="H202" s="99"/>
      <c r="I202" s="2">
        <f t="shared" si="8"/>
        <v>4472.5862494518951</v>
      </c>
    </row>
    <row r="203" spans="1:11" s="2" customFormat="1" x14ac:dyDescent="0.35">
      <c r="A203" s="82">
        <v>5</v>
      </c>
      <c r="B203" s="82"/>
      <c r="C203" s="41" t="s">
        <v>174</v>
      </c>
      <c r="D203" s="59">
        <f>(37.95+(2.75+2.29+2.75)*0.75)*10.764</f>
        <v>471.38247000000001</v>
      </c>
      <c r="E203" s="41">
        <v>0</v>
      </c>
      <c r="F203" s="41">
        <f t="shared" si="9"/>
        <v>683.50458149999997</v>
      </c>
      <c r="G203" s="98"/>
      <c r="H203" s="99"/>
      <c r="I203" s="2">
        <f t="shared" si="8"/>
        <v>4476.9268309578993</v>
      </c>
    </row>
    <row r="204" spans="1:11" s="2" customFormat="1" x14ac:dyDescent="0.35">
      <c r="A204" s="82">
        <v>6</v>
      </c>
      <c r="B204" s="82"/>
      <c r="C204" s="41" t="s">
        <v>174</v>
      </c>
      <c r="D204" s="59">
        <f>(37.95+(2.75+2.29+2.75)*0.75)*10.764</f>
        <v>471.38247000000001</v>
      </c>
      <c r="E204" s="41">
        <v>0</v>
      </c>
      <c r="F204" s="41">
        <f t="shared" si="9"/>
        <v>683.50458149999997</v>
      </c>
      <c r="G204" s="98"/>
      <c r="H204" s="99"/>
      <c r="I204" s="2">
        <f t="shared" si="8"/>
        <v>4476.9268309578993</v>
      </c>
    </row>
    <row r="205" spans="1:11" s="2" customFormat="1" x14ac:dyDescent="0.35">
      <c r="A205" s="82">
        <v>7</v>
      </c>
      <c r="B205" s="82"/>
      <c r="C205" s="41" t="s">
        <v>174</v>
      </c>
      <c r="D205" s="59">
        <f>((37.76)+(2.75+2.6+2.75)*0.75)*10.764</f>
        <v>471.8399399999999</v>
      </c>
      <c r="E205" s="41">
        <v>0</v>
      </c>
      <c r="F205" s="41">
        <f t="shared" ref="F205:F206" si="10">D205*1.45+E205</f>
        <v>684.16791299999988</v>
      </c>
      <c r="G205" s="98"/>
      <c r="H205" s="99"/>
      <c r="I205" s="2">
        <f t="shared" si="8"/>
        <v>4472.5862494518951</v>
      </c>
    </row>
    <row r="206" spans="1:11" s="2" customFormat="1" x14ac:dyDescent="0.35">
      <c r="A206" s="82">
        <v>8</v>
      </c>
      <c r="B206" s="82"/>
      <c r="C206" s="41" t="s">
        <v>174</v>
      </c>
      <c r="D206" s="59">
        <f>((37.76)+(2.75+2.6+2.75)*0.75)*10.764</f>
        <v>471.8399399999999</v>
      </c>
      <c r="E206" s="41">
        <v>0</v>
      </c>
      <c r="F206" s="41">
        <f t="shared" si="10"/>
        <v>684.16791299999988</v>
      </c>
      <c r="G206" s="101"/>
      <c r="H206" s="102"/>
      <c r="I206" s="2">
        <f t="shared" si="8"/>
        <v>4472.5862494518951</v>
      </c>
    </row>
    <row r="207" spans="1:11" x14ac:dyDescent="0.35">
      <c r="A207" s="93" t="s">
        <v>179</v>
      </c>
      <c r="B207" s="93"/>
      <c r="C207" s="93"/>
      <c r="D207" s="93"/>
      <c r="E207" s="93"/>
      <c r="F207" s="93"/>
      <c r="G207" s="93"/>
      <c r="H207" s="93"/>
    </row>
    <row r="208" spans="1:11" x14ac:dyDescent="0.35">
      <c r="A208" s="93" t="s">
        <v>178</v>
      </c>
      <c r="B208" s="93"/>
      <c r="C208" s="93"/>
      <c r="D208" s="93"/>
      <c r="E208" s="93"/>
      <c r="F208" s="93"/>
      <c r="G208" s="93"/>
      <c r="H208" s="93"/>
    </row>
    <row r="209" spans="1:11" s="2" customFormat="1" x14ac:dyDescent="0.35">
      <c r="A209" s="77" t="s">
        <v>176</v>
      </c>
      <c r="B209" s="78"/>
      <c r="C209" s="78"/>
      <c r="D209" s="78"/>
      <c r="E209" s="78"/>
      <c r="F209" s="78"/>
      <c r="G209" s="78"/>
      <c r="H209" s="79"/>
    </row>
    <row r="210" spans="1:11" s="2" customFormat="1" x14ac:dyDescent="0.35">
      <c r="A210" s="82">
        <v>1</v>
      </c>
      <c r="B210" s="82"/>
      <c r="C210" s="41" t="s">
        <v>174</v>
      </c>
      <c r="D210" s="59">
        <f>(37.95+(2.75+2.29+2.75)*0.75)*10.764</f>
        <v>471.38247000000001</v>
      </c>
      <c r="E210" s="41">
        <v>0</v>
      </c>
      <c r="F210" s="41">
        <f>D210*1.45+E210</f>
        <v>683.50458149999997</v>
      </c>
      <c r="G210" s="96" t="str">
        <f>A209</f>
        <v>5th to 7th Floor for Residential</v>
      </c>
      <c r="H210" s="97"/>
    </row>
    <row r="211" spans="1:11" s="2" customFormat="1" x14ac:dyDescent="0.35">
      <c r="A211" s="82">
        <v>2</v>
      </c>
      <c r="B211" s="82"/>
      <c r="C211" s="41" t="s">
        <v>174</v>
      </c>
      <c r="D211" s="59">
        <f>(37.95+(2.75+2.29+2.75)*0.75)*10.764</f>
        <v>471.38247000000001</v>
      </c>
      <c r="E211" s="41">
        <v>0</v>
      </c>
      <c r="F211" s="41">
        <f t="shared" ref="F211:F217" si="11">D211*1.45+E211</f>
        <v>683.50458149999997</v>
      </c>
      <c r="G211" s="98"/>
      <c r="H211" s="99"/>
    </row>
    <row r="212" spans="1:11" s="2" customFormat="1" x14ac:dyDescent="0.35">
      <c r="A212" s="82">
        <v>3</v>
      </c>
      <c r="B212" s="82"/>
      <c r="C212" s="41" t="s">
        <v>174</v>
      </c>
      <c r="D212" s="59">
        <f>((37.76)+(2.75+2.6+2.75)*0.75)*10.764</f>
        <v>471.8399399999999</v>
      </c>
      <c r="E212" s="41">
        <v>0</v>
      </c>
      <c r="F212" s="41">
        <f t="shared" si="11"/>
        <v>684.16791299999988</v>
      </c>
      <c r="G212" s="98"/>
      <c r="H212" s="99"/>
    </row>
    <row r="213" spans="1:11" s="2" customFormat="1" x14ac:dyDescent="0.35">
      <c r="A213" s="82">
        <v>4</v>
      </c>
      <c r="B213" s="82"/>
      <c r="C213" s="41" t="s">
        <v>174</v>
      </c>
      <c r="D213" s="59">
        <f>((37.76)+(2.75+2.6+2.75)*0.75)*10.764</f>
        <v>471.8399399999999</v>
      </c>
      <c r="E213" s="41">
        <v>0</v>
      </c>
      <c r="F213" s="41">
        <f t="shared" si="11"/>
        <v>684.16791299999988</v>
      </c>
      <c r="G213" s="98"/>
      <c r="H213" s="99"/>
      <c r="I213" s="2">
        <f>2760000/F213</f>
        <v>4034.0974014664152</v>
      </c>
    </row>
    <row r="214" spans="1:11" s="2" customFormat="1" x14ac:dyDescent="0.35">
      <c r="A214" s="82">
        <v>5</v>
      </c>
      <c r="B214" s="82"/>
      <c r="C214" s="41" t="s">
        <v>174</v>
      </c>
      <c r="D214" s="59">
        <f>(37.95+(2.75+2.29+2.75)*0.75)*10.764</f>
        <v>471.38247000000001</v>
      </c>
      <c r="E214" s="41">
        <v>0</v>
      </c>
      <c r="F214" s="41">
        <f t="shared" si="11"/>
        <v>683.50458149999997</v>
      </c>
      <c r="G214" s="98"/>
      <c r="H214" s="99"/>
    </row>
    <row r="215" spans="1:11" s="2" customFormat="1" x14ac:dyDescent="0.35">
      <c r="A215" s="82">
        <v>6</v>
      </c>
      <c r="B215" s="82"/>
      <c r="C215" s="41" t="s">
        <v>174</v>
      </c>
      <c r="D215" s="59">
        <f>(37.95+(2.75+2.29+2.75)*0.75)*10.764</f>
        <v>471.38247000000001</v>
      </c>
      <c r="E215" s="41">
        <v>0</v>
      </c>
      <c r="F215" s="41">
        <f t="shared" si="11"/>
        <v>683.50458149999997</v>
      </c>
      <c r="G215" s="98"/>
      <c r="H215" s="99"/>
    </row>
    <row r="216" spans="1:11" s="2" customFormat="1" x14ac:dyDescent="0.35">
      <c r="A216" s="82">
        <v>7</v>
      </c>
      <c r="B216" s="82"/>
      <c r="C216" s="41" t="s">
        <v>174</v>
      </c>
      <c r="D216" s="59">
        <f>((37.76)+(2.75+2.6+2.75)*0.75)*10.764</f>
        <v>471.8399399999999</v>
      </c>
      <c r="E216" s="41">
        <v>0</v>
      </c>
      <c r="F216" s="41">
        <f t="shared" si="11"/>
        <v>684.16791299999988</v>
      </c>
      <c r="G216" s="98"/>
      <c r="H216" s="99"/>
    </row>
    <row r="217" spans="1:11" s="2" customFormat="1" x14ac:dyDescent="0.35">
      <c r="A217" s="82">
        <v>8</v>
      </c>
      <c r="B217" s="82"/>
      <c r="C217" s="41" t="s">
        <v>174</v>
      </c>
      <c r="D217" s="59">
        <f>((37.76)+(2.75+2.6+2.75)*0.75)*10.764</f>
        <v>471.8399399999999</v>
      </c>
      <c r="E217" s="41">
        <v>0</v>
      </c>
      <c r="F217" s="41">
        <f t="shared" si="11"/>
        <v>684.16791299999988</v>
      </c>
      <c r="G217" s="101"/>
      <c r="H217" s="102"/>
    </row>
    <row r="218" spans="1:11" s="2" customFormat="1" x14ac:dyDescent="0.35">
      <c r="A218" s="93" t="s">
        <v>243</v>
      </c>
      <c r="B218" s="93"/>
      <c r="C218" s="93"/>
      <c r="D218" s="93"/>
      <c r="E218" s="93"/>
      <c r="F218" s="93"/>
      <c r="G218" s="93"/>
      <c r="H218" s="93"/>
    </row>
    <row r="219" spans="1:11" s="2" customFormat="1" x14ac:dyDescent="0.35">
      <c r="A219" s="93" t="s">
        <v>192</v>
      </c>
      <c r="B219" s="93"/>
      <c r="C219" s="93"/>
      <c r="D219" s="93"/>
      <c r="E219" s="93"/>
      <c r="F219" s="93"/>
      <c r="G219" s="93"/>
      <c r="H219" s="93"/>
    </row>
    <row r="220" spans="1:11" s="2" customFormat="1" x14ac:dyDescent="0.35">
      <c r="A220" s="82">
        <v>1</v>
      </c>
      <c r="B220" s="82"/>
      <c r="C220" s="41" t="s">
        <v>174</v>
      </c>
      <c r="D220" s="59">
        <f>(38.34+0.75*(1.8+2.75))*10.764</f>
        <v>449.42391000000003</v>
      </c>
      <c r="E220" s="59">
        <v>0</v>
      </c>
      <c r="F220" s="41">
        <f t="shared" ref="F220:F226" si="12">D220*1.45+E220</f>
        <v>651.66466950000006</v>
      </c>
      <c r="G220" s="82" t="str">
        <f>A219</f>
        <v>1st Floor for Residential</v>
      </c>
      <c r="H220" s="82"/>
      <c r="I220" s="2">
        <f>3.35*4.75+2.5*2.2+3.5*2.75+1.2*0.9+1.5*1.2+0.9*2.2+0.9*1.2</f>
        <v>36.977499999999992</v>
      </c>
      <c r="J220" s="2">
        <f>4600*F220</f>
        <v>2997657.4797000005</v>
      </c>
      <c r="K220" s="59">
        <v>10.763999999999999</v>
      </c>
    </row>
    <row r="221" spans="1:11" s="2" customFormat="1" x14ac:dyDescent="0.35">
      <c r="A221" s="82">
        <v>2</v>
      </c>
      <c r="B221" s="82"/>
      <c r="C221" s="41" t="s">
        <v>174</v>
      </c>
      <c r="D221" s="59">
        <f>(35.79+0.75*(2.75))*10.764</f>
        <v>407.44430999999997</v>
      </c>
      <c r="E221" s="59">
        <f>(13.48)*10.764</f>
        <v>145.09871999999999</v>
      </c>
      <c r="F221" s="41">
        <f t="shared" si="12"/>
        <v>735.89296949999994</v>
      </c>
      <c r="G221" s="82"/>
      <c r="H221" s="82"/>
      <c r="I221" s="2">
        <f>2.8*2.75+2*2.75+0.75*2.2</f>
        <v>14.85</v>
      </c>
      <c r="J221" s="2">
        <f t="shared" ref="J221:J249" si="13">4600*F221</f>
        <v>3385107.6596999997</v>
      </c>
    </row>
    <row r="222" spans="1:11" s="2" customFormat="1" x14ac:dyDescent="0.35">
      <c r="A222" s="82">
        <v>3</v>
      </c>
      <c r="B222" s="82"/>
      <c r="C222" s="41" t="s">
        <v>193</v>
      </c>
      <c r="D222" s="59">
        <f>(54.18+4.12)*10.764</f>
        <v>627.54119999999989</v>
      </c>
      <c r="E222" s="59">
        <f>(14.12)*10.764</f>
        <v>151.98767999999998</v>
      </c>
      <c r="F222" s="41">
        <f>D222*1.45+E222/2</f>
        <v>985.92857999999978</v>
      </c>
      <c r="G222" s="82"/>
      <c r="H222" s="82"/>
      <c r="I222" s="2">
        <f>I221-0.75*2.75</f>
        <v>12.7875</v>
      </c>
      <c r="J222" s="2">
        <f t="shared" si="13"/>
        <v>4535271.4679999994</v>
      </c>
    </row>
    <row r="223" spans="1:11" s="2" customFormat="1" x14ac:dyDescent="0.35">
      <c r="A223" s="82">
        <v>4</v>
      </c>
      <c r="B223" s="82"/>
      <c r="C223" s="41" t="s">
        <v>193</v>
      </c>
      <c r="D223" s="59">
        <f>(54.66)*10.764</f>
        <v>588.36023999999998</v>
      </c>
      <c r="E223" s="59">
        <f>(9.07)*10.764</f>
        <v>97.629480000000001</v>
      </c>
      <c r="F223" s="41">
        <f t="shared" si="12"/>
        <v>950.75182799999993</v>
      </c>
      <c r="G223" s="82"/>
      <c r="H223" s="82"/>
      <c r="J223" s="2">
        <f t="shared" si="13"/>
        <v>4373458.4087999994</v>
      </c>
    </row>
    <row r="224" spans="1:11" s="2" customFormat="1" x14ac:dyDescent="0.35">
      <c r="A224" s="82">
        <v>5</v>
      </c>
      <c r="B224" s="82"/>
      <c r="C224" s="41" t="s">
        <v>193</v>
      </c>
      <c r="D224" s="59">
        <f>(54.62+0.75*(2.75))*10.764</f>
        <v>610.13042999999993</v>
      </c>
      <c r="E224" s="59">
        <f>(4.95)*10.764</f>
        <v>53.281799999999997</v>
      </c>
      <c r="F224" s="41">
        <f t="shared" si="12"/>
        <v>937.9709234999998</v>
      </c>
      <c r="G224" s="82"/>
      <c r="H224" s="82"/>
      <c r="J224" s="2">
        <f t="shared" si="13"/>
        <v>4314666.2480999995</v>
      </c>
    </row>
    <row r="225" spans="1:10" s="2" customFormat="1" x14ac:dyDescent="0.35">
      <c r="A225" s="82">
        <v>6</v>
      </c>
      <c r="B225" s="82"/>
      <c r="C225" s="41" t="s">
        <v>174</v>
      </c>
      <c r="D225" s="59">
        <f>(38.11+2.75+0.75*(2.75))*10.764</f>
        <v>462.01778999999999</v>
      </c>
      <c r="E225" s="59">
        <f>(5.22)*10.764</f>
        <v>56.188079999999992</v>
      </c>
      <c r="F225" s="41">
        <f t="shared" si="12"/>
        <v>726.11387549999995</v>
      </c>
      <c r="G225" s="82"/>
      <c r="H225" s="82"/>
      <c r="J225" s="2">
        <f t="shared" si="13"/>
        <v>3340123.8272999995</v>
      </c>
    </row>
    <row r="226" spans="1:10" s="2" customFormat="1" x14ac:dyDescent="0.35">
      <c r="A226" s="82">
        <v>7</v>
      </c>
      <c r="B226" s="82"/>
      <c r="C226" s="41" t="s">
        <v>174</v>
      </c>
      <c r="D226" s="59">
        <f>(34.95+0.75*(2.75+2.75))*10.764</f>
        <v>420.60329999999999</v>
      </c>
      <c r="E226" s="59">
        <v>0</v>
      </c>
      <c r="F226" s="41">
        <f t="shared" si="12"/>
        <v>609.87478499999997</v>
      </c>
      <c r="G226" s="82"/>
      <c r="H226" s="82"/>
      <c r="J226" s="2">
        <f t="shared" si="13"/>
        <v>2805424.0109999999</v>
      </c>
    </row>
    <row r="227" spans="1:10" s="2" customFormat="1" x14ac:dyDescent="0.35">
      <c r="A227" s="93" t="s">
        <v>244</v>
      </c>
      <c r="B227" s="93"/>
      <c r="C227" s="93"/>
      <c r="D227" s="93"/>
      <c r="E227" s="93"/>
      <c r="F227" s="93"/>
      <c r="G227" s="93"/>
      <c r="H227" s="93"/>
      <c r="J227" s="2">
        <f t="shared" si="13"/>
        <v>0</v>
      </c>
    </row>
    <row r="228" spans="1:10" s="2" customFormat="1" ht="15.75" customHeight="1" x14ac:dyDescent="0.35">
      <c r="A228" s="82">
        <v>1</v>
      </c>
      <c r="B228" s="82"/>
      <c r="C228" s="41" t="s">
        <v>174</v>
      </c>
      <c r="D228" s="59">
        <f>(38.34+0.75*(1.8+2.75))*10.764</f>
        <v>449.42391000000003</v>
      </c>
      <c r="E228" s="41">
        <v>0</v>
      </c>
      <c r="F228" s="41">
        <f t="shared" ref="F228:F234" si="14">D228*1.45+E228</f>
        <v>651.66466950000006</v>
      </c>
      <c r="G228" s="82" t="str">
        <f>A227</f>
        <v xml:space="preserve">2nd, 4th, 6th, 10th &amp; 12th Floor </v>
      </c>
      <c r="H228" s="82"/>
      <c r="J228" s="2">
        <f t="shared" si="13"/>
        <v>2997657.4797000005</v>
      </c>
    </row>
    <row r="229" spans="1:10" s="2" customFormat="1" ht="15.75" customHeight="1" x14ac:dyDescent="0.35">
      <c r="A229" s="82">
        <v>2</v>
      </c>
      <c r="B229" s="82"/>
      <c r="C229" s="41" t="s">
        <v>174</v>
      </c>
      <c r="D229" s="59">
        <f>(35.79+0.75*(2.75+2.75))*10.764</f>
        <v>429.64505999999994</v>
      </c>
      <c r="E229" s="41">
        <v>0</v>
      </c>
      <c r="F229" s="41">
        <f t="shared" si="14"/>
        <v>622.98533699999984</v>
      </c>
      <c r="G229" s="82"/>
      <c r="H229" s="82"/>
      <c r="J229" s="2">
        <f t="shared" si="13"/>
        <v>2865732.5501999995</v>
      </c>
    </row>
    <row r="230" spans="1:10" s="2" customFormat="1" ht="15.75" customHeight="1" x14ac:dyDescent="0.35">
      <c r="A230" s="82">
        <v>3</v>
      </c>
      <c r="B230" s="82"/>
      <c r="C230" s="41" t="s">
        <v>193</v>
      </c>
      <c r="D230" s="59">
        <f>(54.18+4.12+0.75*2.9)*10.764</f>
        <v>650.95289999999989</v>
      </c>
      <c r="E230" s="41">
        <v>0</v>
      </c>
      <c r="F230" s="41">
        <f t="shared" si="14"/>
        <v>943.88170499999978</v>
      </c>
      <c r="G230" s="82"/>
      <c r="H230" s="82"/>
      <c r="I230" s="2">
        <f>4905000/F230</f>
        <v>5196.6257784390482</v>
      </c>
      <c r="J230" s="2">
        <f t="shared" si="13"/>
        <v>4341855.8429999994</v>
      </c>
    </row>
    <row r="231" spans="1:10" s="2" customFormat="1" ht="15.75" customHeight="1" x14ac:dyDescent="0.35">
      <c r="A231" s="82">
        <v>4</v>
      </c>
      <c r="B231" s="82"/>
      <c r="C231" s="41" t="s">
        <v>193</v>
      </c>
      <c r="D231" s="59">
        <f>(54.66+0.75*(2.75+2.75))*10.764</f>
        <v>632.76173999999992</v>
      </c>
      <c r="E231" s="41">
        <v>0</v>
      </c>
      <c r="F231" s="41">
        <f t="shared" si="14"/>
        <v>917.50452299999984</v>
      </c>
      <c r="G231" s="82"/>
      <c r="H231" s="82"/>
      <c r="J231" s="2">
        <f t="shared" si="13"/>
        <v>4220520.8057999993</v>
      </c>
    </row>
    <row r="232" spans="1:10" s="2" customFormat="1" ht="15.75" customHeight="1" x14ac:dyDescent="0.35">
      <c r="A232" s="82">
        <v>5</v>
      </c>
      <c r="B232" s="82"/>
      <c r="C232" s="41" t="s">
        <v>193</v>
      </c>
      <c r="D232" s="59">
        <f>(54.62+0.75*(2.75+2.75))*10.764</f>
        <v>632.3311799999999</v>
      </c>
      <c r="E232" s="41">
        <v>0</v>
      </c>
      <c r="F232" s="41">
        <f t="shared" si="14"/>
        <v>916.8802109999998</v>
      </c>
      <c r="G232" s="82"/>
      <c r="H232" s="82"/>
      <c r="J232" s="2">
        <f t="shared" si="13"/>
        <v>4217648.9705999987</v>
      </c>
    </row>
    <row r="233" spans="1:10" s="2" customFormat="1" ht="15.75" customHeight="1" x14ac:dyDescent="0.35">
      <c r="A233" s="82">
        <v>6</v>
      </c>
      <c r="B233" s="82"/>
      <c r="C233" s="41" t="s">
        <v>174</v>
      </c>
      <c r="D233" s="59">
        <f>(38.11+2.75+0.75*(2.75+2.75))*10.764</f>
        <v>484.21853999999996</v>
      </c>
      <c r="E233" s="41">
        <v>0</v>
      </c>
      <c r="F233" s="41">
        <f t="shared" si="14"/>
        <v>702.11688299999992</v>
      </c>
      <c r="G233" s="82"/>
      <c r="H233" s="82"/>
      <c r="I233" s="2">
        <f>3037500/F233</f>
        <v>4326.2027641628447</v>
      </c>
      <c r="J233" s="2">
        <f t="shared" si="13"/>
        <v>3229737.6617999994</v>
      </c>
    </row>
    <row r="234" spans="1:10" s="2" customFormat="1" ht="15.75" customHeight="1" x14ac:dyDescent="0.35">
      <c r="A234" s="82">
        <v>7</v>
      </c>
      <c r="B234" s="82"/>
      <c r="C234" s="41" t="s">
        <v>174</v>
      </c>
      <c r="D234" s="59">
        <f>(34.95+0.75*(2.75+2.75))*10.764</f>
        <v>420.60329999999999</v>
      </c>
      <c r="E234" s="41">
        <v>0</v>
      </c>
      <c r="F234" s="41">
        <f t="shared" si="14"/>
        <v>609.87478499999997</v>
      </c>
      <c r="G234" s="82"/>
      <c r="H234" s="82"/>
      <c r="J234" s="2">
        <f t="shared" si="13"/>
        <v>2805424.0109999999</v>
      </c>
    </row>
    <row r="235" spans="1:10" s="2" customFormat="1" x14ac:dyDescent="0.35">
      <c r="A235" s="77" t="s">
        <v>245</v>
      </c>
      <c r="B235" s="78"/>
      <c r="C235" s="78"/>
      <c r="D235" s="78"/>
      <c r="E235" s="78"/>
      <c r="F235" s="78"/>
      <c r="G235" s="78"/>
      <c r="H235" s="79"/>
      <c r="J235" s="2">
        <f t="shared" si="13"/>
        <v>0</v>
      </c>
    </row>
    <row r="236" spans="1:10" s="2" customFormat="1" ht="15.75" customHeight="1" x14ac:dyDescent="0.35">
      <c r="A236" s="82">
        <v>1</v>
      </c>
      <c r="B236" s="82"/>
      <c r="C236" s="41" t="s">
        <v>174</v>
      </c>
      <c r="D236" s="59">
        <f>(38.34+0.75*(1.8+2.75))*10.764</f>
        <v>449.42391000000003</v>
      </c>
      <c r="E236" s="59">
        <v>0</v>
      </c>
      <c r="F236" s="41">
        <f t="shared" ref="F236:F242" si="15">D236*1.45+E236</f>
        <v>651.66466950000006</v>
      </c>
      <c r="G236" s="96" t="str">
        <f>A235</f>
        <v>3rd, 5th, 7th, 9th &amp; 11th Floor</v>
      </c>
      <c r="H236" s="97"/>
      <c r="J236" s="2">
        <f t="shared" si="13"/>
        <v>2997657.4797000005</v>
      </c>
    </row>
    <row r="237" spans="1:10" s="2" customFormat="1" ht="15.75" customHeight="1" x14ac:dyDescent="0.35">
      <c r="A237" s="82">
        <v>2</v>
      </c>
      <c r="B237" s="82"/>
      <c r="C237" s="41" t="s">
        <v>174</v>
      </c>
      <c r="D237" s="59">
        <f>(35.79+0.75*(2.75))*10.764</f>
        <v>407.44430999999997</v>
      </c>
      <c r="E237" s="59">
        <f>(5.91)*10.764</f>
        <v>63.61524</v>
      </c>
      <c r="F237" s="41">
        <f t="shared" si="15"/>
        <v>654.40948949999995</v>
      </c>
      <c r="G237" s="98"/>
      <c r="H237" s="99"/>
      <c r="J237" s="2">
        <f t="shared" si="13"/>
        <v>3010283.6516999998</v>
      </c>
    </row>
    <row r="238" spans="1:10" s="2" customFormat="1" ht="15.65" customHeight="1" x14ac:dyDescent="0.35">
      <c r="A238" s="82">
        <v>3</v>
      </c>
      <c r="B238" s="82"/>
      <c r="C238" s="41" t="s">
        <v>193</v>
      </c>
      <c r="D238" s="59">
        <f>(54.18+4.12+0.75*2.9)*10.764</f>
        <v>650.95289999999989</v>
      </c>
      <c r="E238" s="59">
        <v>0</v>
      </c>
      <c r="F238" s="41">
        <f t="shared" si="15"/>
        <v>943.88170499999978</v>
      </c>
      <c r="G238" s="98"/>
      <c r="H238" s="99"/>
      <c r="J238" s="2">
        <f t="shared" si="13"/>
        <v>4341855.8429999994</v>
      </c>
    </row>
    <row r="239" spans="1:10" s="2" customFormat="1" ht="15.65" customHeight="1" x14ac:dyDescent="0.35">
      <c r="A239" s="82">
        <v>4</v>
      </c>
      <c r="B239" s="82"/>
      <c r="C239" s="41" t="s">
        <v>193</v>
      </c>
      <c r="D239" s="59">
        <f>(54.66+0.75*(2.75))*10.764</f>
        <v>610.56098999999995</v>
      </c>
      <c r="E239" s="59">
        <f>(4.95)*10.764</f>
        <v>53.281799999999997</v>
      </c>
      <c r="F239" s="41">
        <f t="shared" si="15"/>
        <v>938.59523549999983</v>
      </c>
      <c r="G239" s="98"/>
      <c r="H239" s="99"/>
      <c r="J239" s="2">
        <f t="shared" si="13"/>
        <v>4317538.0832999991</v>
      </c>
    </row>
    <row r="240" spans="1:10" s="2" customFormat="1" ht="15.65" customHeight="1" x14ac:dyDescent="0.35">
      <c r="A240" s="82">
        <v>5</v>
      </c>
      <c r="B240" s="82"/>
      <c r="C240" s="41" t="s">
        <v>193</v>
      </c>
      <c r="D240" s="59">
        <f>(54.62+0.75*(2.75))*10.764</f>
        <v>610.13042999999993</v>
      </c>
      <c r="E240" s="59">
        <f>(4.95)*10.764</f>
        <v>53.281799999999997</v>
      </c>
      <c r="F240" s="41">
        <f t="shared" si="15"/>
        <v>937.9709234999998</v>
      </c>
      <c r="G240" s="98"/>
      <c r="H240" s="99"/>
      <c r="J240" s="2">
        <f t="shared" si="13"/>
        <v>4314666.2480999995</v>
      </c>
    </row>
    <row r="241" spans="1:10" s="2" customFormat="1" ht="15.65" customHeight="1" x14ac:dyDescent="0.35">
      <c r="A241" s="82">
        <v>6</v>
      </c>
      <c r="B241" s="82"/>
      <c r="C241" s="41" t="s">
        <v>174</v>
      </c>
      <c r="D241" s="59">
        <f>(38.11+2.75+0.75*(2.75))*10.764</f>
        <v>462.01778999999999</v>
      </c>
      <c r="E241" s="59">
        <f>(5.22)*10.764</f>
        <v>56.188079999999992</v>
      </c>
      <c r="F241" s="41">
        <f t="shared" si="15"/>
        <v>726.11387549999995</v>
      </c>
      <c r="G241" s="98"/>
      <c r="H241" s="99"/>
      <c r="J241" s="2">
        <f t="shared" si="13"/>
        <v>3340123.8272999995</v>
      </c>
    </row>
    <row r="242" spans="1:10" s="2" customFormat="1" ht="15.65" customHeight="1" x14ac:dyDescent="0.35">
      <c r="A242" s="82">
        <v>7</v>
      </c>
      <c r="B242" s="82"/>
      <c r="C242" s="41" t="s">
        <v>174</v>
      </c>
      <c r="D242" s="59">
        <f>(34.95+0.75*(2.75+2.75))*10.764</f>
        <v>420.60329999999999</v>
      </c>
      <c r="E242" s="59">
        <v>0</v>
      </c>
      <c r="F242" s="41">
        <f t="shared" si="15"/>
        <v>609.87478499999997</v>
      </c>
      <c r="G242" s="101"/>
      <c r="H242" s="102"/>
      <c r="J242" s="2">
        <f t="shared" si="13"/>
        <v>2805424.0109999999</v>
      </c>
    </row>
    <row r="243" spans="1:10" s="2" customFormat="1" x14ac:dyDescent="0.35">
      <c r="A243" s="77" t="s">
        <v>194</v>
      </c>
      <c r="B243" s="78"/>
      <c r="C243" s="78"/>
      <c r="D243" s="78"/>
      <c r="E243" s="78"/>
      <c r="F243" s="78"/>
      <c r="G243" s="78"/>
      <c r="H243" s="79"/>
      <c r="J243" s="2">
        <f t="shared" si="13"/>
        <v>0</v>
      </c>
    </row>
    <row r="244" spans="1:10" s="2" customFormat="1" x14ac:dyDescent="0.35">
      <c r="A244" s="82">
        <v>1</v>
      </c>
      <c r="B244" s="82"/>
      <c r="C244" s="41" t="s">
        <v>174</v>
      </c>
      <c r="D244" s="59">
        <f>(38.34+0.75*(1.8+2.75))*10.764</f>
        <v>449.42391000000003</v>
      </c>
      <c r="E244" s="41">
        <v>0</v>
      </c>
      <c r="F244" s="41">
        <f t="shared" ref="F244:F249" si="16">D244*1.45+E244</f>
        <v>651.66466950000006</v>
      </c>
      <c r="G244" s="96" t="str">
        <f>A243</f>
        <v>8th Floor (Part Refuge Area)</v>
      </c>
      <c r="H244" s="97"/>
      <c r="J244" s="2">
        <f t="shared" si="13"/>
        <v>2997657.4797000005</v>
      </c>
    </row>
    <row r="245" spans="1:10" s="2" customFormat="1" ht="15.65" customHeight="1" x14ac:dyDescent="0.35">
      <c r="A245" s="82">
        <v>2</v>
      </c>
      <c r="B245" s="82"/>
      <c r="C245" s="41" t="s">
        <v>153</v>
      </c>
      <c r="D245" s="59">
        <f>(64.04+4.12+0.75*(2.75+2.9))*10.764</f>
        <v>779.28669000000002</v>
      </c>
      <c r="E245" s="41">
        <v>0</v>
      </c>
      <c r="F245" s="41">
        <f>D245*1.45+E245/2</f>
        <v>1129.9657004999999</v>
      </c>
      <c r="G245" s="98"/>
      <c r="H245" s="99"/>
      <c r="J245" s="2">
        <f t="shared" si="13"/>
        <v>5197842.2222999996</v>
      </c>
    </row>
    <row r="246" spans="1:10" s="2" customFormat="1" ht="15.65" customHeight="1" x14ac:dyDescent="0.35">
      <c r="A246" s="82">
        <v>3</v>
      </c>
      <c r="B246" s="82"/>
      <c r="C246" s="41" t="s">
        <v>193</v>
      </c>
      <c r="D246" s="59">
        <f>(54.66+0.75*(2.75+2.75))*10.764</f>
        <v>632.76173999999992</v>
      </c>
      <c r="E246" s="41">
        <v>0</v>
      </c>
      <c r="F246" s="41">
        <f t="shared" si="16"/>
        <v>917.50452299999984</v>
      </c>
      <c r="G246" s="98"/>
      <c r="H246" s="99"/>
      <c r="J246" s="2">
        <f t="shared" si="13"/>
        <v>4220520.8057999993</v>
      </c>
    </row>
    <row r="247" spans="1:10" s="2" customFormat="1" ht="15.65" customHeight="1" x14ac:dyDescent="0.35">
      <c r="A247" s="82">
        <v>4</v>
      </c>
      <c r="B247" s="82"/>
      <c r="C247" s="41" t="s">
        <v>174</v>
      </c>
      <c r="D247" s="59">
        <f>(54.62+0.75*(2.75+2.75))*10.764</f>
        <v>632.3311799999999</v>
      </c>
      <c r="E247" s="41">
        <v>0</v>
      </c>
      <c r="F247" s="41">
        <f t="shared" si="16"/>
        <v>916.8802109999998</v>
      </c>
      <c r="G247" s="98"/>
      <c r="H247" s="99"/>
      <c r="J247" s="2">
        <f t="shared" si="13"/>
        <v>4217648.9705999987</v>
      </c>
    </row>
    <row r="248" spans="1:10" s="2" customFormat="1" ht="15.65" customHeight="1" x14ac:dyDescent="0.35">
      <c r="A248" s="82">
        <v>5</v>
      </c>
      <c r="B248" s="82"/>
      <c r="C248" s="41" t="s">
        <v>174</v>
      </c>
      <c r="D248" s="59">
        <f>(38.11+2.75+0.75*(2.75+2.75))*10.764</f>
        <v>484.21853999999996</v>
      </c>
      <c r="E248" s="41">
        <v>0</v>
      </c>
      <c r="F248" s="41">
        <f t="shared" si="16"/>
        <v>702.11688299999992</v>
      </c>
      <c r="G248" s="98"/>
      <c r="H248" s="99"/>
      <c r="J248" s="2">
        <f t="shared" si="13"/>
        <v>3229737.6617999994</v>
      </c>
    </row>
    <row r="249" spans="1:10" s="2" customFormat="1" ht="15.65" customHeight="1" x14ac:dyDescent="0.35">
      <c r="A249" s="82">
        <v>6</v>
      </c>
      <c r="B249" s="82"/>
      <c r="C249" s="41" t="s">
        <v>174</v>
      </c>
      <c r="D249" s="59">
        <f>(34.95+0.75*(2.75+2.75))*10.764</f>
        <v>420.60329999999999</v>
      </c>
      <c r="E249" s="41">
        <v>0</v>
      </c>
      <c r="F249" s="41">
        <f t="shared" si="16"/>
        <v>609.87478499999997</v>
      </c>
      <c r="G249" s="101"/>
      <c r="H249" s="102"/>
      <c r="J249" s="2">
        <f t="shared" si="13"/>
        <v>2805424.0109999999</v>
      </c>
    </row>
    <row r="250" spans="1:10" s="2" customFormat="1" x14ac:dyDescent="0.35">
      <c r="A250" s="93" t="s">
        <v>180</v>
      </c>
      <c r="B250" s="93"/>
      <c r="C250" s="93"/>
      <c r="D250" s="93"/>
      <c r="E250" s="93"/>
      <c r="F250" s="93"/>
      <c r="G250" s="93"/>
      <c r="H250" s="93"/>
    </row>
    <row r="251" spans="1:10" s="2" customFormat="1" x14ac:dyDescent="0.35">
      <c r="A251" s="93" t="s">
        <v>181</v>
      </c>
      <c r="B251" s="93"/>
      <c r="C251" s="93"/>
      <c r="D251" s="93"/>
      <c r="E251" s="93"/>
      <c r="F251" s="93"/>
      <c r="G251" s="93"/>
      <c r="H251" s="93"/>
    </row>
    <row r="252" spans="1:10" s="2" customFormat="1" x14ac:dyDescent="0.35">
      <c r="A252" s="82" t="s">
        <v>187</v>
      </c>
      <c r="B252" s="82"/>
      <c r="C252" s="41" t="s">
        <v>155</v>
      </c>
      <c r="D252" s="41">
        <v>1415.8158300000002</v>
      </c>
      <c r="E252" s="41">
        <v>393.74711999999994</v>
      </c>
      <c r="F252" s="41">
        <f>D252*1.45+E252/4</f>
        <v>2151.3697335000002</v>
      </c>
      <c r="G252" s="82" t="s">
        <v>195</v>
      </c>
      <c r="H252" s="82"/>
    </row>
    <row r="253" spans="1:10" x14ac:dyDescent="0.35">
      <c r="A253" s="93" t="s">
        <v>246</v>
      </c>
      <c r="B253" s="93"/>
      <c r="C253" s="93"/>
      <c r="D253" s="93"/>
      <c r="E253" s="93"/>
      <c r="F253" s="93"/>
      <c r="G253" s="93"/>
      <c r="H253" s="93"/>
    </row>
    <row r="254" spans="1:10" x14ac:dyDescent="0.35">
      <c r="A254" s="93" t="s">
        <v>247</v>
      </c>
      <c r="B254" s="93"/>
      <c r="C254" s="93"/>
      <c r="D254" s="93"/>
      <c r="E254" s="93"/>
      <c r="F254" s="93"/>
      <c r="G254" s="93"/>
      <c r="H254" s="93"/>
    </row>
    <row r="255" spans="1:10" s="2" customFormat="1" x14ac:dyDescent="0.35">
      <c r="A255" s="77" t="s">
        <v>192</v>
      </c>
      <c r="B255" s="78"/>
      <c r="C255" s="78"/>
      <c r="D255" s="78"/>
      <c r="E255" s="78"/>
      <c r="F255" s="78"/>
      <c r="G255" s="78"/>
      <c r="H255" s="79"/>
      <c r="J255" s="59">
        <v>10.763999999999999</v>
      </c>
    </row>
    <row r="256" spans="1:10" s="2" customFormat="1" x14ac:dyDescent="0.35">
      <c r="A256" s="82">
        <v>1</v>
      </c>
      <c r="B256" s="82"/>
      <c r="C256" s="41" t="s">
        <v>174</v>
      </c>
      <c r="D256" s="59">
        <f>(33.83)*10.764</f>
        <v>364.14611999999994</v>
      </c>
      <c r="E256" s="59">
        <f>(12.07)*10.764</f>
        <v>129.92148</v>
      </c>
      <c r="F256" s="41">
        <f>D256*1.45+E256</f>
        <v>657.93335399999989</v>
      </c>
      <c r="G256" s="96" t="str">
        <f>A255</f>
        <v>1st Floor for Residential</v>
      </c>
      <c r="H256" s="97"/>
    </row>
    <row r="257" spans="1:10" s="2" customFormat="1" x14ac:dyDescent="0.35">
      <c r="A257" s="82">
        <v>2</v>
      </c>
      <c r="B257" s="82"/>
      <c r="C257" s="41" t="s">
        <v>174</v>
      </c>
      <c r="D257" s="59">
        <f>(33.76)*10.764</f>
        <v>363.39263999999997</v>
      </c>
      <c r="E257" s="59">
        <f>(21.87)*10.764</f>
        <v>235.40868</v>
      </c>
      <c r="F257" s="41">
        <f t="shared" ref="F257:F260" si="17">D257*1.45+E257</f>
        <v>762.32800799999995</v>
      </c>
      <c r="G257" s="98"/>
      <c r="H257" s="99"/>
    </row>
    <row r="258" spans="1:10" s="2" customFormat="1" x14ac:dyDescent="0.35">
      <c r="A258" s="82">
        <v>3</v>
      </c>
      <c r="B258" s="82"/>
      <c r="C258" s="41" t="s">
        <v>193</v>
      </c>
      <c r="D258" s="59">
        <f>(40.12+7.95)*10.764</f>
        <v>517.42547999999999</v>
      </c>
      <c r="E258" s="59">
        <f>(9.5+0.75*2.75)*10.764</f>
        <v>124.45874999999999</v>
      </c>
      <c r="F258" s="41">
        <f t="shared" si="17"/>
        <v>874.72569599999997</v>
      </c>
      <c r="G258" s="98"/>
      <c r="H258" s="99"/>
    </row>
    <row r="259" spans="1:10" s="2" customFormat="1" x14ac:dyDescent="0.35">
      <c r="A259" s="82">
        <v>4</v>
      </c>
      <c r="B259" s="82"/>
      <c r="C259" s="41" t="s">
        <v>193</v>
      </c>
      <c r="D259" s="59">
        <f>(51.64+0.75*2.75)*10.764</f>
        <v>578.05371000000002</v>
      </c>
      <c r="E259" s="59">
        <f>(6.02)*10.764</f>
        <v>64.799279999999996</v>
      </c>
      <c r="F259" s="41">
        <f t="shared" si="17"/>
        <v>902.97715949999997</v>
      </c>
      <c r="G259" s="98"/>
      <c r="H259" s="99"/>
    </row>
    <row r="260" spans="1:10" s="2" customFormat="1" x14ac:dyDescent="0.35">
      <c r="A260" s="82">
        <v>5</v>
      </c>
      <c r="B260" s="82"/>
      <c r="C260" s="41" t="s">
        <v>174</v>
      </c>
      <c r="D260" s="59">
        <f>(33.83+1.2*2.75+0.75*(2.3+2.75))*10.764</f>
        <v>440.43596999999994</v>
      </c>
      <c r="E260" s="59">
        <v>0</v>
      </c>
      <c r="F260" s="41">
        <f t="shared" si="17"/>
        <v>638.63215649999995</v>
      </c>
      <c r="G260" s="98"/>
      <c r="H260" s="99"/>
    </row>
    <row r="261" spans="1:10" s="2" customFormat="1" x14ac:dyDescent="0.35">
      <c r="A261" s="93" t="s">
        <v>249</v>
      </c>
      <c r="B261" s="93"/>
      <c r="C261" s="93"/>
      <c r="D261" s="93"/>
      <c r="E261" s="93"/>
      <c r="F261" s="93"/>
      <c r="G261" s="93"/>
      <c r="H261" s="93"/>
      <c r="J261" s="59">
        <v>10.763999999999999</v>
      </c>
    </row>
    <row r="262" spans="1:10" s="2" customFormat="1" x14ac:dyDescent="0.35">
      <c r="A262" s="82">
        <v>1</v>
      </c>
      <c r="B262" s="82"/>
      <c r="C262" s="41" t="s">
        <v>174</v>
      </c>
      <c r="D262" s="59">
        <f>(34.62+0.75*(2.85+3.05))*10.764</f>
        <v>420.28037999999998</v>
      </c>
      <c r="E262" s="59">
        <f>(4.72)*10.764</f>
        <v>50.806079999999994</v>
      </c>
      <c r="F262" s="41">
        <f>D262*1.45+E262</f>
        <v>660.21263099999987</v>
      </c>
      <c r="G262" s="82" t="str">
        <f>A261</f>
        <v>2nd Floor</v>
      </c>
      <c r="H262" s="82"/>
    </row>
    <row r="263" spans="1:10" s="2" customFormat="1" x14ac:dyDescent="0.35">
      <c r="A263" s="82">
        <v>2</v>
      </c>
      <c r="B263" s="82"/>
      <c r="C263" s="41" t="s">
        <v>174</v>
      </c>
      <c r="D263" s="59">
        <f>(35.52+1.2*2.75)*10.764</f>
        <v>417.85847999999999</v>
      </c>
      <c r="E263" s="59">
        <f>(3.86)*10.764</f>
        <v>41.549039999999998</v>
      </c>
      <c r="F263" s="41">
        <f t="shared" ref="F263:F266" si="18">D263*1.45+E263</f>
        <v>647.44383599999992</v>
      </c>
      <c r="G263" s="82"/>
      <c r="H263" s="82"/>
    </row>
    <row r="264" spans="1:10" s="2" customFormat="1" x14ac:dyDescent="0.35">
      <c r="A264" s="82">
        <v>3</v>
      </c>
      <c r="B264" s="82"/>
      <c r="C264" s="41" t="s">
        <v>174</v>
      </c>
      <c r="D264" s="59">
        <f>(33.83+0.75*(2.3+2.75))*10.764</f>
        <v>404.91476999999998</v>
      </c>
      <c r="E264" s="59">
        <f>(8.1)*10.764</f>
        <v>87.188399999999987</v>
      </c>
      <c r="F264" s="41">
        <f t="shared" si="18"/>
        <v>674.31481649999989</v>
      </c>
      <c r="G264" s="82"/>
      <c r="H264" s="82"/>
    </row>
    <row r="265" spans="1:10" s="2" customFormat="1" x14ac:dyDescent="0.35">
      <c r="A265" s="82">
        <v>4</v>
      </c>
      <c r="B265" s="82"/>
      <c r="C265" s="41" t="s">
        <v>174</v>
      </c>
      <c r="D265" s="59">
        <f>(33.83+1.2*2.75+0.75*(2.3+2.75))*10.764</f>
        <v>440.43596999999994</v>
      </c>
      <c r="E265" s="59">
        <v>0</v>
      </c>
      <c r="F265" s="41">
        <f t="shared" si="18"/>
        <v>638.63215649999995</v>
      </c>
      <c r="G265" s="82"/>
      <c r="H265" s="82"/>
    </row>
    <row r="266" spans="1:10" s="2" customFormat="1" x14ac:dyDescent="0.35">
      <c r="A266" s="82">
        <v>5</v>
      </c>
      <c r="B266" s="82"/>
      <c r="C266" s="41" t="s">
        <v>174</v>
      </c>
      <c r="D266" s="59">
        <f>(33.76+1.2*2.75+0.75*(2.4+2.75))*10.764</f>
        <v>440.48978999999991</v>
      </c>
      <c r="E266" s="59">
        <v>0</v>
      </c>
      <c r="F266" s="41">
        <f t="shared" si="18"/>
        <v>638.71019549999983</v>
      </c>
      <c r="G266" s="82"/>
      <c r="H266" s="82"/>
    </row>
    <row r="267" spans="1:10" s="2" customFormat="1" x14ac:dyDescent="0.35">
      <c r="A267" s="82">
        <v>6</v>
      </c>
      <c r="B267" s="82"/>
      <c r="C267" s="41" t="s">
        <v>193</v>
      </c>
      <c r="D267" s="59">
        <f>(40.12+7.95+1.2*2.75+0.75*3.2)*10.764</f>
        <v>578.78027999999995</v>
      </c>
      <c r="E267" s="59">
        <v>0</v>
      </c>
      <c r="F267" s="41">
        <f t="shared" ref="F267:F269" si="19">D267*1.45+E267</f>
        <v>839.23140599999988</v>
      </c>
      <c r="G267" s="82"/>
      <c r="H267" s="82"/>
    </row>
    <row r="268" spans="1:10" s="2" customFormat="1" x14ac:dyDescent="0.35">
      <c r="A268" s="82">
        <v>7</v>
      </c>
      <c r="B268" s="82"/>
      <c r="C268" s="41" t="s">
        <v>193</v>
      </c>
      <c r="D268" s="59">
        <f>(51.64+1.2*2.75+0.75*(2.3+2.75))*10.764</f>
        <v>632.14280999999994</v>
      </c>
      <c r="E268" s="59">
        <v>0</v>
      </c>
      <c r="F268" s="41">
        <f t="shared" si="19"/>
        <v>916.60707449999984</v>
      </c>
      <c r="G268" s="82"/>
      <c r="H268" s="82"/>
    </row>
    <row r="269" spans="1:10" s="2" customFormat="1" x14ac:dyDescent="0.35">
      <c r="A269" s="82">
        <v>8</v>
      </c>
      <c r="B269" s="82"/>
      <c r="C269" s="41" t="s">
        <v>174</v>
      </c>
      <c r="D269" s="59">
        <f>(33.83+1.2*2.75+0.75*(2.3+2.75))*10.764</f>
        <v>440.43596999999994</v>
      </c>
      <c r="E269" s="59">
        <v>0</v>
      </c>
      <c r="F269" s="41">
        <f t="shared" si="19"/>
        <v>638.63215649999995</v>
      </c>
      <c r="G269" s="82"/>
      <c r="H269" s="82"/>
    </row>
    <row r="270" spans="1:10" s="2" customFormat="1" x14ac:dyDescent="0.35">
      <c r="A270" s="93" t="s">
        <v>250</v>
      </c>
      <c r="B270" s="93"/>
      <c r="C270" s="93"/>
      <c r="D270" s="93"/>
      <c r="E270" s="93"/>
      <c r="F270" s="93"/>
      <c r="G270" s="93"/>
      <c r="H270" s="93"/>
      <c r="J270" s="59">
        <v>10.763999999999999</v>
      </c>
    </row>
    <row r="271" spans="1:10" s="2" customFormat="1" ht="15.75" customHeight="1" x14ac:dyDescent="0.35">
      <c r="A271" s="82">
        <v>1</v>
      </c>
      <c r="B271" s="82"/>
      <c r="C271" s="41" t="s">
        <v>174</v>
      </c>
      <c r="D271" s="59">
        <f>(34.62+1.2*2.75+0.75*(2.85+3.05))*10.764</f>
        <v>455.80157999999994</v>
      </c>
      <c r="E271" s="59">
        <v>0</v>
      </c>
      <c r="F271" s="41">
        <f>D271*1.45+E271</f>
        <v>660.91229099999987</v>
      </c>
      <c r="G271" s="82" t="str">
        <f>A270</f>
        <v>3rd to 7th, 9th to 12th &amp; 14th Floor</v>
      </c>
      <c r="H271" s="82"/>
    </row>
    <row r="272" spans="1:10" s="2" customFormat="1" x14ac:dyDescent="0.35">
      <c r="A272" s="82">
        <v>2</v>
      </c>
      <c r="B272" s="82"/>
      <c r="C272" s="41" t="s">
        <v>174</v>
      </c>
      <c r="D272" s="59">
        <f>(35.52+1.2*2.75+0.75*(2.75+2.3))*10.764</f>
        <v>458.62712999999997</v>
      </c>
      <c r="E272" s="59">
        <v>0</v>
      </c>
      <c r="F272" s="41">
        <f t="shared" ref="F272:F278" si="20">D272*1.45+E272</f>
        <v>665.0093384999999</v>
      </c>
      <c r="G272" s="82"/>
      <c r="H272" s="82"/>
    </row>
    <row r="273" spans="1:10" s="2" customFormat="1" x14ac:dyDescent="0.35">
      <c r="A273" s="82">
        <v>3</v>
      </c>
      <c r="B273" s="82"/>
      <c r="C273" s="41" t="s">
        <v>174</v>
      </c>
      <c r="D273" s="59">
        <f>(33.83+1.2*2.75+0.75*(2.3+2.75))*10.764</f>
        <v>440.43596999999994</v>
      </c>
      <c r="E273" s="59">
        <v>0</v>
      </c>
      <c r="F273" s="41">
        <f t="shared" si="20"/>
        <v>638.63215649999995</v>
      </c>
      <c r="G273" s="82"/>
      <c r="H273" s="82"/>
    </row>
    <row r="274" spans="1:10" s="2" customFormat="1" x14ac:dyDescent="0.35">
      <c r="A274" s="82">
        <v>4</v>
      </c>
      <c r="B274" s="82"/>
      <c r="C274" s="41" t="s">
        <v>174</v>
      </c>
      <c r="D274" s="59">
        <f>(33.83+1.2*2.75+0.75*(2.3+2.75))*10.764</f>
        <v>440.43596999999994</v>
      </c>
      <c r="E274" s="59">
        <v>0</v>
      </c>
      <c r="F274" s="41">
        <f t="shared" si="20"/>
        <v>638.63215649999995</v>
      </c>
      <c r="G274" s="82"/>
      <c r="H274" s="82"/>
    </row>
    <row r="275" spans="1:10" s="2" customFormat="1" x14ac:dyDescent="0.35">
      <c r="A275" s="82">
        <v>5</v>
      </c>
      <c r="B275" s="82"/>
      <c r="C275" s="41" t="s">
        <v>174</v>
      </c>
      <c r="D275" s="59">
        <f>(33.76+1.2*2.75+0.75*(2.4+2.75))*10.764</f>
        <v>440.48978999999991</v>
      </c>
      <c r="E275" s="59">
        <v>0</v>
      </c>
      <c r="F275" s="41">
        <f t="shared" si="20"/>
        <v>638.71019549999983</v>
      </c>
      <c r="G275" s="82"/>
      <c r="H275" s="82"/>
    </row>
    <row r="276" spans="1:10" s="2" customFormat="1" x14ac:dyDescent="0.35">
      <c r="A276" s="82">
        <v>6</v>
      </c>
      <c r="B276" s="82"/>
      <c r="C276" s="41" t="s">
        <v>193</v>
      </c>
      <c r="D276" s="59">
        <f>(40.12+7.95+1.2*2.75+0.75*3.2)*10.764</f>
        <v>578.78027999999995</v>
      </c>
      <c r="E276" s="59">
        <v>0</v>
      </c>
      <c r="F276" s="41">
        <f t="shared" si="20"/>
        <v>839.23140599999988</v>
      </c>
      <c r="G276" s="82"/>
      <c r="H276" s="82"/>
    </row>
    <row r="277" spans="1:10" s="2" customFormat="1" x14ac:dyDescent="0.35">
      <c r="A277" s="82">
        <v>7</v>
      </c>
      <c r="B277" s="82"/>
      <c r="C277" s="41" t="s">
        <v>193</v>
      </c>
      <c r="D277" s="59">
        <f>(51.64+1.2*2.75+0.75*(2.3+2.75))*10.764</f>
        <v>632.14280999999994</v>
      </c>
      <c r="E277" s="59">
        <v>0</v>
      </c>
      <c r="F277" s="41">
        <f t="shared" si="20"/>
        <v>916.60707449999984</v>
      </c>
      <c r="G277" s="82"/>
      <c r="H277" s="82"/>
    </row>
    <row r="278" spans="1:10" s="2" customFormat="1" x14ac:dyDescent="0.35">
      <c r="A278" s="82">
        <v>8</v>
      </c>
      <c r="B278" s="82"/>
      <c r="C278" s="41" t="s">
        <v>174</v>
      </c>
      <c r="D278" s="59">
        <f>(33.83+1.2*2.75+0.75*(2.3+2.75))*10.764</f>
        <v>440.43596999999994</v>
      </c>
      <c r="E278" s="59">
        <v>0</v>
      </c>
      <c r="F278" s="41">
        <f t="shared" si="20"/>
        <v>638.63215649999995</v>
      </c>
      <c r="G278" s="82"/>
      <c r="H278" s="82"/>
    </row>
    <row r="279" spans="1:10" s="2" customFormat="1" x14ac:dyDescent="0.35">
      <c r="A279" s="77" t="s">
        <v>194</v>
      </c>
      <c r="B279" s="78"/>
      <c r="C279" s="78"/>
      <c r="D279" s="78"/>
      <c r="E279" s="78"/>
      <c r="F279" s="78"/>
      <c r="G279" s="78"/>
      <c r="H279" s="79"/>
      <c r="J279" s="59">
        <v>10.763999999999999</v>
      </c>
    </row>
    <row r="280" spans="1:10" s="2" customFormat="1" ht="15.75" customHeight="1" x14ac:dyDescent="0.35">
      <c r="A280" s="82">
        <v>1</v>
      </c>
      <c r="B280" s="82"/>
      <c r="C280" s="41" t="s">
        <v>174</v>
      </c>
      <c r="D280" s="59">
        <f>(34.62+1.2*2.75+0.75*(2.85+3.05))*10.764</f>
        <v>455.80157999999994</v>
      </c>
      <c r="E280" s="59">
        <v>0</v>
      </c>
      <c r="F280" s="41">
        <f>D280*1.45+E280</f>
        <v>660.91229099999987</v>
      </c>
      <c r="G280" s="96" t="str">
        <f>A279</f>
        <v>8th Floor (Part Refuge Area)</v>
      </c>
      <c r="H280" s="97"/>
    </row>
    <row r="281" spans="1:10" s="2" customFormat="1" x14ac:dyDescent="0.35">
      <c r="A281" s="82">
        <v>2</v>
      </c>
      <c r="B281" s="82"/>
      <c r="C281" s="41" t="s">
        <v>193</v>
      </c>
      <c r="D281" s="59">
        <f>(47.51+1.2*2.75+0.75*(2.75+2.3+2.75))*10.764</f>
        <v>609.88823999999988</v>
      </c>
      <c r="E281" s="59">
        <v>0</v>
      </c>
      <c r="F281" s="41">
        <f>D281*1.45+E281</f>
        <v>884.33794799999976</v>
      </c>
      <c r="G281" s="98"/>
      <c r="H281" s="99"/>
    </row>
    <row r="282" spans="1:10" s="2" customFormat="1" x14ac:dyDescent="0.35">
      <c r="A282" s="82">
        <v>3</v>
      </c>
      <c r="B282" s="82"/>
      <c r="C282" s="41" t="s">
        <v>174</v>
      </c>
      <c r="D282" s="59">
        <f>(33.83+1.2*2.75+0.75*(2.3+2.75))*10.764</f>
        <v>440.43596999999994</v>
      </c>
      <c r="E282" s="59">
        <v>0</v>
      </c>
      <c r="F282" s="41">
        <f t="shared" ref="F282:F286" si="21">D282*1.45+E282</f>
        <v>638.63215649999995</v>
      </c>
      <c r="G282" s="98"/>
      <c r="H282" s="99"/>
    </row>
    <row r="283" spans="1:10" s="2" customFormat="1" x14ac:dyDescent="0.35">
      <c r="A283" s="82">
        <v>4</v>
      </c>
      <c r="B283" s="82"/>
      <c r="C283" s="41" t="s">
        <v>174</v>
      </c>
      <c r="D283" s="59">
        <f>(33.76+1.2*2.75+0.75*(2.4+2.75))*10.764</f>
        <v>440.48978999999991</v>
      </c>
      <c r="E283" s="59">
        <v>0</v>
      </c>
      <c r="F283" s="41">
        <f t="shared" si="21"/>
        <v>638.71019549999983</v>
      </c>
      <c r="G283" s="98"/>
      <c r="H283" s="99"/>
    </row>
    <row r="284" spans="1:10" s="2" customFormat="1" x14ac:dyDescent="0.35">
      <c r="A284" s="82">
        <v>5</v>
      </c>
      <c r="B284" s="82"/>
      <c r="C284" s="41" t="s">
        <v>193</v>
      </c>
      <c r="D284" s="59">
        <f>(40.12+7.95+1.2*2.75+0.75*(3))*10.764</f>
        <v>577.16567999999995</v>
      </c>
      <c r="E284" s="59">
        <v>0</v>
      </c>
      <c r="F284" s="41">
        <f t="shared" si="21"/>
        <v>836.89023599999996</v>
      </c>
      <c r="G284" s="98"/>
      <c r="H284" s="99"/>
    </row>
    <row r="285" spans="1:10" s="2" customFormat="1" x14ac:dyDescent="0.35">
      <c r="A285" s="82">
        <v>6</v>
      </c>
      <c r="B285" s="82"/>
      <c r="C285" s="41" t="s">
        <v>193</v>
      </c>
      <c r="D285" s="59">
        <f>(51.64+1.2*2.75+0.75*(2.3+2.75))*10.764</f>
        <v>632.14280999999994</v>
      </c>
      <c r="E285" s="59">
        <v>0</v>
      </c>
      <c r="F285" s="41">
        <f t="shared" si="21"/>
        <v>916.60707449999984</v>
      </c>
      <c r="G285" s="98"/>
      <c r="H285" s="99"/>
    </row>
    <row r="286" spans="1:10" s="2" customFormat="1" x14ac:dyDescent="0.35">
      <c r="A286" s="82">
        <v>7</v>
      </c>
      <c r="B286" s="82"/>
      <c r="C286" s="41" t="s">
        <v>174</v>
      </c>
      <c r="D286" s="59">
        <f>(33.83+1.2*2.75+0.75*(2.3+2.75))*10.764</f>
        <v>440.43596999999994</v>
      </c>
      <c r="E286" s="59">
        <v>0</v>
      </c>
      <c r="F286" s="41">
        <f t="shared" si="21"/>
        <v>638.63215649999995</v>
      </c>
      <c r="G286" s="98"/>
      <c r="H286" s="99"/>
    </row>
    <row r="287" spans="1:10" s="2" customFormat="1" x14ac:dyDescent="0.35">
      <c r="A287" s="77" t="s">
        <v>259</v>
      </c>
      <c r="B287" s="78"/>
      <c r="C287" s="78"/>
      <c r="D287" s="78"/>
      <c r="E287" s="78"/>
      <c r="F287" s="78"/>
      <c r="G287" s="78"/>
      <c r="H287" s="79"/>
      <c r="J287" s="59">
        <v>10.763999999999999</v>
      </c>
    </row>
    <row r="288" spans="1:10" s="2" customFormat="1" ht="15.75" customHeight="1" x14ac:dyDescent="0.35">
      <c r="A288" s="82">
        <v>1</v>
      </c>
      <c r="B288" s="82"/>
      <c r="C288" s="41" t="s">
        <v>174</v>
      </c>
      <c r="D288" s="59">
        <f>(34.62+1.2*2.75+0.75*(2.85+3.05))*10.764</f>
        <v>455.80157999999994</v>
      </c>
      <c r="E288" s="59">
        <v>0</v>
      </c>
      <c r="F288" s="41">
        <f>D288*1.45+E288</f>
        <v>660.91229099999987</v>
      </c>
      <c r="G288" s="82" t="str">
        <f>A287</f>
        <v>13th Floor (Part Refuge Area)</v>
      </c>
      <c r="H288" s="82"/>
    </row>
    <row r="289" spans="1:10" s="2" customFormat="1" x14ac:dyDescent="0.35">
      <c r="A289" s="82">
        <v>2</v>
      </c>
      <c r="B289" s="82"/>
      <c r="C289" s="41" t="s">
        <v>193</v>
      </c>
      <c r="D289" s="59">
        <f>(47.51+1.2*2.75+0.75*(2.75+2.3+2.75))*10.764</f>
        <v>609.88823999999988</v>
      </c>
      <c r="E289" s="59">
        <v>0</v>
      </c>
      <c r="F289" s="41">
        <f>D289*1.5+E289</f>
        <v>914.83235999999988</v>
      </c>
      <c r="G289" s="82"/>
      <c r="H289" s="82"/>
      <c r="J289" s="2">
        <f>4800*F289</f>
        <v>4391195.3279999997</v>
      </c>
    </row>
    <row r="290" spans="1:10" s="2" customFormat="1" x14ac:dyDescent="0.35">
      <c r="A290" s="82">
        <v>3</v>
      </c>
      <c r="B290" s="82"/>
      <c r="C290" s="41" t="s">
        <v>174</v>
      </c>
      <c r="D290" s="59">
        <f>(33.83+1.2*2.75+0.75*(2.3+2.75))*10.764</f>
        <v>440.43596999999994</v>
      </c>
      <c r="E290" s="59">
        <v>0</v>
      </c>
      <c r="F290" s="41">
        <f t="shared" ref="F290:F294" si="22">D290*1.45+E290</f>
        <v>638.63215649999995</v>
      </c>
      <c r="G290" s="82"/>
      <c r="H290" s="82"/>
    </row>
    <row r="291" spans="1:10" s="2" customFormat="1" x14ac:dyDescent="0.35">
      <c r="A291" s="82">
        <v>4</v>
      </c>
      <c r="B291" s="82"/>
      <c r="C291" s="41" t="s">
        <v>174</v>
      </c>
      <c r="D291" s="59">
        <f>(33.76+1.2*2.75+0.75*(2.4+2.75))*10.764</f>
        <v>440.48978999999991</v>
      </c>
      <c r="E291" s="59">
        <v>0</v>
      </c>
      <c r="F291" s="41">
        <f t="shared" si="22"/>
        <v>638.71019549999983</v>
      </c>
      <c r="G291" s="82"/>
      <c r="H291" s="82"/>
    </row>
    <row r="292" spans="1:10" s="2" customFormat="1" x14ac:dyDescent="0.35">
      <c r="A292" s="82">
        <v>5</v>
      </c>
      <c r="B292" s="82"/>
      <c r="C292" s="41" t="s">
        <v>193</v>
      </c>
      <c r="D292" s="59">
        <f>(40.12+7.95+1.2*2.75+0.75*(3))*10.764</f>
        <v>577.16567999999995</v>
      </c>
      <c r="E292" s="59">
        <v>0</v>
      </c>
      <c r="F292" s="41">
        <f t="shared" si="22"/>
        <v>836.89023599999996</v>
      </c>
      <c r="G292" s="82"/>
      <c r="H292" s="82"/>
    </row>
    <row r="293" spans="1:10" s="2" customFormat="1" x14ac:dyDescent="0.35">
      <c r="A293" s="82">
        <v>6</v>
      </c>
      <c r="B293" s="82"/>
      <c r="C293" s="41" t="s">
        <v>193</v>
      </c>
      <c r="D293" s="59">
        <f>(51.64+1.2*2.75+0.75*(2.3+2.75))*10.764</f>
        <v>632.14280999999994</v>
      </c>
      <c r="E293" s="59">
        <v>0</v>
      </c>
      <c r="F293" s="41">
        <f t="shared" si="22"/>
        <v>916.60707449999984</v>
      </c>
      <c r="G293" s="82"/>
      <c r="H293" s="82"/>
    </row>
    <row r="294" spans="1:10" s="2" customFormat="1" x14ac:dyDescent="0.35">
      <c r="A294" s="82">
        <v>7</v>
      </c>
      <c r="B294" s="82"/>
      <c r="C294" s="41" t="s">
        <v>174</v>
      </c>
      <c r="D294" s="59">
        <f>(33.83+1.2*2.75+0.75*(2.3+2.75))*10.764</f>
        <v>440.43596999999994</v>
      </c>
      <c r="E294" s="59">
        <v>0</v>
      </c>
      <c r="F294" s="41">
        <f t="shared" si="22"/>
        <v>638.63215649999995</v>
      </c>
      <c r="G294" s="82"/>
      <c r="H294" s="82"/>
    </row>
    <row r="295" spans="1:10" s="1" customFormat="1" x14ac:dyDescent="0.35">
      <c r="A295" s="152" t="s">
        <v>82</v>
      </c>
      <c r="B295" s="152"/>
      <c r="C295" s="152"/>
      <c r="D295" s="152"/>
      <c r="E295" s="152"/>
      <c r="F295" s="152"/>
      <c r="G295" s="152"/>
      <c r="H295" s="152"/>
    </row>
    <row r="296" spans="1:10" s="9" customFormat="1" ht="347.25" customHeight="1" x14ac:dyDescent="0.35">
      <c r="A296" s="153" t="s">
        <v>274</v>
      </c>
      <c r="B296" s="153"/>
      <c r="C296" s="153"/>
      <c r="D296" s="153"/>
      <c r="E296" s="153"/>
      <c r="F296" s="153"/>
      <c r="G296" s="153"/>
      <c r="H296" s="153"/>
    </row>
    <row r="297" spans="1:10" x14ac:dyDescent="0.35">
      <c r="A297" s="128" t="s">
        <v>73</v>
      </c>
      <c r="B297" s="128"/>
      <c r="C297" s="128"/>
      <c r="D297" s="128"/>
      <c r="E297" s="128"/>
      <c r="F297" s="128"/>
      <c r="G297" s="128"/>
      <c r="H297" s="128"/>
    </row>
    <row r="298" spans="1:10" x14ac:dyDescent="0.35">
      <c r="A298" s="124" t="s">
        <v>74</v>
      </c>
      <c r="B298" s="124"/>
      <c r="C298" s="124"/>
      <c r="D298" s="124"/>
      <c r="E298" s="124"/>
      <c r="F298" s="124"/>
      <c r="G298" s="124"/>
      <c r="H298" s="124"/>
    </row>
    <row r="299" spans="1:10" ht="15.75" customHeight="1" x14ac:dyDescent="0.35">
      <c r="A299" s="128" t="s">
        <v>75</v>
      </c>
      <c r="B299" s="128"/>
      <c r="C299" s="128"/>
      <c r="D299" s="128"/>
      <c r="E299" s="128"/>
      <c r="F299" s="128"/>
      <c r="G299" s="128"/>
      <c r="H299" s="128"/>
    </row>
    <row r="300" spans="1:10" x14ac:dyDescent="0.35">
      <c r="A300" s="124" t="s">
        <v>76</v>
      </c>
      <c r="B300" s="124"/>
      <c r="C300" s="124"/>
      <c r="D300" s="124"/>
      <c r="E300" s="124"/>
      <c r="F300" s="124"/>
      <c r="G300" s="124"/>
      <c r="H300" s="124"/>
    </row>
    <row r="301" spans="1:10" x14ac:dyDescent="0.35">
      <c r="A301" s="124" t="s">
        <v>77</v>
      </c>
      <c r="B301" s="124"/>
      <c r="C301" s="124"/>
      <c r="D301" s="124"/>
      <c r="E301" s="124"/>
      <c r="F301" s="124"/>
      <c r="G301" s="124"/>
      <c r="H301" s="124"/>
    </row>
    <row r="302" spans="1:10" x14ac:dyDescent="0.35">
      <c r="A302" s="124" t="s">
        <v>78</v>
      </c>
      <c r="B302" s="124"/>
      <c r="C302" s="124"/>
      <c r="D302" s="124"/>
      <c r="E302" s="124"/>
      <c r="F302" s="124"/>
      <c r="G302" s="124"/>
      <c r="H302" s="124"/>
    </row>
    <row r="303" spans="1:10" ht="35.25" customHeight="1" x14ac:dyDescent="0.35">
      <c r="A303" s="132" t="s">
        <v>79</v>
      </c>
      <c r="B303" s="132"/>
      <c r="C303" s="132"/>
      <c r="D303" s="132"/>
      <c r="E303" s="132"/>
      <c r="F303" s="132"/>
      <c r="G303" s="132"/>
      <c r="H303" s="132"/>
    </row>
    <row r="304" spans="1:10" x14ac:dyDescent="0.35">
      <c r="A304" s="150" t="s">
        <v>109</v>
      </c>
      <c r="B304" s="150"/>
      <c r="C304" s="150" t="s">
        <v>267</v>
      </c>
      <c r="D304" s="150"/>
      <c r="E304" s="150" t="s">
        <v>145</v>
      </c>
      <c r="F304" s="150"/>
      <c r="G304" s="150" t="s">
        <v>275</v>
      </c>
      <c r="H304" s="150"/>
    </row>
    <row r="305" spans="1:8" x14ac:dyDescent="0.35">
      <c r="A305" s="149" t="s">
        <v>111</v>
      </c>
      <c r="B305" s="149"/>
      <c r="C305" s="149"/>
      <c r="D305" s="149"/>
      <c r="E305" s="149"/>
      <c r="F305" s="149"/>
      <c r="G305" s="149"/>
      <c r="H305" s="149"/>
    </row>
    <row r="306" spans="1:8" x14ac:dyDescent="0.35">
      <c r="A306" s="149"/>
      <c r="B306" s="149"/>
      <c r="C306" s="149"/>
      <c r="D306" s="149"/>
      <c r="E306" s="149"/>
      <c r="F306" s="149"/>
      <c r="G306" s="149"/>
      <c r="H306" s="149"/>
    </row>
    <row r="307" spans="1:8" x14ac:dyDescent="0.35">
      <c r="A307" s="149"/>
      <c r="B307" s="149"/>
      <c r="C307" s="149"/>
      <c r="D307" s="149"/>
      <c r="E307" s="149"/>
      <c r="F307" s="149"/>
      <c r="G307" s="149"/>
      <c r="H307" s="149"/>
    </row>
    <row r="308" spans="1:8" x14ac:dyDescent="0.35">
      <c r="A308" s="149"/>
      <c r="B308" s="149"/>
      <c r="C308" s="149"/>
      <c r="D308" s="149"/>
      <c r="E308" s="149"/>
      <c r="F308" s="149"/>
      <c r="G308" s="149"/>
      <c r="H308" s="149"/>
    </row>
    <row r="309" spans="1:8" x14ac:dyDescent="0.35">
      <c r="A309" s="60" t="s">
        <v>80</v>
      </c>
      <c r="B309" s="61"/>
      <c r="C309" s="61"/>
      <c r="D309" s="60" t="str">
        <f>E8</f>
        <v>The Address Phase I, II &amp; III</v>
      </c>
      <c r="F309" s="61"/>
      <c r="G309" s="61"/>
      <c r="H309" s="61"/>
    </row>
    <row r="310" spans="1:8" x14ac:dyDescent="0.35">
      <c r="A310" s="61"/>
      <c r="B310" s="61"/>
      <c r="C310" s="61"/>
      <c r="D310" s="61"/>
      <c r="E310" s="61"/>
      <c r="F310" s="61"/>
      <c r="G310" s="61"/>
      <c r="H310" s="61"/>
    </row>
    <row r="311" spans="1:8" x14ac:dyDescent="0.35">
      <c r="A311" s="61"/>
      <c r="B311" s="61"/>
      <c r="C311" s="61"/>
      <c r="D311" s="61"/>
      <c r="E311" s="61"/>
      <c r="F311" s="61"/>
      <c r="G311" s="61"/>
      <c r="H311" s="61"/>
    </row>
    <row r="312" spans="1:8" ht="15" customHeight="1" x14ac:dyDescent="0.35"/>
    <row r="349" spans="9:9" x14ac:dyDescent="0.35">
      <c r="I349" s="7" t="s">
        <v>199</v>
      </c>
    </row>
    <row r="350" spans="9:9" x14ac:dyDescent="0.35">
      <c r="I350"/>
    </row>
    <row r="353" spans="1:8" ht="17.25" customHeight="1" x14ac:dyDescent="0.35">
      <c r="A353" s="61" t="s">
        <v>256</v>
      </c>
      <c r="B353" s="178" t="str">
        <f>E8</f>
        <v>The Address Phase I, II &amp; III</v>
      </c>
      <c r="C353" s="178"/>
      <c r="D353" s="178"/>
      <c r="F353" s="61"/>
      <c r="G353" s="61"/>
      <c r="H353" s="61"/>
    </row>
    <row r="354" spans="1:8" x14ac:dyDescent="0.35">
      <c r="A354" s="61"/>
      <c r="B354" s="61"/>
      <c r="C354" s="61"/>
      <c r="D354" s="61"/>
      <c r="E354" s="61"/>
      <c r="F354" s="61"/>
      <c r="G354" s="61"/>
      <c r="H354" s="61"/>
    </row>
    <row r="355" spans="1:8" x14ac:dyDescent="0.35">
      <c r="A355" s="61"/>
      <c r="B355" s="61"/>
      <c r="C355" s="61"/>
      <c r="D355" s="61"/>
      <c r="E355" s="61"/>
      <c r="F355" s="61"/>
      <c r="G355" s="61"/>
      <c r="H355" s="61"/>
    </row>
    <row r="356" spans="1:8" ht="15" customHeight="1" x14ac:dyDescent="0.35"/>
    <row r="392" spans="1:1" x14ac:dyDescent="0.35">
      <c r="A392" s="62" t="s">
        <v>81</v>
      </c>
    </row>
  </sheetData>
  <mergeCells count="484">
    <mergeCell ref="B353:D353"/>
    <mergeCell ref="A102:B102"/>
    <mergeCell ref="A228:B228"/>
    <mergeCell ref="A222:B222"/>
    <mergeCell ref="A223:B223"/>
    <mergeCell ref="A224:B224"/>
    <mergeCell ref="A132:E132"/>
    <mergeCell ref="A225:B225"/>
    <mergeCell ref="A219:H219"/>
    <mergeCell ref="G220:H226"/>
    <mergeCell ref="D142:E142"/>
    <mergeCell ref="A118:H118"/>
    <mergeCell ref="A119:B119"/>
    <mergeCell ref="C119:H119"/>
    <mergeCell ref="F122:H122"/>
    <mergeCell ref="A122:E122"/>
    <mergeCell ref="F123:H123"/>
    <mergeCell ref="A124:E124"/>
    <mergeCell ref="F124:H124"/>
    <mergeCell ref="A226:B226"/>
    <mergeCell ref="A127:E127"/>
    <mergeCell ref="F127:H127"/>
    <mergeCell ref="G188:H188"/>
    <mergeCell ref="A216:B216"/>
    <mergeCell ref="A99:B99"/>
    <mergeCell ref="A100:B100"/>
    <mergeCell ref="A101:B101"/>
    <mergeCell ref="D139:E139"/>
    <mergeCell ref="F139:H139"/>
    <mergeCell ref="D138:E138"/>
    <mergeCell ref="F138:H138"/>
    <mergeCell ref="A142:B142"/>
    <mergeCell ref="A130:E130"/>
    <mergeCell ref="F130:H130"/>
    <mergeCell ref="F128:H128"/>
    <mergeCell ref="A129:E129"/>
    <mergeCell ref="A117:H117"/>
    <mergeCell ref="A103:B103"/>
    <mergeCell ref="C103:H103"/>
    <mergeCell ref="A123:E123"/>
    <mergeCell ref="A120:H120"/>
    <mergeCell ref="A121:E121"/>
    <mergeCell ref="D136:E136"/>
    <mergeCell ref="F136:H136"/>
    <mergeCell ref="D137:E137"/>
    <mergeCell ref="F137:H137"/>
    <mergeCell ref="A91:B91"/>
    <mergeCell ref="C91:H91"/>
    <mergeCell ref="A92:B92"/>
    <mergeCell ref="A107:B107"/>
    <mergeCell ref="D143:E143"/>
    <mergeCell ref="F129:H129"/>
    <mergeCell ref="D53:H53"/>
    <mergeCell ref="A53:C53"/>
    <mergeCell ref="F143:H143"/>
    <mergeCell ref="F132:H132"/>
    <mergeCell ref="A131:E131"/>
    <mergeCell ref="F131:H131"/>
    <mergeCell ref="A73:B73"/>
    <mergeCell ref="A57:C57"/>
    <mergeCell ref="D57:H57"/>
    <mergeCell ref="A125:E125"/>
    <mergeCell ref="F125:H125"/>
    <mergeCell ref="A126:E126"/>
    <mergeCell ref="F126:H126"/>
    <mergeCell ref="F121:H121"/>
    <mergeCell ref="A136:B136"/>
    <mergeCell ref="A128:E128"/>
    <mergeCell ref="A74:B74"/>
    <mergeCell ref="A89:B89"/>
    <mergeCell ref="A51:C51"/>
    <mergeCell ref="E92:F92"/>
    <mergeCell ref="G92:H92"/>
    <mergeCell ref="A93:B93"/>
    <mergeCell ref="E93:F102"/>
    <mergeCell ref="G93:H102"/>
    <mergeCell ref="A94:B94"/>
    <mergeCell ref="A95:B95"/>
    <mergeCell ref="A96:B96"/>
    <mergeCell ref="A97:B97"/>
    <mergeCell ref="A98:B98"/>
    <mergeCell ref="C74:H74"/>
    <mergeCell ref="A76:B76"/>
    <mergeCell ref="C76:H76"/>
    <mergeCell ref="A58:C58"/>
    <mergeCell ref="A59:B59"/>
    <mergeCell ref="C59:H59"/>
    <mergeCell ref="A66:B66"/>
    <mergeCell ref="A67:B67"/>
    <mergeCell ref="A68:B68"/>
    <mergeCell ref="A69:B69"/>
    <mergeCell ref="G64:H73"/>
    <mergeCell ref="A65:B65"/>
    <mergeCell ref="A72:B72"/>
    <mergeCell ref="A40:D40"/>
    <mergeCell ref="C45:E45"/>
    <mergeCell ref="A50:H50"/>
    <mergeCell ref="E40:H40"/>
    <mergeCell ref="E41:H41"/>
    <mergeCell ref="E42:H42"/>
    <mergeCell ref="E43:H43"/>
    <mergeCell ref="A41:D41"/>
    <mergeCell ref="A42:D42"/>
    <mergeCell ref="A43:D43"/>
    <mergeCell ref="A44:H44"/>
    <mergeCell ref="C48:H48"/>
    <mergeCell ref="G45:H45"/>
    <mergeCell ref="A46:B46"/>
    <mergeCell ref="C46:E46"/>
    <mergeCell ref="C47:E47"/>
    <mergeCell ref="A45:B45"/>
    <mergeCell ref="G47:H47"/>
    <mergeCell ref="A47:B48"/>
    <mergeCell ref="G46:H46"/>
    <mergeCell ref="A39:D39"/>
    <mergeCell ref="E39:H39"/>
    <mergeCell ref="A70:B70"/>
    <mergeCell ref="A71:B71"/>
    <mergeCell ref="D58:H58"/>
    <mergeCell ref="A54:C54"/>
    <mergeCell ref="D54:H54"/>
    <mergeCell ref="A52:C52"/>
    <mergeCell ref="D52:H52"/>
    <mergeCell ref="D51:H51"/>
    <mergeCell ref="G49:H49"/>
    <mergeCell ref="A49:B49"/>
    <mergeCell ref="C49:E49"/>
    <mergeCell ref="A55:C55"/>
    <mergeCell ref="A56:C56"/>
    <mergeCell ref="D55:H55"/>
    <mergeCell ref="D56:H56"/>
    <mergeCell ref="A63:B63"/>
    <mergeCell ref="A61:B61"/>
    <mergeCell ref="C61:H61"/>
    <mergeCell ref="E63:F63"/>
    <mergeCell ref="G63:H63"/>
    <mergeCell ref="A64:B64"/>
    <mergeCell ref="E64:F73"/>
    <mergeCell ref="A305:H308"/>
    <mergeCell ref="A304:B304"/>
    <mergeCell ref="E304:F304"/>
    <mergeCell ref="C304:D304"/>
    <mergeCell ref="G304:H304"/>
    <mergeCell ref="A135:H135"/>
    <mergeCell ref="A133:E133"/>
    <mergeCell ref="F133:H133"/>
    <mergeCell ref="A134:E134"/>
    <mergeCell ref="F134:H134"/>
    <mergeCell ref="D148:E148"/>
    <mergeCell ref="F148:H148"/>
    <mergeCell ref="A188:B188"/>
    <mergeCell ref="A191:H191"/>
    <mergeCell ref="A148:B148"/>
    <mergeCell ref="A202:B202"/>
    <mergeCell ref="A268:B268"/>
    <mergeCell ref="A269:B269"/>
    <mergeCell ref="A303:H303"/>
    <mergeCell ref="A295:H295"/>
    <mergeCell ref="A296:H296"/>
    <mergeCell ref="A297:H297"/>
    <mergeCell ref="A298:H298"/>
    <mergeCell ref="A220:B220"/>
    <mergeCell ref="A38:D38"/>
    <mergeCell ref="E38:H38"/>
    <mergeCell ref="F30:H30"/>
    <mergeCell ref="F31:H31"/>
    <mergeCell ref="C29:E29"/>
    <mergeCell ref="F32:H32"/>
    <mergeCell ref="F33:H33"/>
    <mergeCell ref="F29:H29"/>
    <mergeCell ref="A30:B30"/>
    <mergeCell ref="C30:E30"/>
    <mergeCell ref="C35:D35"/>
    <mergeCell ref="G35:H35"/>
    <mergeCell ref="A36:B36"/>
    <mergeCell ref="C36:H36"/>
    <mergeCell ref="A32:B32"/>
    <mergeCell ref="A35:B35"/>
    <mergeCell ref="E35:F35"/>
    <mergeCell ref="A31:B31"/>
    <mergeCell ref="C31:E31"/>
    <mergeCell ref="E18:F18"/>
    <mergeCell ref="G18:H18"/>
    <mergeCell ref="A27:D27"/>
    <mergeCell ref="E27:H27"/>
    <mergeCell ref="A34:H34"/>
    <mergeCell ref="A33:B33"/>
    <mergeCell ref="A28:D28"/>
    <mergeCell ref="E28:H28"/>
    <mergeCell ref="A37:H37"/>
    <mergeCell ref="E16:F16"/>
    <mergeCell ref="G16:H16"/>
    <mergeCell ref="C32:E32"/>
    <mergeCell ref="C33:E33"/>
    <mergeCell ref="A29:B29"/>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A26:D26"/>
    <mergeCell ref="E26:H26"/>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A19:D20"/>
    <mergeCell ref="E19:H20"/>
    <mergeCell ref="A21:D21"/>
    <mergeCell ref="E21:H21"/>
    <mergeCell ref="A16:B16"/>
    <mergeCell ref="C16:D16"/>
    <mergeCell ref="A193:B193"/>
    <mergeCell ref="A194:B194"/>
    <mergeCell ref="A195:B195"/>
    <mergeCell ref="A196:B196"/>
    <mergeCell ref="A197:B197"/>
    <mergeCell ref="A199:B199"/>
    <mergeCell ref="A200:B200"/>
    <mergeCell ref="G199:H206"/>
    <mergeCell ref="A265:B265"/>
    <mergeCell ref="A242:B242"/>
    <mergeCell ref="A233:B233"/>
    <mergeCell ref="A234:B234"/>
    <mergeCell ref="A260:B260"/>
    <mergeCell ref="A230:B230"/>
    <mergeCell ref="A231:B231"/>
    <mergeCell ref="A235:H235"/>
    <mergeCell ref="A218:H218"/>
    <mergeCell ref="A215:B215"/>
    <mergeCell ref="A217:B217"/>
    <mergeCell ref="A214:B214"/>
    <mergeCell ref="A221:B221"/>
    <mergeCell ref="A299:H299"/>
    <mergeCell ref="A227:H227"/>
    <mergeCell ref="A209:H209"/>
    <mergeCell ref="G210:H217"/>
    <mergeCell ref="A208:H208"/>
    <mergeCell ref="A212:B212"/>
    <mergeCell ref="A213:B213"/>
    <mergeCell ref="A287:H287"/>
    <mergeCell ref="A288:B288"/>
    <mergeCell ref="G288:H294"/>
    <mergeCell ref="A289:B289"/>
    <mergeCell ref="A290:B290"/>
    <mergeCell ref="A291:B291"/>
    <mergeCell ref="A292:B292"/>
    <mergeCell ref="A293:B293"/>
    <mergeCell ref="A294:B294"/>
    <mergeCell ref="A253:H253"/>
    <mergeCell ref="A254:H254"/>
    <mergeCell ref="A255:H255"/>
    <mergeCell ref="A256:B256"/>
    <mergeCell ref="G256:H260"/>
    <mergeCell ref="A257:B257"/>
    <mergeCell ref="A258:B258"/>
    <mergeCell ref="A259:B259"/>
    <mergeCell ref="A300:H300"/>
    <mergeCell ref="A301:H301"/>
    <mergeCell ref="A245:B245"/>
    <mergeCell ref="A248:B248"/>
    <mergeCell ref="A249:B249"/>
    <mergeCell ref="A302:H302"/>
    <mergeCell ref="A246:B246"/>
    <mergeCell ref="F145:H145"/>
    <mergeCell ref="F146:H146"/>
    <mergeCell ref="G192:H197"/>
    <mergeCell ref="A198:H198"/>
    <mergeCell ref="A205:B205"/>
    <mergeCell ref="A206:B206"/>
    <mergeCell ref="A211:B211"/>
    <mergeCell ref="A190:H190"/>
    <mergeCell ref="A207:H207"/>
    <mergeCell ref="A201:B201"/>
    <mergeCell ref="A210:B210"/>
    <mergeCell ref="A204:B204"/>
    <mergeCell ref="D147:E147"/>
    <mergeCell ref="F147:H147"/>
    <mergeCell ref="A169:B169"/>
    <mergeCell ref="A153:H153"/>
    <mergeCell ref="A203:B203"/>
    <mergeCell ref="A144:A146"/>
    <mergeCell ref="A105:B105"/>
    <mergeCell ref="C105:H105"/>
    <mergeCell ref="A106:B106"/>
    <mergeCell ref="E106:F106"/>
    <mergeCell ref="G106:H106"/>
    <mergeCell ref="E107:F116"/>
    <mergeCell ref="G107:H116"/>
    <mergeCell ref="A108:B108"/>
    <mergeCell ref="A109:B109"/>
    <mergeCell ref="A110:B110"/>
    <mergeCell ref="A111:B111"/>
    <mergeCell ref="A112:B112"/>
    <mergeCell ref="A113:B113"/>
    <mergeCell ref="A114:B114"/>
    <mergeCell ref="A115:B115"/>
    <mergeCell ref="A116:B116"/>
    <mergeCell ref="A140:B140"/>
    <mergeCell ref="D140:E140"/>
    <mergeCell ref="F140:H140"/>
    <mergeCell ref="A141:H141"/>
    <mergeCell ref="D146:E146"/>
    <mergeCell ref="D144:E144"/>
    <mergeCell ref="F144:H144"/>
    <mergeCell ref="C89:H89"/>
    <mergeCell ref="A155:H155"/>
    <mergeCell ref="A160:B160"/>
    <mergeCell ref="A173:B173"/>
    <mergeCell ref="A185:B185"/>
    <mergeCell ref="A182:B182"/>
    <mergeCell ref="A183:H183"/>
    <mergeCell ref="A184:B184"/>
    <mergeCell ref="A78:B78"/>
    <mergeCell ref="E78:F78"/>
    <mergeCell ref="G78:H78"/>
    <mergeCell ref="A79:B79"/>
    <mergeCell ref="E79:F88"/>
    <mergeCell ref="G79:H88"/>
    <mergeCell ref="A80:B80"/>
    <mergeCell ref="A81:B81"/>
    <mergeCell ref="A82:B82"/>
    <mergeCell ref="A83:B83"/>
    <mergeCell ref="A84:B84"/>
    <mergeCell ref="A85:B85"/>
    <mergeCell ref="A86:B86"/>
    <mergeCell ref="A87:B87"/>
    <mergeCell ref="A88:B88"/>
    <mergeCell ref="D145:E145"/>
    <mergeCell ref="L169:M169"/>
    <mergeCell ref="A170:B170"/>
    <mergeCell ref="L160:M160"/>
    <mergeCell ref="A161:B161"/>
    <mergeCell ref="L161:M161"/>
    <mergeCell ref="A162:B162"/>
    <mergeCell ref="L162:M162"/>
    <mergeCell ref="L172:M172"/>
    <mergeCell ref="L170:M170"/>
    <mergeCell ref="A171:B171"/>
    <mergeCell ref="L171:M171"/>
    <mergeCell ref="A172:B172"/>
    <mergeCell ref="G156:H162"/>
    <mergeCell ref="L156:M156"/>
    <mergeCell ref="A157:B157"/>
    <mergeCell ref="L157:M157"/>
    <mergeCell ref="A158:B158"/>
    <mergeCell ref="L158:M158"/>
    <mergeCell ref="A159:B159"/>
    <mergeCell ref="L159:M159"/>
    <mergeCell ref="A163:H163"/>
    <mergeCell ref="A164:H164"/>
    <mergeCell ref="A165:H165"/>
    <mergeCell ref="A166:B166"/>
    <mergeCell ref="L166:M166"/>
    <mergeCell ref="A167:B167"/>
    <mergeCell ref="L167:M167"/>
    <mergeCell ref="A168:B168"/>
    <mergeCell ref="L168:M168"/>
    <mergeCell ref="L185:M185"/>
    <mergeCell ref="A186:B186"/>
    <mergeCell ref="A179:B179"/>
    <mergeCell ref="L179:M179"/>
    <mergeCell ref="A180:B180"/>
    <mergeCell ref="L180:M180"/>
    <mergeCell ref="A181:B181"/>
    <mergeCell ref="L181:M181"/>
    <mergeCell ref="L186:M186"/>
    <mergeCell ref="L182:M182"/>
    <mergeCell ref="L184:M184"/>
    <mergeCell ref="G166:H182"/>
    <mergeCell ref="G184:H186"/>
    <mergeCell ref="L175:M175"/>
    <mergeCell ref="A176:B176"/>
    <mergeCell ref="L176:M176"/>
    <mergeCell ref="A177:B177"/>
    <mergeCell ref="L177:M177"/>
    <mergeCell ref="A178:B178"/>
    <mergeCell ref="L178:M178"/>
    <mergeCell ref="L173:M173"/>
    <mergeCell ref="A174:B174"/>
    <mergeCell ref="L174:M174"/>
    <mergeCell ref="A175:B175"/>
    <mergeCell ref="A261:H261"/>
    <mergeCell ref="A262:B262"/>
    <mergeCell ref="A263:B263"/>
    <mergeCell ref="A264:B264"/>
    <mergeCell ref="G236:H242"/>
    <mergeCell ref="A243:H243"/>
    <mergeCell ref="G244:H249"/>
    <mergeCell ref="A236:B236"/>
    <mergeCell ref="A237:B237"/>
    <mergeCell ref="A240:B240"/>
    <mergeCell ref="A244:B244"/>
    <mergeCell ref="A247:B247"/>
    <mergeCell ref="G228:H234"/>
    <mergeCell ref="A229:B229"/>
    <mergeCell ref="A232:B232"/>
    <mergeCell ref="A251:H251"/>
    <mergeCell ref="A252:B252"/>
    <mergeCell ref="G252:H252"/>
    <mergeCell ref="A250:H250"/>
    <mergeCell ref="A280:B280"/>
    <mergeCell ref="G280:H286"/>
    <mergeCell ref="A281:B281"/>
    <mergeCell ref="A282:B282"/>
    <mergeCell ref="A283:B283"/>
    <mergeCell ref="A284:B284"/>
    <mergeCell ref="A285:B285"/>
    <mergeCell ref="A286:B286"/>
    <mergeCell ref="A192:B192"/>
    <mergeCell ref="A238:B238"/>
    <mergeCell ref="A239:B239"/>
    <mergeCell ref="A241:B241"/>
    <mergeCell ref="A278:B278"/>
    <mergeCell ref="G262:H269"/>
    <mergeCell ref="G271:H278"/>
    <mergeCell ref="A270:H270"/>
    <mergeCell ref="A271:B271"/>
    <mergeCell ref="A272:B272"/>
    <mergeCell ref="A273:B273"/>
    <mergeCell ref="A274:B274"/>
    <mergeCell ref="A275:B275"/>
    <mergeCell ref="A276:B276"/>
    <mergeCell ref="A277:B277"/>
    <mergeCell ref="A266:B266"/>
    <mergeCell ref="A62:B62"/>
    <mergeCell ref="C62:D62"/>
    <mergeCell ref="E62:F62"/>
    <mergeCell ref="G62:H62"/>
    <mergeCell ref="A77:B77"/>
    <mergeCell ref="C77:D77"/>
    <mergeCell ref="E77:F77"/>
    <mergeCell ref="G77:H77"/>
    <mergeCell ref="A279:H279"/>
    <mergeCell ref="A138:A139"/>
    <mergeCell ref="F142:H142"/>
    <mergeCell ref="A267:B267"/>
    <mergeCell ref="A149:H149"/>
    <mergeCell ref="A150:H150"/>
    <mergeCell ref="A151:A152"/>
    <mergeCell ref="B151:B152"/>
    <mergeCell ref="C151:C152"/>
    <mergeCell ref="D151:D152"/>
    <mergeCell ref="E151:E152"/>
    <mergeCell ref="G151:H152"/>
    <mergeCell ref="A189:H189"/>
    <mergeCell ref="A156:B156"/>
    <mergeCell ref="A187:H187"/>
    <mergeCell ref="A154:H154"/>
  </mergeCells>
  <hyperlinks>
    <hyperlink ref="C36" r:id="rId1"/>
  </hyperlinks>
  <printOptions horizontalCentered="1"/>
  <pageMargins left="0.39370078740157483" right="0.39370078740157483" top="0.78740157480314965" bottom="0.78740157480314965" header="0.19685039370078741" footer="0.19685039370078741"/>
  <pageSetup scale="94" fitToHeight="0" orientation="portrait" r:id="rId2"/>
  <headerFooter>
    <oddHeader>&amp;C&amp;G</oddHeader>
    <oddFooter>&amp;L&amp;"Times New Roman,Bold"&amp;12Ref No: &amp;F&amp;C&amp;G&amp;R&amp;"Times New Roman,Bold"&amp;12                                                               &amp;P</oddFooter>
  </headerFooter>
  <rowBreaks count="6" manualBreakCount="6">
    <brk id="73" max="16383" man="1"/>
    <brk id="134" max="7" man="1"/>
    <brk id="294" max="7" man="1"/>
    <brk id="308" max="16383" man="1"/>
    <brk id="352" max="16383" man="1"/>
    <brk id="39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topLeftCell="A21" workbookViewId="0">
      <selection activeCell="G8" sqref="G8"/>
    </sheetView>
  </sheetViews>
  <sheetFormatPr defaultRowHeight="14.5" x14ac:dyDescent="0.35"/>
  <cols>
    <col min="2" max="2" width="12.36328125" customWidth="1"/>
  </cols>
  <sheetData>
    <row r="2" spans="1:8" x14ac:dyDescent="0.35">
      <c r="B2" s="3" t="s">
        <v>83</v>
      </c>
      <c r="C2" s="179" t="s">
        <v>182</v>
      </c>
      <c r="D2" s="179"/>
    </row>
    <row r="3" spans="1:8" x14ac:dyDescent="0.35">
      <c r="D3" s="4"/>
      <c r="E3" s="4"/>
    </row>
    <row r="4" spans="1:8" x14ac:dyDescent="0.35">
      <c r="A4" s="3" t="s">
        <v>84</v>
      </c>
      <c r="B4" s="5" t="s">
        <v>85</v>
      </c>
      <c r="C4" s="180" t="s">
        <v>86</v>
      </c>
      <c r="D4" s="180"/>
      <c r="E4" s="180"/>
      <c r="F4" s="180" t="s">
        <v>87</v>
      </c>
      <c r="G4" s="180"/>
      <c r="H4" s="180"/>
    </row>
    <row r="5" spans="1:8" x14ac:dyDescent="0.35">
      <c r="A5" s="3" t="s">
        <v>183</v>
      </c>
      <c r="B5" s="5"/>
      <c r="C5" s="5" t="s">
        <v>88</v>
      </c>
      <c r="D5" s="5" t="s">
        <v>89</v>
      </c>
      <c r="E5" s="5" t="s">
        <v>64</v>
      </c>
      <c r="F5" s="5" t="s">
        <v>88</v>
      </c>
      <c r="G5" s="5" t="s">
        <v>89</v>
      </c>
      <c r="H5" s="5" t="s">
        <v>64</v>
      </c>
    </row>
    <row r="6" spans="1:8" x14ac:dyDescent="0.35">
      <c r="B6" s="6" t="s">
        <v>90</v>
      </c>
      <c r="C6" s="6">
        <v>3.95</v>
      </c>
      <c r="D6" s="6">
        <v>5.35</v>
      </c>
      <c r="E6" s="6">
        <f>C6*D6</f>
        <v>21.1325</v>
      </c>
      <c r="F6" s="6">
        <v>3.95</v>
      </c>
      <c r="G6" s="6">
        <v>6.35</v>
      </c>
      <c r="H6" s="6">
        <f>F6*G6</f>
        <v>25.0825</v>
      </c>
    </row>
    <row r="7" spans="1:8" x14ac:dyDescent="0.35">
      <c r="B7" s="6"/>
      <c r="C7" s="6">
        <v>3.95</v>
      </c>
      <c r="D7" s="6">
        <v>1</v>
      </c>
      <c r="E7" s="6">
        <f t="shared" ref="E7:E22" si="0">C7*D7</f>
        <v>3.95</v>
      </c>
      <c r="F7" s="6">
        <v>3.65</v>
      </c>
      <c r="G7" s="6">
        <v>3.15</v>
      </c>
      <c r="H7" s="6">
        <f t="shared" ref="H7:H21" si="1">F7*G7</f>
        <v>11.497499999999999</v>
      </c>
    </row>
    <row r="8" spans="1:8" x14ac:dyDescent="0.35">
      <c r="B8" s="6" t="s">
        <v>91</v>
      </c>
      <c r="C8" s="6">
        <v>3.65</v>
      </c>
      <c r="D8" s="6">
        <v>3.8</v>
      </c>
      <c r="E8" s="6">
        <f t="shared" si="0"/>
        <v>13.87</v>
      </c>
      <c r="F8" s="6"/>
      <c r="G8" s="6"/>
      <c r="H8" s="6">
        <f t="shared" si="1"/>
        <v>0</v>
      </c>
    </row>
    <row r="9" spans="1:8" x14ac:dyDescent="0.35">
      <c r="B9" s="6" t="s">
        <v>92</v>
      </c>
      <c r="C9" s="6">
        <v>3.95</v>
      </c>
      <c r="D9" s="6">
        <v>4.1500000000000004</v>
      </c>
      <c r="E9" s="6">
        <f t="shared" si="0"/>
        <v>16.392500000000002</v>
      </c>
      <c r="F9" s="6"/>
      <c r="G9" s="6"/>
      <c r="H9" s="6">
        <f t="shared" si="1"/>
        <v>0</v>
      </c>
    </row>
    <row r="10" spans="1:8" x14ac:dyDescent="0.35">
      <c r="B10" s="6" t="s">
        <v>93</v>
      </c>
      <c r="C10" s="6">
        <v>3.65</v>
      </c>
      <c r="D10" s="6">
        <v>3.8</v>
      </c>
      <c r="E10" s="6">
        <f t="shared" si="0"/>
        <v>13.87</v>
      </c>
      <c r="F10" s="6"/>
      <c r="G10" s="6"/>
      <c r="H10" s="6">
        <f t="shared" si="1"/>
        <v>0</v>
      </c>
    </row>
    <row r="11" spans="1:8" x14ac:dyDescent="0.35">
      <c r="B11" s="6" t="s">
        <v>184</v>
      </c>
      <c r="C11" s="6">
        <v>3.65</v>
      </c>
      <c r="D11" s="6">
        <v>3.15</v>
      </c>
      <c r="E11" s="6">
        <f t="shared" si="0"/>
        <v>11.497499999999999</v>
      </c>
      <c r="F11" s="6"/>
      <c r="G11" s="6"/>
      <c r="H11" s="6">
        <f t="shared" si="1"/>
        <v>0</v>
      </c>
    </row>
    <row r="12" spans="1:8" x14ac:dyDescent="0.35">
      <c r="B12" s="6" t="s">
        <v>96</v>
      </c>
      <c r="C12" s="6">
        <v>1.5</v>
      </c>
      <c r="D12" s="6">
        <v>2.5</v>
      </c>
      <c r="E12" s="6">
        <f t="shared" si="0"/>
        <v>3.75</v>
      </c>
      <c r="F12" s="6"/>
      <c r="G12" s="6"/>
      <c r="H12" s="6">
        <f t="shared" si="1"/>
        <v>0</v>
      </c>
    </row>
    <row r="13" spans="1:8" x14ac:dyDescent="0.35">
      <c r="B13" s="6" t="s">
        <v>94</v>
      </c>
      <c r="C13" s="6">
        <v>2.15</v>
      </c>
      <c r="D13" s="6">
        <v>1.2</v>
      </c>
      <c r="E13" s="6">
        <f t="shared" si="0"/>
        <v>2.5799999999999996</v>
      </c>
      <c r="F13" s="6"/>
      <c r="G13" s="6"/>
      <c r="H13" s="6">
        <f t="shared" si="1"/>
        <v>0</v>
      </c>
    </row>
    <row r="14" spans="1:8" x14ac:dyDescent="0.35">
      <c r="B14" s="6" t="s">
        <v>95</v>
      </c>
      <c r="C14" s="6">
        <v>2.15</v>
      </c>
      <c r="D14" s="6">
        <v>1.2</v>
      </c>
      <c r="E14" s="6">
        <f t="shared" si="0"/>
        <v>2.5799999999999996</v>
      </c>
      <c r="F14" s="6"/>
      <c r="G14" s="6"/>
      <c r="H14" s="6">
        <f t="shared" si="1"/>
        <v>0</v>
      </c>
    </row>
    <row r="15" spans="1:8" x14ac:dyDescent="0.35">
      <c r="B15" s="6"/>
      <c r="C15" s="6"/>
      <c r="D15" s="6"/>
      <c r="E15" s="6">
        <f t="shared" si="0"/>
        <v>0</v>
      </c>
      <c r="F15" s="6"/>
      <c r="G15" s="6"/>
      <c r="H15" s="6">
        <f t="shared" si="1"/>
        <v>0</v>
      </c>
    </row>
    <row r="16" spans="1:8" x14ac:dyDescent="0.35">
      <c r="B16" s="6" t="s">
        <v>92</v>
      </c>
      <c r="C16" s="6">
        <v>3.95</v>
      </c>
      <c r="D16" s="6">
        <v>2.95</v>
      </c>
      <c r="E16" s="6">
        <f t="shared" si="0"/>
        <v>11.652500000000002</v>
      </c>
      <c r="F16" s="6"/>
      <c r="G16" s="6"/>
      <c r="H16" s="6">
        <f t="shared" si="1"/>
        <v>0</v>
      </c>
    </row>
    <row r="17" spans="2:8" x14ac:dyDescent="0.35">
      <c r="B17" s="6" t="s">
        <v>93</v>
      </c>
      <c r="C17" s="6">
        <v>3.65</v>
      </c>
      <c r="D17" s="6">
        <v>3.8</v>
      </c>
      <c r="E17" s="6">
        <f t="shared" si="0"/>
        <v>13.87</v>
      </c>
      <c r="F17" s="6"/>
      <c r="G17" s="6"/>
      <c r="H17" s="6">
        <f t="shared" si="1"/>
        <v>0</v>
      </c>
    </row>
    <row r="18" spans="2:8" x14ac:dyDescent="0.35">
      <c r="B18" s="6" t="s">
        <v>185</v>
      </c>
      <c r="C18" s="6">
        <v>3.95</v>
      </c>
      <c r="D18" s="6">
        <v>1.2</v>
      </c>
      <c r="E18" s="6">
        <f t="shared" si="0"/>
        <v>4.74</v>
      </c>
      <c r="F18" s="6"/>
      <c r="G18" s="6"/>
      <c r="H18" s="6">
        <f t="shared" si="1"/>
        <v>0</v>
      </c>
    </row>
    <row r="19" spans="2:8" x14ac:dyDescent="0.35">
      <c r="B19" s="6" t="s">
        <v>94</v>
      </c>
      <c r="C19" s="6">
        <v>2.15</v>
      </c>
      <c r="D19" s="6">
        <v>1.2</v>
      </c>
      <c r="E19" s="6">
        <f t="shared" si="0"/>
        <v>2.5799999999999996</v>
      </c>
      <c r="F19" s="6"/>
      <c r="G19" s="6"/>
      <c r="H19" s="6">
        <f t="shared" si="1"/>
        <v>0</v>
      </c>
    </row>
    <row r="20" spans="2:8" x14ac:dyDescent="0.35">
      <c r="B20" s="6" t="s">
        <v>95</v>
      </c>
      <c r="C20" s="6">
        <v>2.15</v>
      </c>
      <c r="D20" s="6">
        <v>1.2</v>
      </c>
      <c r="E20" s="6">
        <f t="shared" si="0"/>
        <v>2.5799999999999996</v>
      </c>
      <c r="F20" s="6"/>
      <c r="G20" s="6"/>
      <c r="H20" s="6">
        <f t="shared" si="1"/>
        <v>0</v>
      </c>
    </row>
    <row r="21" spans="2:8" x14ac:dyDescent="0.35">
      <c r="B21" s="6" t="s">
        <v>96</v>
      </c>
      <c r="C21" s="6">
        <v>1.5</v>
      </c>
      <c r="D21" s="6">
        <v>2.5</v>
      </c>
      <c r="E21" s="6">
        <f t="shared" si="0"/>
        <v>3.75</v>
      </c>
      <c r="F21" s="6"/>
      <c r="G21" s="6"/>
      <c r="H21" s="6">
        <f t="shared" si="1"/>
        <v>0</v>
      </c>
    </row>
    <row r="22" spans="2:8" x14ac:dyDescent="0.35">
      <c r="B22" s="6" t="s">
        <v>186</v>
      </c>
      <c r="C22" s="6">
        <v>3.65</v>
      </c>
      <c r="D22" s="6">
        <v>0.75</v>
      </c>
      <c r="E22" s="6">
        <f t="shared" si="0"/>
        <v>2.7374999999999998</v>
      </c>
      <c r="F22" s="6"/>
      <c r="G22" s="6"/>
      <c r="H22" s="6"/>
    </row>
    <row r="23" spans="2:8" x14ac:dyDescent="0.35">
      <c r="B23" s="6" t="s">
        <v>65</v>
      </c>
      <c r="C23" s="6"/>
      <c r="D23" s="6">
        <f>E23*10.764</f>
        <v>1415.8158300000002</v>
      </c>
      <c r="E23" s="6">
        <f>SUM(E6:E22)</f>
        <v>131.53250000000003</v>
      </c>
      <c r="F23" s="6"/>
      <c r="G23" s="6">
        <f>H23*10.764</f>
        <v>393.74711999999994</v>
      </c>
      <c r="H23" s="6">
        <f>SUM(H6:H21)</f>
        <v>36.58</v>
      </c>
    </row>
    <row r="25" spans="2:8" x14ac:dyDescent="0.35">
      <c r="D25" t="e">
        <f>D23+#REF!</f>
        <v>#REF!</v>
      </c>
      <c r="E25" t="e">
        <f>E23+#REF!</f>
        <v>#REF!</v>
      </c>
    </row>
  </sheetData>
  <mergeCells count="3">
    <mergeCell ref="C2:D2"/>
    <mergeCell ref="C4:E4"/>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14" sqref="R14"/>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85" zoomScaleNormal="85" workbookViewId="0">
      <selection activeCell="H9" sqref="H9"/>
    </sheetView>
  </sheetViews>
  <sheetFormatPr defaultColWidth="8.6328125" defaultRowHeight="14.5" x14ac:dyDescent="0.35"/>
  <cols>
    <col min="1" max="1" width="8.6328125" style="16"/>
    <col min="2" max="2" width="22.08984375" style="16" customWidth="1"/>
    <col min="3" max="3" width="37" style="16" customWidth="1"/>
    <col min="4" max="5" width="11.453125" style="16" customWidth="1"/>
    <col min="6" max="6" width="14" style="16" customWidth="1"/>
    <col min="7" max="7" width="20" style="16" customWidth="1"/>
    <col min="8" max="8" width="16.453125" style="16" customWidth="1"/>
    <col min="9" max="16384" width="8.6328125" style="16"/>
  </cols>
  <sheetData>
    <row r="1" spans="1:9" ht="15" customHeight="1" x14ac:dyDescent="0.35"/>
    <row r="2" spans="1:9" ht="15" customHeight="1" x14ac:dyDescent="0.35">
      <c r="A2" s="17"/>
      <c r="B2" s="17"/>
      <c r="C2" s="17"/>
      <c r="D2" s="17"/>
      <c r="E2" s="17"/>
      <c r="F2" s="17"/>
      <c r="G2" s="17"/>
      <c r="H2" s="17"/>
    </row>
    <row r="3" spans="1:9" ht="15.75" customHeight="1" x14ac:dyDescent="0.35">
      <c r="A3" s="17"/>
      <c r="B3" s="181" t="s">
        <v>146</v>
      </c>
      <c r="C3" s="181"/>
      <c r="D3" s="181"/>
      <c r="E3" s="181"/>
      <c r="F3" s="181"/>
      <c r="G3" s="181"/>
      <c r="H3" s="181"/>
    </row>
    <row r="4" spans="1:9" x14ac:dyDescent="0.35">
      <c r="A4" s="17"/>
      <c r="B4" s="18" t="s">
        <v>147</v>
      </c>
      <c r="C4" s="18" t="s">
        <v>148</v>
      </c>
      <c r="D4" s="18" t="s">
        <v>84</v>
      </c>
      <c r="E4" s="18" t="s">
        <v>149</v>
      </c>
      <c r="F4" s="18" t="s">
        <v>161</v>
      </c>
      <c r="G4" s="18" t="s">
        <v>162</v>
      </c>
      <c r="H4" s="18" t="s">
        <v>150</v>
      </c>
    </row>
    <row r="5" spans="1:9" ht="15" customHeight="1" x14ac:dyDescent="0.35">
      <c r="A5" s="17"/>
      <c r="B5" s="20" t="s">
        <v>151</v>
      </c>
      <c r="C5" s="21" t="s">
        <v>152</v>
      </c>
      <c r="D5" s="20" t="s">
        <v>153</v>
      </c>
      <c r="E5" s="20">
        <v>1106</v>
      </c>
      <c r="F5" s="22">
        <f>E5*1.6</f>
        <v>1769.6000000000001</v>
      </c>
      <c r="G5" s="22">
        <f>H5/F5</f>
        <v>31532.549728752259</v>
      </c>
      <c r="H5" s="23">
        <v>55800000</v>
      </c>
    </row>
    <row r="6" spans="1:9" x14ac:dyDescent="0.35">
      <c r="A6" s="17"/>
      <c r="B6" s="20" t="s">
        <v>151</v>
      </c>
      <c r="C6" s="24" t="s">
        <v>154</v>
      </c>
      <c r="D6" s="20" t="s">
        <v>155</v>
      </c>
      <c r="E6" s="20">
        <v>2274</v>
      </c>
      <c r="F6" s="22">
        <f t="shared" ref="F6:F11" si="0">E6*1.6</f>
        <v>3638.4</v>
      </c>
      <c r="G6" s="22">
        <f t="shared" ref="G6:G11" si="1">H6/F6</f>
        <v>32981.530343007915</v>
      </c>
      <c r="H6" s="23">
        <v>120000000</v>
      </c>
    </row>
    <row r="7" spans="1:9" ht="15" customHeight="1" x14ac:dyDescent="0.35">
      <c r="A7" s="17"/>
      <c r="B7" s="20" t="s">
        <v>151</v>
      </c>
      <c r="C7" s="21" t="s">
        <v>152</v>
      </c>
      <c r="D7" s="20" t="s">
        <v>153</v>
      </c>
      <c r="E7" s="20">
        <v>1466</v>
      </c>
      <c r="F7" s="22">
        <f t="shared" si="0"/>
        <v>2345.6</v>
      </c>
      <c r="G7" s="22">
        <f t="shared" si="1"/>
        <v>32528.990450204641</v>
      </c>
      <c r="H7" s="23">
        <v>76300000</v>
      </c>
    </row>
    <row r="8" spans="1:9" x14ac:dyDescent="0.35">
      <c r="A8" s="17"/>
      <c r="B8" s="20" t="s">
        <v>151</v>
      </c>
      <c r="C8" s="24" t="s">
        <v>154</v>
      </c>
      <c r="D8" s="20" t="s">
        <v>155</v>
      </c>
      <c r="E8" s="20">
        <v>2275</v>
      </c>
      <c r="F8" s="22">
        <f t="shared" si="0"/>
        <v>3640</v>
      </c>
      <c r="G8" s="22">
        <f t="shared" si="1"/>
        <v>32554.945054945056</v>
      </c>
      <c r="H8" s="23">
        <v>118500000</v>
      </c>
    </row>
    <row r="9" spans="1:9" ht="15" customHeight="1" x14ac:dyDescent="0.35">
      <c r="A9" s="17"/>
      <c r="B9" s="20" t="s">
        <v>151</v>
      </c>
      <c r="C9" s="24" t="s">
        <v>156</v>
      </c>
      <c r="D9" s="20" t="s">
        <v>155</v>
      </c>
      <c r="E9" s="20">
        <v>2700</v>
      </c>
      <c r="F9" s="22">
        <f t="shared" si="0"/>
        <v>4320</v>
      </c>
      <c r="G9" s="22">
        <f t="shared" si="1"/>
        <v>32175.925925925927</v>
      </c>
      <c r="H9" s="23">
        <v>139000000</v>
      </c>
    </row>
    <row r="10" spans="1:9" ht="15" customHeight="1" x14ac:dyDescent="0.35">
      <c r="A10" s="17"/>
      <c r="B10" s="20" t="s">
        <v>157</v>
      </c>
      <c r="C10" s="21" t="s">
        <v>152</v>
      </c>
      <c r="D10" s="20" t="s">
        <v>153</v>
      </c>
      <c r="E10" s="20">
        <v>1466</v>
      </c>
      <c r="F10" s="22">
        <f t="shared" si="0"/>
        <v>2345.6</v>
      </c>
      <c r="G10" s="22">
        <f t="shared" si="1"/>
        <v>32997.953615279672</v>
      </c>
      <c r="H10" s="23">
        <v>77400000</v>
      </c>
    </row>
    <row r="11" spans="1:9" ht="15" customHeight="1" x14ac:dyDescent="0.35">
      <c r="A11" s="17"/>
      <c r="B11" s="20" t="s">
        <v>157</v>
      </c>
      <c r="C11" s="21" t="s">
        <v>158</v>
      </c>
      <c r="D11" s="20" t="s">
        <v>155</v>
      </c>
      <c r="E11" s="20">
        <v>1725</v>
      </c>
      <c r="F11" s="22">
        <f t="shared" si="0"/>
        <v>2760</v>
      </c>
      <c r="G11" s="22">
        <f t="shared" si="1"/>
        <v>31268.115942028984</v>
      </c>
      <c r="H11" s="23">
        <v>86300000</v>
      </c>
    </row>
    <row r="12" spans="1:9" ht="15" customHeight="1" x14ac:dyDescent="0.35">
      <c r="A12" s="17"/>
      <c r="B12" s="25" t="s">
        <v>159</v>
      </c>
      <c r="C12" s="20"/>
      <c r="D12" s="20"/>
      <c r="E12" s="20"/>
      <c r="F12" s="20"/>
      <c r="G12" s="26">
        <f>AVERAGE(G5:G11)</f>
        <v>32291.430151449204</v>
      </c>
      <c r="H12" s="20"/>
    </row>
    <row r="13" spans="1:9" ht="15" customHeight="1" x14ac:dyDescent="0.35">
      <c r="B13" s="25" t="s">
        <v>160</v>
      </c>
      <c r="C13" s="20"/>
      <c r="D13" s="20"/>
      <c r="E13" s="20"/>
      <c r="F13" s="27"/>
      <c r="G13" s="25">
        <v>32000</v>
      </c>
      <c r="H13" s="25"/>
      <c r="I13" s="19"/>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2025-09-15T13:59:47Z</cp:lastPrinted>
  <dcterms:created xsi:type="dcterms:W3CDTF">2019-07-16T09:29:46Z</dcterms:created>
  <dcterms:modified xsi:type="dcterms:W3CDTF">2025-09-15T14:03:27Z</dcterms:modified>
</cp:coreProperties>
</file>