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21483 - Magic Meera Heights - P\"/>
    </mc:Choice>
  </mc:AlternateContent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2" i="1" l="1"/>
  <c r="I171" i="1"/>
  <c r="I169" i="1"/>
  <c r="J162" i="1" l="1"/>
  <c r="J163" i="1"/>
  <c r="J164" i="1"/>
  <c r="J165" i="1"/>
  <c r="J166" i="1"/>
  <c r="J167" i="1"/>
  <c r="J168" i="1"/>
  <c r="J169" i="1"/>
  <c r="J170" i="1"/>
  <c r="J161" i="1"/>
  <c r="D54" i="1" l="1"/>
  <c r="C132" i="1"/>
  <c r="D181" i="1"/>
  <c r="D180" i="1"/>
  <c r="D178" i="1"/>
  <c r="D176" i="1"/>
  <c r="F176" i="1" s="1"/>
  <c r="H176" i="1" s="1"/>
  <c r="D175" i="1"/>
  <c r="D174" i="1"/>
  <c r="D173" i="1"/>
  <c r="D169" i="1"/>
  <c r="F169" i="1" s="1"/>
  <c r="H169" i="1" s="1"/>
  <c r="D168" i="1"/>
  <c r="D167" i="1"/>
  <c r="F167" i="1" s="1"/>
  <c r="D164" i="1"/>
  <c r="D163" i="1"/>
  <c r="F163" i="1" s="1"/>
  <c r="H163" i="1" s="1"/>
  <c r="D162" i="1"/>
  <c r="F162" i="1" s="1"/>
  <c r="H162" i="1" s="1"/>
  <c r="D161" i="1"/>
  <c r="D157" i="1"/>
  <c r="F157" i="1" s="1"/>
  <c r="H157" i="1" s="1"/>
  <c r="J157" i="1" s="1"/>
  <c r="D156" i="1"/>
  <c r="D155" i="1"/>
  <c r="F155" i="1" s="1"/>
  <c r="H155" i="1" s="1"/>
  <c r="J155" i="1" s="1"/>
  <c r="D154" i="1"/>
  <c r="F154" i="1" s="1"/>
  <c r="D152" i="1"/>
  <c r="D151" i="1"/>
  <c r="F151" i="1" s="1"/>
  <c r="H151" i="1" s="1"/>
  <c r="D150" i="1"/>
  <c r="D149" i="1"/>
  <c r="F149" i="1" s="1"/>
  <c r="H149" i="1" s="1"/>
  <c r="I149" i="1"/>
  <c r="F178" i="1"/>
  <c r="H178" i="1" s="1"/>
  <c r="F168" i="1"/>
  <c r="H168" i="1" s="1"/>
  <c r="F156" i="1"/>
  <c r="H156" i="1" s="1"/>
  <c r="A155" i="1"/>
  <c r="A156" i="1" s="1"/>
  <c r="A157" i="1" s="1"/>
  <c r="F161" i="1"/>
  <c r="H161" i="1" s="1"/>
  <c r="F152" i="1"/>
  <c r="H152" i="1" s="1"/>
  <c r="B213" i="1"/>
  <c r="F181" i="1"/>
  <c r="H181" i="1" s="1"/>
  <c r="F180" i="1"/>
  <c r="H180" i="1" s="1"/>
  <c r="A179" i="1"/>
  <c r="A180" i="1" s="1"/>
  <c r="A181" i="1" s="1"/>
  <c r="A167" i="1"/>
  <c r="A168" i="1" s="1"/>
  <c r="A169" i="1" s="1"/>
  <c r="F175" i="1"/>
  <c r="H175" i="1" s="1"/>
  <c r="F174" i="1"/>
  <c r="H174" i="1" s="1"/>
  <c r="A174" i="1"/>
  <c r="A175" i="1" s="1"/>
  <c r="A176" i="1" s="1"/>
  <c r="F173" i="1"/>
  <c r="H173" i="1" s="1"/>
  <c r="G132" i="1" s="1"/>
  <c r="F164" i="1"/>
  <c r="H164" i="1" s="1"/>
  <c r="A162" i="1"/>
  <c r="A163" i="1" s="1"/>
  <c r="A164" i="1" s="1"/>
  <c r="F150" i="1"/>
  <c r="H150" i="1" s="1"/>
  <c r="A150" i="1"/>
  <c r="A151" i="1" s="1"/>
  <c r="A152" i="1" s="1"/>
  <c r="F210" i="1"/>
  <c r="F209" i="1"/>
  <c r="F208" i="1"/>
  <c r="F207" i="1"/>
  <c r="F206" i="1"/>
  <c r="F204" i="1"/>
  <c r="F203" i="1"/>
  <c r="F202" i="1"/>
  <c r="F201" i="1"/>
  <c r="F200" i="1"/>
  <c r="F198" i="1"/>
  <c r="F197" i="1"/>
  <c r="F196" i="1"/>
  <c r="F195" i="1"/>
  <c r="F194" i="1"/>
  <c r="F192" i="1"/>
  <c r="H192" i="1" s="1"/>
  <c r="F191" i="1"/>
  <c r="H191" i="1" s="1"/>
  <c r="F190" i="1"/>
  <c r="H190" i="1" s="1"/>
  <c r="F189" i="1"/>
  <c r="H189" i="1" s="1"/>
  <c r="F188" i="1"/>
  <c r="H188" i="1" s="1"/>
  <c r="A188" i="1"/>
  <c r="A189" i="1" s="1"/>
  <c r="A190" i="1" s="1"/>
  <c r="A191" i="1" s="1"/>
  <c r="A192" i="1" s="1"/>
  <c r="F186" i="1"/>
  <c r="H186" i="1" s="1"/>
  <c r="F185" i="1"/>
  <c r="H185" i="1" s="1"/>
  <c r="F184" i="1"/>
  <c r="H184" i="1" s="1"/>
  <c r="A184" i="1"/>
  <c r="A185" i="1" s="1"/>
  <c r="A186" i="1" s="1"/>
  <c r="F183" i="1"/>
  <c r="H183" i="1" s="1"/>
  <c r="A200" i="1"/>
  <c r="A194" i="1"/>
  <c r="A206" i="1"/>
  <c r="H154" i="1" l="1"/>
  <c r="J154" i="1" s="1"/>
  <c r="J110" i="1" s="1"/>
  <c r="C130" i="1"/>
  <c r="E130" i="1"/>
  <c r="H167" i="1"/>
  <c r="G131" i="1" s="1"/>
  <c r="C131" i="1"/>
  <c r="E132" i="1"/>
  <c r="E131" i="1"/>
  <c r="D234" i="1"/>
  <c r="A207" i="1"/>
  <c r="A195" i="1"/>
  <c r="A201" i="1"/>
  <c r="E133" i="1" l="1"/>
  <c r="C133" i="1"/>
  <c r="G130" i="1"/>
  <c r="G133" i="1" s="1"/>
  <c r="C49" i="1"/>
  <c r="G49" i="1"/>
  <c r="A196" i="1"/>
  <c r="A208" i="1"/>
  <c r="A202" i="1"/>
  <c r="G50" i="1" l="1"/>
  <c r="A209" i="1"/>
  <c r="A197" i="1"/>
  <c r="A203" i="1"/>
  <c r="E42" i="1" l="1"/>
  <c r="E43" i="1" s="1"/>
  <c r="A204" i="1"/>
  <c r="A210" i="1"/>
  <c r="A198" i="1"/>
  <c r="C14" i="1" l="1"/>
  <c r="E29" i="1" l="1"/>
  <c r="F122" i="1" l="1"/>
  <c r="F140" i="1" l="1"/>
  <c r="F141" i="1"/>
  <c r="F142" i="1"/>
  <c r="F139" i="1"/>
  <c r="B21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A140" i="1"/>
  <c r="A141" i="1" s="1"/>
  <c r="A142" i="1" s="1"/>
  <c r="G139" i="1"/>
  <c r="G140" i="1" s="1"/>
  <c r="G141" i="1" s="1"/>
  <c r="G142" i="1" s="1"/>
  <c r="J106" i="1"/>
  <c r="J105" i="1"/>
  <c r="J104" i="1"/>
  <c r="J103" i="1"/>
  <c r="J92" i="1"/>
  <c r="J91" i="1"/>
  <c r="J90" i="1"/>
  <c r="J89" i="1"/>
  <c r="J78" i="1"/>
  <c r="J77" i="1"/>
  <c r="J76" i="1"/>
  <c r="J75" i="1"/>
  <c r="C50" i="1"/>
  <c r="E26" i="1"/>
  <c r="E24" i="1"/>
  <c r="E7" i="1"/>
  <c r="E3" i="1"/>
  <c r="H96" i="1"/>
  <c r="H68" i="1"/>
  <c r="H82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95" i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D101" i="1" l="1"/>
  <c r="D99" i="1"/>
  <c r="D87" i="1"/>
  <c r="D73" i="1"/>
  <c r="J69" i="1"/>
  <c r="E71" i="1"/>
  <c r="D72" i="1"/>
  <c r="G71" i="1"/>
  <c r="D65" i="1" s="1"/>
  <c r="D66" i="1" s="1"/>
  <c r="D71" i="1"/>
  <c r="E85" i="1"/>
  <c r="D86" i="1"/>
  <c r="G85" i="1"/>
  <c r="D85" i="1"/>
  <c r="J82" i="1" s="1"/>
  <c r="E99" i="1"/>
  <c r="D100" i="1"/>
  <c r="G99" i="1"/>
  <c r="I68" i="1" l="1"/>
  <c r="J68" i="1"/>
  <c r="I96" i="1"/>
  <c r="J96" i="1"/>
  <c r="I82" i="1"/>
  <c r="F66" i="1"/>
  <c r="I69" i="1" l="1"/>
  <c r="I67" i="1" s="1"/>
  <c r="C69" i="1" s="1"/>
  <c r="I97" i="1"/>
  <c r="I95" i="1" s="1"/>
  <c r="C97" i="1" s="1"/>
  <c r="I83" i="1"/>
  <c r="I81" i="1" s="1"/>
  <c r="C83" i="1" s="1"/>
  <c r="H201" i="1"/>
  <c r="H207" i="1"/>
  <c r="H204" i="1"/>
  <c r="H196" i="1"/>
  <c r="H210" i="1"/>
  <c r="H198" i="1"/>
  <c r="H203" i="1"/>
  <c r="H208" i="1"/>
  <c r="H200" i="1"/>
  <c r="H195" i="1"/>
  <c r="H209" i="1"/>
  <c r="H194" i="1"/>
  <c r="H202" i="1"/>
  <c r="H197" i="1"/>
  <c r="H206" i="1"/>
</calcChain>
</file>

<file path=xl/comments1.xml><?xml version="1.0" encoding="utf-8"?>
<comments xmlns="http://schemas.openxmlformats.org/spreadsheetml/2006/main">
  <authors>
    <author>SACHIN</author>
  </authors>
  <commentList>
    <comment ref="H14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<sst xmlns="http://schemas.openxmlformats.org/spreadsheetml/2006/main" count="380" uniqueCount="234">
  <si>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</si>
  <si>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</si>
  <si>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</si>
  <si>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</si>
  <si>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</si>
  <si>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</si>
  <si>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</si>
  <si>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</si>
  <si>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</si>
  <si>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</si>
  <si>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</si>
  <si>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</si>
  <si>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</si>
  <si>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</si>
  <si>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</si>
  <si>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</si>
  <si>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</si>
  <si>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</si>
  <si>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</si>
  <si>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</si>
  <si>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</si>
  <si>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</si>
  <si>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</si>
  <si>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</si>
  <si>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</si>
  <si>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</si>
  <si>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</si>
  <si>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</si>
  <si>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</si>
  <si>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</si>
  <si>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</si>
  <si>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</si>
  <si>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</si>
  <si>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</si>
  <si>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</si>
  <si>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</si>
  <si>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</si>
  <si>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</si>
  <si>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</si>
  <si>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</si>
  <si>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</si>
  <si>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</si>
  <si>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</si>
  <si>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</si>
  <si>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</si>
  <si>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</si>
  <si>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</si>
  <si>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</si>
  <si>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</si>
  <si>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</si>
  <si>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</si>
  <si>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</si>
  <si>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</si>
  <si>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</si>
  <si>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</si>
  <si>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</si>
  <si>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</si>
  <si>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</si>
  <si>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</si>
  <si>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</si>
  <si>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</si>
  <si>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</si>
  <si>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</si>
  <si>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</si>
  <si>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</si>
  <si>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</si>
  <si>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</si>
  <si>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</si>
  <si>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</si>
  <si>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</si>
  <si>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</si>
  <si>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</si>
  <si>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</si>
  <si>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</si>
  <si>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</si>
  <si>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</si>
  <si>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</si>
  <si>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</si>
  <si>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</si>
  <si>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</si>
  <si>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</si>
  <si>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</si>
  <si>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</si>
  <si>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</si>
  <si>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</si>
  <si>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</si>
  <si>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</si>
  <si>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</si>
  <si>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</si>
  <si>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</si>
  <si>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</si>
  <si>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</si>
  <si>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</si>
  <si>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</si>
  <si>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</si>
  <si>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</si>
  <si>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</si>
  <si>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</si>
  <si>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</si>
  <si>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</si>
  <si>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</si>
  <si>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</si>
  <si>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</si>
  <si>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</si>
  <si>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</si>
  <si>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</si>
  <si>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</si>
  <si>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</si>
  <si>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</si>
  <si>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</si>
  <si>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</si>
  <si>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</si>
  <si>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</si>
  <si>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</si>
  <si>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</si>
  <si>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</si>
  <si>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</si>
  <si>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</si>
  <si>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</si>
  <si>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</si>
  <si>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</si>
  <si>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</si>
  <si>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</si>
  <si>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</si>
  <si>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</si>
  <si>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</si>
  <si>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</si>
  <si>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</si>
  <si>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</si>
  <si>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</si>
  <si>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</si>
  <si>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</si>
  <si>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</si>
  <si>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</si>
  <si>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</si>
  <si>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</si>
  <si>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</si>
  <si>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</si>
  <si>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</si>
  <si>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</si>
  <si>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</si>
  <si>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</si>
  <si>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</si>
  <si>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</si>
  <si>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</si>
  <si>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</si>
  <si>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</si>
  <si>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</si>
  <si>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</si>
  <si>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</si>
  <si>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</si>
  <si>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</si>
  <si>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</si>
  <si>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</si>
  <si>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</si>
  <si>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</si>
  <si>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</si>
  <si>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</si>
  <si>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</si>
  <si>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</si>
  <si>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</si>
  <si>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</si>
  <si>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</si>
  <si>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</si>
  <si>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</si>
  <si>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</si>
  <si>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</si>
  <si>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</si>
  <si>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</si>
  <si>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</si>
  <si>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</si>
  <si>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</si>
  <si>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</si>
  <si>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</si>
  <si>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</si>
  <si>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</si>
  <si>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</si>
  <si>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Magic Meera Heights</t>
  </si>
  <si>
    <t>9819479344/9594528555/9029063993</t>
  </si>
  <si>
    <t>Magic Star Developers</t>
  </si>
  <si>
    <t>Approved Plans, CC</t>
  </si>
  <si>
    <t>Bhayandar East</t>
  </si>
  <si>
    <t>Thane</t>
  </si>
  <si>
    <t>Mira Bhayandar</t>
  </si>
  <si>
    <t>off Miragaon Road</t>
  </si>
  <si>
    <t>PNK Imperial Heights</t>
  </si>
  <si>
    <t>Vedant Apartment</t>
  </si>
  <si>
    <t>Narmada Society</t>
  </si>
  <si>
    <t>Survey No</t>
  </si>
  <si>
    <t>Gaurav Galaxy</t>
  </si>
  <si>
    <t>3.3KM from Mira Road Railway Station</t>
  </si>
  <si>
    <t>Mira-Bhayandar Municipal Corporation</t>
  </si>
  <si>
    <t>03 Wings</t>
  </si>
  <si>
    <t>A, B, C Wings</t>
  </si>
  <si>
    <t>Office No. 1031, Wing J, Akshar Business Park, Plot No. 03 Sector 25, Near APMC Market,
Vashi, Navi Mumbai, Maharashtra 400703 TEL: 022-46090378/79/8
E mail : vsjcapf@gmail.com. Web site : www.vsjadon.com</t>
  </si>
  <si>
    <t>Mr. Ajay : 9967448880</t>
  </si>
  <si>
    <t>P51700049394</t>
  </si>
  <si>
    <t>141(Old), 12(New), H.No.2</t>
  </si>
  <si>
    <t>As per Layout</t>
  </si>
  <si>
    <t>Latitude &amp; Longitude</t>
  </si>
  <si>
    <t xml:space="preserve">19.272441,72.875131 </t>
  </si>
  <si>
    <t>https://maps.app.goo.gl/fYKpJCyoJR9EDPKL9</t>
  </si>
  <si>
    <t>MBMC/RB/2024/APL/00015</t>
  </si>
  <si>
    <t>Building No.1 (Wing A, B &amp; C) = Gr/St + 1st to 13th Floor</t>
  </si>
  <si>
    <t>Layout :</t>
  </si>
  <si>
    <t>Flat No. (Sale Plan)</t>
  </si>
  <si>
    <t>Fungible area</t>
  </si>
  <si>
    <t>Wing A</t>
  </si>
  <si>
    <t>Ground Floor for Parking</t>
  </si>
  <si>
    <t>1st to 6th, 8th to 11th &amp; 13th Floor for Residential</t>
  </si>
  <si>
    <t>1BHK</t>
  </si>
  <si>
    <t>Wing B</t>
  </si>
  <si>
    <t>Wing C</t>
  </si>
  <si>
    <t>7th &amp; 12th Floor (Part Refuge Area)</t>
  </si>
  <si>
    <t>Refuge Area</t>
  </si>
  <si>
    <t>RERA Carpet area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</si>
  <si>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</si>
  <si>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</si>
  <si>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Flats - 152</t>
  </si>
  <si>
    <t>Building No.1 (Wing A, B &amp; C) = Gr/St + 1st to 15th Floor</t>
  </si>
  <si>
    <t>As per Rera - 30/12/2025</t>
  </si>
  <si>
    <t>Other Plot</t>
  </si>
  <si>
    <t>9.0 M.W. Internal Road</t>
  </si>
  <si>
    <t>Internal Road</t>
  </si>
  <si>
    <t>Building No.1 (Wing C) = Gr/St + 1st to 15th Floor</t>
  </si>
  <si>
    <t>Building No.1 (Wing B &amp; C) = Gr/St + 1st to 15th Floor</t>
  </si>
  <si>
    <t>Modular Kitchen, Open Sky Sitting Area, Lawn, Yoga Deck, Kids Play Area, Walking Track</t>
  </si>
  <si>
    <t>Online</t>
  </si>
  <si>
    <t>MIS</t>
  </si>
  <si>
    <t>Construction work is in process at the time of visit.</t>
  </si>
  <si>
    <t>We considered Gross carpet area = Net carpet.</t>
  </si>
  <si>
    <t>We have updated latest approved floor plans &amp; CC (On 23/09/2025).</t>
  </si>
  <si>
    <t>Pooja Kawale</t>
  </si>
  <si>
    <t>Ranjan Sharma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</si>
</sst>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30" xfId="0" applyFont="1" applyFill="1" applyBorder="1"/>
    <xf numFmtId="0" fontId="23" fillId="0" borderId="31" xfId="0" applyFont="1" applyBorder="1"/>
    <xf numFmtId="0" fontId="23" fillId="0" borderId="1" xfId="0" applyFont="1" applyBorder="1"/>
    <xf numFmtId="0" fontId="23" fillId="0" borderId="5" xfId="0" applyFont="1" applyBorder="1"/>
    <xf numFmtId="0" fontId="11" fillId="0" borderId="1" xfId="1" applyFont="1" applyBorder="1" applyAlignment="1" applyProtection="1">
      <alignment horizontal="center" vertical="top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/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9" fontId="11" fillId="0" borderId="7" xfId="8" applyFont="1" applyFill="1" applyBorder="1" applyAlignment="1" applyProtection="1">
      <alignment horizontal="center" vertical="top" wrapText="1"/>
      <protection locked="0"/>
    </xf>
    <xf numFmtId="0" fontId="14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0" fontId="5" fillId="0" borderId="1" xfId="1" applyFont="1" applyBorder="1" applyAlignment="1" applyProtection="1">
      <alignment horizontal="left" vertical="top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10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0" fontId="7" fillId="0" borderId="16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16" xfId="1" applyNumberFormat="1" applyFont="1" applyBorder="1" applyAlignment="1" applyProtection="1">
      <alignment horizontal="center" vertical="top" wrapText="1"/>
      <protection locked="0"/>
    </xf>
    <xf numFmtId="1" fontId="12" fillId="0" borderId="17" xfId="1" applyNumberFormat="1" applyFont="1" applyBorder="1" applyAlignment="1" applyProtection="1">
      <alignment horizontal="center" vertical="top" wrapText="1"/>
      <protection locked="0"/>
    </xf>
    <xf numFmtId="1" fontId="12" fillId="0" borderId="18" xfId="1" applyNumberFormat="1" applyFont="1" applyBorder="1" applyAlignment="1" applyProtection="1">
      <alignment horizontal="center" vertical="top" wrapText="1"/>
      <protection locked="0"/>
    </xf>
    <xf numFmtId="1" fontId="12" fillId="0" borderId="19" xfId="1" applyNumberFormat="1" applyFont="1" applyBorder="1" applyAlignment="1" applyProtection="1">
      <alignment horizontal="center" vertical="top" wrapText="1"/>
      <protection locked="0"/>
    </xf>
    <xf numFmtId="1" fontId="12" fillId="0" borderId="20" xfId="1" applyNumberFormat="1" applyFont="1" applyBorder="1" applyAlignment="1" applyProtection="1">
      <alignment horizontal="center" vertical="top" wrapText="1"/>
      <protection locked="0"/>
    </xf>
    <xf numFmtId="9" fontId="11" fillId="0" borderId="18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29" xfId="8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18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9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21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11" fillId="0" borderId="21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0" fontId="11" fillId="0" borderId="19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26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  <xf numFmtId="0" fontId="11" fillId="0" borderId="1" xfId="1" applyFont="1" applyFill="1" applyBorder="1" applyAlignment="1" applyProtection="1">
      <alignment horizontal="left" vertical="top"/>
      <protection locked="0"/>
    </xf>
    <xf numFmtId="167" fontId="6" fillId="0" borderId="1" xfId="9" applyNumberFormat="1" applyFont="1" applyFill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260350</xdr:colOff>
      <xdr:row>12</xdr:row>
      <xdr:rowOff>184150</xdr:rowOff>
    </xdr:from>
    <xdr:to>
      <xdr:col>13</xdr:col>
      <xdr:colOff>262350</xdr:colOff>
      <xdr:row>17</xdr:row>
      <xdr:rowOff>91275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2952750"/>
          <a:ext cx="4320000" cy="1300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190500</xdr:colOff>
      <xdr:row>45</xdr:row>
      <xdr:rowOff>25401</xdr:rowOff>
    </xdr:from>
    <xdr:to>
      <xdr:col>12</xdr:col>
      <xdr:colOff>298000</xdr:colOff>
      <xdr:row>53</xdr:row>
      <xdr:rowOff>93712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5800" y="9931401"/>
          <a:ext cx="3600000" cy="18780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196850</xdr:colOff>
      <xdr:row>277</xdr:row>
      <xdr:rowOff>69850</xdr:rowOff>
    </xdr:from>
    <xdr:to>
      <xdr:col>7</xdr:col>
      <xdr:colOff>701500</xdr:colOff>
      <xdr:row>293</xdr:row>
      <xdr:rowOff>76668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850" y="29197300"/>
          <a:ext cx="6480000" cy="31564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377</xdr:colOff>
      <xdr:row>294</xdr:row>
      <xdr:rowOff>20592</xdr:rowOff>
    </xdr:from>
    <xdr:to>
      <xdr:col>6</xdr:col>
      <xdr:colOff>78822</xdr:colOff>
      <xdr:row>316</xdr:row>
      <xdr:rowOff>9892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677" y="32494492"/>
          <a:ext cx="3596345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508000</xdr:colOff>
      <xdr:row>146</xdr:row>
      <xdr:rowOff>95250</xdr:rowOff>
    </xdr:from>
    <xdr:to>
      <xdr:col>19</xdr:col>
      <xdr:colOff>585509</xdr:colOff>
      <xdr:row>170</xdr:row>
      <xdr:rowOff>50850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72600" y="28448000"/>
          <a:ext cx="6681509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387350</xdr:colOff>
      <xdr:row>129</xdr:row>
      <xdr:rowOff>152400</xdr:rowOff>
    </xdr:from>
    <xdr:to>
      <xdr:col>15</xdr:col>
      <xdr:colOff>143150</xdr:colOff>
      <xdr:row>146</xdr:row>
      <xdr:rowOff>54794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88550" y="21615400"/>
          <a:ext cx="2880000" cy="20740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406400</xdr:colOff>
      <xdr:row>65</xdr:row>
      <xdr:rowOff>184150</xdr:rowOff>
    </xdr:from>
    <xdr:to>
      <xdr:col>20</xdr:col>
      <xdr:colOff>53468</xdr:colOff>
      <xdr:row>149</xdr:row>
      <xdr:rowOff>27675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07600" y="14300200"/>
          <a:ext cx="6155818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234950</xdr:colOff>
      <xdr:row>234</xdr:row>
      <xdr:rowOff>88900</xdr:rowOff>
    </xdr:from>
    <xdr:to>
      <xdr:col>7</xdr:col>
      <xdr:colOff>660662</xdr:colOff>
      <xdr:row>274</xdr:row>
      <xdr:rowOff>165100</xdr:rowOff>
    </xdr:to>
    <xdr:grpSp>
      <xdr:nvGrpSpPr>
        <xdr:cNvPr id="3" name="Group 2"/>
        <xdr:cNvGrpSpPr/>
      </xdr:nvGrpSpPr>
      <xdr:grpSpPr>
        <a:xfrm>
          <a:off x="234950" y="32245300"/>
          <a:ext cx="6121662" cy="8067675"/>
          <a:chOff x="234950" y="34791650"/>
          <a:chExt cx="6401062" cy="7943850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87309" y="347916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505525" y="347916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38898098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5481" y="41204546"/>
            <a:ext cx="1620000" cy="15309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995481" y="38898098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6012" y="38898098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" name="TextBox 1"/>
          <xdr:cNvSpPr txBox="1"/>
        </xdr:nvSpPr>
        <xdr:spPr>
          <a:xfrm>
            <a:off x="806450" y="3750945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1873250" y="3696970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4966025" y="3728085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533400" y="39977598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  <xdr:twoCellAnchor editAs="oneCell">
    <xdr:from>
      <xdr:col>1</xdr:col>
      <xdr:colOff>214663</xdr:colOff>
      <xdr:row>341</xdr:row>
      <xdr:rowOff>53410</xdr:rowOff>
    </xdr:from>
    <xdr:to>
      <xdr:col>6</xdr:col>
      <xdr:colOff>613337</xdr:colOff>
      <xdr:row>361</xdr:row>
      <xdr:rowOff>0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4763" y="55812760"/>
          <a:ext cx="4754774" cy="38835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88900</xdr:colOff>
      <xdr:row>320</xdr:row>
      <xdr:rowOff>114300</xdr:rowOff>
    </xdr:from>
    <xdr:to>
      <xdr:col>6</xdr:col>
      <xdr:colOff>772800</xdr:colOff>
      <xdr:row>340</xdr:row>
      <xdr:rowOff>153193</xdr:rowOff>
    </xdr:to>
    <xdr:pic>
      <xdr:nvPicPr>
        <xdr:cNvPr id="30" name="Picture 29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9000" y="51739800"/>
          <a:ext cx="5040000" cy="39758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455963</xdr:colOff>
      <xdr:row>346</xdr:row>
      <xdr:rowOff>193110</xdr:rowOff>
    </xdr:from>
    <xdr:to>
      <xdr:col>4</xdr:col>
      <xdr:colOff>361950</xdr:colOff>
      <xdr:row>354</xdr:row>
      <xdr:rowOff>152400</xdr:rowOff>
    </xdr:to>
    <xdr:sp macro="" textlink="">
      <xdr:nvSpPr>
        <xdr:cNvPr id="31" name="Rectangle 30"/>
        <xdr:cNvSpPr/>
      </xdr:nvSpPr>
      <xdr:spPr>
        <a:xfrm>
          <a:off x="2983263" y="56936710"/>
          <a:ext cx="896587" cy="153409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469412</xdr:colOff>
      <xdr:row>30</xdr:row>
      <xdr:rowOff>34323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88" y="2696882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620059</xdr:colOff>
      <xdr:row>14</xdr:row>
      <xdr:rowOff>17561</xdr:rowOff>
    </xdr:from>
    <xdr:to>
      <xdr:col>10</xdr:col>
      <xdr:colOff>469411</xdr:colOff>
      <xdr:row>30</xdr:row>
      <xdr:rowOff>51884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235" y="2714443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683561</xdr:colOff>
      <xdr:row>30</xdr:row>
      <xdr:rowOff>179293</xdr:rowOff>
    </xdr:from>
    <xdr:to>
      <xdr:col>7</xdr:col>
      <xdr:colOff>833803</xdr:colOff>
      <xdr:row>49</xdr:row>
      <xdr:rowOff>159793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5443" y="5905499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fYKpJCyoJR9EDPKL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363"/>
  <sheetViews>
    <sheetView tabSelected="1" view="pageBreakPreview" topLeftCell="A109" zoomScaleNormal="100" zoomScaleSheetLayoutView="100" workbookViewId="0">
      <selection activeCell="I144" sqref="I144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58" t="s">
        <v>194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</row>
    <row r="3" spans="1:8" x14ac:dyDescent="0.25">
      <c r="A3" s="141" t="s">
        <v>1</v>
      </c>
      <c r="B3" s="141"/>
      <c r="C3" s="141"/>
      <c r="D3" s="141"/>
      <c r="E3" s="141" t="str">
        <f ca="1">TEXT(TODAY(),"DD/MM/YYYY")</f>
        <v>24/09/2025</v>
      </c>
      <c r="F3" s="141"/>
      <c r="G3" s="141"/>
      <c r="H3" s="141"/>
    </row>
    <row r="4" spans="1:8" ht="15" customHeight="1" x14ac:dyDescent="0.25">
      <c r="A4" s="141" t="s">
        <v>2</v>
      </c>
      <c r="B4" s="141"/>
      <c r="C4" s="141"/>
      <c r="D4" s="141"/>
      <c r="E4" s="141" t="s">
        <v>176</v>
      </c>
      <c r="F4" s="141"/>
      <c r="G4" s="141"/>
      <c r="H4" s="141"/>
    </row>
    <row r="5" spans="1:8" x14ac:dyDescent="0.25">
      <c r="A5" s="141" t="s">
        <v>3</v>
      </c>
      <c r="B5" s="141"/>
      <c r="C5" s="141"/>
      <c r="D5" s="141"/>
      <c r="E5" s="157">
        <v>45916</v>
      </c>
      <c r="F5" s="141"/>
      <c r="G5" s="141"/>
      <c r="H5" s="141"/>
    </row>
    <row r="6" spans="1:8" ht="16.5" customHeight="1" x14ac:dyDescent="0.25">
      <c r="A6" s="141" t="s">
        <v>4</v>
      </c>
      <c r="B6" s="141"/>
      <c r="C6" s="141"/>
      <c r="D6" s="141"/>
      <c r="E6" s="141" t="s">
        <v>179</v>
      </c>
      <c r="F6" s="141"/>
      <c r="G6" s="141"/>
      <c r="H6" s="141"/>
    </row>
    <row r="7" spans="1:8" ht="15" customHeight="1" x14ac:dyDescent="0.25">
      <c r="A7" s="141" t="s">
        <v>5</v>
      </c>
      <c r="B7" s="141"/>
      <c r="C7" s="141"/>
      <c r="D7" s="141"/>
      <c r="E7" s="141" t="str">
        <f>E6</f>
        <v>Magic Star Developers</v>
      </c>
      <c r="F7" s="141"/>
      <c r="G7" s="141"/>
      <c r="H7" s="141"/>
    </row>
    <row r="8" spans="1:8" x14ac:dyDescent="0.25">
      <c r="A8" s="141" t="s">
        <v>6</v>
      </c>
      <c r="B8" s="141"/>
      <c r="C8" s="141"/>
      <c r="D8" s="141"/>
      <c r="E8" s="94" t="s">
        <v>177</v>
      </c>
      <c r="F8" s="94"/>
      <c r="G8" s="94"/>
      <c r="H8" s="94"/>
    </row>
    <row r="9" spans="1:8" x14ac:dyDescent="0.25">
      <c r="A9" s="141" t="s">
        <v>174</v>
      </c>
      <c r="B9" s="141"/>
      <c r="C9" s="141"/>
      <c r="D9" s="141"/>
      <c r="E9" s="141" t="s">
        <v>178</v>
      </c>
      <c r="F9" s="141"/>
      <c r="G9" s="141"/>
      <c r="H9" s="141"/>
    </row>
    <row r="10" spans="1:8" x14ac:dyDescent="0.25">
      <c r="A10" s="141" t="s">
        <v>175</v>
      </c>
      <c r="B10" s="141"/>
      <c r="C10" s="141"/>
      <c r="D10" s="141"/>
      <c r="E10" s="141" t="s">
        <v>195</v>
      </c>
      <c r="F10" s="141"/>
      <c r="G10" s="141"/>
      <c r="H10" s="141"/>
    </row>
    <row r="11" spans="1:8" x14ac:dyDescent="0.25">
      <c r="A11" s="141" t="s">
        <v>7</v>
      </c>
      <c r="B11" s="141"/>
      <c r="C11" s="141"/>
      <c r="D11" s="141"/>
      <c r="E11" s="141" t="s">
        <v>193</v>
      </c>
      <c r="F11" s="141"/>
      <c r="G11" s="141"/>
      <c r="H11" s="141"/>
    </row>
    <row r="12" spans="1:8" x14ac:dyDescent="0.25">
      <c r="A12" s="69" t="s">
        <v>8</v>
      </c>
      <c r="B12" s="69"/>
      <c r="C12" s="69"/>
      <c r="D12" s="69"/>
      <c r="E12" s="153" t="s">
        <v>180</v>
      </c>
      <c r="F12" s="153"/>
      <c r="G12" s="153"/>
      <c r="H12" s="153"/>
    </row>
    <row r="13" spans="1:8" x14ac:dyDescent="0.25">
      <c r="A13" s="69" t="s">
        <v>9</v>
      </c>
      <c r="B13" s="69"/>
      <c r="C13" s="69"/>
      <c r="D13" s="69"/>
      <c r="E13" s="153" t="s">
        <v>196</v>
      </c>
      <c r="F13" s="141"/>
      <c r="G13" s="141"/>
      <c r="H13" s="141"/>
    </row>
    <row r="14" spans="1:8" ht="48" customHeight="1" x14ac:dyDescent="0.25">
      <c r="A14" s="155" t="s">
        <v>10</v>
      </c>
      <c r="B14" s="155"/>
      <c r="C14" s="15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Magic Meera Heights, Survey No.141(Old), 12(New), H.No.2, near PNK Imperial Heights, off Miragaon Road, Gaurav Galaxy, Mira Bhayandar, Bhayandar East, Thane, Thane - 401107.</v>
      </c>
      <c r="D14" s="155"/>
      <c r="E14" s="155"/>
      <c r="F14" s="155"/>
      <c r="G14" s="155"/>
      <c r="H14" s="155"/>
    </row>
    <row r="15" spans="1:8" ht="15.75" customHeight="1" x14ac:dyDescent="0.25">
      <c r="A15" s="153" t="s">
        <v>188</v>
      </c>
      <c r="B15" s="153"/>
      <c r="C15" s="153" t="s">
        <v>197</v>
      </c>
      <c r="D15" s="153"/>
      <c r="E15" s="153"/>
      <c r="F15" s="153"/>
      <c r="G15" s="153"/>
      <c r="H15" s="153"/>
    </row>
    <row r="16" spans="1:8" ht="15.75" customHeight="1" x14ac:dyDescent="0.25">
      <c r="A16" s="153" t="s">
        <v>173</v>
      </c>
      <c r="B16" s="153"/>
      <c r="C16" s="153" t="s">
        <v>189</v>
      </c>
      <c r="D16" s="153"/>
      <c r="E16" s="153"/>
      <c r="F16" s="153"/>
      <c r="G16" s="153"/>
      <c r="H16" s="153"/>
    </row>
    <row r="17" spans="1:8" ht="15.75" customHeight="1" x14ac:dyDescent="0.25">
      <c r="A17" s="155" t="s">
        <v>11</v>
      </c>
      <c r="B17" s="155"/>
      <c r="C17" s="141" t="s">
        <v>184</v>
      </c>
      <c r="D17" s="141"/>
      <c r="E17" s="155" t="s">
        <v>74</v>
      </c>
      <c r="F17" s="155"/>
      <c r="G17" s="153" t="s">
        <v>183</v>
      </c>
      <c r="H17" s="153"/>
    </row>
    <row r="18" spans="1:8" x14ac:dyDescent="0.25">
      <c r="A18" s="69" t="s">
        <v>13</v>
      </c>
      <c r="B18" s="69"/>
      <c r="C18" s="153" t="s">
        <v>181</v>
      </c>
      <c r="D18" s="153"/>
      <c r="E18" s="155" t="s">
        <v>12</v>
      </c>
      <c r="F18" s="155"/>
      <c r="G18" s="156" t="s">
        <v>182</v>
      </c>
      <c r="H18" s="156"/>
    </row>
    <row r="19" spans="1:8" x14ac:dyDescent="0.25">
      <c r="A19" s="69" t="s">
        <v>75</v>
      </c>
      <c r="B19" s="69"/>
      <c r="C19" s="153" t="s">
        <v>182</v>
      </c>
      <c r="D19" s="153"/>
      <c r="E19" s="155" t="s">
        <v>14</v>
      </c>
      <c r="F19" s="155"/>
      <c r="G19" s="153">
        <v>401107</v>
      </c>
      <c r="H19" s="153"/>
    </row>
    <row r="20" spans="1:8" ht="32.25" customHeight="1" x14ac:dyDescent="0.25">
      <c r="A20" s="69" t="s">
        <v>125</v>
      </c>
      <c r="B20" s="69"/>
      <c r="C20" s="153" t="s">
        <v>185</v>
      </c>
      <c r="D20" s="153"/>
      <c r="E20" s="155" t="s">
        <v>15</v>
      </c>
      <c r="F20" s="155"/>
      <c r="G20" s="153" t="s">
        <v>190</v>
      </c>
      <c r="H20" s="153"/>
    </row>
    <row r="21" spans="1:8" ht="15" customHeight="1" x14ac:dyDescent="0.25">
      <c r="A21" s="155" t="s">
        <v>78</v>
      </c>
      <c r="B21" s="155"/>
      <c r="C21" s="155"/>
      <c r="D21" s="155"/>
      <c r="E21" s="141" t="s">
        <v>16</v>
      </c>
      <c r="F21" s="141"/>
      <c r="G21" s="141"/>
      <c r="H21" s="141"/>
    </row>
    <row r="22" spans="1:8" ht="18.75" customHeight="1" x14ac:dyDescent="0.25">
      <c r="A22" s="155"/>
      <c r="B22" s="155"/>
      <c r="C22" s="155"/>
      <c r="D22" s="155"/>
      <c r="E22" s="141"/>
      <c r="F22" s="141"/>
      <c r="G22" s="141"/>
      <c r="H22" s="141"/>
    </row>
    <row r="23" spans="1:8" ht="15" customHeight="1" x14ac:dyDescent="0.25">
      <c r="A23" s="155" t="s">
        <v>17</v>
      </c>
      <c r="B23" s="155"/>
      <c r="C23" s="155"/>
      <c r="D23" s="155"/>
      <c r="E23" s="153" t="s">
        <v>18</v>
      </c>
      <c r="F23" s="153"/>
      <c r="G23" s="153"/>
      <c r="H23" s="153"/>
    </row>
    <row r="24" spans="1:8" ht="15" customHeight="1" x14ac:dyDescent="0.25">
      <c r="A24" s="69" t="s">
        <v>19</v>
      </c>
      <c r="B24" s="69"/>
      <c r="C24" s="69"/>
      <c r="D24" s="69"/>
      <c r="E24" s="153" t="str">
        <f>IF(AND(G18="Mumbai"),"Upper Class","Middle Class")</f>
        <v>Middle Class</v>
      </c>
      <c r="F24" s="153"/>
      <c r="G24" s="153"/>
      <c r="H24" s="153"/>
    </row>
    <row r="25" spans="1:8" x14ac:dyDescent="0.25">
      <c r="A25" s="69" t="s">
        <v>20</v>
      </c>
      <c r="B25" s="69"/>
      <c r="C25" s="69"/>
      <c r="D25" s="69"/>
      <c r="E25" s="153" t="s">
        <v>21</v>
      </c>
      <c r="F25" s="153"/>
      <c r="G25" s="153"/>
      <c r="H25" s="153"/>
    </row>
    <row r="26" spans="1:8" ht="15.75" customHeight="1" x14ac:dyDescent="0.25">
      <c r="A26" s="69" t="s">
        <v>22</v>
      </c>
      <c r="B26" s="69"/>
      <c r="C26" s="69"/>
      <c r="D26" s="69"/>
      <c r="E26" s="153" t="str">
        <f>IF(AND(G18="Mumbai"),"Developed","Developing")</f>
        <v>Developing</v>
      </c>
      <c r="F26" s="153"/>
      <c r="G26" s="153"/>
      <c r="H26" s="153"/>
    </row>
    <row r="27" spans="1:8" x14ac:dyDescent="0.25">
      <c r="A27" s="69" t="s">
        <v>23</v>
      </c>
      <c r="B27" s="69"/>
      <c r="C27" s="69"/>
      <c r="D27" s="69"/>
      <c r="E27" s="153" t="s">
        <v>24</v>
      </c>
      <c r="F27" s="153"/>
      <c r="G27" s="153"/>
      <c r="H27" s="153"/>
    </row>
    <row r="28" spans="1:8" ht="15.75" customHeight="1" x14ac:dyDescent="0.25">
      <c r="A28" s="69" t="s">
        <v>83</v>
      </c>
      <c r="B28" s="69"/>
      <c r="C28" s="69"/>
      <c r="D28" s="69"/>
      <c r="E28" s="153" t="s">
        <v>84</v>
      </c>
      <c r="F28" s="153"/>
      <c r="G28" s="153"/>
      <c r="H28" s="153"/>
    </row>
    <row r="29" spans="1:8" ht="15" customHeight="1" x14ac:dyDescent="0.25">
      <c r="A29" s="69" t="s">
        <v>32</v>
      </c>
      <c r="B29" s="69"/>
      <c r="C29" s="69"/>
      <c r="D29" s="69"/>
      <c r="E29" s="15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53"/>
      <c r="G29" s="153"/>
      <c r="H29" s="153"/>
    </row>
    <row r="30" spans="1:8" ht="15.75" customHeight="1" x14ac:dyDescent="0.25">
      <c r="A30" s="69" t="s">
        <v>95</v>
      </c>
      <c r="B30" s="69"/>
      <c r="C30" s="69"/>
      <c r="D30" s="69"/>
      <c r="E30" s="153" t="s">
        <v>33</v>
      </c>
      <c r="F30" s="153"/>
      <c r="G30" s="153"/>
      <c r="H30" s="153"/>
    </row>
    <row r="31" spans="1:8" s="21" customFormat="1" x14ac:dyDescent="0.25">
      <c r="A31" s="154" t="s">
        <v>96</v>
      </c>
      <c r="B31" s="154"/>
      <c r="C31" s="120" t="s">
        <v>198</v>
      </c>
      <c r="D31" s="120"/>
      <c r="E31" s="120"/>
      <c r="F31" s="120" t="s">
        <v>30</v>
      </c>
      <c r="G31" s="120"/>
      <c r="H31" s="120"/>
    </row>
    <row r="32" spans="1:8" s="21" customFormat="1" x14ac:dyDescent="0.25">
      <c r="A32" s="148" t="s">
        <v>25</v>
      </c>
      <c r="B32" s="148" t="s">
        <v>29</v>
      </c>
      <c r="C32" s="149" t="s">
        <v>221</v>
      </c>
      <c r="D32" s="149"/>
      <c r="E32" s="149"/>
      <c r="F32" s="149" t="s">
        <v>186</v>
      </c>
      <c r="G32" s="149"/>
      <c r="H32" s="149"/>
    </row>
    <row r="33" spans="1:9" x14ac:dyDescent="0.25">
      <c r="A33" s="148" t="s">
        <v>26</v>
      </c>
      <c r="B33" s="148" t="s">
        <v>29</v>
      </c>
      <c r="C33" s="149" t="s">
        <v>221</v>
      </c>
      <c r="D33" s="149"/>
      <c r="E33" s="149"/>
      <c r="F33" s="149" t="s">
        <v>185</v>
      </c>
      <c r="G33" s="149"/>
      <c r="H33" s="149"/>
    </row>
    <row r="34" spans="1:9" s="21" customFormat="1" x14ac:dyDescent="0.25">
      <c r="A34" s="148" t="s">
        <v>28</v>
      </c>
      <c r="B34" s="148" t="s">
        <v>29</v>
      </c>
      <c r="C34" s="149" t="s">
        <v>222</v>
      </c>
      <c r="D34" s="149"/>
      <c r="E34" s="149"/>
      <c r="F34" s="149" t="s">
        <v>223</v>
      </c>
      <c r="G34" s="149"/>
      <c r="H34" s="149"/>
    </row>
    <row r="35" spans="1:9" x14ac:dyDescent="0.25">
      <c r="A35" s="148" t="s">
        <v>27</v>
      </c>
      <c r="B35" s="148" t="s">
        <v>29</v>
      </c>
      <c r="C35" s="149" t="s">
        <v>221</v>
      </c>
      <c r="D35" s="149"/>
      <c r="E35" s="149"/>
      <c r="F35" s="149" t="s">
        <v>187</v>
      </c>
      <c r="G35" s="149"/>
      <c r="H35" s="149"/>
    </row>
    <row r="36" spans="1:9" x14ac:dyDescent="0.25">
      <c r="A36" s="69" t="s">
        <v>31</v>
      </c>
      <c r="B36" s="69"/>
      <c r="C36" s="69"/>
      <c r="D36" s="69"/>
      <c r="E36" s="69"/>
      <c r="F36" s="69"/>
      <c r="G36" s="69"/>
      <c r="H36" s="69"/>
    </row>
    <row r="37" spans="1:9" ht="15.75" customHeight="1" x14ac:dyDescent="0.25">
      <c r="A37" s="151" t="s">
        <v>199</v>
      </c>
      <c r="B37" s="151"/>
      <c r="C37" s="72" t="s">
        <v>200</v>
      </c>
      <c r="D37" s="73"/>
      <c r="E37" s="73"/>
      <c r="F37" s="73"/>
      <c r="G37" s="73"/>
      <c r="H37" s="74"/>
    </row>
    <row r="38" spans="1:9" x14ac:dyDescent="0.25">
      <c r="A38" s="151" t="s">
        <v>172</v>
      </c>
      <c r="B38" s="151"/>
      <c r="C38" s="152" t="s">
        <v>201</v>
      </c>
      <c r="D38" s="153"/>
      <c r="E38" s="153"/>
      <c r="F38" s="153"/>
      <c r="G38" s="153"/>
      <c r="H38" s="153"/>
    </row>
    <row r="39" spans="1:9" x14ac:dyDescent="0.25">
      <c r="A39" s="142" t="s">
        <v>34</v>
      </c>
      <c r="B39" s="142"/>
      <c r="C39" s="142"/>
      <c r="D39" s="142"/>
      <c r="E39" s="142"/>
      <c r="F39" s="142"/>
      <c r="G39" s="142"/>
      <c r="H39" s="142"/>
    </row>
    <row r="40" spans="1:9" x14ac:dyDescent="0.25">
      <c r="A40" s="69" t="s">
        <v>35</v>
      </c>
      <c r="B40" s="69"/>
      <c r="C40" s="69"/>
      <c r="D40" s="69"/>
      <c r="E40" s="150">
        <v>2215</v>
      </c>
      <c r="F40" s="150"/>
      <c r="G40" s="150"/>
      <c r="H40" s="150"/>
    </row>
    <row r="41" spans="1:9" x14ac:dyDescent="0.25">
      <c r="A41" s="69" t="s">
        <v>36</v>
      </c>
      <c r="B41" s="69"/>
      <c r="C41" s="69"/>
      <c r="D41" s="69"/>
      <c r="E41" s="139">
        <v>1.1000000000000001</v>
      </c>
      <c r="F41" s="139"/>
      <c r="G41" s="139"/>
      <c r="H41" s="139"/>
      <c r="I41" s="52"/>
    </row>
    <row r="42" spans="1:9" x14ac:dyDescent="0.25">
      <c r="A42" s="69" t="s">
        <v>37</v>
      </c>
      <c r="B42" s="69"/>
      <c r="C42" s="69"/>
      <c r="D42" s="69"/>
      <c r="E42" s="139">
        <f>E44/E40-E41</f>
        <v>3.3029661399548531</v>
      </c>
      <c r="F42" s="139"/>
      <c r="G42" s="139"/>
      <c r="H42" s="139"/>
    </row>
    <row r="43" spans="1:9" x14ac:dyDescent="0.25">
      <c r="A43" s="69" t="s">
        <v>38</v>
      </c>
      <c r="B43" s="69"/>
      <c r="C43" s="69"/>
      <c r="D43" s="69"/>
      <c r="E43" s="139">
        <f>E41+E42</f>
        <v>4.4029661399548532</v>
      </c>
      <c r="F43" s="139"/>
      <c r="G43" s="139"/>
      <c r="H43" s="139"/>
    </row>
    <row r="44" spans="1:9" x14ac:dyDescent="0.25">
      <c r="A44" s="69" t="s">
        <v>94</v>
      </c>
      <c r="B44" s="69"/>
      <c r="C44" s="69"/>
      <c r="D44" s="69"/>
      <c r="E44" s="140">
        <v>9752.57</v>
      </c>
      <c r="F44" s="140"/>
      <c r="G44" s="140"/>
      <c r="H44" s="140"/>
    </row>
    <row r="45" spans="1:9" x14ac:dyDescent="0.25">
      <c r="A45" s="141" t="s">
        <v>39</v>
      </c>
      <c r="B45" s="141"/>
      <c r="C45" s="141"/>
      <c r="D45" s="141"/>
      <c r="E45" s="141" t="s">
        <v>192</v>
      </c>
      <c r="F45" s="141"/>
      <c r="G45" s="141"/>
      <c r="H45" s="141"/>
    </row>
    <row r="46" spans="1:9" x14ac:dyDescent="0.25">
      <c r="A46" s="142" t="s">
        <v>40</v>
      </c>
      <c r="B46" s="142"/>
      <c r="C46" s="142"/>
      <c r="D46" s="142"/>
      <c r="E46" s="142"/>
      <c r="F46" s="142"/>
      <c r="G46" s="142"/>
      <c r="H46" s="142"/>
    </row>
    <row r="47" spans="1:9" ht="33.75" customHeight="1" x14ac:dyDescent="0.25">
      <c r="A47" s="143" t="s">
        <v>159</v>
      </c>
      <c r="B47" s="144"/>
      <c r="C47" s="145" t="s">
        <v>191</v>
      </c>
      <c r="D47" s="146"/>
      <c r="E47" s="146"/>
      <c r="F47" s="146"/>
      <c r="G47" s="146"/>
      <c r="H47" s="147"/>
    </row>
    <row r="48" spans="1:9" ht="15.75" customHeight="1" x14ac:dyDescent="0.25">
      <c r="A48" s="143" t="s">
        <v>41</v>
      </c>
      <c r="B48" s="144"/>
      <c r="C48" s="143" t="s">
        <v>202</v>
      </c>
      <c r="D48" s="187"/>
      <c r="E48" s="144"/>
      <c r="F48" s="17" t="s">
        <v>42</v>
      </c>
      <c r="G48" s="205">
        <v>45581</v>
      </c>
      <c r="H48" s="144"/>
    </row>
    <row r="49" spans="1:14" ht="15.75" customHeight="1" x14ac:dyDescent="0.25">
      <c r="A49" s="143" t="s">
        <v>43</v>
      </c>
      <c r="B49" s="144"/>
      <c r="C49" s="143" t="str">
        <f>C48</f>
        <v>MBMC/RB/2024/APL/00015</v>
      </c>
      <c r="D49" s="187"/>
      <c r="E49" s="144"/>
      <c r="F49" s="17" t="s">
        <v>42</v>
      </c>
      <c r="G49" s="205">
        <f>G48</f>
        <v>45581</v>
      </c>
      <c r="H49" s="144"/>
    </row>
    <row r="50" spans="1:14" s="22" customFormat="1" ht="15.75" customHeight="1" x14ac:dyDescent="0.25">
      <c r="A50" s="193" t="s">
        <v>163</v>
      </c>
      <c r="B50" s="194"/>
      <c r="C50" s="143" t="str">
        <f>C49</f>
        <v>MBMC/RB/2024/APL/00015</v>
      </c>
      <c r="D50" s="187"/>
      <c r="E50" s="144"/>
      <c r="F50" s="17" t="s">
        <v>42</v>
      </c>
      <c r="G50" s="205">
        <f>G49</f>
        <v>45581</v>
      </c>
      <c r="H50" s="144"/>
    </row>
    <row r="51" spans="1:14" s="22" customFormat="1" x14ac:dyDescent="0.25">
      <c r="A51" s="195"/>
      <c r="B51" s="196"/>
      <c r="C51" s="143" t="s">
        <v>203</v>
      </c>
      <c r="D51" s="187"/>
      <c r="E51" s="187"/>
      <c r="F51" s="187"/>
      <c r="G51" s="187"/>
      <c r="H51" s="144"/>
    </row>
    <row r="52" spans="1:14" x14ac:dyDescent="0.25">
      <c r="A52" s="200" t="s">
        <v>44</v>
      </c>
      <c r="B52" s="201"/>
      <c r="C52" s="200" t="s">
        <v>108</v>
      </c>
      <c r="D52" s="202"/>
      <c r="E52" s="201"/>
      <c r="F52" s="43" t="s">
        <v>42</v>
      </c>
      <c r="G52" s="203" t="s">
        <v>29</v>
      </c>
      <c r="H52" s="204"/>
    </row>
    <row r="53" spans="1:14" x14ac:dyDescent="0.25">
      <c r="A53" s="175" t="s">
        <v>46</v>
      </c>
      <c r="B53" s="175"/>
      <c r="C53" s="175"/>
      <c r="D53" s="175"/>
      <c r="E53" s="175"/>
      <c r="F53" s="175"/>
      <c r="G53" s="175"/>
      <c r="H53" s="175"/>
    </row>
    <row r="54" spans="1:14" x14ac:dyDescent="0.25">
      <c r="A54" s="155" t="s">
        <v>93</v>
      </c>
      <c r="B54" s="155"/>
      <c r="C54" s="155"/>
      <c r="D54" s="140">
        <f>E44</f>
        <v>9752.57</v>
      </c>
      <c r="E54" s="69"/>
      <c r="F54" s="69"/>
      <c r="G54" s="69"/>
      <c r="H54" s="69"/>
    </row>
    <row r="55" spans="1:14" x14ac:dyDescent="0.25">
      <c r="A55" s="153" t="s">
        <v>47</v>
      </c>
      <c r="B55" s="141"/>
      <c r="C55" s="141"/>
      <c r="D55" s="220" t="s">
        <v>218</v>
      </c>
      <c r="E55" s="220"/>
      <c r="F55" s="220"/>
      <c r="G55" s="220"/>
      <c r="H55" s="220"/>
      <c r="I55" s="23"/>
    </row>
    <row r="56" spans="1:14" x14ac:dyDescent="0.25">
      <c r="A56" s="190" t="s">
        <v>48</v>
      </c>
      <c r="B56" s="191"/>
      <c r="C56" s="192"/>
      <c r="D56" s="165" t="s">
        <v>203</v>
      </c>
      <c r="E56" s="189"/>
      <c r="F56" s="189"/>
      <c r="G56" s="189"/>
      <c r="H56" s="189"/>
    </row>
    <row r="57" spans="1:14" ht="15.75" customHeight="1" x14ac:dyDescent="0.25">
      <c r="A57" s="190" t="s">
        <v>91</v>
      </c>
      <c r="B57" s="191"/>
      <c r="C57" s="191"/>
      <c r="D57" s="153" t="s">
        <v>219</v>
      </c>
      <c r="E57" s="141"/>
      <c r="F57" s="141"/>
      <c r="G57" s="141"/>
      <c r="H57" s="141"/>
    </row>
    <row r="58" spans="1:14" ht="15.75" hidden="1" customHeight="1" x14ac:dyDescent="0.25">
      <c r="A58" s="207"/>
      <c r="B58" s="208"/>
      <c r="C58" s="208"/>
      <c r="D58" s="197" t="s">
        <v>153</v>
      </c>
      <c r="E58" s="198"/>
      <c r="F58" s="198"/>
      <c r="G58" s="198"/>
      <c r="H58" s="199"/>
    </row>
    <row r="59" spans="1:14" ht="15.6" hidden="1" customHeight="1" x14ac:dyDescent="0.25">
      <c r="A59" s="209"/>
      <c r="B59" s="210"/>
      <c r="C59" s="210"/>
      <c r="D59" s="184" t="s">
        <v>154</v>
      </c>
      <c r="E59" s="185"/>
      <c r="F59" s="185"/>
      <c r="G59" s="185"/>
      <c r="H59" s="186"/>
    </row>
    <row r="60" spans="1:14" ht="15.75" customHeight="1" x14ac:dyDescent="0.25">
      <c r="A60" s="69" t="s">
        <v>45</v>
      </c>
      <c r="B60" s="69"/>
      <c r="C60" s="69"/>
      <c r="D60" s="124" t="s">
        <v>220</v>
      </c>
      <c r="E60" s="124"/>
      <c r="F60" s="124"/>
      <c r="G60" s="124"/>
      <c r="H60" s="124"/>
      <c r="J60" s="24"/>
      <c r="K60" s="23"/>
      <c r="N60" s="23"/>
    </row>
    <row r="61" spans="1:14" ht="15.75" customHeight="1" x14ac:dyDescent="0.25">
      <c r="A61" s="69" t="s">
        <v>89</v>
      </c>
      <c r="B61" s="69"/>
      <c r="C61" s="69"/>
      <c r="D61" s="138" t="str">
        <f>(IF(G52="NA","60 Years After Completion",IF(G52&lt;&gt;"NA",""&amp;60-ROUNDDOWN((E3-G52)/360,0)&amp;" Years"," ")))</f>
        <v>60 Years After Completion</v>
      </c>
      <c r="E61" s="138"/>
      <c r="F61" s="138"/>
      <c r="G61" s="138"/>
      <c r="H61" s="138"/>
      <c r="N61" s="23"/>
    </row>
    <row r="62" spans="1:14" ht="15.75" customHeight="1" x14ac:dyDescent="0.25">
      <c r="A62" s="69" t="s">
        <v>90</v>
      </c>
      <c r="B62" s="69"/>
      <c r="C62" s="69"/>
      <c r="D62" s="155" t="s">
        <v>24</v>
      </c>
      <c r="E62" s="155"/>
      <c r="F62" s="155"/>
      <c r="G62" s="155"/>
      <c r="H62" s="155"/>
      <c r="J62" s="25"/>
      <c r="K62" s="25"/>
    </row>
    <row r="63" spans="1:14" ht="32.450000000000003" customHeight="1" x14ac:dyDescent="0.25">
      <c r="A63" s="69" t="s">
        <v>76</v>
      </c>
      <c r="B63" s="69"/>
      <c r="C63" s="69"/>
      <c r="D63" s="153" t="s">
        <v>226</v>
      </c>
      <c r="E63" s="155"/>
      <c r="F63" s="155"/>
      <c r="G63" s="155"/>
      <c r="H63" s="155"/>
    </row>
    <row r="64" spans="1:14" x14ac:dyDescent="0.25">
      <c r="A64" s="155" t="s">
        <v>155</v>
      </c>
      <c r="B64" s="155"/>
      <c r="C64" s="155"/>
      <c r="D64" s="155" t="s">
        <v>29</v>
      </c>
      <c r="E64" s="155"/>
      <c r="F64" s="155"/>
      <c r="G64" s="155"/>
      <c r="H64" s="155"/>
      <c r="I64" s="26"/>
      <c r="J64" s="26"/>
      <c r="K64" s="26"/>
      <c r="L64" s="26"/>
      <c r="M64" s="26"/>
      <c r="N64" s="26"/>
    </row>
    <row r="65" spans="1:10" ht="15.75" customHeight="1" x14ac:dyDescent="0.25">
      <c r="A65" s="166" t="s">
        <v>88</v>
      </c>
      <c r="B65" s="166"/>
      <c r="C65" s="166"/>
      <c r="D65" s="165" t="str">
        <f ca="1">(IF(G71&gt;95%,"Nothing",IF(G71&gt;0%,"Cement, Aggregate, Steel, etc",IF(G71=0%,"Work not yet Started"))))</f>
        <v>Cement, Aggregate, Steel, etc</v>
      </c>
      <c r="E65" s="165"/>
      <c r="F65" s="165"/>
      <c r="G65" s="165"/>
      <c r="H65" s="165"/>
      <c r="J65" s="25"/>
    </row>
    <row r="66" spans="1:10" ht="33.75" customHeight="1" thickBot="1" x14ac:dyDescent="0.3">
      <c r="A66" s="164" t="s">
        <v>121</v>
      </c>
      <c r="B66" s="164"/>
      <c r="C66" s="164"/>
      <c r="D66" s="165" t="str">
        <f ca="1">(IF(D65="Nothing","Yes",IF(D65="Cement, Aggregate, Steel, etc","Under Construction",IF(D65="Work not yet Started","Work not yet Started"))))</f>
        <v>Under Construction</v>
      </c>
      <c r="E66" s="165"/>
      <c r="F66" s="165" t="str">
        <f ca="1">(IF(D65="Nothing","Yes",IF(D65="Cement, Aggregate, Steel, etc","Under Construction",IF(D65="Work not yet Started","Work not yet Started"))))</f>
        <v>Under Construction</v>
      </c>
      <c r="G66" s="165"/>
      <c r="H66" s="165"/>
    </row>
    <row r="67" spans="1:10" ht="15.75" customHeight="1" x14ac:dyDescent="0.25">
      <c r="A67" s="159" t="s">
        <v>143</v>
      </c>
      <c r="B67" s="160"/>
      <c r="C67" s="161" t="s">
        <v>219</v>
      </c>
      <c r="D67" s="162"/>
      <c r="E67" s="162"/>
      <c r="F67" s="162"/>
      <c r="G67" s="162"/>
      <c r="H67" s="163"/>
      <c r="I67" s="45" t="str">
        <f ca="1">IF(D80=100%,"All work Completed. Possession granted to the Building.",IF(D79=100%,"All work Completed, Waiting for OC",I68&amp;""&amp;I69&amp;""&amp;J68&amp;""&amp;J67&amp;" "&amp;J69))</f>
        <v>Excavation, Plinth Completed, RCC upto 13 Slab, Brickwork upto 8 Floor, Internal Plaster upto 2 Floor, External Plaster upto 1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13 Slab, Brickwork upto 8 Floor, Internal Plaster upto 2 Floor, External Plaster upto 1 Floor</v>
      </c>
    </row>
    <row r="68" spans="1:10" x14ac:dyDescent="0.25">
      <c r="A68" s="15" t="s">
        <v>145</v>
      </c>
      <c r="B68" s="49">
        <v>0</v>
      </c>
      <c r="C68" s="49" t="s">
        <v>73</v>
      </c>
      <c r="D68" s="49">
        <v>1</v>
      </c>
      <c r="E68" s="49" t="s">
        <v>72</v>
      </c>
      <c r="F68" s="49">
        <v>0</v>
      </c>
      <c r="G68" s="49" t="s">
        <v>82</v>
      </c>
      <c r="H68" s="16">
        <f ca="1">--TRIM(RIGHT(SUBSTITUTE(LEFT(C67,_xlfn.AGGREGATE(16,6,FIND({0,1,2,3,4,5,6,7,8,9},C67,ROW(INDIRECT("1:"&amp;LEN(C67)))),1))," ",REPT(" ",LEN(C67))),LEN(C67)))</f>
        <v>15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5" customHeight="1" x14ac:dyDescent="0.25">
      <c r="A69" s="93" t="s">
        <v>92</v>
      </c>
      <c r="B69" s="94"/>
      <c r="C69" s="95" t="str">
        <f ca="1">I67</f>
        <v>Excavation, Plinth Completed, RCC upto 13 Slab, Brickwork upto 8 Floor, Internal Plaster upto 2 Floor, External Plaster upto 1 Floor Completed</v>
      </c>
      <c r="D69" s="95"/>
      <c r="E69" s="95"/>
      <c r="F69" s="95"/>
      <c r="G69" s="95"/>
      <c r="H69" s="96"/>
      <c r="I69" s="47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0" ht="15.75" customHeight="1" x14ac:dyDescent="0.25">
      <c r="A70" s="134" t="s">
        <v>49</v>
      </c>
      <c r="B70" s="135"/>
      <c r="C70" s="41" t="s">
        <v>142</v>
      </c>
      <c r="D70" s="41" t="s">
        <v>85</v>
      </c>
      <c r="E70" s="135" t="s">
        <v>87</v>
      </c>
      <c r="F70" s="135"/>
      <c r="G70" s="135" t="s">
        <v>86</v>
      </c>
      <c r="H70" s="188"/>
      <c r="I70" s="13" t="s">
        <v>144</v>
      </c>
      <c r="J70" s="27">
        <f ca="1">H68*25%</f>
        <v>3.75</v>
      </c>
    </row>
    <row r="71" spans="1:10" x14ac:dyDescent="0.25">
      <c r="A71" s="134" t="s">
        <v>131</v>
      </c>
      <c r="B71" s="135"/>
      <c r="C71" s="41">
        <f ca="1">J72</f>
        <v>15</v>
      </c>
      <c r="D71" s="18">
        <f ca="1">((100/H68)*C71)/100</f>
        <v>1</v>
      </c>
      <c r="E71" s="125">
        <f ca="1">(((C72/H68*10)+(40/(D68+F68+H68)*C73)+(7.5/(H68)*C74)+(7.5/(H68)*C75)+(10/H68*C76)+(10/H68*C77)+(5/H68*C78)+(5/H68*C79)+(5/H68*C80))/100)</f>
        <v>0.48166666666666663</v>
      </c>
      <c r="F71" s="126"/>
      <c r="G71" s="125">
        <f ca="1">((((C71/H68)*20)+((C72/H68)*25)+(30/(H68+F68+D68)*C73)+(5/H68*C74)+(5/H68*C75)+(5/H68*C76)+(5/H68*C77)+(0/H68*C78)+(0/H68*C79)+(5/H68*C80))/100)</f>
        <v>0.73041666666666671</v>
      </c>
      <c r="H71" s="131"/>
      <c r="I71" s="13" t="s">
        <v>103</v>
      </c>
      <c r="J71" s="28">
        <f ca="1">H68*50%</f>
        <v>7.5</v>
      </c>
    </row>
    <row r="72" spans="1:10" x14ac:dyDescent="0.25">
      <c r="A72" s="134" t="s">
        <v>50</v>
      </c>
      <c r="B72" s="135"/>
      <c r="C72" s="59">
        <f ca="1">J80</f>
        <v>15</v>
      </c>
      <c r="D72" s="18">
        <f ca="1">((100/H68)*C72)/100</f>
        <v>1</v>
      </c>
      <c r="E72" s="127"/>
      <c r="F72" s="128"/>
      <c r="G72" s="127"/>
      <c r="H72" s="132"/>
      <c r="I72" s="13" t="s">
        <v>104</v>
      </c>
      <c r="J72" s="28">
        <f ca="1">H68</f>
        <v>15</v>
      </c>
    </row>
    <row r="73" spans="1:10" ht="15.75" customHeight="1" x14ac:dyDescent="0.25">
      <c r="A73" s="134" t="s">
        <v>132</v>
      </c>
      <c r="B73" s="135"/>
      <c r="C73" s="41">
        <v>13</v>
      </c>
      <c r="D73" s="18">
        <f ca="1">((100/(D68+F68+H68))*C73)/100</f>
        <v>0.8125</v>
      </c>
      <c r="E73" s="127"/>
      <c r="F73" s="128"/>
      <c r="G73" s="127"/>
      <c r="H73" s="132"/>
      <c r="I73" s="13" t="s">
        <v>105</v>
      </c>
      <c r="J73" s="29">
        <f ca="1">(IF(B68&gt;1,(H68/(B68+2)),H68/4))</f>
        <v>3.75</v>
      </c>
    </row>
    <row r="74" spans="1:10" ht="15.75" customHeight="1" x14ac:dyDescent="0.25">
      <c r="A74" s="134" t="s">
        <v>139</v>
      </c>
      <c r="B74" s="135" t="s">
        <v>133</v>
      </c>
      <c r="C74" s="41">
        <v>8</v>
      </c>
      <c r="D74" s="18">
        <f ca="1">((100/H68)*C74)/100</f>
        <v>0.53333333333333333</v>
      </c>
      <c r="E74" s="127"/>
      <c r="F74" s="128"/>
      <c r="G74" s="127"/>
      <c r="H74" s="132"/>
      <c r="I74" s="13" t="s">
        <v>106</v>
      </c>
      <c r="J74" s="29">
        <f ca="1">(IF(B68&gt;1,(H68/(B68+2)+J73),H68/4+J73))</f>
        <v>7.5</v>
      </c>
    </row>
    <row r="75" spans="1:10" ht="15.75" customHeight="1" x14ac:dyDescent="0.25">
      <c r="A75" s="134" t="s">
        <v>140</v>
      </c>
      <c r="B75" s="135" t="s">
        <v>133</v>
      </c>
      <c r="C75" s="41">
        <v>2</v>
      </c>
      <c r="D75" s="18">
        <f ca="1">((100/H68)*C75)/100</f>
        <v>0.13333333333333333</v>
      </c>
      <c r="E75" s="127"/>
      <c r="F75" s="128"/>
      <c r="G75" s="127"/>
      <c r="H75" s="132"/>
      <c r="I75" s="13" t="s">
        <v>151</v>
      </c>
      <c r="J75" s="29">
        <f>(IF(B68&gt;1,(H68/(B68+2)+J74),0))</f>
        <v>0</v>
      </c>
    </row>
    <row r="76" spans="1:10" ht="15" customHeight="1" x14ac:dyDescent="0.25">
      <c r="A76" s="134" t="s">
        <v>138</v>
      </c>
      <c r="B76" s="135" t="s">
        <v>135</v>
      </c>
      <c r="C76" s="41">
        <v>1</v>
      </c>
      <c r="D76" s="18">
        <f ca="1">((100/(H68))*C76)/100</f>
        <v>6.6666666666666666E-2</v>
      </c>
      <c r="E76" s="127"/>
      <c r="F76" s="128"/>
      <c r="G76" s="127"/>
      <c r="H76" s="132"/>
      <c r="I76" s="13" t="s">
        <v>146</v>
      </c>
      <c r="J76" s="29">
        <f>(IF(B68&gt;2,(H68/(B68+2)+J75),0))</f>
        <v>0</v>
      </c>
    </row>
    <row r="77" spans="1:10" ht="15.75" customHeight="1" x14ac:dyDescent="0.25">
      <c r="A77" s="134" t="s">
        <v>134</v>
      </c>
      <c r="B77" s="135" t="s">
        <v>134</v>
      </c>
      <c r="C77" s="41">
        <v>0</v>
      </c>
      <c r="D77" s="18">
        <f ca="1">((100/H68)*C77)/100</f>
        <v>0</v>
      </c>
      <c r="E77" s="127"/>
      <c r="F77" s="128"/>
      <c r="G77" s="127"/>
      <c r="H77" s="132"/>
      <c r="I77" s="13" t="s">
        <v>147</v>
      </c>
      <c r="J77" s="30">
        <f>(IF(B68&gt;3,(H68/(B68+2)+J76),0))</f>
        <v>0</v>
      </c>
    </row>
    <row r="78" spans="1:10" ht="15.75" customHeight="1" x14ac:dyDescent="0.25">
      <c r="A78" s="134" t="s">
        <v>141</v>
      </c>
      <c r="B78" s="135"/>
      <c r="C78" s="41">
        <v>0</v>
      </c>
      <c r="D78" s="18">
        <f ca="1">((100/H68)*C78)/100</f>
        <v>0</v>
      </c>
      <c r="E78" s="127"/>
      <c r="F78" s="128"/>
      <c r="G78" s="127"/>
      <c r="H78" s="132"/>
      <c r="I78" s="13" t="s">
        <v>148</v>
      </c>
      <c r="J78" s="29">
        <f>(IF(B68&gt;4,(H68/(B68+2)+J77),0))</f>
        <v>0</v>
      </c>
    </row>
    <row r="79" spans="1:10" ht="15.75" customHeight="1" x14ac:dyDescent="0.25">
      <c r="A79" s="134" t="s">
        <v>136</v>
      </c>
      <c r="B79" s="135" t="s">
        <v>136</v>
      </c>
      <c r="C79" s="41">
        <v>0</v>
      </c>
      <c r="D79" s="18">
        <f ca="1">((100/(H68))*C79)/100</f>
        <v>0</v>
      </c>
      <c r="E79" s="127"/>
      <c r="F79" s="128"/>
      <c r="G79" s="127"/>
      <c r="H79" s="132"/>
      <c r="I79" s="13" t="s">
        <v>152</v>
      </c>
      <c r="J79" s="29">
        <f ca="1">(IF(B68=1,(H68/(B68+3)+J74),IF(B68=0,(H68/4+J74),IF(B68&gt;1,0))))</f>
        <v>11.25</v>
      </c>
    </row>
    <row r="80" spans="1:10" ht="16.5" thickBot="1" x14ac:dyDescent="0.3">
      <c r="A80" s="136" t="s">
        <v>137</v>
      </c>
      <c r="B80" s="137"/>
      <c r="C80" s="42">
        <v>0</v>
      </c>
      <c r="D80" s="19">
        <f ca="1">((100/(H68))*C80)/100</f>
        <v>0</v>
      </c>
      <c r="E80" s="129"/>
      <c r="F80" s="130"/>
      <c r="G80" s="129"/>
      <c r="H80" s="133"/>
      <c r="I80" s="14" t="s">
        <v>107</v>
      </c>
      <c r="J80" s="31">
        <f ca="1">(IF(B68&gt;1.5,(H68/(B68+2)+J74+MAX(0,J75-J74)+MAX(0,J76-J75)+MAX(0,J77-J76)+MAX(0,J78-J77)+MAX(0,J79-J78)),IF(B68=1,(H68/(B68+3)+J79),IF(B68=0,H68/4+J79))))</f>
        <v>15</v>
      </c>
    </row>
    <row r="81" spans="1:10" ht="15.75" hidden="1" customHeight="1" x14ac:dyDescent="0.25">
      <c r="A81" s="99" t="s">
        <v>143</v>
      </c>
      <c r="B81" s="100"/>
      <c r="C81" s="101" t="s">
        <v>225</v>
      </c>
      <c r="D81" s="102"/>
      <c r="E81" s="102"/>
      <c r="F81" s="102"/>
      <c r="G81" s="102"/>
      <c r="H81" s="103"/>
      <c r="I81" s="45" t="str">
        <f ca="1">IF(D94=100%,"All work Completed. Possession granted to the Building.",IF(D93=100%,"All work Completed, Waiting for OC",I82&amp;""&amp;I83&amp;""&amp;J82&amp;""&amp;J81&amp;" "&amp;J83))</f>
        <v>Excavation, Plinth Completed, RCC upto 13 Slab, Brickwork upto 8 Floor, Internal Plaster upto 1 Floor Completed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13 Slab, Brickwork upto 8 Floor, Internal Plaster upto 1 Floor</v>
      </c>
    </row>
    <row r="82" spans="1:10" hidden="1" x14ac:dyDescent="0.25">
      <c r="A82" s="15" t="s">
        <v>145</v>
      </c>
      <c r="B82" s="54">
        <v>0</v>
      </c>
      <c r="C82" s="54" t="s">
        <v>73</v>
      </c>
      <c r="D82" s="54">
        <v>1</v>
      </c>
      <c r="E82" s="54" t="s">
        <v>72</v>
      </c>
      <c r="F82" s="54">
        <v>0</v>
      </c>
      <c r="G82" s="54" t="s">
        <v>82</v>
      </c>
      <c r="H82" s="16">
        <f ca="1">--TRIM(RIGHT(SUBSTITUTE(LEFT(C81,_xlfn.AGGREGATE(16,6,FIND({0,1,2,3,4,5,6,7,8,9},C81,ROW(INDIRECT("1:"&amp;LEN(C81)))),1))," ",REPT(" ",LEN(C81))),LEN(C81)))</f>
        <v>15</v>
      </c>
      <c r="I82" s="47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hidden="1" customHeight="1" x14ac:dyDescent="0.25">
      <c r="A83" s="93" t="s">
        <v>92</v>
      </c>
      <c r="B83" s="94"/>
      <c r="C83" s="95" t="str">
        <f ca="1">(IF($G$52="NA",I81,"All work Completed. OC Received."))</f>
        <v>Excavation, Plinth Completed, RCC upto 13 Slab, Brickwork upto 8 Floor, Internal Plaster upto 1 Floor Completed</v>
      </c>
      <c r="D83" s="95"/>
      <c r="E83" s="95"/>
      <c r="F83" s="95"/>
      <c r="G83" s="95"/>
      <c r="H83" s="96"/>
      <c r="I83" s="47" t="str">
        <f ca="1">IF(I82&lt;&gt;""," Completed","")</f>
        <v xml:space="preserve"> Completed</v>
      </c>
      <c r="J83" s="48" t="str">
        <f ca="1">IF(J81&lt;&gt;"","Completed","")</f>
        <v>Completed</v>
      </c>
    </row>
    <row r="84" spans="1:10" ht="15.75" hidden="1" customHeight="1" x14ac:dyDescent="0.25">
      <c r="A84" s="84" t="s">
        <v>49</v>
      </c>
      <c r="B84" s="85"/>
      <c r="C84" s="61" t="s">
        <v>142</v>
      </c>
      <c r="D84" s="61" t="s">
        <v>85</v>
      </c>
      <c r="E84" s="85" t="s">
        <v>87</v>
      </c>
      <c r="F84" s="85"/>
      <c r="G84" s="85" t="s">
        <v>86</v>
      </c>
      <c r="H84" s="92"/>
      <c r="I84" s="13" t="s">
        <v>144</v>
      </c>
      <c r="J84" s="27">
        <f ca="1">H82*25%</f>
        <v>3.75</v>
      </c>
    </row>
    <row r="85" spans="1:10" hidden="1" x14ac:dyDescent="0.25">
      <c r="A85" s="84" t="s">
        <v>131</v>
      </c>
      <c r="B85" s="85"/>
      <c r="C85" s="61">
        <f ca="1">J86</f>
        <v>15</v>
      </c>
      <c r="D85" s="62">
        <f ca="1">((100/H82)*C85)/100</f>
        <v>1</v>
      </c>
      <c r="E85" s="86">
        <f ca="1">(((C86/H82*10)+(40/(D82+F82+H82)*C87)+(7.5/(H82)*C88)+(7.5/(H82)*C89)+(10/H82*C90)+(10/H82*C91)+(5/H82*C92)+(5/H82*C93)+(5/H82*C94))/100)</f>
        <v>0.47</v>
      </c>
      <c r="F85" s="113"/>
      <c r="G85" s="86">
        <f ca="1">((((C85/H82)*20)+((C86/H82)*25)+(30/(H82+F82+D82)*C87)+(5/H82*C88)+(5/H82*C89)+(5/H82*C90)+(5/H82*C91)+(0/H82*C92)+(0/H82*C93)+(5/H82*C94))/100)</f>
        <v>0.72375</v>
      </c>
      <c r="H85" s="87"/>
      <c r="I85" s="13" t="s">
        <v>103</v>
      </c>
      <c r="J85" s="28">
        <f ca="1">H82*50%</f>
        <v>7.5</v>
      </c>
    </row>
    <row r="86" spans="1:10" hidden="1" x14ac:dyDescent="0.25">
      <c r="A86" s="84" t="s">
        <v>50</v>
      </c>
      <c r="B86" s="85"/>
      <c r="C86" s="61">
        <f ca="1">J94</f>
        <v>15</v>
      </c>
      <c r="D86" s="62">
        <f ca="1">((100/H82)*C86)/100</f>
        <v>1</v>
      </c>
      <c r="E86" s="88"/>
      <c r="F86" s="114"/>
      <c r="G86" s="88"/>
      <c r="H86" s="89"/>
      <c r="I86" s="13" t="s">
        <v>104</v>
      </c>
      <c r="J86" s="28">
        <f ca="1">H82</f>
        <v>15</v>
      </c>
    </row>
    <row r="87" spans="1:10" ht="15.75" hidden="1" customHeight="1" x14ac:dyDescent="0.25">
      <c r="A87" s="84" t="s">
        <v>132</v>
      </c>
      <c r="B87" s="85"/>
      <c r="C87" s="61">
        <v>13</v>
      </c>
      <c r="D87" s="62">
        <f ca="1">((100/(D82+F82+H82))*C87)/100</f>
        <v>0.8125</v>
      </c>
      <c r="E87" s="88"/>
      <c r="F87" s="114"/>
      <c r="G87" s="88"/>
      <c r="H87" s="89"/>
      <c r="I87" s="13" t="s">
        <v>105</v>
      </c>
      <c r="J87" s="29">
        <f ca="1">(IF(B82&gt;1,(H82/(B82+2)),H82/4))</f>
        <v>3.75</v>
      </c>
    </row>
    <row r="88" spans="1:10" ht="15.75" hidden="1" customHeight="1" x14ac:dyDescent="0.25">
      <c r="A88" s="84" t="s">
        <v>139</v>
      </c>
      <c r="B88" s="85" t="s">
        <v>133</v>
      </c>
      <c r="C88" s="61">
        <v>8</v>
      </c>
      <c r="D88" s="62">
        <f ca="1">((100/H82)*C88)/100</f>
        <v>0.53333333333333333</v>
      </c>
      <c r="E88" s="88"/>
      <c r="F88" s="114"/>
      <c r="G88" s="88"/>
      <c r="H88" s="89"/>
      <c r="I88" s="13" t="s">
        <v>106</v>
      </c>
      <c r="J88" s="29">
        <f ca="1">(IF(B82&gt;1,(H82/(B82+2)+J87),H82/4+J87))</f>
        <v>7.5</v>
      </c>
    </row>
    <row r="89" spans="1:10" ht="15.75" hidden="1" customHeight="1" x14ac:dyDescent="0.25">
      <c r="A89" s="84" t="s">
        <v>140</v>
      </c>
      <c r="B89" s="85" t="s">
        <v>133</v>
      </c>
      <c r="C89" s="61">
        <v>1</v>
      </c>
      <c r="D89" s="62">
        <f ca="1">((100/H82)*C89)/100</f>
        <v>6.6666666666666666E-2</v>
      </c>
      <c r="E89" s="88"/>
      <c r="F89" s="114"/>
      <c r="G89" s="88"/>
      <c r="H89" s="89"/>
      <c r="I89" s="13" t="s">
        <v>151</v>
      </c>
      <c r="J89" s="29">
        <f>(IF(B82&gt;1,(H82/(B82+2)+J88),0))</f>
        <v>0</v>
      </c>
    </row>
    <row r="90" spans="1:10" ht="15" hidden="1" customHeight="1" x14ac:dyDescent="0.25">
      <c r="A90" s="84" t="s">
        <v>138</v>
      </c>
      <c r="B90" s="85" t="s">
        <v>135</v>
      </c>
      <c r="C90" s="61">
        <v>0</v>
      </c>
      <c r="D90" s="62">
        <f ca="1">((100/(H82))*C90)/100</f>
        <v>0</v>
      </c>
      <c r="E90" s="88"/>
      <c r="F90" s="114"/>
      <c r="G90" s="88"/>
      <c r="H90" s="89"/>
      <c r="I90" s="13" t="s">
        <v>146</v>
      </c>
      <c r="J90" s="29">
        <f>(IF(B82&gt;2,(H82/(B82+2)+J89),0))</f>
        <v>0</v>
      </c>
    </row>
    <row r="91" spans="1:10" ht="15.75" hidden="1" customHeight="1" x14ac:dyDescent="0.25">
      <c r="A91" s="84" t="s">
        <v>134</v>
      </c>
      <c r="B91" s="85" t="s">
        <v>134</v>
      </c>
      <c r="C91" s="61">
        <v>0</v>
      </c>
      <c r="D91" s="62">
        <f ca="1">((100/H82)*C91)/100</f>
        <v>0</v>
      </c>
      <c r="E91" s="88"/>
      <c r="F91" s="114"/>
      <c r="G91" s="88"/>
      <c r="H91" s="89"/>
      <c r="I91" s="13" t="s">
        <v>147</v>
      </c>
      <c r="J91" s="30">
        <f>(IF(B82&gt;3,(H82/(B82+2)+J90),0))</f>
        <v>0</v>
      </c>
    </row>
    <row r="92" spans="1:10" ht="15.75" hidden="1" customHeight="1" x14ac:dyDescent="0.25">
      <c r="A92" s="84" t="s">
        <v>141</v>
      </c>
      <c r="B92" s="85"/>
      <c r="C92" s="61">
        <v>0</v>
      </c>
      <c r="D92" s="62">
        <f ca="1">((100/H82)*C92)/100</f>
        <v>0</v>
      </c>
      <c r="E92" s="88"/>
      <c r="F92" s="114"/>
      <c r="G92" s="88"/>
      <c r="H92" s="89"/>
      <c r="I92" s="13" t="s">
        <v>148</v>
      </c>
      <c r="J92" s="29">
        <f>(IF(B82&gt;4,(H82/(B82+2)+J91),0))</f>
        <v>0</v>
      </c>
    </row>
    <row r="93" spans="1:10" ht="15.75" hidden="1" customHeight="1" x14ac:dyDescent="0.25">
      <c r="A93" s="84" t="s">
        <v>136</v>
      </c>
      <c r="B93" s="85" t="s">
        <v>136</v>
      </c>
      <c r="C93" s="61">
        <v>0</v>
      </c>
      <c r="D93" s="62">
        <f ca="1">((100/(H82))*C93)/100</f>
        <v>0</v>
      </c>
      <c r="E93" s="88"/>
      <c r="F93" s="114"/>
      <c r="G93" s="88"/>
      <c r="H93" s="89"/>
      <c r="I93" s="13" t="s">
        <v>152</v>
      </c>
      <c r="J93" s="29">
        <f ca="1">(IF(B82=1,(H82/(B82+3)+J88),IF(B82=0,(H82/4+J88),IF(B82&gt;1,0))))</f>
        <v>11.25</v>
      </c>
    </row>
    <row r="94" spans="1:10" ht="16.5" hidden="1" thickBot="1" x14ac:dyDescent="0.3">
      <c r="A94" s="116" t="s">
        <v>137</v>
      </c>
      <c r="B94" s="117"/>
      <c r="C94" s="63">
        <v>0</v>
      </c>
      <c r="D94" s="64">
        <f ca="1">((100/(H82))*C94)/100</f>
        <v>0</v>
      </c>
      <c r="E94" s="90"/>
      <c r="F94" s="115"/>
      <c r="G94" s="90"/>
      <c r="H94" s="91"/>
      <c r="I94" s="14" t="s">
        <v>107</v>
      </c>
      <c r="J94" s="31">
        <f ca="1">(IF(B82&gt;1.5,(H82/(B82+2)+J88+MAX(0,J89-J88)+MAX(0,J90-J89)+MAX(0,J91-J90)+MAX(0,J92-J91)+MAX(0,J93-J92)),IF(B82=1,(H82/(B82+3)+J93),IF(B82=0,H82/4+J93))))</f>
        <v>15</v>
      </c>
    </row>
    <row r="95" spans="1:10" ht="15.75" hidden="1" customHeight="1" x14ac:dyDescent="0.25">
      <c r="A95" s="99" t="s">
        <v>143</v>
      </c>
      <c r="B95" s="100"/>
      <c r="C95" s="101" t="s">
        <v>224</v>
      </c>
      <c r="D95" s="102"/>
      <c r="E95" s="102"/>
      <c r="F95" s="102"/>
      <c r="G95" s="102"/>
      <c r="H95" s="103"/>
      <c r="I95" s="45" t="str">
        <f ca="1">IF(D108=100%,"All work Completed. Possession granted to the Building.",IF(D107=100%,"All work Completed, Waiting for OC",I96&amp;""&amp;I97&amp;""&amp;J96&amp;""&amp;J95&amp;" "&amp;J97))</f>
        <v>Excavation, Plinth Completed, RCC upto 12 Slab, Brickwork upto 8 Floor Completed</v>
      </c>
      <c r="J95" s="46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12 Slab, Brickwork upto 8 Floor</v>
      </c>
    </row>
    <row r="96" spans="1:10" hidden="1" x14ac:dyDescent="0.25">
      <c r="A96" s="15" t="s">
        <v>145</v>
      </c>
      <c r="B96" s="54">
        <v>0</v>
      </c>
      <c r="C96" s="54" t="s">
        <v>73</v>
      </c>
      <c r="D96" s="54">
        <v>1</v>
      </c>
      <c r="E96" s="54" t="s">
        <v>72</v>
      </c>
      <c r="F96" s="54">
        <v>0</v>
      </c>
      <c r="G96" s="54" t="s">
        <v>82</v>
      </c>
      <c r="H96" s="16">
        <f ca="1">--TRIM(RIGHT(SUBSTITUTE(LEFT(C95,_xlfn.AGGREGATE(16,6,FIND({0,1,2,3,4,5,6,7,8,9},C95,ROW(INDIRECT("1:"&amp;LEN(C95)))),1))," ",REPT(" ",LEN(C95))),LEN(C95)))</f>
        <v>15</v>
      </c>
      <c r="I96" s="47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48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2" ht="33" hidden="1" customHeight="1" x14ac:dyDescent="0.25">
      <c r="A97" s="93" t="s">
        <v>92</v>
      </c>
      <c r="B97" s="94"/>
      <c r="C97" s="95" t="str">
        <f ca="1">(IF($G$52="NA",I95,"All work Completed. OC Received."))</f>
        <v>Excavation, Plinth Completed, RCC upto 12 Slab, Brickwork upto 8 Floor Completed</v>
      </c>
      <c r="D97" s="95"/>
      <c r="E97" s="95"/>
      <c r="F97" s="95"/>
      <c r="G97" s="95"/>
      <c r="H97" s="96"/>
      <c r="I97" s="47" t="str">
        <f ca="1">IF(I96&lt;&gt;""," Completed","")</f>
        <v xml:space="preserve"> Completed</v>
      </c>
      <c r="J97" s="48" t="str">
        <f ca="1">IF(J95&lt;&gt;"","Completed","")</f>
        <v>Completed</v>
      </c>
    </row>
    <row r="98" spans="1:12" ht="15.75" hidden="1" customHeight="1" x14ac:dyDescent="0.25">
      <c r="A98" s="84" t="s">
        <v>49</v>
      </c>
      <c r="B98" s="85"/>
      <c r="C98" s="61" t="s">
        <v>142</v>
      </c>
      <c r="D98" s="61" t="s">
        <v>85</v>
      </c>
      <c r="E98" s="85" t="s">
        <v>87</v>
      </c>
      <c r="F98" s="85"/>
      <c r="G98" s="85" t="s">
        <v>86</v>
      </c>
      <c r="H98" s="92"/>
      <c r="I98" s="13" t="s">
        <v>144</v>
      </c>
      <c r="J98" s="27">
        <f ca="1">H96*25%</f>
        <v>3.75</v>
      </c>
    </row>
    <row r="99" spans="1:12" hidden="1" x14ac:dyDescent="0.25">
      <c r="A99" s="84" t="s">
        <v>131</v>
      </c>
      <c r="B99" s="85"/>
      <c r="C99" s="61">
        <f ca="1">J100</f>
        <v>15</v>
      </c>
      <c r="D99" s="62">
        <f ca="1">((100/H96)*C99)/100</f>
        <v>1</v>
      </c>
      <c r="E99" s="86">
        <f ca="1">(((C100/H96*10)+(40/(D96+F96+H96)*C101)+(7.5/(H96)*C102)+(7.5/(H96)*C103)+(10/H96*C104)+(10/H96*C105)+(5/H96*C106)+(5/H96*C107)+(5/H96*C108))/100)</f>
        <v>0.44</v>
      </c>
      <c r="F99" s="113"/>
      <c r="G99" s="86">
        <f ca="1">((((C99/H96)*20)+((C100/H96)*25)+(30/(H96+F96+D96)*C101)+(5/H96*C102)+(5/H96*C103)+(5/H96*C104)+(5/H96*C105)+(0/H96*C106)+(0/H96*C107)+(5/H96*C108))/100)</f>
        <v>0.70166666666666666</v>
      </c>
      <c r="H99" s="87"/>
      <c r="I99" s="13" t="s">
        <v>103</v>
      </c>
      <c r="J99" s="28">
        <f ca="1">H96*50%</f>
        <v>7.5</v>
      </c>
    </row>
    <row r="100" spans="1:12" hidden="1" x14ac:dyDescent="0.25">
      <c r="A100" s="84" t="s">
        <v>50</v>
      </c>
      <c r="B100" s="85"/>
      <c r="C100" s="61">
        <f ca="1">J108</f>
        <v>15</v>
      </c>
      <c r="D100" s="62">
        <f ca="1">((100/H96)*C100)/100</f>
        <v>1</v>
      </c>
      <c r="E100" s="88"/>
      <c r="F100" s="114"/>
      <c r="G100" s="88"/>
      <c r="H100" s="89"/>
      <c r="I100" s="13" t="s">
        <v>104</v>
      </c>
      <c r="J100" s="28">
        <f ca="1">H96</f>
        <v>15</v>
      </c>
    </row>
    <row r="101" spans="1:12" ht="15.75" hidden="1" customHeight="1" x14ac:dyDescent="0.25">
      <c r="A101" s="84" t="s">
        <v>132</v>
      </c>
      <c r="B101" s="85"/>
      <c r="C101" s="61">
        <v>12</v>
      </c>
      <c r="D101" s="62">
        <f ca="1">((100/(D96+F96+H96))*C101)/100</f>
        <v>0.75</v>
      </c>
      <c r="E101" s="88"/>
      <c r="F101" s="114"/>
      <c r="G101" s="88"/>
      <c r="H101" s="89"/>
      <c r="I101" s="13" t="s">
        <v>105</v>
      </c>
      <c r="J101" s="29">
        <f ca="1">(IF(B96&gt;1,(H96/(B96+2)),H96/4))</f>
        <v>3.75</v>
      </c>
    </row>
    <row r="102" spans="1:12" ht="15.75" hidden="1" customHeight="1" x14ac:dyDescent="0.25">
      <c r="A102" s="84" t="s">
        <v>139</v>
      </c>
      <c r="B102" s="85" t="s">
        <v>133</v>
      </c>
      <c r="C102" s="61">
        <v>8</v>
      </c>
      <c r="D102" s="62">
        <f ca="1">((100/H96)*C102)/100</f>
        <v>0.53333333333333333</v>
      </c>
      <c r="E102" s="88"/>
      <c r="F102" s="114"/>
      <c r="G102" s="88"/>
      <c r="H102" s="89"/>
      <c r="I102" s="13" t="s">
        <v>106</v>
      </c>
      <c r="J102" s="29">
        <f ca="1">(IF(B96&gt;1,(H96/(B96+2)+J101),H96/4+J101))</f>
        <v>7.5</v>
      </c>
    </row>
    <row r="103" spans="1:12" ht="15.75" hidden="1" customHeight="1" x14ac:dyDescent="0.25">
      <c r="A103" s="84" t="s">
        <v>140</v>
      </c>
      <c r="B103" s="85" t="s">
        <v>133</v>
      </c>
      <c r="C103" s="61">
        <v>0</v>
      </c>
      <c r="D103" s="62">
        <f ca="1">((100/H96)*C103)/100</f>
        <v>0</v>
      </c>
      <c r="E103" s="88"/>
      <c r="F103" s="114"/>
      <c r="G103" s="88"/>
      <c r="H103" s="89"/>
      <c r="I103" s="13" t="s">
        <v>151</v>
      </c>
      <c r="J103" s="29">
        <f>(IF(B96&gt;1,(H96/(B96+2)+J102),0))</f>
        <v>0</v>
      </c>
    </row>
    <row r="104" spans="1:12" ht="15" hidden="1" customHeight="1" x14ac:dyDescent="0.25">
      <c r="A104" s="84" t="s">
        <v>138</v>
      </c>
      <c r="B104" s="85" t="s">
        <v>135</v>
      </c>
      <c r="C104" s="61">
        <v>0</v>
      </c>
      <c r="D104" s="62">
        <f ca="1">((100/(H96))*C104)/100</f>
        <v>0</v>
      </c>
      <c r="E104" s="88"/>
      <c r="F104" s="114"/>
      <c r="G104" s="88"/>
      <c r="H104" s="89"/>
      <c r="I104" s="13" t="s">
        <v>146</v>
      </c>
      <c r="J104" s="29">
        <f>(IF(B96&gt;2,(H96/(B96+2)+J103),0))</f>
        <v>0</v>
      </c>
    </row>
    <row r="105" spans="1:12" ht="15.75" hidden="1" customHeight="1" x14ac:dyDescent="0.25">
      <c r="A105" s="84" t="s">
        <v>134</v>
      </c>
      <c r="B105" s="85" t="s">
        <v>134</v>
      </c>
      <c r="C105" s="61">
        <v>0</v>
      </c>
      <c r="D105" s="62">
        <f ca="1">((100/H96)*C105)/100</f>
        <v>0</v>
      </c>
      <c r="E105" s="88"/>
      <c r="F105" s="114"/>
      <c r="G105" s="88"/>
      <c r="H105" s="89"/>
      <c r="I105" s="13" t="s">
        <v>147</v>
      </c>
      <c r="J105" s="30">
        <f>(IF(B96&gt;3,(H96/(B96+2)+J104),0))</f>
        <v>0</v>
      </c>
    </row>
    <row r="106" spans="1:12" ht="15.75" hidden="1" customHeight="1" x14ac:dyDescent="0.25">
      <c r="A106" s="84" t="s">
        <v>141</v>
      </c>
      <c r="B106" s="85"/>
      <c r="C106" s="61">
        <v>0</v>
      </c>
      <c r="D106" s="62">
        <f ca="1">((100/H96)*C106)/100</f>
        <v>0</v>
      </c>
      <c r="E106" s="88"/>
      <c r="F106" s="114"/>
      <c r="G106" s="88"/>
      <c r="H106" s="89"/>
      <c r="I106" s="13" t="s">
        <v>148</v>
      </c>
      <c r="J106" s="29">
        <f>(IF(B96&gt;4,(H96/(B96+2)+J105),0))</f>
        <v>0</v>
      </c>
    </row>
    <row r="107" spans="1:12" ht="15.75" hidden="1" customHeight="1" x14ac:dyDescent="0.25">
      <c r="A107" s="84" t="s">
        <v>136</v>
      </c>
      <c r="B107" s="85" t="s">
        <v>136</v>
      </c>
      <c r="C107" s="61">
        <v>0</v>
      </c>
      <c r="D107" s="62">
        <f ca="1">((100/(H96))*C107)/100</f>
        <v>0</v>
      </c>
      <c r="E107" s="88"/>
      <c r="F107" s="114"/>
      <c r="G107" s="88"/>
      <c r="H107" s="89"/>
      <c r="I107" s="13" t="s">
        <v>152</v>
      </c>
      <c r="J107" s="29">
        <f ca="1">(IF(B96=1,(H96/(B96+3)+J102),IF(B96=0,(H96/4+J102),IF(B96&gt;1,0))))</f>
        <v>11.25</v>
      </c>
    </row>
    <row r="108" spans="1:12" ht="16.5" hidden="1" thickBot="1" x14ac:dyDescent="0.3">
      <c r="A108" s="116" t="s">
        <v>137</v>
      </c>
      <c r="B108" s="117"/>
      <c r="C108" s="63">
        <v>0</v>
      </c>
      <c r="D108" s="64">
        <f ca="1">((100/(H96))*C108)/100</f>
        <v>0</v>
      </c>
      <c r="E108" s="90"/>
      <c r="F108" s="115"/>
      <c r="G108" s="90"/>
      <c r="H108" s="91"/>
      <c r="I108" s="14" t="s">
        <v>107</v>
      </c>
      <c r="J108" s="31">
        <f ca="1">(IF(B96&gt;1.5,(H96/(B96+2)+J102+MAX(0,J103-J102)+MAX(0,J104-J103)+MAX(0,J105-J104)+MAX(0,J106-J105)+MAX(0,J107-J106)),IF(B96=1,(H96/(B96+3)+J107),IF(B96=0,H96/4+J107))))</f>
        <v>15</v>
      </c>
    </row>
    <row r="109" spans="1:12" x14ac:dyDescent="0.25">
      <c r="A109" s="98" t="s">
        <v>165</v>
      </c>
      <c r="B109" s="98"/>
      <c r="C109" s="98"/>
      <c r="D109" s="98"/>
      <c r="E109" s="98"/>
      <c r="F109" s="118" t="s">
        <v>170</v>
      </c>
      <c r="G109" s="118"/>
      <c r="H109" s="118"/>
      <c r="I109" s="65"/>
      <c r="J109" s="65" t="s">
        <v>227</v>
      </c>
      <c r="K109" s="65" t="s">
        <v>228</v>
      </c>
      <c r="L109" s="65"/>
    </row>
    <row r="110" spans="1:12" x14ac:dyDescent="0.25">
      <c r="A110" s="69" t="s">
        <v>168</v>
      </c>
      <c r="B110" s="69"/>
      <c r="C110" s="69"/>
      <c r="D110" s="69"/>
      <c r="E110" s="69"/>
      <c r="F110" s="221">
        <v>9500</v>
      </c>
      <c r="G110" s="221"/>
      <c r="H110" s="221"/>
      <c r="I110" s="65"/>
      <c r="J110" s="68">
        <f>AVERAGE(J154:J157)</f>
        <v>10926.997480043754</v>
      </c>
      <c r="K110" s="65">
        <v>10000</v>
      </c>
      <c r="L110" s="65"/>
    </row>
    <row r="111" spans="1:12" hidden="1" x14ac:dyDescent="0.25">
      <c r="A111" s="69" t="s">
        <v>167</v>
      </c>
      <c r="B111" s="69"/>
      <c r="C111" s="69"/>
      <c r="D111" s="69"/>
      <c r="E111" s="69"/>
      <c r="F111" s="221"/>
      <c r="G111" s="221"/>
      <c r="H111" s="221"/>
      <c r="I111" s="65"/>
      <c r="J111" s="65"/>
      <c r="K111" s="65"/>
      <c r="L111" s="65"/>
    </row>
    <row r="112" spans="1:12" hidden="1" x14ac:dyDescent="0.25">
      <c r="A112" s="69" t="s">
        <v>169</v>
      </c>
      <c r="B112" s="69"/>
      <c r="C112" s="69"/>
      <c r="D112" s="69"/>
      <c r="E112" s="69"/>
      <c r="F112" s="221"/>
      <c r="G112" s="221"/>
      <c r="H112" s="221"/>
      <c r="I112" s="65"/>
      <c r="J112" s="65"/>
      <c r="K112" s="65"/>
      <c r="L112" s="65"/>
    </row>
    <row r="113" spans="1:12" s="32" customFormat="1" hidden="1" x14ac:dyDescent="0.25">
      <c r="A113" s="69" t="s">
        <v>166</v>
      </c>
      <c r="B113" s="69"/>
      <c r="C113" s="69"/>
      <c r="D113" s="69"/>
      <c r="E113" s="69"/>
      <c r="F113" s="221"/>
      <c r="G113" s="221"/>
      <c r="H113" s="221"/>
      <c r="I113" s="66"/>
      <c r="J113" s="66"/>
      <c r="K113" s="66"/>
      <c r="L113" s="66"/>
    </row>
    <row r="114" spans="1:12" s="32" customFormat="1" hidden="1" x14ac:dyDescent="0.25">
      <c r="A114" s="69" t="s">
        <v>97</v>
      </c>
      <c r="B114" s="69"/>
      <c r="C114" s="69"/>
      <c r="D114" s="69"/>
      <c r="E114" s="69"/>
      <c r="F114" s="221"/>
      <c r="G114" s="221"/>
      <c r="H114" s="221"/>
      <c r="I114" s="66"/>
      <c r="J114" s="66"/>
      <c r="K114" s="66"/>
      <c r="L114" s="66"/>
    </row>
    <row r="115" spans="1:12" s="32" customFormat="1" hidden="1" x14ac:dyDescent="0.25">
      <c r="A115" s="69" t="s">
        <v>98</v>
      </c>
      <c r="B115" s="69"/>
      <c r="C115" s="69"/>
      <c r="D115" s="69"/>
      <c r="E115" s="69"/>
      <c r="F115" s="221"/>
      <c r="G115" s="221"/>
      <c r="H115" s="221"/>
      <c r="I115" s="66"/>
      <c r="J115" s="66"/>
      <c r="K115" s="66"/>
      <c r="L115" s="66"/>
    </row>
    <row r="116" spans="1:12" s="32" customFormat="1" hidden="1" x14ac:dyDescent="0.25">
      <c r="A116" s="69" t="s">
        <v>171</v>
      </c>
      <c r="B116" s="69"/>
      <c r="C116" s="69"/>
      <c r="D116" s="69"/>
      <c r="E116" s="69"/>
      <c r="F116" s="221"/>
      <c r="G116" s="221"/>
      <c r="H116" s="221"/>
      <c r="I116" s="66"/>
      <c r="J116" s="66"/>
      <c r="K116" s="66"/>
      <c r="L116" s="66"/>
    </row>
    <row r="117" spans="1:12" s="32" customFormat="1" hidden="1" x14ac:dyDescent="0.25">
      <c r="A117" s="69" t="s">
        <v>99</v>
      </c>
      <c r="B117" s="69"/>
      <c r="C117" s="69"/>
      <c r="D117" s="69"/>
      <c r="E117" s="69"/>
      <c r="F117" s="221"/>
      <c r="G117" s="221"/>
      <c r="H117" s="221"/>
      <c r="I117" s="66"/>
      <c r="J117" s="66"/>
      <c r="K117" s="66"/>
      <c r="L117" s="66"/>
    </row>
    <row r="118" spans="1:12" s="32" customFormat="1" hidden="1" x14ac:dyDescent="0.25">
      <c r="A118" s="69" t="s">
        <v>100</v>
      </c>
      <c r="B118" s="69"/>
      <c r="C118" s="69"/>
      <c r="D118" s="69"/>
      <c r="E118" s="69"/>
      <c r="F118" s="221"/>
      <c r="G118" s="221"/>
      <c r="H118" s="221"/>
      <c r="I118" s="66"/>
      <c r="J118" s="66"/>
      <c r="K118" s="66"/>
      <c r="L118" s="66"/>
    </row>
    <row r="119" spans="1:12" s="32" customFormat="1" hidden="1" x14ac:dyDescent="0.25">
      <c r="A119" s="69" t="s">
        <v>101</v>
      </c>
      <c r="B119" s="69"/>
      <c r="C119" s="69"/>
      <c r="D119" s="69"/>
      <c r="E119" s="69"/>
      <c r="F119" s="221"/>
      <c r="G119" s="221"/>
      <c r="H119" s="221"/>
      <c r="I119" s="66"/>
      <c r="J119" s="66"/>
      <c r="K119" s="66"/>
      <c r="L119" s="66"/>
    </row>
    <row r="120" spans="1:12" s="32" customFormat="1" hidden="1" x14ac:dyDescent="0.25">
      <c r="A120" s="69" t="s">
        <v>102</v>
      </c>
      <c r="B120" s="69"/>
      <c r="C120" s="69"/>
      <c r="D120" s="69"/>
      <c r="E120" s="69"/>
      <c r="F120" s="221"/>
      <c r="G120" s="221"/>
      <c r="H120" s="221"/>
      <c r="I120" s="66"/>
      <c r="J120" s="66"/>
      <c r="K120" s="66"/>
      <c r="L120" s="66"/>
    </row>
    <row r="121" spans="1:12" x14ac:dyDescent="0.25">
      <c r="A121" s="69" t="s">
        <v>51</v>
      </c>
      <c r="B121" s="69"/>
      <c r="C121" s="69"/>
      <c r="D121" s="69"/>
      <c r="E121" s="69"/>
      <c r="F121" s="221">
        <v>500000</v>
      </c>
      <c r="G121" s="221"/>
      <c r="H121" s="221"/>
      <c r="I121" s="65"/>
      <c r="J121" s="65"/>
      <c r="K121" s="65"/>
      <c r="L121" s="65"/>
    </row>
    <row r="122" spans="1:12" s="33" customFormat="1" x14ac:dyDescent="0.25">
      <c r="A122" s="142" t="s">
        <v>52</v>
      </c>
      <c r="B122" s="142"/>
      <c r="C122" s="142"/>
      <c r="D122" s="142"/>
      <c r="E122" s="142"/>
      <c r="F122" s="221">
        <f>F110*0.8</f>
        <v>7600</v>
      </c>
      <c r="G122" s="221"/>
      <c r="H122" s="221"/>
      <c r="I122" s="67"/>
      <c r="J122" s="67"/>
      <c r="K122" s="67"/>
      <c r="L122" s="67"/>
    </row>
    <row r="123" spans="1:12" s="34" customFormat="1" ht="15.75" hidden="1" customHeight="1" x14ac:dyDescent="0.25">
      <c r="A123" s="80" t="s">
        <v>77</v>
      </c>
      <c r="B123" s="80"/>
      <c r="C123" s="80"/>
      <c r="D123" s="80"/>
      <c r="E123" s="80"/>
      <c r="F123" s="80"/>
      <c r="G123" s="80"/>
      <c r="H123" s="80"/>
    </row>
    <row r="124" spans="1:12" s="34" customFormat="1" ht="15.75" hidden="1" customHeight="1" x14ac:dyDescent="0.25">
      <c r="A124" s="76" t="s">
        <v>53</v>
      </c>
      <c r="B124" s="76"/>
      <c r="C124" s="75" t="s">
        <v>80</v>
      </c>
      <c r="D124" s="75"/>
      <c r="E124" s="81" t="s">
        <v>54</v>
      </c>
      <c r="F124" s="81"/>
      <c r="G124" s="76" t="s">
        <v>55</v>
      </c>
      <c r="H124" s="76"/>
    </row>
    <row r="125" spans="1:12" s="34" customFormat="1" hidden="1" x14ac:dyDescent="0.25">
      <c r="A125" s="82"/>
      <c r="B125" s="82"/>
      <c r="C125" s="77"/>
      <c r="D125" s="77"/>
      <c r="E125" s="78"/>
      <c r="F125" s="78"/>
      <c r="G125" s="79"/>
      <c r="H125" s="79"/>
    </row>
    <row r="126" spans="1:12" s="34" customFormat="1" hidden="1" x14ac:dyDescent="0.25">
      <c r="A126" s="82"/>
      <c r="B126" s="82"/>
      <c r="C126" s="77"/>
      <c r="D126" s="77"/>
      <c r="E126" s="78"/>
      <c r="F126" s="78"/>
      <c r="G126" s="79"/>
      <c r="H126" s="79"/>
    </row>
    <row r="127" spans="1:12" s="34" customFormat="1" hidden="1" x14ac:dyDescent="0.25">
      <c r="A127" s="80" t="s">
        <v>158</v>
      </c>
      <c r="B127" s="80"/>
      <c r="C127" s="75"/>
      <c r="D127" s="75"/>
      <c r="E127" s="81"/>
      <c r="F127" s="81"/>
      <c r="G127" s="76"/>
      <c r="H127" s="76"/>
    </row>
    <row r="128" spans="1:12" s="34" customFormat="1" x14ac:dyDescent="0.25">
      <c r="A128" s="80" t="s">
        <v>71</v>
      </c>
      <c r="B128" s="80"/>
      <c r="C128" s="80"/>
      <c r="D128" s="80"/>
      <c r="E128" s="80"/>
      <c r="F128" s="80"/>
      <c r="G128" s="80"/>
      <c r="H128" s="80"/>
    </row>
    <row r="129" spans="1:20" s="34" customFormat="1" ht="15.75" customHeight="1" x14ac:dyDescent="0.25">
      <c r="A129" s="76" t="s">
        <v>53</v>
      </c>
      <c r="B129" s="76"/>
      <c r="C129" s="75" t="s">
        <v>80</v>
      </c>
      <c r="D129" s="75"/>
      <c r="E129" s="81" t="s">
        <v>54</v>
      </c>
      <c r="F129" s="81"/>
      <c r="G129" s="76" t="s">
        <v>55</v>
      </c>
      <c r="H129" s="76"/>
    </row>
    <row r="130" spans="1:20" s="34" customFormat="1" x14ac:dyDescent="0.25">
      <c r="A130" s="82" t="s">
        <v>207</v>
      </c>
      <c r="B130" s="82"/>
      <c r="C130" s="83">
        <f>COUNT(F149:F152)*11+COUNT(F154:F157)*2</f>
        <v>52</v>
      </c>
      <c r="D130" s="83"/>
      <c r="E130" s="83">
        <f>SUM(F149:F152)*11+SUM(F154:F157)*2</f>
        <v>23357.44944</v>
      </c>
      <c r="F130" s="83"/>
      <c r="G130" s="83">
        <f>SUM(H149:H152)*11+SUM(H154:H157)*2</f>
        <v>35036.174159999995</v>
      </c>
      <c r="H130" s="83"/>
    </row>
    <row r="131" spans="1:20" s="34" customFormat="1" x14ac:dyDescent="0.25">
      <c r="A131" s="82" t="s">
        <v>211</v>
      </c>
      <c r="B131" s="82"/>
      <c r="C131" s="83">
        <f>COUNT(F161:F164)*11+COUNT(F167:F169)*2</f>
        <v>50</v>
      </c>
      <c r="D131" s="83"/>
      <c r="E131" s="83">
        <f>SUM(F161:F164)*11+SUM(F167:F169)*2</f>
        <v>22372.974000000002</v>
      </c>
      <c r="F131" s="83"/>
      <c r="G131" s="83">
        <f>SUM(H161:H164)*11+SUM(H167:H169)*2</f>
        <v>33559.460999999996</v>
      </c>
      <c r="H131" s="83"/>
    </row>
    <row r="132" spans="1:20" s="34" customFormat="1" x14ac:dyDescent="0.25">
      <c r="A132" s="82" t="s">
        <v>212</v>
      </c>
      <c r="B132" s="82"/>
      <c r="C132" s="83">
        <f>COUNT(F173:F176)*11+COUNT(F178,F180:F181)*2</f>
        <v>50</v>
      </c>
      <c r="D132" s="83"/>
      <c r="E132" s="83">
        <f>SUM(F173:F176)*11+SUM(F178,F180:F181)*2</f>
        <v>22372.974000000002</v>
      </c>
      <c r="F132" s="83"/>
      <c r="G132" s="83">
        <f>SUM(H173:H176)*11+SUM(H178,H180:H181)*2</f>
        <v>33559.460999999996</v>
      </c>
      <c r="H132" s="83"/>
      <c r="I132" s="34">
        <f>16000/1.5</f>
        <v>10666.666666666666</v>
      </c>
    </row>
    <row r="133" spans="1:20" s="34" customFormat="1" x14ac:dyDescent="0.25">
      <c r="A133" s="80" t="s">
        <v>158</v>
      </c>
      <c r="B133" s="80"/>
      <c r="C133" s="123">
        <f>SUM(C130:C132)</f>
        <v>152</v>
      </c>
      <c r="D133" s="75"/>
      <c r="E133" s="119">
        <f>SUM(E130:E132)</f>
        <v>68103.397440000001</v>
      </c>
      <c r="F133" s="119"/>
      <c r="G133" s="76">
        <f>SUM(G130:G132)</f>
        <v>102155.09615999999</v>
      </c>
      <c r="H133" s="76"/>
    </row>
    <row r="134" spans="1:20" s="33" customFormat="1" x14ac:dyDescent="0.25">
      <c r="A134" s="120" t="s">
        <v>56</v>
      </c>
      <c r="B134" s="120"/>
      <c r="C134" s="120"/>
      <c r="D134" s="120"/>
      <c r="E134" s="120"/>
      <c r="F134" s="120"/>
      <c r="G134" s="120"/>
      <c r="H134" s="120"/>
    </row>
    <row r="135" spans="1:20" x14ac:dyDescent="0.25">
      <c r="A135" s="120" t="s">
        <v>57</v>
      </c>
      <c r="B135" s="120"/>
      <c r="C135" s="120"/>
      <c r="D135" s="120"/>
      <c r="E135" s="120"/>
      <c r="F135" s="120"/>
      <c r="G135" s="120"/>
      <c r="H135" s="120"/>
    </row>
    <row r="136" spans="1:20" ht="47.25" hidden="1" customHeight="1" x14ac:dyDescent="0.25">
      <c r="A136" s="121" t="s">
        <v>216</v>
      </c>
      <c r="B136" s="121" t="s">
        <v>124</v>
      </c>
      <c r="C136" s="121" t="s">
        <v>58</v>
      </c>
      <c r="D136" s="121" t="s">
        <v>59</v>
      </c>
      <c r="E136" s="107" t="s">
        <v>164</v>
      </c>
      <c r="F136" s="55" t="s">
        <v>156</v>
      </c>
      <c r="G136" s="109" t="s">
        <v>61</v>
      </c>
      <c r="H136" s="110"/>
    </row>
    <row r="137" spans="1:20" s="36" customFormat="1" hidden="1" x14ac:dyDescent="0.25">
      <c r="A137" s="122"/>
      <c r="B137" s="122"/>
      <c r="C137" s="122"/>
      <c r="D137" s="122"/>
      <c r="E137" s="108"/>
      <c r="F137" s="56">
        <v>0.6</v>
      </c>
      <c r="G137" s="111"/>
      <c r="H137" s="112"/>
    </row>
    <row r="138" spans="1:20" s="36" customFormat="1" hidden="1" x14ac:dyDescent="0.25">
      <c r="A138" s="104" t="s">
        <v>122</v>
      </c>
      <c r="B138" s="105"/>
      <c r="C138" s="105"/>
      <c r="D138" s="105"/>
      <c r="E138" s="105"/>
      <c r="F138" s="105"/>
      <c r="G138" s="105"/>
      <c r="H138" s="106"/>
      <c r="J138" s="35"/>
    </row>
    <row r="139" spans="1:20" s="36" customFormat="1" hidden="1" x14ac:dyDescent="0.25">
      <c r="A139" s="70">
        <v>1</v>
      </c>
      <c r="B139" s="71"/>
      <c r="C139" s="57"/>
      <c r="D139" s="57"/>
      <c r="E139" s="57">
        <v>0</v>
      </c>
      <c r="F139" s="57">
        <f>(D139+E139)*(($F$137)+1)</f>
        <v>0</v>
      </c>
      <c r="G139" s="70" t="str">
        <f>A138</f>
        <v>Ground Floor</v>
      </c>
      <c r="H139" s="71"/>
      <c r="I139" s="35"/>
      <c r="L139" s="97"/>
      <c r="M139" s="97"/>
      <c r="N139" s="35"/>
    </row>
    <row r="140" spans="1:20" s="36" customFormat="1" hidden="1" x14ac:dyDescent="0.25">
      <c r="A140" s="70">
        <f t="shared" ref="A140:A142" si="0">A139+1</f>
        <v>2</v>
      </c>
      <c r="B140" s="71"/>
      <c r="C140" s="57"/>
      <c r="D140" s="57"/>
      <c r="E140" s="57">
        <v>0</v>
      </c>
      <c r="F140" s="57">
        <f t="shared" ref="F140:F142" si="1">(D140+E140)*(($F$137)+1)</f>
        <v>0</v>
      </c>
      <c r="G140" s="70" t="str">
        <f t="shared" ref="G140:G142" si="2">G139</f>
        <v>Ground Floor</v>
      </c>
      <c r="H140" s="71"/>
      <c r="I140" s="35"/>
      <c r="L140" s="97"/>
      <c r="M140" s="97"/>
      <c r="N140" s="35"/>
    </row>
    <row r="141" spans="1:20" s="36" customFormat="1" hidden="1" x14ac:dyDescent="0.25">
      <c r="A141" s="70">
        <f t="shared" si="0"/>
        <v>3</v>
      </c>
      <c r="B141" s="71"/>
      <c r="C141" s="57"/>
      <c r="D141" s="57"/>
      <c r="E141" s="57">
        <v>0</v>
      </c>
      <c r="F141" s="57">
        <f t="shared" si="1"/>
        <v>0</v>
      </c>
      <c r="G141" s="70" t="str">
        <f t="shared" si="2"/>
        <v>Ground Floor</v>
      </c>
      <c r="H141" s="71"/>
      <c r="I141" s="35"/>
      <c r="L141" s="97"/>
      <c r="M141" s="97"/>
      <c r="N141" s="35"/>
    </row>
    <row r="142" spans="1:20" s="36" customFormat="1" hidden="1" x14ac:dyDescent="0.25">
      <c r="A142" s="70">
        <f t="shared" si="0"/>
        <v>4</v>
      </c>
      <c r="B142" s="71"/>
      <c r="C142" s="57"/>
      <c r="D142" s="57"/>
      <c r="E142" s="57">
        <v>0</v>
      </c>
      <c r="F142" s="57">
        <f t="shared" si="1"/>
        <v>0</v>
      </c>
      <c r="G142" s="70" t="str">
        <f t="shared" si="2"/>
        <v>Ground Floor</v>
      </c>
      <c r="H142" s="71"/>
      <c r="I142" s="35"/>
      <c r="L142" s="97"/>
      <c r="M142" s="97"/>
      <c r="N142" s="35"/>
    </row>
    <row r="143" spans="1:20" s="36" customFormat="1" hidden="1" x14ac:dyDescent="0.25">
      <c r="A143" s="70"/>
      <c r="B143" s="172"/>
      <c r="C143" s="172"/>
      <c r="D143" s="172"/>
      <c r="E143" s="172"/>
      <c r="F143" s="172"/>
      <c r="G143" s="172"/>
      <c r="H143" s="71"/>
      <c r="I143" s="35"/>
      <c r="N143" s="35"/>
    </row>
    <row r="144" spans="1:20" ht="47.25" customHeight="1" x14ac:dyDescent="0.25">
      <c r="A144" s="109" t="s">
        <v>217</v>
      </c>
      <c r="B144" s="121" t="s">
        <v>205</v>
      </c>
      <c r="C144" s="121" t="s">
        <v>58</v>
      </c>
      <c r="D144" s="121" t="s">
        <v>215</v>
      </c>
      <c r="E144" s="121" t="s">
        <v>206</v>
      </c>
      <c r="F144" s="121" t="s">
        <v>59</v>
      </c>
      <c r="G144" s="107" t="s">
        <v>60</v>
      </c>
      <c r="H144" s="55" t="s">
        <v>156</v>
      </c>
      <c r="I144" s="35"/>
      <c r="T144" s="51"/>
    </row>
    <row r="145" spans="1:20" s="51" customFormat="1" x14ac:dyDescent="0.25">
      <c r="A145" s="111"/>
      <c r="B145" s="122"/>
      <c r="C145" s="122"/>
      <c r="D145" s="122"/>
      <c r="E145" s="122"/>
      <c r="F145" s="122"/>
      <c r="G145" s="108"/>
      <c r="H145" s="56">
        <v>0.5</v>
      </c>
      <c r="I145" s="35"/>
    </row>
    <row r="146" spans="1:20" s="51" customFormat="1" x14ac:dyDescent="0.25">
      <c r="A146" s="213" t="s">
        <v>207</v>
      </c>
      <c r="B146" s="214"/>
      <c r="C146" s="214"/>
      <c r="D146" s="214"/>
      <c r="E146" s="214"/>
      <c r="F146" s="214"/>
      <c r="G146" s="214"/>
      <c r="H146" s="215"/>
      <c r="J146" s="58">
        <v>10.763999999999999</v>
      </c>
    </row>
    <row r="147" spans="1:20" s="51" customFormat="1" x14ac:dyDescent="0.25">
      <c r="A147" s="104" t="s">
        <v>208</v>
      </c>
      <c r="B147" s="105"/>
      <c r="C147" s="105"/>
      <c r="D147" s="105"/>
      <c r="E147" s="105"/>
      <c r="F147" s="105"/>
      <c r="G147" s="105"/>
      <c r="H147" s="106"/>
      <c r="J147" s="35"/>
    </row>
    <row r="148" spans="1:20" s="51" customFormat="1" x14ac:dyDescent="0.25">
      <c r="A148" s="104" t="s">
        <v>209</v>
      </c>
      <c r="B148" s="105"/>
      <c r="C148" s="105"/>
      <c r="D148" s="105"/>
      <c r="E148" s="105"/>
      <c r="F148" s="105"/>
      <c r="G148" s="105"/>
      <c r="H148" s="106"/>
      <c r="J148" s="35"/>
    </row>
    <row r="149" spans="1:20" s="51" customFormat="1" ht="15.75" customHeight="1" x14ac:dyDescent="0.25">
      <c r="A149" s="70">
        <v>9</v>
      </c>
      <c r="B149" s="71"/>
      <c r="C149" s="57" t="s">
        <v>210</v>
      </c>
      <c r="D149" s="58">
        <f>(41.57)*10.764</f>
        <v>447.45947999999999</v>
      </c>
      <c r="E149" s="57">
        <v>0</v>
      </c>
      <c r="F149" s="57">
        <f>D149+E149</f>
        <v>447.45947999999999</v>
      </c>
      <c r="G149" s="57">
        <v>0</v>
      </c>
      <c r="H149" s="57">
        <f>F149*(($H$145)+1)+(IF(G149&lt;101,G149,IF(G149&lt;201,G149/2,IF(G149&lt;=301,G149/3,G149/4))))</f>
        <v>671.18921999999998</v>
      </c>
      <c r="I149" s="35">
        <f>2.75*5.47+2.3*2.6+2.75*3.65+1.98*1.1+1.2*2.02+0.9*2.65+1.8*0.65</f>
        <v>39.216999999999992</v>
      </c>
      <c r="J149" s="35"/>
      <c r="L149" s="97"/>
      <c r="M149" s="97"/>
      <c r="N149" s="35"/>
    </row>
    <row r="150" spans="1:20" s="51" customFormat="1" ht="15.75" customHeight="1" x14ac:dyDescent="0.25">
      <c r="A150" s="173">
        <f>A149+1</f>
        <v>10</v>
      </c>
      <c r="B150" s="174"/>
      <c r="C150" s="50" t="s">
        <v>210</v>
      </c>
      <c r="D150" s="58">
        <f>(41.89)*10.764</f>
        <v>450.90395999999998</v>
      </c>
      <c r="E150" s="50">
        <v>0</v>
      </c>
      <c r="F150" s="50">
        <f>D150+E150</f>
        <v>450.90395999999998</v>
      </c>
      <c r="G150" s="50">
        <v>0</v>
      </c>
      <c r="H150" s="50">
        <f t="shared" ref="H150:H152" si="3">F150*(($H$145)+1)+(IF(G150&lt;101,G150,IF(G150&lt;201,G150/2,IF(G150&lt;=301,G150/3,G150/4))))</f>
        <v>676.35593999999992</v>
      </c>
      <c r="I150" s="35"/>
      <c r="J150" s="35"/>
      <c r="L150" s="97"/>
      <c r="M150" s="97"/>
      <c r="N150" s="35"/>
    </row>
    <row r="151" spans="1:20" s="51" customFormat="1" ht="15.75" customHeight="1" x14ac:dyDescent="0.25">
      <c r="A151" s="173">
        <f>A150+1</f>
        <v>11</v>
      </c>
      <c r="B151" s="174"/>
      <c r="C151" s="50" t="s">
        <v>210</v>
      </c>
      <c r="D151" s="58">
        <f>(41.89)*10.764</f>
        <v>450.90395999999998</v>
      </c>
      <c r="E151" s="50">
        <v>0</v>
      </c>
      <c r="F151" s="50">
        <f>D151+E151</f>
        <v>450.90395999999998</v>
      </c>
      <c r="G151" s="50">
        <v>0</v>
      </c>
      <c r="H151" s="50">
        <f t="shared" si="3"/>
        <v>676.35593999999992</v>
      </c>
      <c r="I151" s="35"/>
      <c r="J151" s="35"/>
      <c r="L151" s="97"/>
      <c r="M151" s="97"/>
      <c r="N151" s="35"/>
    </row>
    <row r="152" spans="1:20" s="51" customFormat="1" ht="15.75" customHeight="1" x14ac:dyDescent="0.25">
      <c r="A152" s="173">
        <f>A151+1</f>
        <v>12</v>
      </c>
      <c r="B152" s="174"/>
      <c r="C152" s="50" t="s">
        <v>210</v>
      </c>
      <c r="D152" s="58">
        <f>(41.57)*10.764</f>
        <v>447.45947999999999</v>
      </c>
      <c r="E152" s="50">
        <v>0</v>
      </c>
      <c r="F152" s="50">
        <f>D152+E152</f>
        <v>447.45947999999999</v>
      </c>
      <c r="G152" s="50">
        <v>0</v>
      </c>
      <c r="H152" s="50">
        <f t="shared" si="3"/>
        <v>671.18921999999998</v>
      </c>
      <c r="I152" s="35"/>
      <c r="J152" s="35"/>
      <c r="L152" s="97"/>
      <c r="M152" s="97"/>
      <c r="N152" s="35"/>
      <c r="T152" s="20"/>
    </row>
    <row r="153" spans="1:20" s="51" customFormat="1" x14ac:dyDescent="0.25">
      <c r="A153" s="177" t="s">
        <v>213</v>
      </c>
      <c r="B153" s="178"/>
      <c r="C153" s="178"/>
      <c r="D153" s="178"/>
      <c r="E153" s="178"/>
      <c r="F153" s="178"/>
      <c r="G153" s="178"/>
      <c r="H153" s="179"/>
      <c r="J153" s="35"/>
    </row>
    <row r="154" spans="1:20" s="51" customFormat="1" x14ac:dyDescent="0.25">
      <c r="A154" s="173">
        <v>9</v>
      </c>
      <c r="B154" s="174"/>
      <c r="C154" s="50" t="s">
        <v>210</v>
      </c>
      <c r="D154" s="58">
        <f>(41.57)*10.764</f>
        <v>447.45947999999999</v>
      </c>
      <c r="E154" s="50">
        <v>0</v>
      </c>
      <c r="F154" s="50">
        <f>D154+E154</f>
        <v>447.45947999999999</v>
      </c>
      <c r="G154" s="50">
        <v>0</v>
      </c>
      <c r="H154" s="50">
        <f>F154*(($H$145)+1)+(IF(G154&lt;101,G154,IF(G154&lt;201,G154/2,IF(G154&lt;=301,G154/3,G154/4))))</f>
        <v>671.18921999999998</v>
      </c>
      <c r="I154" s="35"/>
      <c r="J154" s="35">
        <f>7000000/H154</f>
        <v>10429.249742717859</v>
      </c>
      <c r="L154" s="97"/>
      <c r="M154" s="97"/>
      <c r="N154" s="35"/>
    </row>
    <row r="155" spans="1:20" s="51" customFormat="1" ht="15.75" customHeight="1" x14ac:dyDescent="0.25">
      <c r="A155" s="173">
        <f>A154+1</f>
        <v>10</v>
      </c>
      <c r="B155" s="174"/>
      <c r="C155" s="50" t="s">
        <v>210</v>
      </c>
      <c r="D155" s="58">
        <f>(41.89)*10.764</f>
        <v>450.90395999999998</v>
      </c>
      <c r="E155" s="50">
        <v>0</v>
      </c>
      <c r="F155" s="50">
        <f>D155+E155</f>
        <v>450.90395999999998</v>
      </c>
      <c r="G155" s="50">
        <v>0</v>
      </c>
      <c r="H155" s="50">
        <f t="shared" ref="H155:H157" si="4">F155*(($H$145)+1)+(IF(G155&lt;101,G155,IF(G155&lt;201,G155/2,IF(G155&lt;=301,G155/3,G155/4))))</f>
        <v>676.35593999999992</v>
      </c>
      <c r="I155" s="35"/>
      <c r="J155" s="35">
        <f>7560000/H155</f>
        <v>11177.546544501407</v>
      </c>
      <c r="L155" s="97"/>
      <c r="M155" s="97"/>
      <c r="N155" s="35"/>
    </row>
    <row r="156" spans="1:20" s="51" customFormat="1" ht="15.75" customHeight="1" x14ac:dyDescent="0.25">
      <c r="A156" s="173">
        <f>A155+1</f>
        <v>11</v>
      </c>
      <c r="B156" s="174"/>
      <c r="C156" s="50" t="s">
        <v>210</v>
      </c>
      <c r="D156" s="58">
        <f>(41.89)*10.764</f>
        <v>450.90395999999998</v>
      </c>
      <c r="E156" s="50">
        <v>0</v>
      </c>
      <c r="F156" s="50">
        <f>D156+E156</f>
        <v>450.90395999999998</v>
      </c>
      <c r="G156" s="50">
        <v>0</v>
      </c>
      <c r="H156" s="50">
        <f t="shared" si="4"/>
        <v>676.35593999999992</v>
      </c>
      <c r="I156" s="35"/>
      <c r="J156" s="35"/>
      <c r="L156" s="97"/>
      <c r="M156" s="97"/>
      <c r="N156" s="35"/>
    </row>
    <row r="157" spans="1:20" s="51" customFormat="1" ht="15.75" customHeight="1" x14ac:dyDescent="0.25">
      <c r="A157" s="173">
        <f>A156+1</f>
        <v>12</v>
      </c>
      <c r="B157" s="174"/>
      <c r="C157" s="50" t="s">
        <v>210</v>
      </c>
      <c r="D157" s="58">
        <f>(41.57)*10.764</f>
        <v>447.45947999999999</v>
      </c>
      <c r="E157" s="50">
        <v>0</v>
      </c>
      <c r="F157" s="50">
        <f>D157+E157</f>
        <v>447.45947999999999</v>
      </c>
      <c r="G157" s="50">
        <v>0</v>
      </c>
      <c r="H157" s="50">
        <f t="shared" si="4"/>
        <v>671.18921999999998</v>
      </c>
      <c r="I157" s="35"/>
      <c r="J157" s="35">
        <f>7500000/H157</f>
        <v>11174.196152911991</v>
      </c>
      <c r="L157" s="97"/>
      <c r="M157" s="97"/>
      <c r="N157" s="35"/>
      <c r="T157" s="20"/>
    </row>
    <row r="158" spans="1:20" s="51" customFormat="1" x14ac:dyDescent="0.25">
      <c r="A158" s="216" t="s">
        <v>211</v>
      </c>
      <c r="B158" s="217"/>
      <c r="C158" s="217"/>
      <c r="D158" s="217"/>
      <c r="E158" s="217"/>
      <c r="F158" s="217"/>
      <c r="G158" s="217"/>
      <c r="H158" s="218"/>
      <c r="J158" s="35"/>
    </row>
    <row r="159" spans="1:20" s="51" customFormat="1" x14ac:dyDescent="0.25">
      <c r="A159" s="177" t="s">
        <v>208</v>
      </c>
      <c r="B159" s="178"/>
      <c r="C159" s="178"/>
      <c r="D159" s="178"/>
      <c r="E159" s="178"/>
      <c r="F159" s="178"/>
      <c r="G159" s="178"/>
      <c r="H159" s="179"/>
      <c r="J159" s="35"/>
    </row>
    <row r="160" spans="1:20" s="51" customFormat="1" x14ac:dyDescent="0.25">
      <c r="A160" s="177" t="s">
        <v>209</v>
      </c>
      <c r="B160" s="178"/>
      <c r="C160" s="178"/>
      <c r="D160" s="178"/>
      <c r="E160" s="178"/>
      <c r="F160" s="178"/>
      <c r="G160" s="178"/>
      <c r="H160" s="179"/>
      <c r="J160" s="35">
        <v>9000</v>
      </c>
    </row>
    <row r="161" spans="1:20" s="51" customFormat="1" ht="15.75" customHeight="1" x14ac:dyDescent="0.25">
      <c r="A161" s="173">
        <v>5</v>
      </c>
      <c r="B161" s="174"/>
      <c r="C161" s="50" t="s">
        <v>210</v>
      </c>
      <c r="D161" s="58">
        <f>(41.57)*10.764</f>
        <v>447.45947999999999</v>
      </c>
      <c r="E161" s="50">
        <v>0</v>
      </c>
      <c r="F161" s="50">
        <f>D161+E161</f>
        <v>447.45947999999999</v>
      </c>
      <c r="G161" s="50">
        <v>0</v>
      </c>
      <c r="H161" s="50">
        <f>F161*(($H$145)+1)+(IF(G161&lt;101,G161,IF(G161&lt;201,G161/2,IF(G161&lt;=301,G161/3,G161/4))))</f>
        <v>671.18921999999998</v>
      </c>
      <c r="I161" s="35"/>
      <c r="J161" s="51">
        <f>J$160*H161</f>
        <v>6040702.9799999995</v>
      </c>
      <c r="L161" s="97"/>
      <c r="M161" s="97"/>
      <c r="N161" s="35"/>
    </row>
    <row r="162" spans="1:20" s="51" customFormat="1" ht="15.75" customHeight="1" x14ac:dyDescent="0.25">
      <c r="A162" s="173">
        <f>A161+1</f>
        <v>6</v>
      </c>
      <c r="B162" s="174"/>
      <c r="C162" s="50" t="s">
        <v>210</v>
      </c>
      <c r="D162" s="58">
        <f>(41.57)*10.764</f>
        <v>447.45947999999999</v>
      </c>
      <c r="E162" s="50">
        <v>0</v>
      </c>
      <c r="F162" s="50">
        <f>D162+E162</f>
        <v>447.45947999999999</v>
      </c>
      <c r="G162" s="50">
        <v>0</v>
      </c>
      <c r="H162" s="50">
        <f t="shared" ref="H162:H164" si="5">F162*(($H$145)+1)+(IF(G162&lt;101,G162,IF(G162&lt;201,G162/2,IF(G162&lt;=301,G162/3,G162/4))))</f>
        <v>671.18921999999998</v>
      </c>
      <c r="I162" s="35"/>
      <c r="J162" s="60">
        <f t="shared" ref="J162:J170" si="6">J$160*H162</f>
        <v>6040702.9799999995</v>
      </c>
      <c r="L162" s="97"/>
      <c r="M162" s="97"/>
      <c r="N162" s="35"/>
    </row>
    <row r="163" spans="1:20" s="51" customFormat="1" ht="15.75" customHeight="1" x14ac:dyDescent="0.25">
      <c r="A163" s="173">
        <f>A162+1</f>
        <v>7</v>
      </c>
      <c r="B163" s="174"/>
      <c r="C163" s="50" t="s">
        <v>210</v>
      </c>
      <c r="D163" s="58">
        <f>(41.57)*10.764</f>
        <v>447.45947999999999</v>
      </c>
      <c r="E163" s="50">
        <v>0</v>
      </c>
      <c r="F163" s="50">
        <f>D163+E163</f>
        <v>447.45947999999999</v>
      </c>
      <c r="G163" s="50">
        <v>0</v>
      </c>
      <c r="H163" s="50">
        <f t="shared" si="5"/>
        <v>671.18921999999998</v>
      </c>
      <c r="I163" s="35"/>
      <c r="J163" s="60">
        <f t="shared" si="6"/>
        <v>6040702.9799999995</v>
      </c>
      <c r="L163" s="97"/>
      <c r="M163" s="97"/>
      <c r="N163" s="35"/>
    </row>
    <row r="164" spans="1:20" s="51" customFormat="1" ht="15.75" customHeight="1" x14ac:dyDescent="0.25">
      <c r="A164" s="173">
        <f>A163+1</f>
        <v>8</v>
      </c>
      <c r="B164" s="174"/>
      <c r="C164" s="50" t="s">
        <v>210</v>
      </c>
      <c r="D164" s="58">
        <f>(41.57)*10.764</f>
        <v>447.45947999999999</v>
      </c>
      <c r="E164" s="50">
        <v>0</v>
      </c>
      <c r="F164" s="50">
        <f>D164+E164</f>
        <v>447.45947999999999</v>
      </c>
      <c r="G164" s="50">
        <v>0</v>
      </c>
      <c r="H164" s="50">
        <f t="shared" si="5"/>
        <v>671.18921999999998</v>
      </c>
      <c r="I164" s="35"/>
      <c r="J164" s="60">
        <f t="shared" si="6"/>
        <v>6040702.9799999995</v>
      </c>
      <c r="L164" s="97"/>
      <c r="M164" s="97"/>
      <c r="N164" s="35"/>
      <c r="T164" s="20"/>
    </row>
    <row r="165" spans="1:20" s="51" customFormat="1" x14ac:dyDescent="0.25">
      <c r="A165" s="177" t="s">
        <v>213</v>
      </c>
      <c r="B165" s="178"/>
      <c r="C165" s="178"/>
      <c r="D165" s="178"/>
      <c r="E165" s="178"/>
      <c r="F165" s="178"/>
      <c r="G165" s="178"/>
      <c r="H165" s="179"/>
      <c r="J165" s="60">
        <f t="shared" si="6"/>
        <v>0</v>
      </c>
    </row>
    <row r="166" spans="1:20" s="51" customFormat="1" ht="15.75" customHeight="1" x14ac:dyDescent="0.25">
      <c r="A166" s="173">
        <v>5</v>
      </c>
      <c r="B166" s="174"/>
      <c r="C166" s="173" t="s">
        <v>214</v>
      </c>
      <c r="D166" s="180"/>
      <c r="E166" s="180"/>
      <c r="F166" s="180"/>
      <c r="G166" s="180"/>
      <c r="H166" s="174"/>
      <c r="I166" s="35"/>
      <c r="J166" s="60">
        <f t="shared" si="6"/>
        <v>0</v>
      </c>
      <c r="L166" s="97"/>
      <c r="M166" s="97"/>
      <c r="N166" s="35"/>
    </row>
    <row r="167" spans="1:20" s="51" customFormat="1" ht="15.75" customHeight="1" x14ac:dyDescent="0.25">
      <c r="A167" s="173">
        <f>A166+1</f>
        <v>6</v>
      </c>
      <c r="B167" s="174"/>
      <c r="C167" s="50" t="s">
        <v>210</v>
      </c>
      <c r="D167" s="58">
        <f>(41.57)*10.764</f>
        <v>447.45947999999999</v>
      </c>
      <c r="E167" s="50">
        <v>0</v>
      </c>
      <c r="F167" s="50">
        <f>D167+E167</f>
        <v>447.45947999999999</v>
      </c>
      <c r="G167" s="50">
        <v>0</v>
      </c>
      <c r="H167" s="50">
        <f t="shared" ref="H167:H169" si="7">F167*(($H$145)+1)+(IF(G167&lt;101,G167,IF(G167&lt;201,G167/2,IF(G167&lt;=301,G167/3,G167/4))))</f>
        <v>671.18921999999998</v>
      </c>
      <c r="I167" s="35"/>
      <c r="J167" s="60">
        <f t="shared" si="6"/>
        <v>6040702.9799999995</v>
      </c>
      <c r="L167" s="97"/>
      <c r="M167" s="97"/>
      <c r="N167" s="35"/>
    </row>
    <row r="168" spans="1:20" s="51" customFormat="1" ht="15.75" customHeight="1" x14ac:dyDescent="0.25">
      <c r="A168" s="173">
        <f>A167+1</f>
        <v>7</v>
      </c>
      <c r="B168" s="174"/>
      <c r="C168" s="50" t="s">
        <v>210</v>
      </c>
      <c r="D168" s="58">
        <f>(41.57)*10.764</f>
        <v>447.45947999999999</v>
      </c>
      <c r="E168" s="50">
        <v>0</v>
      </c>
      <c r="F168" s="50">
        <f>D168+E168</f>
        <v>447.45947999999999</v>
      </c>
      <c r="G168" s="50">
        <v>0</v>
      </c>
      <c r="H168" s="50">
        <f t="shared" si="7"/>
        <v>671.18921999999998</v>
      </c>
      <c r="I168" s="35"/>
      <c r="J168" s="60">
        <f t="shared" si="6"/>
        <v>6040702.9799999995</v>
      </c>
      <c r="L168" s="97"/>
      <c r="M168" s="97"/>
      <c r="N168" s="35"/>
    </row>
    <row r="169" spans="1:20" s="51" customFormat="1" ht="15.75" customHeight="1" x14ac:dyDescent="0.25">
      <c r="A169" s="173">
        <f>A168+1</f>
        <v>8</v>
      </c>
      <c r="B169" s="174"/>
      <c r="C169" s="50" t="s">
        <v>210</v>
      </c>
      <c r="D169" s="58">
        <f>(41.57)*10.764</f>
        <v>447.45947999999999</v>
      </c>
      <c r="E169" s="50">
        <v>0</v>
      </c>
      <c r="F169" s="50">
        <f>D169+E169</f>
        <v>447.45947999999999</v>
      </c>
      <c r="G169" s="50">
        <v>0</v>
      </c>
      <c r="H169" s="50">
        <f t="shared" si="7"/>
        <v>671.18921999999998</v>
      </c>
      <c r="I169" s="35">
        <f>H169*14500</f>
        <v>9732243.6899999995</v>
      </c>
      <c r="J169" s="60">
        <f t="shared" si="6"/>
        <v>6040702.9799999995</v>
      </c>
      <c r="L169" s="97"/>
      <c r="M169" s="97"/>
      <c r="N169" s="35"/>
      <c r="T169" s="20"/>
    </row>
    <row r="170" spans="1:20" s="51" customFormat="1" x14ac:dyDescent="0.25">
      <c r="A170" s="216" t="s">
        <v>212</v>
      </c>
      <c r="B170" s="217"/>
      <c r="C170" s="217"/>
      <c r="D170" s="217"/>
      <c r="E170" s="217"/>
      <c r="F170" s="217"/>
      <c r="G170" s="217"/>
      <c r="H170" s="218"/>
      <c r="J170" s="60">
        <f t="shared" si="6"/>
        <v>0</v>
      </c>
    </row>
    <row r="171" spans="1:20" s="51" customFormat="1" x14ac:dyDescent="0.25">
      <c r="A171" s="177" t="s">
        <v>208</v>
      </c>
      <c r="B171" s="178"/>
      <c r="C171" s="178"/>
      <c r="D171" s="178"/>
      <c r="E171" s="178"/>
      <c r="F171" s="178"/>
      <c r="G171" s="178"/>
      <c r="H171" s="179"/>
      <c r="I171" s="51">
        <f>14000/1.5</f>
        <v>9333.3333333333339</v>
      </c>
      <c r="J171" s="35"/>
    </row>
    <row r="172" spans="1:20" s="51" customFormat="1" x14ac:dyDescent="0.25">
      <c r="A172" s="177" t="s">
        <v>209</v>
      </c>
      <c r="B172" s="178"/>
      <c r="C172" s="178"/>
      <c r="D172" s="178"/>
      <c r="E172" s="178"/>
      <c r="F172" s="178"/>
      <c r="G172" s="178"/>
      <c r="H172" s="179"/>
      <c r="J172" s="35"/>
    </row>
    <row r="173" spans="1:20" s="51" customFormat="1" ht="15.75" customHeight="1" x14ac:dyDescent="0.25">
      <c r="A173" s="173">
        <v>1</v>
      </c>
      <c r="B173" s="174"/>
      <c r="C173" s="50" t="s">
        <v>210</v>
      </c>
      <c r="D173" s="58">
        <f>(41.57)*10.764</f>
        <v>447.45947999999999</v>
      </c>
      <c r="E173" s="50">
        <v>0</v>
      </c>
      <c r="F173" s="50">
        <f>D173+E173</f>
        <v>447.45947999999999</v>
      </c>
      <c r="G173" s="50">
        <v>0</v>
      </c>
      <c r="H173" s="50">
        <f>F173*(($H$145)+1)+(IF(G173&lt;101,G173,IF(G173&lt;201,G173/2,IF(G173&lt;=301,G173/3,G173/4))))</f>
        <v>671.18921999999998</v>
      </c>
      <c r="I173" s="35"/>
      <c r="L173" s="97"/>
      <c r="M173" s="97"/>
      <c r="N173" s="35"/>
    </row>
    <row r="174" spans="1:20" s="51" customFormat="1" ht="15.75" customHeight="1" x14ac:dyDescent="0.25">
      <c r="A174" s="173">
        <f>A173+1</f>
        <v>2</v>
      </c>
      <c r="B174" s="174"/>
      <c r="C174" s="50" t="s">
        <v>210</v>
      </c>
      <c r="D174" s="58">
        <f>(41.57)*10.764</f>
        <v>447.45947999999999</v>
      </c>
      <c r="E174" s="50">
        <v>0</v>
      </c>
      <c r="F174" s="50">
        <f>D174+E174</f>
        <v>447.45947999999999</v>
      </c>
      <c r="G174" s="50">
        <v>0</v>
      </c>
      <c r="H174" s="50">
        <f t="shared" ref="H174:H176" si="8">F174*(($H$145)+1)+(IF(G174&lt;101,G174,IF(G174&lt;201,G174/2,IF(G174&lt;=301,G174/3,G174/4))))</f>
        <v>671.18921999999998</v>
      </c>
      <c r="I174" s="35"/>
      <c r="L174" s="97"/>
      <c r="M174" s="97"/>
      <c r="N174" s="35"/>
    </row>
    <row r="175" spans="1:20" s="51" customFormat="1" ht="15.75" customHeight="1" x14ac:dyDescent="0.25">
      <c r="A175" s="173">
        <f>A174+1</f>
        <v>3</v>
      </c>
      <c r="B175" s="174"/>
      <c r="C175" s="50" t="s">
        <v>210</v>
      </c>
      <c r="D175" s="58">
        <f>(41.57)*10.764</f>
        <v>447.45947999999999</v>
      </c>
      <c r="E175" s="50">
        <v>0</v>
      </c>
      <c r="F175" s="50">
        <f>D175+E175</f>
        <v>447.45947999999999</v>
      </c>
      <c r="G175" s="50">
        <v>0</v>
      </c>
      <c r="H175" s="50">
        <f t="shared" si="8"/>
        <v>671.18921999999998</v>
      </c>
      <c r="I175" s="35"/>
      <c r="L175" s="97"/>
      <c r="M175" s="97"/>
      <c r="N175" s="35"/>
    </row>
    <row r="176" spans="1:20" s="51" customFormat="1" ht="15.75" customHeight="1" x14ac:dyDescent="0.25">
      <c r="A176" s="173">
        <f>A175+1</f>
        <v>4</v>
      </c>
      <c r="B176" s="174"/>
      <c r="C176" s="50" t="s">
        <v>210</v>
      </c>
      <c r="D176" s="58">
        <f>(41.57)*10.764</f>
        <v>447.45947999999999</v>
      </c>
      <c r="E176" s="50">
        <v>0</v>
      </c>
      <c r="F176" s="50">
        <f>D176+E176</f>
        <v>447.45947999999999</v>
      </c>
      <c r="G176" s="50">
        <v>0</v>
      </c>
      <c r="H176" s="50">
        <f t="shared" si="8"/>
        <v>671.18921999999998</v>
      </c>
      <c r="I176" s="35"/>
      <c r="L176" s="97"/>
      <c r="M176" s="97"/>
      <c r="N176" s="35"/>
      <c r="T176" s="20"/>
    </row>
    <row r="177" spans="1:20" s="51" customFormat="1" x14ac:dyDescent="0.25">
      <c r="A177" s="177" t="s">
        <v>213</v>
      </c>
      <c r="B177" s="178"/>
      <c r="C177" s="178"/>
      <c r="D177" s="178"/>
      <c r="E177" s="178"/>
      <c r="F177" s="178"/>
      <c r="G177" s="178"/>
      <c r="H177" s="179"/>
      <c r="J177" s="35"/>
    </row>
    <row r="178" spans="1:20" s="51" customFormat="1" ht="15.75" customHeight="1" x14ac:dyDescent="0.25">
      <c r="A178" s="173">
        <v>1</v>
      </c>
      <c r="B178" s="174"/>
      <c r="C178" s="50" t="s">
        <v>210</v>
      </c>
      <c r="D178" s="58">
        <f>(41.57)*10.764</f>
        <v>447.45947999999999</v>
      </c>
      <c r="E178" s="50">
        <v>0</v>
      </c>
      <c r="F178" s="50">
        <f>D178+E178</f>
        <v>447.45947999999999</v>
      </c>
      <c r="G178" s="50">
        <v>0</v>
      </c>
      <c r="H178" s="50">
        <f>F178*(($H$145)+1)+(IF(G178&lt;101,G178,IF(G178&lt;201,G178/2,IF(G178&lt;=301,G178/3,G178/4))))</f>
        <v>671.18921999999998</v>
      </c>
      <c r="I178" s="35"/>
      <c r="L178" s="97"/>
      <c r="M178" s="97"/>
      <c r="N178" s="35"/>
    </row>
    <row r="179" spans="1:20" s="51" customFormat="1" ht="15.75" customHeight="1" x14ac:dyDescent="0.25">
      <c r="A179" s="173">
        <f>A178+1</f>
        <v>2</v>
      </c>
      <c r="B179" s="174"/>
      <c r="C179" s="173" t="s">
        <v>214</v>
      </c>
      <c r="D179" s="180"/>
      <c r="E179" s="180"/>
      <c r="F179" s="180"/>
      <c r="G179" s="180"/>
      <c r="H179" s="174"/>
      <c r="I179" s="35"/>
      <c r="L179" s="97"/>
      <c r="M179" s="97"/>
      <c r="N179" s="35"/>
    </row>
    <row r="180" spans="1:20" s="51" customFormat="1" ht="15.75" customHeight="1" x14ac:dyDescent="0.25">
      <c r="A180" s="173">
        <f>A179+1</f>
        <v>3</v>
      </c>
      <c r="B180" s="174"/>
      <c r="C180" s="50" t="s">
        <v>210</v>
      </c>
      <c r="D180" s="58">
        <f>(41.57)*10.764</f>
        <v>447.45947999999999</v>
      </c>
      <c r="E180" s="50">
        <v>0</v>
      </c>
      <c r="F180" s="50">
        <f>D180+E180</f>
        <v>447.45947999999999</v>
      </c>
      <c r="G180" s="50">
        <v>0</v>
      </c>
      <c r="H180" s="50">
        <f>F180*(($H$145)+1)+(IF(G180&lt;101,G180,IF(G180&lt;201,G180/2,IF(G180&lt;=301,G180/3,G180/4))))</f>
        <v>671.18921999999998</v>
      </c>
      <c r="I180" s="35"/>
      <c r="L180" s="97"/>
      <c r="M180" s="97"/>
      <c r="N180" s="35"/>
    </row>
    <row r="181" spans="1:20" s="51" customFormat="1" ht="15.75" customHeight="1" x14ac:dyDescent="0.25">
      <c r="A181" s="173">
        <f>A180+1</f>
        <v>4</v>
      </c>
      <c r="B181" s="174"/>
      <c r="C181" s="50" t="s">
        <v>210</v>
      </c>
      <c r="D181" s="58">
        <f>(41.57)*10.764</f>
        <v>447.45947999999999</v>
      </c>
      <c r="E181" s="50">
        <v>0</v>
      </c>
      <c r="F181" s="50">
        <f>D181+E181</f>
        <v>447.45947999999999</v>
      </c>
      <c r="G181" s="50">
        <v>0</v>
      </c>
      <c r="H181" s="50">
        <f>F181*(($H$145)+1)+(IF(G181&lt;101,G181,IF(G181&lt;201,G181/2,IF(G181&lt;=301,G181/3,G181/4))))</f>
        <v>671.18921999999998</v>
      </c>
      <c r="I181" s="35"/>
      <c r="L181" s="97"/>
      <c r="M181" s="97"/>
      <c r="N181" s="35"/>
      <c r="T181" s="20"/>
    </row>
    <row r="182" spans="1:20" s="51" customFormat="1" hidden="1" x14ac:dyDescent="0.25">
      <c r="A182" s="177" t="s">
        <v>122</v>
      </c>
      <c r="B182" s="178"/>
      <c r="C182" s="178"/>
      <c r="D182" s="178"/>
      <c r="E182" s="178"/>
      <c r="F182" s="178"/>
      <c r="G182" s="178"/>
      <c r="H182" s="179"/>
      <c r="J182" s="35"/>
    </row>
    <row r="183" spans="1:20" s="51" customFormat="1" ht="15.75" hidden="1" customHeight="1" x14ac:dyDescent="0.25">
      <c r="A183" s="173">
        <v>1</v>
      </c>
      <c r="B183" s="174"/>
      <c r="C183" s="50"/>
      <c r="D183" s="50"/>
      <c r="E183" s="50">
        <v>0</v>
      </c>
      <c r="F183" s="50">
        <f>D183+E183</f>
        <v>0</v>
      </c>
      <c r="G183" s="50">
        <v>0</v>
      </c>
      <c r="H183" s="50">
        <f>F183*(($H$145)+1)+(IF(G183&lt;101,G183,IF(G183&lt;201,G183/2,IF(G183&lt;=301,G183/3,G183/4))))</f>
        <v>0</v>
      </c>
      <c r="I183" s="35"/>
      <c r="L183" s="97"/>
      <c r="M183" s="97"/>
      <c r="N183" s="35"/>
    </row>
    <row r="184" spans="1:20" s="51" customFormat="1" ht="15.75" hidden="1" customHeight="1" x14ac:dyDescent="0.25">
      <c r="A184" s="173">
        <f>A183+1</f>
        <v>2</v>
      </c>
      <c r="B184" s="174"/>
      <c r="C184" s="50"/>
      <c r="D184" s="50"/>
      <c r="E184" s="50">
        <v>0</v>
      </c>
      <c r="F184" s="50">
        <f>D184+E184</f>
        <v>0</v>
      </c>
      <c r="G184" s="50">
        <v>0</v>
      </c>
      <c r="H184" s="50">
        <f t="shared" ref="H184:H186" si="9">F184*(($H$145)+1)+(IF(G184&lt;101,G184,IF(G184&lt;201,G184/2,IF(G184&lt;=301,G184/3,G184/4))))</f>
        <v>0</v>
      </c>
      <c r="I184" s="35"/>
      <c r="L184" s="97"/>
      <c r="M184" s="97"/>
      <c r="N184" s="35"/>
    </row>
    <row r="185" spans="1:20" s="51" customFormat="1" ht="15.75" hidden="1" customHeight="1" x14ac:dyDescent="0.25">
      <c r="A185" s="173">
        <f>A184+1</f>
        <v>3</v>
      </c>
      <c r="B185" s="174"/>
      <c r="C185" s="50"/>
      <c r="D185" s="50"/>
      <c r="E185" s="50">
        <v>0</v>
      </c>
      <c r="F185" s="50">
        <f>D185+E185</f>
        <v>0</v>
      </c>
      <c r="G185" s="50">
        <v>0</v>
      </c>
      <c r="H185" s="50">
        <f t="shared" si="9"/>
        <v>0</v>
      </c>
      <c r="I185" s="35"/>
      <c r="L185" s="97"/>
      <c r="M185" s="97"/>
      <c r="N185" s="35"/>
    </row>
    <row r="186" spans="1:20" s="51" customFormat="1" ht="15.75" hidden="1" customHeight="1" x14ac:dyDescent="0.25">
      <c r="A186" s="173">
        <f>A185+1</f>
        <v>4</v>
      </c>
      <c r="B186" s="174"/>
      <c r="C186" s="50"/>
      <c r="D186" s="50"/>
      <c r="E186" s="50">
        <v>0</v>
      </c>
      <c r="F186" s="50">
        <f>D186+E186</f>
        <v>0</v>
      </c>
      <c r="G186" s="50">
        <v>0</v>
      </c>
      <c r="H186" s="50">
        <f t="shared" si="9"/>
        <v>0</v>
      </c>
      <c r="I186" s="35"/>
      <c r="L186" s="97"/>
      <c r="M186" s="97"/>
      <c r="N186" s="35"/>
      <c r="T186" s="20"/>
    </row>
    <row r="187" spans="1:20" s="51" customFormat="1" hidden="1" x14ac:dyDescent="0.25">
      <c r="A187" s="212" t="s">
        <v>123</v>
      </c>
      <c r="B187" s="212"/>
      <c r="C187" s="212"/>
      <c r="D187" s="212"/>
      <c r="E187" s="212"/>
      <c r="F187" s="212"/>
      <c r="G187" s="212"/>
      <c r="H187" s="212"/>
      <c r="I187" s="35"/>
      <c r="L187" s="97"/>
      <c r="M187" s="97"/>
    </row>
    <row r="188" spans="1:20" s="51" customFormat="1" hidden="1" x14ac:dyDescent="0.25">
      <c r="A188" s="211">
        <f>LEFT(A187,SUM(LEN(A187)-LEN(SUBSTITUTE(A187,{"0","1","2","3","4","5","6","7","8","9"},""))))*100+1</f>
        <v>201</v>
      </c>
      <c r="B188" s="211"/>
      <c r="C188" s="50"/>
      <c r="D188" s="50"/>
      <c r="E188" s="50">
        <v>0</v>
      </c>
      <c r="F188" s="50">
        <f>D188+E188</f>
        <v>0</v>
      </c>
      <c r="G188" s="50">
        <v>0</v>
      </c>
      <c r="H188" s="50">
        <f>F188*(($H$145)+1)+(IF(G188&lt;101,G188,IF(G188&lt;201,G188/2,IF(G188&lt;=301,G188/3,G188/4))))</f>
        <v>0</v>
      </c>
      <c r="I188" s="35"/>
      <c r="N188" s="35"/>
    </row>
    <row r="189" spans="1:20" s="51" customFormat="1" hidden="1" x14ac:dyDescent="0.25">
      <c r="A189" s="211">
        <f>A188+1</f>
        <v>202</v>
      </c>
      <c r="B189" s="211"/>
      <c r="C189" s="50"/>
      <c r="D189" s="50"/>
      <c r="E189" s="50">
        <v>0</v>
      </c>
      <c r="F189" s="50">
        <f>D189+E189</f>
        <v>0</v>
      </c>
      <c r="G189" s="50">
        <v>0</v>
      </c>
      <c r="H189" s="50">
        <f t="shared" ref="H189:H192" si="10">F189*(($H$145)+1)+(IF(G189&lt;101,G189,IF(G189&lt;201,G189/2,IF(G189&lt;=301,G189/3,G189/4))))</f>
        <v>0</v>
      </c>
      <c r="I189" s="35"/>
      <c r="N189" s="35"/>
    </row>
    <row r="190" spans="1:20" s="51" customFormat="1" hidden="1" x14ac:dyDescent="0.25">
      <c r="A190" s="211">
        <f>A189+1</f>
        <v>203</v>
      </c>
      <c r="B190" s="211"/>
      <c r="C190" s="50"/>
      <c r="D190" s="50"/>
      <c r="E190" s="50">
        <v>0</v>
      </c>
      <c r="F190" s="50">
        <f>D190+E190</f>
        <v>0</v>
      </c>
      <c r="G190" s="50">
        <v>0</v>
      </c>
      <c r="H190" s="50">
        <f>F190*(($H$145)+1)+(IF(G190&lt;101,G190,IF(G190&lt;201,G190/2,IF(G190&lt;=301,G190/3,G190/4))))</f>
        <v>0</v>
      </c>
      <c r="I190" s="35"/>
      <c r="N190" s="35"/>
    </row>
    <row r="191" spans="1:20" s="51" customFormat="1" hidden="1" x14ac:dyDescent="0.25">
      <c r="A191" s="211">
        <f>A190+1</f>
        <v>204</v>
      </c>
      <c r="B191" s="211"/>
      <c r="C191" s="50"/>
      <c r="D191" s="50"/>
      <c r="E191" s="50">
        <v>0</v>
      </c>
      <c r="F191" s="50">
        <f>D191+E191</f>
        <v>0</v>
      </c>
      <c r="G191" s="50">
        <v>0</v>
      </c>
      <c r="H191" s="50">
        <f t="shared" si="10"/>
        <v>0</v>
      </c>
      <c r="I191" s="35"/>
      <c r="N191" s="35"/>
    </row>
    <row r="192" spans="1:20" s="51" customFormat="1" hidden="1" x14ac:dyDescent="0.25">
      <c r="A192" s="211">
        <f>A191+1</f>
        <v>205</v>
      </c>
      <c r="B192" s="211"/>
      <c r="C192" s="50"/>
      <c r="D192" s="50"/>
      <c r="E192" s="50">
        <v>0</v>
      </c>
      <c r="F192" s="50">
        <f>D192+E192</f>
        <v>0</v>
      </c>
      <c r="G192" s="50">
        <v>0</v>
      </c>
      <c r="H192" s="50">
        <f t="shared" si="10"/>
        <v>0</v>
      </c>
      <c r="I192" s="35"/>
      <c r="N192" s="35"/>
    </row>
    <row r="193" spans="1:9" s="51" customFormat="1" ht="15.75" hidden="1" customHeight="1" x14ac:dyDescent="0.25">
      <c r="A193" s="177" t="s">
        <v>157</v>
      </c>
      <c r="B193" s="178"/>
      <c r="C193" s="178"/>
      <c r="D193" s="178"/>
      <c r="E193" s="178"/>
      <c r="F193" s="178"/>
      <c r="G193" s="178"/>
      <c r="H193" s="179"/>
      <c r="I193" s="35"/>
    </row>
    <row r="194" spans="1:9" s="51" customFormat="1" ht="15.75" hidden="1" customHeight="1" x14ac:dyDescent="0.25">
      <c r="A194" s="173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10^ROW(INDIRECT("1:"&amp;LEN((LEFT(A193,SUM(LEN(A193)-LEN(SUBSTITUTE(A193,{"0","1","2"},""))))))))/10))*100+1&amp;""&amp;" ,..,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",LEN(A193))),LEN(A193)))))))/10))*100+1</f>
        <v>301 ,.., 1501</v>
      </c>
      <c r="B194" s="174"/>
      <c r="C194" s="50"/>
      <c r="D194" s="50"/>
      <c r="E194" s="50">
        <v>0</v>
      </c>
      <c r="F194" s="50">
        <f>D194+E194</f>
        <v>0</v>
      </c>
      <c r="G194" s="50">
        <v>0</v>
      </c>
      <c r="H194" s="50">
        <f>F194*(($H$191)+1)+(IF(G194&lt;101,G194,IF(G194&lt;201,G194/2,IF(G194&lt;=301,G194/3,G194/4))))</f>
        <v>0</v>
      </c>
      <c r="I194" s="35"/>
    </row>
    <row r="195" spans="1:9" s="51" customFormat="1" ht="15.75" hidden="1" customHeight="1" x14ac:dyDescent="0.25">
      <c r="A195" s="173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,..,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302 ,.., 1502</v>
      </c>
      <c r="B195" s="174"/>
      <c r="C195" s="50"/>
      <c r="D195" s="50"/>
      <c r="E195" s="50">
        <v>0</v>
      </c>
      <c r="F195" s="50">
        <f>D195+E195</f>
        <v>0</v>
      </c>
      <c r="G195" s="50">
        <v>0</v>
      </c>
      <c r="H195" s="50">
        <f>F195*(($H$191)+1)+(IF(G195&lt;101,G195,IF(G195&lt;201,G195/2,IF(G195&lt;=301,G195/3,G195/4))))</f>
        <v>0</v>
      </c>
      <c r="I195" s="35"/>
    </row>
    <row r="196" spans="1:9" s="51" customFormat="1" ht="15.75" hidden="1" customHeight="1" x14ac:dyDescent="0.25">
      <c r="A196" s="173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,..,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303 ,.., 1503</v>
      </c>
      <c r="B196" s="174"/>
      <c r="C196" s="50"/>
      <c r="D196" s="50"/>
      <c r="E196" s="50">
        <v>0</v>
      </c>
      <c r="F196" s="50">
        <f>D196+E196</f>
        <v>0</v>
      </c>
      <c r="G196" s="50">
        <v>0</v>
      </c>
      <c r="H196" s="50">
        <f>F196*(($H$191)+1)+(IF(G196&lt;101,G196,IF(G196&lt;201,G196/2,IF(G196&lt;=301,G196/3,G196/4))))</f>
        <v>0</v>
      </c>
      <c r="I196" s="35"/>
    </row>
    <row r="197" spans="1:9" s="51" customFormat="1" ht="15.75" hidden="1" customHeight="1" x14ac:dyDescent="0.25">
      <c r="A197" s="173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,..,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304 ,.., 1504</v>
      </c>
      <c r="B197" s="174"/>
      <c r="C197" s="50"/>
      <c r="D197" s="50"/>
      <c r="E197" s="50">
        <v>0</v>
      </c>
      <c r="F197" s="50">
        <f>D197+E197</f>
        <v>0</v>
      </c>
      <c r="G197" s="50">
        <v>0</v>
      </c>
      <c r="H197" s="50">
        <f>F197*(($H$191)+1)+(IF(G197&lt;101,G197,IF(G197&lt;201,G197/2,IF(G197&lt;=301,G197/3,G197/4))))</f>
        <v>0</v>
      </c>
      <c r="I197" s="35"/>
    </row>
    <row r="198" spans="1:9" s="51" customFormat="1" ht="15.75" hidden="1" customHeight="1" x14ac:dyDescent="0.25">
      <c r="A198" s="173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,..,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305 ,.., 1505</v>
      </c>
      <c r="B198" s="174"/>
      <c r="C198" s="50"/>
      <c r="D198" s="50"/>
      <c r="E198" s="50">
        <v>0</v>
      </c>
      <c r="F198" s="50">
        <f>D198+E198</f>
        <v>0</v>
      </c>
      <c r="G198" s="50">
        <v>0</v>
      </c>
      <c r="H198" s="50">
        <f>F198*(($H$191)+1)+(IF(G198&lt;101,G198,IF(G198&lt;201,G198/2,IF(G198&lt;=301,G198/3,G198/4))))</f>
        <v>0</v>
      </c>
      <c r="I198" s="35"/>
    </row>
    <row r="199" spans="1:9" s="51" customFormat="1" hidden="1" x14ac:dyDescent="0.25">
      <c r="A199" s="177" t="s">
        <v>149</v>
      </c>
      <c r="B199" s="178"/>
      <c r="C199" s="178"/>
      <c r="D199" s="178"/>
      <c r="E199" s="178"/>
      <c r="F199" s="178"/>
      <c r="G199" s="178"/>
      <c r="H199" s="179"/>
      <c r="I199" s="35"/>
    </row>
    <row r="200" spans="1:9" s="51" customFormat="1" ht="15.75" hidden="1" customHeight="1" x14ac:dyDescent="0.25">
      <c r="A200" s="173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201 to 501</v>
      </c>
      <c r="B200" s="174"/>
      <c r="C200" s="50"/>
      <c r="D200" s="50"/>
      <c r="E200" s="50">
        <v>0</v>
      </c>
      <c r="F200" s="50">
        <f>D200+E200</f>
        <v>0</v>
      </c>
      <c r="G200" s="50">
        <v>0</v>
      </c>
      <c r="H200" s="50">
        <f>F200*(($H$191)+1)+(IF(G200&lt;101,G200,IF(G200&lt;201,G200/2,IF(G200&lt;=301,G200/3,G200/4))))</f>
        <v>0</v>
      </c>
      <c r="I200" s="35"/>
    </row>
    <row r="201" spans="1:9" s="51" customFormat="1" ht="15.75" hidden="1" customHeight="1" x14ac:dyDescent="0.25">
      <c r="A201" s="173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202 to 502</v>
      </c>
      <c r="B201" s="174"/>
      <c r="C201" s="50"/>
      <c r="D201" s="50"/>
      <c r="E201" s="50">
        <v>0</v>
      </c>
      <c r="F201" s="50">
        <f>D201+E201</f>
        <v>0</v>
      </c>
      <c r="G201" s="50">
        <v>0</v>
      </c>
      <c r="H201" s="50">
        <f>F201*(($H$191)+1)+(IF(G201&lt;101,G201,IF(G201&lt;201,G201/2,IF(G201&lt;=301,G201/3,G201/4))))</f>
        <v>0</v>
      </c>
      <c r="I201" s="35"/>
    </row>
    <row r="202" spans="1:9" s="51" customFormat="1" ht="15.75" hidden="1" customHeight="1" x14ac:dyDescent="0.25">
      <c r="A202" s="173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203 to 503</v>
      </c>
      <c r="B202" s="174"/>
      <c r="C202" s="50"/>
      <c r="D202" s="50"/>
      <c r="E202" s="50">
        <v>0</v>
      </c>
      <c r="F202" s="50">
        <f>D202+E202</f>
        <v>0</v>
      </c>
      <c r="G202" s="50">
        <v>0</v>
      </c>
      <c r="H202" s="50">
        <f>F202*(($H$191)+1)+(IF(G202&lt;101,G202,IF(G202&lt;201,G202/2,IF(G202&lt;=301,G202/3,G202/4))))</f>
        <v>0</v>
      </c>
      <c r="I202" s="35"/>
    </row>
    <row r="203" spans="1:9" s="51" customFormat="1" ht="15.75" hidden="1" customHeight="1" x14ac:dyDescent="0.25">
      <c r="A203" s="173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204 to 504</v>
      </c>
      <c r="B203" s="174"/>
      <c r="C203" s="50"/>
      <c r="D203" s="50"/>
      <c r="E203" s="50">
        <v>0</v>
      </c>
      <c r="F203" s="50">
        <f>D203+E203</f>
        <v>0</v>
      </c>
      <c r="G203" s="50">
        <v>0</v>
      </c>
      <c r="H203" s="50">
        <f>F203*(($H$191)+1)+(IF(G203&lt;101,G203,IF(G203&lt;201,G203/2,IF(G203&lt;=301,G203/3,G203/4))))</f>
        <v>0</v>
      </c>
      <c r="I203" s="35"/>
    </row>
    <row r="204" spans="1:9" s="51" customFormat="1" ht="15.75" hidden="1" customHeight="1" x14ac:dyDescent="0.25">
      <c r="A204" s="173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205 to 505</v>
      </c>
      <c r="B204" s="174"/>
      <c r="C204" s="50"/>
      <c r="D204" s="50"/>
      <c r="E204" s="50">
        <v>0</v>
      </c>
      <c r="F204" s="50">
        <f>D204+E204</f>
        <v>0</v>
      </c>
      <c r="G204" s="50">
        <v>0</v>
      </c>
      <c r="H204" s="50">
        <f>F204*(($H$191)+1)+(IF(G204&lt;101,G204,IF(G204&lt;201,G204/2,IF(G204&lt;=301,G204/3,G204/4))))</f>
        <v>0</v>
      </c>
      <c r="I204" s="35"/>
    </row>
    <row r="205" spans="1:9" s="51" customFormat="1" hidden="1" x14ac:dyDescent="0.25">
      <c r="A205" s="177" t="s">
        <v>150</v>
      </c>
      <c r="B205" s="178"/>
      <c r="C205" s="178"/>
      <c r="D205" s="178"/>
      <c r="E205" s="178"/>
      <c r="F205" s="178"/>
      <c r="G205" s="178"/>
      <c r="H205" s="179"/>
      <c r="I205" s="35"/>
    </row>
    <row r="206" spans="1:9" s="51" customFormat="1" ht="15.75" hidden="1" customHeight="1" x14ac:dyDescent="0.25">
      <c r="A206" s="173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10^ROW(INDIRECT("1:"&amp;LEN((LEFT(A205,SUM(LEN(A205)-LEN(SUBSTITUTE(A205,{"0","1","2"},""))))))))/10))*100+1&amp;""&amp;"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",LEN(A205))),LEN(A205)))))))/10))*100+1</f>
        <v>201 &amp; 501</v>
      </c>
      <c r="B206" s="174"/>
      <c r="C206" s="50"/>
      <c r="D206" s="50"/>
      <c r="E206" s="50">
        <v>0</v>
      </c>
      <c r="F206" s="50">
        <f>D206+E206</f>
        <v>0</v>
      </c>
      <c r="G206" s="50">
        <v>0</v>
      </c>
      <c r="H206" s="50">
        <f>F206*(($H$191)+1)+(IF(G206&lt;101,G206,IF(G206&lt;201,G206/2,IF(G206&lt;=301,G206/3,G206/4))))</f>
        <v>0</v>
      </c>
      <c r="I206" s="35"/>
    </row>
    <row r="207" spans="1:9" s="51" customFormat="1" ht="15.75" hidden="1" customHeight="1" x14ac:dyDescent="0.25">
      <c r="A207" s="173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202 &amp; 502</v>
      </c>
      <c r="B207" s="174"/>
      <c r="C207" s="50"/>
      <c r="D207" s="50"/>
      <c r="E207" s="50">
        <v>0</v>
      </c>
      <c r="F207" s="50">
        <f>D207+E207</f>
        <v>0</v>
      </c>
      <c r="G207" s="50">
        <v>0</v>
      </c>
      <c r="H207" s="50">
        <f>F207*(($H$191)+1)+(IF(G207&lt;101,G207,IF(G207&lt;201,G207/2,IF(G207&lt;=301,G207/3,G207/4))))</f>
        <v>0</v>
      </c>
      <c r="I207" s="35"/>
    </row>
    <row r="208" spans="1:9" s="51" customFormat="1" ht="15.75" hidden="1" customHeight="1" x14ac:dyDescent="0.25">
      <c r="A208" s="173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203 &amp; 503</v>
      </c>
      <c r="B208" s="174"/>
      <c r="C208" s="50"/>
      <c r="D208" s="50"/>
      <c r="E208" s="50">
        <v>0</v>
      </c>
      <c r="F208" s="50">
        <f>D208+E208</f>
        <v>0</v>
      </c>
      <c r="G208" s="50">
        <v>0</v>
      </c>
      <c r="H208" s="50">
        <f>F208*(($H$191)+1)+(IF(G208&lt;101,G208,IF(G208&lt;201,G208/2,IF(G208&lt;=301,G208/3,G208/4))))</f>
        <v>0</v>
      </c>
      <c r="I208" s="35"/>
    </row>
    <row r="209" spans="1:9" s="51" customFormat="1" ht="15.75" hidden="1" customHeight="1" x14ac:dyDescent="0.25">
      <c r="A209" s="173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204 &amp; 504</v>
      </c>
      <c r="B209" s="174"/>
      <c r="C209" s="50"/>
      <c r="D209" s="50"/>
      <c r="E209" s="50">
        <v>0</v>
      </c>
      <c r="F209" s="50">
        <f>D209+E209</f>
        <v>0</v>
      </c>
      <c r="G209" s="50">
        <v>0</v>
      </c>
      <c r="H209" s="50">
        <f>F209*(($H$191)+1)+(IF(G209&lt;101,G209,IF(G209&lt;201,G209/2,IF(G209&lt;=301,G209/3,G209/4))))</f>
        <v>0</v>
      </c>
      <c r="I209" s="35"/>
    </row>
    <row r="210" spans="1:9" s="51" customFormat="1" ht="15.75" hidden="1" customHeight="1" x14ac:dyDescent="0.25">
      <c r="A210" s="173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205 &amp; 505</v>
      </c>
      <c r="B210" s="174"/>
      <c r="C210" s="50"/>
      <c r="D210" s="50"/>
      <c r="E210" s="50">
        <v>0</v>
      </c>
      <c r="F210" s="50">
        <f>D210+E210</f>
        <v>0</v>
      </c>
      <c r="G210" s="50">
        <v>0</v>
      </c>
      <c r="H210" s="50">
        <f>F210*(($H$191)+1)+(IF(G210&lt;101,G210,IF(G210&lt;201,G210/2,IF(G210&lt;=301,G210/3,G210/4))))</f>
        <v>0</v>
      </c>
      <c r="I210" s="35"/>
    </row>
    <row r="211" spans="1:9" s="34" customFormat="1" x14ac:dyDescent="0.25">
      <c r="A211" s="176" t="s">
        <v>69</v>
      </c>
      <c r="B211" s="176"/>
      <c r="C211" s="176"/>
      <c r="D211" s="176"/>
      <c r="E211" s="176"/>
      <c r="F211" s="176"/>
      <c r="G211" s="176"/>
      <c r="H211" s="176"/>
    </row>
    <row r="212" spans="1:9" s="34" customFormat="1" x14ac:dyDescent="0.25">
      <c r="A212" s="44" t="s">
        <v>161</v>
      </c>
      <c r="B212" s="181" t="s">
        <v>229</v>
      </c>
      <c r="C212" s="182"/>
      <c r="D212" s="182"/>
      <c r="E212" s="182"/>
      <c r="F212" s="182"/>
      <c r="G212" s="182"/>
      <c r="H212" s="183"/>
    </row>
    <row r="213" spans="1:9" s="34" customFormat="1" x14ac:dyDescent="0.25">
      <c r="A213" s="44" t="s">
        <v>161</v>
      </c>
      <c r="B213" s="181" t="str">
        <f>(IF(H145="Saleable area Loading :","We have considered Saleable area of Flats as per our Calculation.","We considered Saleable area of Flat as per Builder area Sheet."))</f>
        <v>We considered Saleable area of Flat as per Builder area Sheet.</v>
      </c>
      <c r="C213" s="182"/>
      <c r="D213" s="182"/>
      <c r="E213" s="182"/>
      <c r="F213" s="182"/>
      <c r="G213" s="182"/>
      <c r="H213" s="183"/>
    </row>
    <row r="214" spans="1:9" s="34" customFormat="1" hidden="1" x14ac:dyDescent="0.25">
      <c r="A214" s="44" t="s">
        <v>161</v>
      </c>
      <c r="B214" s="181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4" s="182"/>
      <c r="D214" s="182"/>
      <c r="E214" s="182"/>
      <c r="F214" s="182"/>
      <c r="G214" s="182"/>
      <c r="H214" s="183"/>
    </row>
    <row r="215" spans="1:9" s="34" customFormat="1" x14ac:dyDescent="0.25">
      <c r="A215" s="44" t="s">
        <v>161</v>
      </c>
      <c r="B215" s="169" t="s">
        <v>126</v>
      </c>
      <c r="C215" s="170"/>
      <c r="D215" s="170"/>
      <c r="E215" s="170"/>
      <c r="F215" s="170"/>
      <c r="G215" s="170"/>
      <c r="H215" s="171"/>
    </row>
    <row r="216" spans="1:9" s="34" customFormat="1" x14ac:dyDescent="0.25">
      <c r="A216" s="44" t="s">
        <v>161</v>
      </c>
      <c r="B216" s="169" t="s">
        <v>230</v>
      </c>
      <c r="C216" s="170"/>
      <c r="D216" s="170"/>
      <c r="E216" s="170"/>
      <c r="F216" s="170"/>
      <c r="G216" s="170"/>
      <c r="H216" s="171"/>
    </row>
    <row r="217" spans="1:9" s="34" customFormat="1" x14ac:dyDescent="0.25">
      <c r="A217" s="44" t="s">
        <v>161</v>
      </c>
      <c r="B217" s="169" t="s">
        <v>160</v>
      </c>
      <c r="C217" s="170"/>
      <c r="D217" s="170"/>
      <c r="E217" s="170"/>
      <c r="F217" s="170"/>
      <c r="G217" s="170"/>
      <c r="H217" s="171"/>
    </row>
    <row r="218" spans="1:9" s="34" customFormat="1" x14ac:dyDescent="0.25">
      <c r="A218" s="44" t="s">
        <v>161</v>
      </c>
      <c r="B218" s="169" t="s">
        <v>127</v>
      </c>
      <c r="C218" s="170"/>
      <c r="D218" s="170"/>
      <c r="E218" s="170"/>
      <c r="F218" s="170"/>
      <c r="G218" s="170"/>
      <c r="H218" s="171"/>
    </row>
    <row r="219" spans="1:9" s="34" customFormat="1" ht="34.5" customHeight="1" x14ac:dyDescent="0.25">
      <c r="A219" s="44" t="s">
        <v>161</v>
      </c>
      <c r="B219" s="169" t="s">
        <v>162</v>
      </c>
      <c r="C219" s="170"/>
      <c r="D219" s="170"/>
      <c r="E219" s="170"/>
      <c r="F219" s="170"/>
      <c r="G219" s="170"/>
      <c r="H219" s="171"/>
    </row>
    <row r="220" spans="1:9" s="34" customFormat="1" x14ac:dyDescent="0.25">
      <c r="A220" s="44" t="s">
        <v>161</v>
      </c>
      <c r="B220" s="169" t="s">
        <v>128</v>
      </c>
      <c r="C220" s="170"/>
      <c r="D220" s="170"/>
      <c r="E220" s="170"/>
      <c r="F220" s="170"/>
      <c r="G220" s="170"/>
      <c r="H220" s="171"/>
    </row>
    <row r="221" spans="1:9" s="34" customFormat="1" x14ac:dyDescent="0.25">
      <c r="A221" s="53" t="s">
        <v>161</v>
      </c>
      <c r="B221" s="169" t="s">
        <v>231</v>
      </c>
      <c r="C221" s="170"/>
      <c r="D221" s="170"/>
      <c r="E221" s="170"/>
      <c r="F221" s="170"/>
      <c r="G221" s="170"/>
      <c r="H221" s="171"/>
    </row>
    <row r="222" spans="1:9" x14ac:dyDescent="0.25">
      <c r="A222" s="175" t="s">
        <v>62</v>
      </c>
      <c r="B222" s="175"/>
      <c r="C222" s="175"/>
      <c r="D222" s="175"/>
      <c r="E222" s="175"/>
      <c r="F222" s="175"/>
      <c r="G222" s="175"/>
      <c r="H222" s="175"/>
    </row>
    <row r="223" spans="1:9" x14ac:dyDescent="0.25">
      <c r="A223" s="69" t="s">
        <v>63</v>
      </c>
      <c r="B223" s="69"/>
      <c r="C223" s="69"/>
      <c r="D223" s="69"/>
      <c r="E223" s="69"/>
      <c r="F223" s="69"/>
      <c r="G223" s="69"/>
      <c r="H223" s="69"/>
    </row>
    <row r="224" spans="1:9" ht="15.75" customHeight="1" x14ac:dyDescent="0.25">
      <c r="A224" s="206" t="s">
        <v>64</v>
      </c>
      <c r="B224" s="206"/>
      <c r="C224" s="206"/>
      <c r="D224" s="206"/>
      <c r="E224" s="206"/>
      <c r="F224" s="206"/>
      <c r="G224" s="206"/>
      <c r="H224" s="206"/>
    </row>
    <row r="225" spans="1:8" x14ac:dyDescent="0.25">
      <c r="A225" s="69" t="s">
        <v>65</v>
      </c>
      <c r="B225" s="69"/>
      <c r="C225" s="69"/>
      <c r="D225" s="69"/>
      <c r="E225" s="69"/>
      <c r="F225" s="69"/>
      <c r="G225" s="69"/>
      <c r="H225" s="69"/>
    </row>
    <row r="226" spans="1:8" hidden="1" x14ac:dyDescent="0.25">
      <c r="A226" s="69" t="s">
        <v>66</v>
      </c>
      <c r="B226" s="69"/>
      <c r="C226" s="69"/>
      <c r="D226" s="69"/>
      <c r="E226" s="69"/>
      <c r="F226" s="69"/>
      <c r="G226" s="69"/>
      <c r="H226" s="69"/>
    </row>
    <row r="227" spans="1:8" hidden="1" x14ac:dyDescent="0.25">
      <c r="A227" s="69" t="s">
        <v>129</v>
      </c>
      <c r="B227" s="69"/>
      <c r="C227" s="69"/>
      <c r="D227" s="69"/>
      <c r="E227" s="69"/>
      <c r="F227" s="69"/>
      <c r="G227" s="69"/>
      <c r="H227" s="69"/>
    </row>
    <row r="228" spans="1:8" hidden="1" x14ac:dyDescent="0.25">
      <c r="A228" s="155" t="s">
        <v>130</v>
      </c>
      <c r="B228" s="155"/>
      <c r="C228" s="155"/>
      <c r="D228" s="155"/>
      <c r="E228" s="155"/>
      <c r="F228" s="155"/>
      <c r="G228" s="155"/>
      <c r="H228" s="155"/>
    </row>
    <row r="229" spans="1:8" x14ac:dyDescent="0.25">
      <c r="A229" s="168" t="s">
        <v>79</v>
      </c>
      <c r="B229" s="168"/>
      <c r="C229" s="168" t="s">
        <v>233</v>
      </c>
      <c r="D229" s="168"/>
      <c r="E229" s="168" t="s">
        <v>109</v>
      </c>
      <c r="F229" s="168"/>
      <c r="G229" s="168" t="s">
        <v>232</v>
      </c>
      <c r="H229" s="168"/>
    </row>
    <row r="230" spans="1:8" x14ac:dyDescent="0.25">
      <c r="A230" s="167" t="s">
        <v>81</v>
      </c>
      <c r="B230" s="167"/>
      <c r="C230" s="167"/>
      <c r="D230" s="167"/>
      <c r="E230" s="167"/>
      <c r="F230" s="167"/>
      <c r="G230" s="167"/>
      <c r="H230" s="167"/>
    </row>
    <row r="231" spans="1:8" x14ac:dyDescent="0.25">
      <c r="A231" s="167"/>
      <c r="B231" s="167"/>
      <c r="C231" s="167"/>
      <c r="D231" s="167"/>
      <c r="E231" s="167"/>
      <c r="F231" s="167"/>
      <c r="G231" s="167"/>
      <c r="H231" s="167"/>
    </row>
    <row r="232" spans="1:8" x14ac:dyDescent="0.25">
      <c r="A232" s="167"/>
      <c r="B232" s="167"/>
      <c r="C232" s="167"/>
      <c r="D232" s="167"/>
      <c r="E232" s="167"/>
      <c r="F232" s="167"/>
      <c r="G232" s="167"/>
      <c r="H232" s="167"/>
    </row>
    <row r="233" spans="1:8" x14ac:dyDescent="0.25">
      <c r="A233" s="167"/>
      <c r="B233" s="167"/>
      <c r="C233" s="167"/>
      <c r="D233" s="167"/>
      <c r="E233" s="167"/>
      <c r="F233" s="167"/>
      <c r="G233" s="167"/>
      <c r="H233" s="167"/>
    </row>
    <row r="234" spans="1:8" x14ac:dyDescent="0.25">
      <c r="A234" s="37" t="s">
        <v>67</v>
      </c>
      <c r="B234" s="38"/>
      <c r="C234" s="38"/>
      <c r="D234" s="37" t="str">
        <f>E8</f>
        <v>Magic Meera Heights</v>
      </c>
      <c r="F234" s="38"/>
      <c r="G234" s="38"/>
      <c r="H234" s="38"/>
    </row>
    <row r="235" spans="1:8" x14ac:dyDescent="0.25">
      <c r="A235" s="38"/>
      <c r="B235" s="38"/>
      <c r="C235" s="38"/>
      <c r="D235" s="38"/>
      <c r="E235" s="38"/>
      <c r="F235" s="38"/>
      <c r="G235" s="38"/>
      <c r="H235" s="38"/>
    </row>
    <row r="236" spans="1:8" x14ac:dyDescent="0.25">
      <c r="A236" s="38"/>
      <c r="B236" s="38"/>
      <c r="C236" s="38"/>
      <c r="D236" s="38"/>
      <c r="E236" s="38"/>
      <c r="F236" s="38"/>
      <c r="G236" s="38"/>
      <c r="H236" s="38"/>
    </row>
    <row r="237" spans="1:8" ht="15" customHeight="1" x14ac:dyDescent="0.25"/>
    <row r="277" spans="1:1" x14ac:dyDescent="0.25">
      <c r="A277" s="40" t="s">
        <v>204</v>
      </c>
    </row>
    <row r="278" spans="1:1" x14ac:dyDescent="0.25">
      <c r="A278" s="20"/>
    </row>
    <row r="320" spans="1:1" x14ac:dyDescent="0.25">
      <c r="A320" s="40" t="s">
        <v>68</v>
      </c>
    </row>
    <row r="322" spans="1:1" x14ac:dyDescent="0.25">
      <c r="A322" s="20"/>
    </row>
    <row r="363" spans="1:1" x14ac:dyDescent="0.25">
      <c r="A363" s="20"/>
    </row>
  </sheetData>
  <mergeCells count="409">
    <mergeCell ref="L154:M154"/>
    <mergeCell ref="A155:B155"/>
    <mergeCell ref="L155:M155"/>
    <mergeCell ref="L142:M142"/>
    <mergeCell ref="L141:M141"/>
    <mergeCell ref="L140:M140"/>
    <mergeCell ref="L139:M139"/>
    <mergeCell ref="A142:B142"/>
    <mergeCell ref="G141:H141"/>
    <mergeCell ref="G139:H139"/>
    <mergeCell ref="G140:H140"/>
    <mergeCell ref="G142:H142"/>
    <mergeCell ref="L156:M156"/>
    <mergeCell ref="A157:B157"/>
    <mergeCell ref="L157:M157"/>
    <mergeCell ref="A175:B175"/>
    <mergeCell ref="L175:M175"/>
    <mergeCell ref="A176:B176"/>
    <mergeCell ref="L176:M176"/>
    <mergeCell ref="A165:H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64:B164"/>
    <mergeCell ref="L164:M164"/>
    <mergeCell ref="A170:H170"/>
    <mergeCell ref="A171:H171"/>
    <mergeCell ref="A172:H172"/>
    <mergeCell ref="A173:B173"/>
    <mergeCell ref="L173:M173"/>
    <mergeCell ref="L174:M174"/>
    <mergeCell ref="C166:H166"/>
    <mergeCell ref="A207:B207"/>
    <mergeCell ref="A208:B208"/>
    <mergeCell ref="A209:B209"/>
    <mergeCell ref="A210:B210"/>
    <mergeCell ref="A147:H147"/>
    <mergeCell ref="A146:H146"/>
    <mergeCell ref="A148:H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8:H158"/>
    <mergeCell ref="A159:H159"/>
    <mergeCell ref="A160:H160"/>
    <mergeCell ref="A161:B161"/>
    <mergeCell ref="L161:M161"/>
    <mergeCell ref="A162:B162"/>
    <mergeCell ref="A156:B156"/>
    <mergeCell ref="L162:M162"/>
    <mergeCell ref="A163:B163"/>
    <mergeCell ref="L163:M163"/>
    <mergeCell ref="A198:B198"/>
    <mergeCell ref="A199:H199"/>
    <mergeCell ref="A200:B200"/>
    <mergeCell ref="A201:B201"/>
    <mergeCell ref="A202:B202"/>
    <mergeCell ref="A203:B203"/>
    <mergeCell ref="L183:M183"/>
    <mergeCell ref="A184:B184"/>
    <mergeCell ref="L184:M184"/>
    <mergeCell ref="A185:B185"/>
    <mergeCell ref="L185:M185"/>
    <mergeCell ref="A186:B186"/>
    <mergeCell ref="L186:M186"/>
    <mergeCell ref="A187:H187"/>
    <mergeCell ref="L187:M187"/>
    <mergeCell ref="A182:H182"/>
    <mergeCell ref="A183:B183"/>
    <mergeCell ref="A188:B188"/>
    <mergeCell ref="L181:M181"/>
    <mergeCell ref="L178:M178"/>
    <mergeCell ref="L179:M179"/>
    <mergeCell ref="A76:B76"/>
    <mergeCell ref="F110:H110"/>
    <mergeCell ref="G125:H125"/>
    <mergeCell ref="A108:B108"/>
    <mergeCell ref="A48:B48"/>
    <mergeCell ref="C48:E48"/>
    <mergeCell ref="G48:H48"/>
    <mergeCell ref="G50:H50"/>
    <mergeCell ref="D54:H54"/>
    <mergeCell ref="C50:E50"/>
    <mergeCell ref="A57:C59"/>
    <mergeCell ref="A227:H227"/>
    <mergeCell ref="A224:H224"/>
    <mergeCell ref="A129:B129"/>
    <mergeCell ref="A89:B89"/>
    <mergeCell ref="A90:B90"/>
    <mergeCell ref="A91:B91"/>
    <mergeCell ref="A81:B81"/>
    <mergeCell ref="C81:H81"/>
    <mergeCell ref="A105:B105"/>
    <mergeCell ref="A204:B204"/>
    <mergeCell ref="A205:H205"/>
    <mergeCell ref="A206:B206"/>
    <mergeCell ref="A189:B189"/>
    <mergeCell ref="A190:B190"/>
    <mergeCell ref="A191:B191"/>
    <mergeCell ref="A192:B192"/>
    <mergeCell ref="A193:H193"/>
    <mergeCell ref="A194:B194"/>
    <mergeCell ref="A195:B195"/>
    <mergeCell ref="A196:B196"/>
    <mergeCell ref="A197:B197"/>
    <mergeCell ref="A174:B174"/>
    <mergeCell ref="A132:B132"/>
    <mergeCell ref="C132:D132"/>
    <mergeCell ref="A53:H53"/>
    <mergeCell ref="A54:C54"/>
    <mergeCell ref="A55:C55"/>
    <mergeCell ref="D55:H55"/>
    <mergeCell ref="G52:H52"/>
    <mergeCell ref="G49:H49"/>
    <mergeCell ref="A16:B16"/>
    <mergeCell ref="C16:H16"/>
    <mergeCell ref="E41:H41"/>
    <mergeCell ref="A41:D41"/>
    <mergeCell ref="C136:C137"/>
    <mergeCell ref="A181:B181"/>
    <mergeCell ref="A178:B178"/>
    <mergeCell ref="F119:H119"/>
    <mergeCell ref="E124:F124"/>
    <mergeCell ref="A124:B124"/>
    <mergeCell ref="A126:B126"/>
    <mergeCell ref="A135:H135"/>
    <mergeCell ref="C125:D125"/>
    <mergeCell ref="A144:A145"/>
    <mergeCell ref="B144:B145"/>
    <mergeCell ref="C144:C145"/>
    <mergeCell ref="D144:D145"/>
    <mergeCell ref="E144:E145"/>
    <mergeCell ref="F144:F145"/>
    <mergeCell ref="G144:G145"/>
    <mergeCell ref="E132:F132"/>
    <mergeCell ref="G132:H132"/>
    <mergeCell ref="A153:H153"/>
    <mergeCell ref="A154:B154"/>
    <mergeCell ref="D136:D137"/>
    <mergeCell ref="A222:H222"/>
    <mergeCell ref="B216:H216"/>
    <mergeCell ref="A211:H211"/>
    <mergeCell ref="A177:H177"/>
    <mergeCell ref="C179:H179"/>
    <mergeCell ref="B218:H218"/>
    <mergeCell ref="B214:H214"/>
    <mergeCell ref="B212:H212"/>
    <mergeCell ref="B213:H213"/>
    <mergeCell ref="B215:H215"/>
    <mergeCell ref="A180:B180"/>
    <mergeCell ref="B221:H221"/>
    <mergeCell ref="B219:H219"/>
    <mergeCell ref="B217:H217"/>
    <mergeCell ref="A230:H233"/>
    <mergeCell ref="A229:B229"/>
    <mergeCell ref="E229:F229"/>
    <mergeCell ref="C229:D229"/>
    <mergeCell ref="G229:H229"/>
    <mergeCell ref="A123:H123"/>
    <mergeCell ref="A121:E121"/>
    <mergeCell ref="F121:H121"/>
    <mergeCell ref="A122:E122"/>
    <mergeCell ref="F122:H122"/>
    <mergeCell ref="A130:B130"/>
    <mergeCell ref="A125:B125"/>
    <mergeCell ref="A225:H225"/>
    <mergeCell ref="A128:H128"/>
    <mergeCell ref="A228:H228"/>
    <mergeCell ref="A226:H226"/>
    <mergeCell ref="A223:H223"/>
    <mergeCell ref="E129:F129"/>
    <mergeCell ref="B220:H220"/>
    <mergeCell ref="C130:D130"/>
    <mergeCell ref="E130:F130"/>
    <mergeCell ref="G130:H130"/>
    <mergeCell ref="A143:H143"/>
    <mergeCell ref="A179:B179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38:B38"/>
    <mergeCell ref="C38:H38"/>
    <mergeCell ref="D59:H59"/>
    <mergeCell ref="C51:H51"/>
    <mergeCell ref="D56:H56"/>
    <mergeCell ref="A56:C56"/>
    <mergeCell ref="A50:B51"/>
    <mergeCell ref="D57:H57"/>
    <mergeCell ref="D58:H58"/>
    <mergeCell ref="C49:E49"/>
    <mergeCell ref="A52:B52"/>
    <mergeCell ref="C52:E52"/>
    <mergeCell ref="A49:B49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A78:B78"/>
    <mergeCell ref="A47:B47"/>
    <mergeCell ref="C47:H47"/>
    <mergeCell ref="A77:B77"/>
    <mergeCell ref="A70:B70"/>
    <mergeCell ref="A73:B73"/>
    <mergeCell ref="A69:B69"/>
    <mergeCell ref="A67:B67"/>
    <mergeCell ref="F116:H116"/>
    <mergeCell ref="A110:E110"/>
    <mergeCell ref="A95:B95"/>
    <mergeCell ref="C95:H95"/>
    <mergeCell ref="A138:H138"/>
    <mergeCell ref="E136:E137"/>
    <mergeCell ref="G136:H137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A133:B133"/>
    <mergeCell ref="E133:F133"/>
    <mergeCell ref="F117:H117"/>
    <mergeCell ref="A134:H134"/>
    <mergeCell ref="E125:F125"/>
    <mergeCell ref="B136:B137"/>
    <mergeCell ref="A136:A137"/>
    <mergeCell ref="C133:D133"/>
    <mergeCell ref="L180:M180"/>
    <mergeCell ref="A83:B83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9:H108"/>
    <mergeCell ref="G131:H131"/>
    <mergeCell ref="C129:D129"/>
    <mergeCell ref="G129:H129"/>
    <mergeCell ref="A101:B101"/>
    <mergeCell ref="G85:H94"/>
    <mergeCell ref="A86:B86"/>
    <mergeCell ref="A87:B87"/>
    <mergeCell ref="A88:B88"/>
    <mergeCell ref="F111:H111"/>
    <mergeCell ref="A111:E111"/>
    <mergeCell ref="G98:H98"/>
    <mergeCell ref="A97:B97"/>
    <mergeCell ref="C97:H97"/>
    <mergeCell ref="A98:B98"/>
    <mergeCell ref="E98:F98"/>
    <mergeCell ref="A113:E113"/>
    <mergeCell ref="A139:B139"/>
    <mergeCell ref="A140:B140"/>
    <mergeCell ref="A141:B141"/>
    <mergeCell ref="C37:H37"/>
    <mergeCell ref="C124:D124"/>
    <mergeCell ref="F120:H120"/>
    <mergeCell ref="F118:H118"/>
    <mergeCell ref="G124:H124"/>
    <mergeCell ref="A119:E119"/>
    <mergeCell ref="A114:E114"/>
    <mergeCell ref="A120:E120"/>
    <mergeCell ref="G133:H133"/>
    <mergeCell ref="C126:D126"/>
    <mergeCell ref="E126:F126"/>
    <mergeCell ref="G126:H126"/>
    <mergeCell ref="A127:B127"/>
    <mergeCell ref="C127:D127"/>
    <mergeCell ref="E127:F127"/>
    <mergeCell ref="G127:H127"/>
    <mergeCell ref="A131:B131"/>
    <mergeCell ref="C131:D131"/>
    <mergeCell ref="E131:F131"/>
    <mergeCell ref="A100:B100"/>
  </mergeCells>
  <dataValidations disablePrompts="1" count="5">
    <dataValidation type="list" allowBlank="1" showInputMessage="1" showErrorMessage="1" sqref="D144:D145">
      <formula1>"Carpet Area,Carpet + Encl Balcony Area,RERA Carpet area"</formula1>
    </dataValidation>
    <dataValidation type="list" allowBlank="1" showInputMessage="1" showErrorMessage="1" sqref="H144">
      <formula1>"Saleable area Loading :,Builder Saleable Area"</formula1>
    </dataValidation>
    <dataValidation type="list" allowBlank="1" showInputMessage="1" showErrorMessage="1" sqref="H145">
      <formula1>".45,.50,.55,.60"</formula1>
    </dataValidation>
    <dataValidation type="list" allowBlank="1" showInputMessage="1" showErrorMessage="1" sqref="E144:E145">
      <formula1>"Fungible area,Balcony Area,Chajja Area,Cornice Area,AP Area,WS Area"</formula1>
    </dataValidation>
    <dataValidation type="list" allowBlank="1" showInputMessage="1" showErrorMessage="1" sqref="B144:B145">
      <formula1>"Flat No. (Sale Plan),Sale / Rehab,Sale / Mhada"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&amp;F&amp;R&amp;"Times New Roman,Bold"&amp;12&amp;P</oddFooter>
  </headerFooter>
  <rowBreaks count="4" manualBreakCount="4">
    <brk id="233" max="16383" man="1"/>
    <brk id="276" max="16383" man="1"/>
    <brk id="319" max="7" man="1"/>
    <brk id="36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85" zoomScaleNormal="85" workbookViewId="0">
      <selection activeCell="M27" sqref="M27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9" t="s">
        <v>110</v>
      </c>
      <c r="C3" s="219"/>
      <c r="D3" s="219"/>
      <c r="E3" s="219"/>
      <c r="F3" s="219"/>
      <c r="G3" s="219"/>
      <c r="H3" s="219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2025-09-24T10:32:48Z</cp:lastPrinted>
  <dcterms:created xsi:type="dcterms:W3CDTF">2019-07-16T09:29:46Z</dcterms:created>
  <dcterms:modified xsi:type="dcterms:W3CDTF">2025-09-24T10:33:17Z</dcterms:modified>
</cp:coreProperties>
</file>