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bookViews>
  <sheets>
    <sheet name="Report" sheetId="1" r:id="rId1"/>
    <sheet name="C%" sheetId="4" r:id="rId2"/>
  </sheets>
  <definedNames>
    <definedName name="_xlnm.Print_Area" localSheetId="0">Report!$A$1:$H$503</definedName>
  </definedNames>
  <calcPr calcId="152511"/>
</workbook>
</file>

<file path=xl/calcChain.xml><?xml version="1.0" encoding="utf-8"?>
<calcChain xmlns="http://schemas.openxmlformats.org/spreadsheetml/2006/main">
  <c r="J200" i="1" l="1"/>
  <c r="I28" i="1" l="1"/>
  <c r="I59" i="1" l="1"/>
  <c r="I198" i="1" l="1"/>
  <c r="I195" i="1"/>
  <c r="L27" i="1"/>
  <c r="I170" i="1" l="1"/>
  <c r="I168" i="1"/>
  <c r="J130" i="1"/>
  <c r="J129" i="1"/>
  <c r="J128" i="1"/>
  <c r="J127" i="1"/>
  <c r="J88" i="1"/>
  <c r="J87" i="1"/>
  <c r="J86" i="1"/>
  <c r="J85" i="1"/>
  <c r="H120" i="1"/>
  <c r="H78" i="1"/>
  <c r="F132" i="1" l="1"/>
  <c r="F126" i="1"/>
  <c r="F131" i="1"/>
  <c r="F130" i="1"/>
  <c r="F129" i="1"/>
  <c r="J125" i="1"/>
  <c r="J126" i="1" s="1"/>
  <c r="J131" i="1" s="1"/>
  <c r="J132" i="1" s="1"/>
  <c r="E124" i="1" s="1"/>
  <c r="F125" i="1"/>
  <c r="J123" i="1"/>
  <c r="F128" i="1"/>
  <c r="F127" i="1"/>
  <c r="J122" i="1"/>
  <c r="J124" i="1"/>
  <c r="E123" i="1" s="1"/>
  <c r="F123" i="1" s="1"/>
  <c r="J83" i="1"/>
  <c r="J84" i="1" s="1"/>
  <c r="J89" i="1" s="1"/>
  <c r="J90" i="1" s="1"/>
  <c r="E82" i="1" s="1"/>
  <c r="F89" i="1"/>
  <c r="F83" i="1"/>
  <c r="J82" i="1"/>
  <c r="E81" i="1" s="1"/>
  <c r="F81" i="1" s="1"/>
  <c r="F88" i="1"/>
  <c r="F87" i="1"/>
  <c r="J81" i="1"/>
  <c r="F86" i="1"/>
  <c r="F85" i="1"/>
  <c r="J80" i="1"/>
  <c r="F90" i="1"/>
  <c r="F84" i="1"/>
  <c r="I241" i="1"/>
  <c r="E260" i="1"/>
  <c r="D260" i="1"/>
  <c r="E259" i="1"/>
  <c r="D259" i="1"/>
  <c r="E257" i="1"/>
  <c r="D257" i="1"/>
  <c r="F257" i="1" s="1"/>
  <c r="H257" i="1" s="1"/>
  <c r="E256" i="1"/>
  <c r="F256" i="1" s="1"/>
  <c r="H256" i="1" s="1"/>
  <c r="D256" i="1"/>
  <c r="E255" i="1"/>
  <c r="D255" i="1"/>
  <c r="E254" i="1"/>
  <c r="D254" i="1"/>
  <c r="E253" i="1"/>
  <c r="D253" i="1"/>
  <c r="F253" i="1" s="1"/>
  <c r="H253" i="1" s="1"/>
  <c r="E252" i="1"/>
  <c r="D252" i="1"/>
  <c r="E250" i="1"/>
  <c r="D250" i="1"/>
  <c r="E249" i="1"/>
  <c r="D249" i="1"/>
  <c r="E248" i="1"/>
  <c r="D248" i="1"/>
  <c r="F248" i="1" s="1"/>
  <c r="H248" i="1" s="1"/>
  <c r="E247" i="1"/>
  <c r="F247" i="1" s="1"/>
  <c r="H247" i="1" s="1"/>
  <c r="D247" i="1"/>
  <c r="E246" i="1"/>
  <c r="D246" i="1"/>
  <c r="E245" i="1"/>
  <c r="D245" i="1"/>
  <c r="E244" i="1"/>
  <c r="D244" i="1"/>
  <c r="F244" i="1" s="1"/>
  <c r="H244" i="1" s="1"/>
  <c r="E243" i="1"/>
  <c r="D243" i="1"/>
  <c r="E242" i="1"/>
  <c r="D242" i="1"/>
  <c r="F242" i="1" s="1"/>
  <c r="H242" i="1" s="1"/>
  <c r="F250" i="1"/>
  <c r="H250" i="1" s="1"/>
  <c r="F246" i="1"/>
  <c r="H246" i="1" s="1"/>
  <c r="A243" i="1"/>
  <c r="A244" i="1" s="1"/>
  <c r="A245" i="1" s="1"/>
  <c r="A246" i="1" s="1"/>
  <c r="A247" i="1" s="1"/>
  <c r="A248" i="1" s="1"/>
  <c r="A249" i="1" s="1"/>
  <c r="A250" i="1" s="1"/>
  <c r="E240" i="1"/>
  <c r="D240" i="1"/>
  <c r="F240" i="1" s="1"/>
  <c r="H240" i="1" s="1"/>
  <c r="E239" i="1"/>
  <c r="F239" i="1" s="1"/>
  <c r="H239" i="1" s="1"/>
  <c r="D239" i="1"/>
  <c r="E238" i="1"/>
  <c r="D238" i="1"/>
  <c r="F238" i="1" s="1"/>
  <c r="H238" i="1" s="1"/>
  <c r="E237" i="1"/>
  <c r="D237" i="1"/>
  <c r="E236" i="1"/>
  <c r="D236" i="1"/>
  <c r="F236" i="1" s="1"/>
  <c r="H236" i="1" s="1"/>
  <c r="E235" i="1"/>
  <c r="D235" i="1"/>
  <c r="E234" i="1"/>
  <c r="D234" i="1"/>
  <c r="E233" i="1"/>
  <c r="D233" i="1"/>
  <c r="E232" i="1"/>
  <c r="D232" i="1"/>
  <c r="A233" i="1"/>
  <c r="A234" i="1" s="1"/>
  <c r="A235" i="1" s="1"/>
  <c r="A236" i="1" s="1"/>
  <c r="A237" i="1" s="1"/>
  <c r="A238" i="1" s="1"/>
  <c r="A239" i="1" s="1"/>
  <c r="A240" i="1" s="1"/>
  <c r="E225" i="1"/>
  <c r="D225" i="1"/>
  <c r="F225" i="1" s="1"/>
  <c r="H225" i="1" s="1"/>
  <c r="E224" i="1"/>
  <c r="D224" i="1"/>
  <c r="E223" i="1"/>
  <c r="D223" i="1"/>
  <c r="A224" i="1"/>
  <c r="A225" i="1" s="1"/>
  <c r="I273" i="1"/>
  <c r="E329" i="1"/>
  <c r="D329" i="1"/>
  <c r="E328" i="1"/>
  <c r="D328" i="1"/>
  <c r="E327" i="1"/>
  <c r="D327" i="1"/>
  <c r="E326" i="1"/>
  <c r="D326" i="1"/>
  <c r="E325" i="1"/>
  <c r="D325" i="1"/>
  <c r="A326" i="1"/>
  <c r="A327" i="1" s="1"/>
  <c r="A328" i="1" s="1"/>
  <c r="A329" i="1" s="1"/>
  <c r="A330" i="1" s="1"/>
  <c r="E323" i="1"/>
  <c r="D323" i="1"/>
  <c r="E322" i="1"/>
  <c r="D322" i="1"/>
  <c r="F322" i="1" s="1"/>
  <c r="H322" i="1" s="1"/>
  <c r="E321" i="1"/>
  <c r="D321" i="1"/>
  <c r="E320" i="1"/>
  <c r="D320" i="1"/>
  <c r="F320" i="1" s="1"/>
  <c r="H320" i="1" s="1"/>
  <c r="E319" i="1"/>
  <c r="D319" i="1"/>
  <c r="A319" i="1"/>
  <c r="A320" i="1" s="1"/>
  <c r="A321" i="1" s="1"/>
  <c r="A322" i="1" s="1"/>
  <c r="A323" i="1" s="1"/>
  <c r="E316" i="1"/>
  <c r="D316" i="1"/>
  <c r="E315" i="1"/>
  <c r="D315" i="1"/>
  <c r="E314" i="1"/>
  <c r="D314" i="1"/>
  <c r="E313" i="1"/>
  <c r="D313" i="1"/>
  <c r="E312" i="1"/>
  <c r="D312" i="1"/>
  <c r="E311" i="1"/>
  <c r="D311" i="1"/>
  <c r="A312" i="1"/>
  <c r="A313" i="1" s="1"/>
  <c r="A314" i="1" s="1"/>
  <c r="A315" i="1" s="1"/>
  <c r="A316" i="1" s="1"/>
  <c r="E308" i="1"/>
  <c r="D308" i="1"/>
  <c r="F308" i="1" s="1"/>
  <c r="H308" i="1" s="1"/>
  <c r="E307" i="1"/>
  <c r="D307" i="1"/>
  <c r="F307" i="1" s="1"/>
  <c r="H307" i="1" s="1"/>
  <c r="E306" i="1"/>
  <c r="D306" i="1"/>
  <c r="E305" i="1"/>
  <c r="D305" i="1"/>
  <c r="F305" i="1" s="1"/>
  <c r="H305" i="1" s="1"/>
  <c r="A305" i="1"/>
  <c r="A306" i="1" s="1"/>
  <c r="A307" i="1" s="1"/>
  <c r="A308" i="1" s="1"/>
  <c r="A309" i="1" s="1"/>
  <c r="E299" i="1"/>
  <c r="F299" i="1" s="1"/>
  <c r="H299" i="1" s="1"/>
  <c r="D299" i="1"/>
  <c r="E298" i="1"/>
  <c r="D298" i="1"/>
  <c r="E297" i="1"/>
  <c r="D297" i="1"/>
  <c r="E296" i="1"/>
  <c r="D296" i="1"/>
  <c r="E295" i="1"/>
  <c r="D295" i="1"/>
  <c r="E294" i="1"/>
  <c r="D294" i="1"/>
  <c r="E293" i="1"/>
  <c r="D293" i="1"/>
  <c r="A293" i="1"/>
  <c r="A294" i="1" s="1"/>
  <c r="A295" i="1" s="1"/>
  <c r="A296" i="1" s="1"/>
  <c r="A297" i="1" s="1"/>
  <c r="A298" i="1" s="1"/>
  <c r="A299" i="1" s="1"/>
  <c r="E290" i="1"/>
  <c r="D290" i="1"/>
  <c r="F290" i="1" s="1"/>
  <c r="H290" i="1" s="1"/>
  <c r="E289" i="1"/>
  <c r="D289" i="1"/>
  <c r="E288" i="1"/>
  <c r="D288" i="1"/>
  <c r="E286" i="1"/>
  <c r="D286" i="1"/>
  <c r="E285" i="1"/>
  <c r="D285" i="1"/>
  <c r="F285" i="1" s="1"/>
  <c r="H285" i="1" s="1"/>
  <c r="E284" i="1"/>
  <c r="D284" i="1"/>
  <c r="F284" i="1" s="1"/>
  <c r="H284" i="1" s="1"/>
  <c r="E283" i="1"/>
  <c r="D283" i="1"/>
  <c r="A284" i="1"/>
  <c r="A285" i="1" s="1"/>
  <c r="A286" i="1" s="1"/>
  <c r="A287" i="1" s="1"/>
  <c r="A288" i="1" s="1"/>
  <c r="A289" i="1" s="1"/>
  <c r="A290" i="1" s="1"/>
  <c r="E281" i="1"/>
  <c r="D281" i="1"/>
  <c r="E280" i="1"/>
  <c r="D280" i="1"/>
  <c r="E279" i="1"/>
  <c r="D279" i="1"/>
  <c r="E278" i="1"/>
  <c r="D278" i="1"/>
  <c r="F278" i="1" s="1"/>
  <c r="H278" i="1" s="1"/>
  <c r="E277" i="1"/>
  <c r="D277" i="1"/>
  <c r="E276" i="1"/>
  <c r="D276" i="1"/>
  <c r="E275" i="1"/>
  <c r="D275" i="1"/>
  <c r="E274" i="1"/>
  <c r="D274" i="1"/>
  <c r="F274" i="1" s="1"/>
  <c r="H274" i="1" s="1"/>
  <c r="F279" i="1"/>
  <c r="H279" i="1" s="1"/>
  <c r="A275" i="1"/>
  <c r="A276" i="1" s="1"/>
  <c r="A277" i="1" s="1"/>
  <c r="A278" i="1" s="1"/>
  <c r="A279" i="1" s="1"/>
  <c r="A280" i="1" s="1"/>
  <c r="A281" i="1" s="1"/>
  <c r="F255" i="1"/>
  <c r="H255" i="1" s="1"/>
  <c r="A253" i="1"/>
  <c r="A254" i="1" s="1"/>
  <c r="A255" i="1" s="1"/>
  <c r="A256" i="1" s="1"/>
  <c r="A257" i="1" s="1"/>
  <c r="A258" i="1" s="1"/>
  <c r="A259" i="1" s="1"/>
  <c r="A260" i="1" s="1"/>
  <c r="E268" i="1"/>
  <c r="D268" i="1"/>
  <c r="E267" i="1"/>
  <c r="D267" i="1"/>
  <c r="E266" i="1"/>
  <c r="D266" i="1"/>
  <c r="F266" i="1" s="1"/>
  <c r="H266" i="1" s="1"/>
  <c r="A267" i="1"/>
  <c r="A268" i="1" s="1"/>
  <c r="I264" i="1"/>
  <c r="F268" i="1" l="1"/>
  <c r="H268" i="1" s="1"/>
  <c r="F283" i="1"/>
  <c r="H283" i="1" s="1"/>
  <c r="F293" i="1"/>
  <c r="H293" i="1" s="1"/>
  <c r="F306" i="1"/>
  <c r="H306" i="1" s="1"/>
  <c r="F321" i="1"/>
  <c r="H321" i="1" s="1"/>
  <c r="F275" i="1"/>
  <c r="H275" i="1" s="1"/>
  <c r="F237" i="1"/>
  <c r="H237" i="1" s="1"/>
  <c r="F224" i="1"/>
  <c r="H224" i="1" s="1"/>
  <c r="F249" i="1"/>
  <c r="H249" i="1" s="1"/>
  <c r="F254" i="1"/>
  <c r="H254" i="1" s="1"/>
  <c r="F259" i="1"/>
  <c r="H259" i="1" s="1"/>
  <c r="F276" i="1"/>
  <c r="H276" i="1" s="1"/>
  <c r="F280" i="1"/>
  <c r="H280" i="1" s="1"/>
  <c r="F323" i="1"/>
  <c r="H323" i="1" s="1"/>
  <c r="F277" i="1"/>
  <c r="H277" i="1" s="1"/>
  <c r="F281" i="1"/>
  <c r="H281" i="1" s="1"/>
  <c r="F296" i="1"/>
  <c r="H296" i="1" s="1"/>
  <c r="F298" i="1"/>
  <c r="H298" i="1" s="1"/>
  <c r="F314" i="1"/>
  <c r="H314" i="1" s="1"/>
  <c r="F316" i="1"/>
  <c r="H316" i="1" s="1"/>
  <c r="F326" i="1"/>
  <c r="H326" i="1" s="1"/>
  <c r="F328" i="1"/>
  <c r="H328" i="1" s="1"/>
  <c r="F223" i="1"/>
  <c r="H223" i="1" s="1"/>
  <c r="F232" i="1"/>
  <c r="H232" i="1" s="1"/>
  <c r="F234" i="1"/>
  <c r="H234" i="1" s="1"/>
  <c r="F260" i="1"/>
  <c r="H260" i="1" s="1"/>
  <c r="F295" i="1"/>
  <c r="H295" i="1" s="1"/>
  <c r="F297" i="1"/>
  <c r="H297" i="1" s="1"/>
  <c r="F311" i="1"/>
  <c r="H311" i="1" s="1"/>
  <c r="F313" i="1"/>
  <c r="H313" i="1" s="1"/>
  <c r="F315" i="1"/>
  <c r="H315" i="1" s="1"/>
  <c r="F325" i="1"/>
  <c r="H325" i="1" s="1"/>
  <c r="F327" i="1"/>
  <c r="H327" i="1" s="1"/>
  <c r="F329" i="1"/>
  <c r="H329" i="1" s="1"/>
  <c r="F233" i="1"/>
  <c r="H233" i="1" s="1"/>
  <c r="F243" i="1"/>
  <c r="H243" i="1" s="1"/>
  <c r="C148" i="1"/>
  <c r="F267" i="1"/>
  <c r="H267" i="1" s="1"/>
  <c r="C149" i="1"/>
  <c r="F286" i="1"/>
  <c r="H286" i="1" s="1"/>
  <c r="C150" i="1"/>
  <c r="F294" i="1"/>
  <c r="H294" i="1" s="1"/>
  <c r="F312" i="1"/>
  <c r="H312" i="1" s="1"/>
  <c r="F319" i="1"/>
  <c r="H319" i="1" s="1"/>
  <c r="F235" i="1"/>
  <c r="H235" i="1" s="1"/>
  <c r="F245" i="1"/>
  <c r="H245" i="1" s="1"/>
  <c r="F252" i="1"/>
  <c r="H252" i="1" s="1"/>
  <c r="G123" i="1"/>
  <c r="I119" i="1" s="1"/>
  <c r="C121" i="1" s="1"/>
  <c r="F124" i="1"/>
  <c r="G81" i="1"/>
  <c r="I77" i="1" s="1"/>
  <c r="C79" i="1" s="1"/>
  <c r="F82" i="1"/>
  <c r="F288" i="1"/>
  <c r="H288" i="1" s="1"/>
  <c r="F289" i="1"/>
  <c r="H289" i="1" s="1"/>
  <c r="G148" i="1" l="1"/>
  <c r="E148" i="1"/>
  <c r="G150" i="1"/>
  <c r="G149" i="1"/>
  <c r="E150" i="1"/>
  <c r="E149" i="1"/>
  <c r="I210" i="1" l="1"/>
  <c r="E217" i="1"/>
  <c r="D217" i="1"/>
  <c r="F217" i="1" s="1"/>
  <c r="H217" i="1" s="1"/>
  <c r="E216" i="1"/>
  <c r="D216" i="1"/>
  <c r="E215" i="1"/>
  <c r="D215" i="1"/>
  <c r="E214" i="1"/>
  <c r="D214" i="1"/>
  <c r="E213" i="1"/>
  <c r="D213" i="1"/>
  <c r="E212" i="1"/>
  <c r="D212" i="1"/>
  <c r="A212" i="1"/>
  <c r="A213" i="1" s="1"/>
  <c r="A214" i="1" s="1"/>
  <c r="A215" i="1" s="1"/>
  <c r="A216" i="1" s="1"/>
  <c r="A217" i="1" s="1"/>
  <c r="I202" i="1"/>
  <c r="E209" i="1"/>
  <c r="D209" i="1"/>
  <c r="E208" i="1"/>
  <c r="D208" i="1"/>
  <c r="F208" i="1" s="1"/>
  <c r="H208" i="1" s="1"/>
  <c r="J208" i="1" s="1"/>
  <c r="E207" i="1"/>
  <c r="D207" i="1"/>
  <c r="F207" i="1" s="1"/>
  <c r="H207" i="1" s="1"/>
  <c r="J207" i="1" s="1"/>
  <c r="E206" i="1"/>
  <c r="D206" i="1"/>
  <c r="E205" i="1"/>
  <c r="D205" i="1"/>
  <c r="E204" i="1"/>
  <c r="D204" i="1"/>
  <c r="F204" i="1" s="1"/>
  <c r="H204" i="1" s="1"/>
  <c r="J204" i="1" s="1"/>
  <c r="E203" i="1"/>
  <c r="D203" i="1"/>
  <c r="F203" i="1" s="1"/>
  <c r="H203" i="1" s="1"/>
  <c r="J203" i="1" s="1"/>
  <c r="A204" i="1"/>
  <c r="A205" i="1" s="1"/>
  <c r="A206" i="1" s="1"/>
  <c r="A207" i="1" s="1"/>
  <c r="A208" i="1" s="1"/>
  <c r="A209" i="1" s="1"/>
  <c r="E201" i="1"/>
  <c r="D201" i="1"/>
  <c r="E200" i="1"/>
  <c r="D200" i="1"/>
  <c r="E199" i="1"/>
  <c r="D199" i="1"/>
  <c r="E198" i="1"/>
  <c r="D198" i="1"/>
  <c r="E197" i="1"/>
  <c r="D197" i="1"/>
  <c r="E196" i="1"/>
  <c r="D196" i="1"/>
  <c r="E195" i="1"/>
  <c r="D195" i="1"/>
  <c r="I194" i="1"/>
  <c r="F193" i="1"/>
  <c r="H193" i="1" s="1"/>
  <c r="F192" i="1"/>
  <c r="H192" i="1" s="1"/>
  <c r="F187" i="1"/>
  <c r="H187" i="1" s="1"/>
  <c r="E191" i="1"/>
  <c r="D191" i="1"/>
  <c r="E190" i="1"/>
  <c r="D190" i="1"/>
  <c r="E189" i="1"/>
  <c r="D189" i="1"/>
  <c r="E188" i="1"/>
  <c r="D188" i="1"/>
  <c r="E182" i="1"/>
  <c r="D182" i="1"/>
  <c r="E181" i="1"/>
  <c r="D181" i="1"/>
  <c r="E180" i="1"/>
  <c r="D180" i="1"/>
  <c r="E179" i="1"/>
  <c r="D179" i="1"/>
  <c r="E178" i="1"/>
  <c r="D178" i="1"/>
  <c r="E177" i="1"/>
  <c r="D177" i="1"/>
  <c r="E174" i="1"/>
  <c r="D174" i="1"/>
  <c r="E173" i="1"/>
  <c r="D173" i="1"/>
  <c r="E172" i="1"/>
  <c r="D172" i="1"/>
  <c r="E171" i="1"/>
  <c r="D171" i="1"/>
  <c r="E170" i="1"/>
  <c r="D170" i="1"/>
  <c r="E169" i="1"/>
  <c r="D169" i="1"/>
  <c r="E168" i="1"/>
  <c r="D168" i="1"/>
  <c r="E165" i="1"/>
  <c r="D165" i="1"/>
  <c r="E164" i="1"/>
  <c r="D164" i="1"/>
  <c r="E163" i="1"/>
  <c r="D163" i="1"/>
  <c r="E162" i="1"/>
  <c r="D162" i="1"/>
  <c r="I186" i="1"/>
  <c r="I159" i="1"/>
  <c r="F166" i="1"/>
  <c r="H166" i="1" s="1"/>
  <c r="J116" i="1"/>
  <c r="J115" i="1"/>
  <c r="J114" i="1"/>
  <c r="J113" i="1"/>
  <c r="J102" i="1"/>
  <c r="J101" i="1"/>
  <c r="J100" i="1"/>
  <c r="J99" i="1"/>
  <c r="G41" i="1"/>
  <c r="G28" i="1"/>
  <c r="H92" i="1"/>
  <c r="H106" i="1"/>
  <c r="F200" i="1" l="1"/>
  <c r="H200" i="1" s="1"/>
  <c r="F205" i="1"/>
  <c r="H205" i="1" s="1"/>
  <c r="F209" i="1"/>
  <c r="H209" i="1" s="1"/>
  <c r="J209" i="1" s="1"/>
  <c r="F216" i="1"/>
  <c r="H216" i="1" s="1"/>
  <c r="F206" i="1"/>
  <c r="H206" i="1" s="1"/>
  <c r="J206" i="1" s="1"/>
  <c r="F213" i="1"/>
  <c r="H213" i="1" s="1"/>
  <c r="C146" i="1"/>
  <c r="F215" i="1"/>
  <c r="H215" i="1" s="1"/>
  <c r="C147" i="1"/>
  <c r="F214" i="1"/>
  <c r="H214" i="1" s="1"/>
  <c r="F201" i="1"/>
  <c r="H201" i="1" s="1"/>
  <c r="F212" i="1"/>
  <c r="H212" i="1" s="1"/>
  <c r="J111" i="1"/>
  <c r="J112" i="1" s="1"/>
  <c r="J117" i="1" s="1"/>
  <c r="J118" i="1" s="1"/>
  <c r="E110" i="1" s="1"/>
  <c r="G109" i="1" s="1"/>
  <c r="F117" i="1"/>
  <c r="F115" i="1"/>
  <c r="F113" i="1"/>
  <c r="F111" i="1"/>
  <c r="J109" i="1"/>
  <c r="J108" i="1"/>
  <c r="J110" i="1"/>
  <c r="E109" i="1" s="1"/>
  <c r="F109" i="1" s="1"/>
  <c r="F118" i="1"/>
  <c r="F116" i="1"/>
  <c r="F114" i="1"/>
  <c r="F112" i="1"/>
  <c r="J97" i="1"/>
  <c r="J98" i="1" s="1"/>
  <c r="J103" i="1" s="1"/>
  <c r="J104" i="1" s="1"/>
  <c r="E96" i="1" s="1"/>
  <c r="F103" i="1"/>
  <c r="F101" i="1"/>
  <c r="F99" i="1"/>
  <c r="F97" i="1"/>
  <c r="J95" i="1"/>
  <c r="J94" i="1"/>
  <c r="J96" i="1"/>
  <c r="E95" i="1" s="1"/>
  <c r="F95" i="1" s="1"/>
  <c r="F104" i="1"/>
  <c r="F102" i="1"/>
  <c r="F100" i="1"/>
  <c r="F98" i="1"/>
  <c r="I204" i="1" l="1"/>
  <c r="I205" i="1"/>
  <c r="J205" i="1"/>
  <c r="C151" i="1"/>
  <c r="I105" i="1"/>
  <c r="C107" i="1" s="1"/>
  <c r="F110" i="1"/>
  <c r="G95" i="1"/>
  <c r="I91" i="1" s="1"/>
  <c r="C93" i="1" s="1"/>
  <c r="F96" i="1"/>
  <c r="F340" i="1" l="1"/>
  <c r="A336" i="1"/>
  <c r="A337" i="1" s="1"/>
  <c r="A338" i="1" s="1"/>
  <c r="A339" i="1" s="1"/>
  <c r="A340" i="1" s="1"/>
  <c r="A341" i="1" s="1"/>
  <c r="A342" i="1" s="1"/>
  <c r="A343" i="1" s="1"/>
  <c r="A344" i="1" s="1"/>
  <c r="A345" i="1" s="1"/>
  <c r="A189" i="1"/>
  <c r="A190" i="1" s="1"/>
  <c r="A196" i="1" s="1"/>
  <c r="A197" i="1" s="1"/>
  <c r="A198" i="1" s="1"/>
  <c r="A199" i="1" s="1"/>
  <c r="A200" i="1" s="1"/>
  <c r="A201" i="1" s="1"/>
  <c r="A177" i="1"/>
  <c r="A178" i="1" s="1"/>
  <c r="A179" i="1" s="1"/>
  <c r="A180" i="1" s="1"/>
  <c r="A181" i="1" s="1"/>
  <c r="A182" i="1" s="1"/>
  <c r="A169" i="1"/>
  <c r="A170" i="1" s="1"/>
  <c r="A171" i="1" s="1"/>
  <c r="A172" i="1" s="1"/>
  <c r="A173" i="1" s="1"/>
  <c r="A174" i="1" s="1"/>
  <c r="A161" i="1"/>
  <c r="A162" i="1" s="1"/>
  <c r="A163" i="1" s="1"/>
  <c r="A164" i="1" s="1"/>
  <c r="A165" i="1" s="1"/>
  <c r="A166" i="1" s="1"/>
  <c r="F199" i="1"/>
  <c r="H199" i="1" s="1"/>
  <c r="F198" i="1"/>
  <c r="H198" i="1" s="1"/>
  <c r="F197" i="1"/>
  <c r="H197" i="1" s="1"/>
  <c r="F196" i="1"/>
  <c r="H196" i="1" s="1"/>
  <c r="F195" i="1"/>
  <c r="H195" i="1" s="1"/>
  <c r="F191" i="1"/>
  <c r="H191" i="1" s="1"/>
  <c r="F190" i="1"/>
  <c r="H190" i="1" s="1"/>
  <c r="F189" i="1"/>
  <c r="H189" i="1" s="1"/>
  <c r="F188" i="1"/>
  <c r="F182" i="1"/>
  <c r="H182" i="1" s="1"/>
  <c r="F181" i="1"/>
  <c r="H181" i="1" s="1"/>
  <c r="F180" i="1"/>
  <c r="H180" i="1" s="1"/>
  <c r="F179" i="1"/>
  <c r="H179" i="1" s="1"/>
  <c r="F178" i="1"/>
  <c r="H178" i="1" s="1"/>
  <c r="F177" i="1"/>
  <c r="H177" i="1" s="1"/>
  <c r="F174" i="1"/>
  <c r="H174" i="1" s="1"/>
  <c r="F173" i="1"/>
  <c r="H173" i="1" s="1"/>
  <c r="F172" i="1"/>
  <c r="H172" i="1" s="1"/>
  <c r="F171" i="1"/>
  <c r="H171" i="1" s="1"/>
  <c r="F170" i="1"/>
  <c r="H170" i="1" s="1"/>
  <c r="F169" i="1"/>
  <c r="H169" i="1" s="1"/>
  <c r="F168" i="1"/>
  <c r="H168" i="1" s="1"/>
  <c r="F165" i="1"/>
  <c r="H165" i="1" s="1"/>
  <c r="F164" i="1"/>
  <c r="H164" i="1" s="1"/>
  <c r="F163" i="1"/>
  <c r="H163" i="1" s="1"/>
  <c r="F162" i="1"/>
  <c r="F161" i="1"/>
  <c r="H161" i="1" s="1"/>
  <c r="H188" i="1" l="1"/>
  <c r="G147" i="1" s="1"/>
  <c r="E147" i="1"/>
  <c r="H162" i="1"/>
  <c r="G146" i="1" s="1"/>
  <c r="G151" i="1" s="1"/>
  <c r="E146" i="1"/>
  <c r="E151" i="1" s="1"/>
  <c r="C8" i="1"/>
  <c r="J74" i="1" l="1"/>
  <c r="J73" i="1"/>
  <c r="J72" i="1"/>
  <c r="J71" i="1"/>
  <c r="H64" i="1"/>
  <c r="J68" i="1" l="1"/>
  <c r="E67" i="1" s="1"/>
  <c r="F67" i="1" s="1"/>
  <c r="J66" i="1"/>
  <c r="F71" i="1"/>
  <c r="F76" i="1"/>
  <c r="F70" i="1"/>
  <c r="J69" i="1"/>
  <c r="J70" i="1" s="1"/>
  <c r="J75" i="1" s="1"/>
  <c r="J76" i="1" s="1"/>
  <c r="E68" i="1" s="1"/>
  <c r="F68" i="1" s="1"/>
  <c r="F72" i="1"/>
  <c r="F75" i="1"/>
  <c r="F69" i="1"/>
  <c r="F73" i="1"/>
  <c r="F74" i="1"/>
  <c r="J67" i="1"/>
  <c r="G67" i="1" l="1"/>
  <c r="I63" i="1" s="1"/>
  <c r="C65" i="1" s="1"/>
  <c r="G42" i="1" l="1"/>
  <c r="G5" i="1" l="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346"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1" authorId="0" shapeId="0">
      <text>
        <r>
          <rPr>
            <b/>
            <sz val="9"/>
            <color indexed="81"/>
            <rFont val="Tahoma"/>
            <family val="2"/>
          </rPr>
          <t>RERA Start date</t>
        </r>
      </text>
    </comment>
    <comment ref="H135" authorId="0" shapeId="0">
      <text>
        <r>
          <rPr>
            <b/>
            <sz val="9"/>
            <color indexed="81"/>
            <rFont val="Tahoma"/>
            <family val="2"/>
          </rPr>
          <t>if multiple buildings are in project and are connected internally</t>
        </r>
      </text>
    </comment>
    <comment ref="C137" authorId="0" shapeId="0">
      <text>
        <r>
          <rPr>
            <b/>
            <sz val="9"/>
            <color indexed="81"/>
            <rFont val="Tahoma"/>
            <family val="2"/>
          </rPr>
          <t>AAC Block or Brick</t>
        </r>
      </text>
    </comment>
    <comment ref="H139"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<sst xmlns="http://schemas.openxmlformats.org/spreadsheetml/2006/main" count="663" uniqueCount="311">
  <si>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</si>
  <si>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</si>
  <si>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</si>
  <si>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</si>
  <si>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</si>
  <si>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</si>
  <si>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</si>
  <si>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</si>
  <si>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</si>
  <si>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</si>
  <si>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</si>
  <si>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</si>
  <si>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</si>
  <si>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</si>
  <si>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</si>
  <si>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</si>
  <si>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</si>
  <si>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</si>
  <si>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</si>
  <si>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</si>
  <si>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</si>
  <si>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</si>
  <si>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</si>
  <si>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</si>
  <si>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</si>
  <si>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</si>
  <si>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</si>
  <si>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</si>
  <si>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</si>
  <si>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</si>
  <si>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</si>
  <si>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</si>
  <si>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</si>
  <si>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</si>
  <si>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</si>
  <si>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</si>
  <si>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</si>
  <si>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</si>
  <si>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</si>
  <si>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</si>
  <si>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</si>
  <si>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</si>
  <si>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</si>
  <si>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</si>
  <si>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</si>
  <si>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</si>
  <si>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</si>
  <si>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</si>
  <si>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</si>
  <si>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</si>
  <si>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</si>
  <si>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</si>
  <si>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</si>
  <si>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</si>
  <si>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</si>
  <si>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</si>
  <si>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</si>
  <si>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</si>
  <si>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</si>
  <si>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</si>
  <si>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</si>
  <si>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</si>
  <si>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</si>
  <si>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</si>
  <si>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</si>
  <si>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</si>
  <si>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</si>
  <si>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</si>
  <si>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</si>
  <si>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</si>
  <si>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</si>
  <si>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</si>
  <si>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</si>
  <si>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</si>
  <si>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</si>
  <si>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</si>
  <si>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</si>
  <si>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</si>
  <si>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</si>
  <si>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</si>
  <si>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</si>
  <si>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</si>
  <si>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</si>
  <si>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</si>
  <si>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</si>
  <si>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</si>
  <si>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</si>
  <si>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</si>
  <si>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</si>
  <si>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</si>
  <si>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</si>
  <si>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</si>
  <si>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</si>
  <si>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</si>
  <si>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</si>
  <si>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</si>
  <si>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</si>
  <si>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</si>
  <si>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</si>
  <si>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</si>
  <si>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</si>
  <si>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</si>
  <si>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</si>
  <si>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</si>
  <si>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</si>
  <si>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</si>
  <si>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</si>
  <si>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</si>
  <si>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</si>
  <si>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</si>
  <si>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</si>
  <si>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</si>
  <si>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</si>
  <si>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</si>
  <si>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</si>
  <si>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</si>
  <si>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</si>
  <si>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</si>
  <si>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</si>
  <si>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</si>
  <si>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</si>
  <si>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</si>
  <si>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</si>
  <si>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</si>
  <si>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</si>
  <si>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</si>
  <si>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</si>
  <si>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</si>
  <si>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</si>
  <si>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</si>
  <si>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</si>
  <si>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</si>
  <si>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</si>
  <si>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</si>
  <si>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</si>
  <si>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</si>
  <si>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</si>
  <si>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</si>
  <si>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</si>
  <si>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</si>
  <si>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</si>
  <si>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</si>
  <si>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</si>
  <si>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</si>
  <si>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</si>
  <si>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</si>
  <si>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</si>
  <si>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</si>
  <si>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</si>
  <si>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</si>
  <si>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</si>
  <si>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</si>
  <si>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</si>
  <si>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</si>
  <si>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</si>
  <si>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</si>
  <si>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</si>
  <si>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</si>
  <si>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</si>
  <si>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</si>
  <si>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</si>
  <si>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</si>
  <si>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</si>
  <si>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</si>
  <si>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</si>
  <si>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</si>
  <si>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</si>
  <si>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</si>
  <si>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</si>
  <si>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</si>
  <si>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</si>
  <si>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</si>
  <si>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</si>
  <si>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</si>
  <si>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</si>
  <si>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</si>
  <si>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</si>
  <si>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</si>
  <si>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</si>
  <si>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</si>
  <si>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</si>
  <si>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</si>
  <si>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</si>
  <si>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</si>
  <si>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</si>
  <si>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</si>
  <si>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</si>
  <si>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</si>
  <si>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</si>
  <si>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</si>
  <si>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</si>
  <si>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</si>
  <si>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</si>
  <si>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</si>
  <si>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</si>
  <si>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</si>
  <si>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</si>
  <si>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</si>
  <si>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</si>
  <si>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Wing A</t>
  </si>
  <si>
    <t>Total</t>
  </si>
  <si>
    <t>Residential Area Details :</t>
  </si>
  <si>
    <t>Wing B</t>
  </si>
  <si>
    <t>Approved No. of Floor</t>
  </si>
  <si>
    <t>Proposed No. of Floor</t>
  </si>
  <si>
    <t>Flat No.
(Approved
Plan)</t>
  </si>
  <si>
    <t>Flat No. (Sale Plan)</t>
  </si>
  <si>
    <t>Gross Carpet area</t>
  </si>
  <si>
    <t>Attached Terrace area</t>
  </si>
  <si>
    <t xml:space="preserve">Construction work is in process at the time of Visit (labour found)
Construction work was not active at the time of Visit. (labour Not found)
All work completed. Wait for OC / OC received.
Work not yet Started.
</t>
  </si>
  <si>
    <t>AAC block or Bricks, Cement bags, aggregate, Sand, etc found on site in average quantity.</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</si>
  <si>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</si>
  <si>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</si>
  <si>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</si>
  <si>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</si>
  <si>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</si>
  <si>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</si>
  <si>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</si>
  <si>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</si>
  <si>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Environmental Clearance Certificate (EC) No
Valid Up for: </t>
  </si>
  <si>
    <t xml:space="preserve">Airport Noc No
Valid Up for: </t>
  </si>
  <si>
    <t xml:space="preserve">Valid upto Dated </t>
  </si>
  <si>
    <t xml:space="preserve">Date - - Valid For one Year
Area - </t>
  </si>
  <si>
    <t>``</t>
  </si>
  <si>
    <t>Validity &amp; Area mentioned:</t>
  </si>
  <si>
    <t>Mahindra Rural Housing Finance - Thane</t>
  </si>
  <si>
    <t>Anandam - II</t>
  </si>
  <si>
    <t>112/1, 113/2, 114/1A, 114/9A, 114/10/11/B &amp; 115/6</t>
  </si>
  <si>
    <t>Rohinjan</t>
  </si>
  <si>
    <t>Mumbra Panvel Highway</t>
  </si>
  <si>
    <t>Taloja Panchanand West</t>
  </si>
  <si>
    <t>P52000048037</t>
  </si>
  <si>
    <t>Today Global Codename Cloud City</t>
  </si>
  <si>
    <t>19.087971,73.074390</t>
  </si>
  <si>
    <t>https://maps.app.goo.gl/k395aXDdTbavVRtNA</t>
  </si>
  <si>
    <t>M/s. Today Global Homes</t>
  </si>
  <si>
    <t>Office No.-1601 &amp; 1602, 16th Floor, Kesar Solitaire, Plot No.-05, Sector No.-19, Palm Beach Road, Sanpada, Navi Mumbai, Tal. Thane, Dist. Thane 400705.</t>
  </si>
  <si>
    <t xml:space="preserve">A/c No. 095605001504
Bank Name - ICICI Bank LTD
IFSC Code - ICIC0000956
</t>
  </si>
  <si>
    <t>Mr. Anurag Tiwari 8356892131</t>
  </si>
  <si>
    <t>Panvel Municipal Corporation</t>
  </si>
  <si>
    <t xml:space="preserve">Apartments </t>
  </si>
  <si>
    <t>Building No.1 
Building No.2 (Wing A &amp; B)
Building No.3 (Wing A &amp; B)</t>
  </si>
  <si>
    <t>Flats = 807</t>
  </si>
  <si>
    <t>Building No.1 = G + P(1A) + P(1B) + 2nd to 22nd Floor 
Building No.2 (Wing A &amp; B) = G + P(1A) + P(1B) + 2nd to 22nd Floor 
Building No.3 (Wing A &amp; B) = G + 2P + 3rd to 28th Floor</t>
  </si>
  <si>
    <t xml:space="preserve">Building No.1 = G + P(1A) + P(1B) + 2nd to 22nd Floor 
Building No.2 (Wing A &amp; B) = G + P(1A) + P(1B) + 2nd to 22nd Floor 
Building No.3 (Wing A &amp; B) = G + 2P + 3rd to 28th Floor
</t>
  </si>
  <si>
    <t>Other Plot</t>
  </si>
  <si>
    <t>Open Plot</t>
  </si>
  <si>
    <t>House</t>
  </si>
  <si>
    <t>PMP/NRV/16278/2558/2024</t>
  </si>
  <si>
    <t>Construction/Building Permission
Valid Upto</t>
  </si>
  <si>
    <t>SIA/MH/MIS/281965/2022</t>
  </si>
  <si>
    <t>Survey No. 112/1, 113/2, 114/1A, 114/9A, 114/10/11/B &amp; 115/6</t>
  </si>
  <si>
    <t>Survey No</t>
  </si>
  <si>
    <t>S No. 112/1, 113/2, 114/1A, 114/9A, 114/10/11/B &amp; 115/6
Proposed BUA =103266 Sq.Mt
Building No. 1 = G + 1st to 33rd Floor
Building No. 2 (Wing A)  = G + 1st to 34th Floor
Building No. 2 (Wing B)  = G + 1st to 29th Floor
Building No. 3 (Wing A)  = G + 1st to 32nd Floor
Building No. 3 (Wing B)  = G + 1st to 35th Floor</t>
  </si>
  <si>
    <t xml:space="preserve">Building No.1 = G + P(1A) + P(1B) + 2nd to 22nd Floor </t>
  </si>
  <si>
    <t>Building No. 1</t>
  </si>
  <si>
    <t>Building No. 2</t>
  </si>
  <si>
    <t>Building No. 3</t>
  </si>
  <si>
    <t xml:space="preserve">Details of Residential in Building   </t>
  </si>
  <si>
    <t>2BHK</t>
  </si>
  <si>
    <t xml:space="preserve"> - </t>
  </si>
  <si>
    <t>Society Office</t>
  </si>
  <si>
    <t>Stilt Parking</t>
  </si>
  <si>
    <t>Ground Floor For Parking, Entrance Lobby, Meter Room, Drivers Room, LV Room, Panel Room &amp; Fire Control Room</t>
  </si>
  <si>
    <t>Podium 1A &amp; 1B Floor For Parking</t>
  </si>
  <si>
    <t>2nd Floor For Residential, Society Office &amp; Stilt Parking</t>
  </si>
  <si>
    <t>3rd to 7th, 9th to 12th, 14th to 17th, 19th to 22nd Floor For Residential</t>
  </si>
  <si>
    <t>8th, 13th &amp; 18th Floor For Residential (Part Refuge Area)</t>
  </si>
  <si>
    <t>Ground Floor For Parking, Entrance Lobby, Telecommunication Room, Meter Room, Drivers Room, LV Room, Panel Room &amp; Fire Control Room</t>
  </si>
  <si>
    <t>2nd Floor For Residential &amp; Stilt Parking</t>
  </si>
  <si>
    <t>Balcony + Chajja Area</t>
  </si>
  <si>
    <t>Refuge Area</t>
  </si>
  <si>
    <t>3rd Floor For Residential</t>
  </si>
  <si>
    <t>4th to 7th, 9th to 12th, 14th to 17th &amp; 19th to 22nd Floor</t>
  </si>
  <si>
    <t>1st &amp; 2nd Podium Floor For Parking</t>
  </si>
  <si>
    <t>3rd Floor For Residential, Utility Area &amp; Society Office</t>
  </si>
  <si>
    <t>Utility Area</t>
  </si>
  <si>
    <t>Utility Area &amp; Society Office</t>
  </si>
  <si>
    <t>4th to 6th, 8th to 11th, 13th to 16th, 18th to 21st &amp; 23rd to 26th Floor as Residential</t>
  </si>
  <si>
    <t>7th, 12th, 17th, 22nd &amp; 27th Floor For Residential (Part Refuge Area)</t>
  </si>
  <si>
    <t>28th Floor For Residential (Part Terrace Area)</t>
  </si>
  <si>
    <t>Terrace Area</t>
  </si>
  <si>
    <t>3rd Floor For Residential &amp; Utility Area</t>
  </si>
  <si>
    <t>28th Floor For Part Terrace Area</t>
  </si>
  <si>
    <t xml:space="preserve">PMC/TP/Rohinjan/112/1 &amp; others/21-24/16278/2558/2024
Building No.1 = G + Podium 1A + Podium 1B + 2nd to 22nd Floor 
Building No.2 = G + Podium 1A + Podium 1B + 2nd to 22nd Floor 
Building No.3 = G + 2P + 3rd to 28th Floor
No. of Residential Units = 807 Nos. </t>
  </si>
  <si>
    <t>NAVI/WEST/B/012122/649755</t>
  </si>
  <si>
    <t>Site Elevation (AMSL) = 24.05 M
Permissible Top Elevation (AMSL) = 157.05 M</t>
  </si>
  <si>
    <t xml:space="preserve">Building No.2 (Wing A) = G + P(1A) + P(1B) + 2nd to 22nd Floor </t>
  </si>
  <si>
    <t xml:space="preserve">Building No.2 (Wing B) = G + P(1A) + P(1B) + 2nd to 22nd Floor </t>
  </si>
  <si>
    <t>Building No.3 (Wing B) = G + 2P + 3rd to 28th Floor</t>
  </si>
  <si>
    <t>Mr. Sunil Peravi</t>
  </si>
  <si>
    <t>We considered Gross carpet area = Net carpet + Enclose balcony + Balcony  + Chajja Area.</t>
  </si>
  <si>
    <t>4,00,000/-</t>
  </si>
  <si>
    <t>1. 0.70km from Shree Chatrapati Shivaji Maharaj High School
2. 2.0km from Harmony School
3. 4.0km from Dolphin Hospital
4. 4.5km from Kharghar Medcity Hospital Sector -34
5. 1.8km from Foodmall Super Market
6. 7.5km from DMart Kharghar
7. 7.5km from Owe Dam
8. 0.85km from Jagruteshwar Shiv Mandir Rohinjan
9. 2.1km from Kharghar Valley Shilp Sec 36 Bus stop
10. 2.8km from Taloja Panchanand Railway Station</t>
  </si>
  <si>
    <t>Yes, Approx 26ft</t>
  </si>
  <si>
    <t>Building No.1 = G + P(1A) + P(1B) + 2nd to 22nd Floor (Height = 80.051 Mtrs)  
Building No.2 (Wing A &amp; B) = G + P(1A) + P(1B) + 2nd to 22nd Floor Height = 80.051 Mtrs)
Building No.3 (Wing A &amp; B) = G + 2P + 3rd to 28th Floor Height = 94.45 Mtrs)</t>
  </si>
  <si>
    <t>Building No.3 (Wing A) = G + 2P + 3rd to 28th Floor</t>
  </si>
  <si>
    <t>AAC Block</t>
  </si>
  <si>
    <t>Building No. 2  (Wing A)</t>
  </si>
  <si>
    <t>Building No. 2  (Wing B)</t>
  </si>
  <si>
    <t>Building No. 3 (Wing A)</t>
  </si>
  <si>
    <t>Building No. 3 (Wing B)</t>
  </si>
  <si>
    <t xml:space="preserve">3 to 4 Labours found on site at the time of visit. </t>
  </si>
  <si>
    <t>Carpet + Enclosed Balcony Area</t>
  </si>
  <si>
    <t>Pmc/Fire/2121/ Ref No.904/3202</t>
  </si>
  <si>
    <t xml:space="preserve">Fire Noc No.
Valid Up to: </t>
  </si>
  <si>
    <t>Building No.1 (Wing A) = G + Podium 1 &amp; 2 + 3rd to 21st Floor (Height = 67.65 Mtrs)
Building No.2 (Wing A) = G + Podium 1 &amp; 2 + 3rd to 22nd Floor (Height = 70.65 Mtrs)
Building No.2 (Wing B)  = G + Podium 1 &amp; 2 + 3rd to 18th Floor (Height = 58.65 Mtrs)
Building No.3 (Wing A) = G + Podium 1 &amp; 2 + 3rd to 28th Floor  (Height = 88.65Mtrs)
Building No.3 (Wing B) = G + Podium 1 &amp; 2 + 3rd to 24th Floor (Height = 76.65Mtrs)</t>
  </si>
  <si>
    <t>We have updated fire Noc on 26/07/2025</t>
  </si>
  <si>
    <t>16/09/2025 at 14:53</t>
  </si>
  <si>
    <t>Mr. Anurag Tiwari 8356892131/9320016817</t>
  </si>
  <si>
    <t>On Site, we meet Mr.  Anurag Tiwari 9320016817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</si>
</sst>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0"/>
    <numFmt numFmtId="166" formatCode="0.0"/>
  </numFmts>
  <fonts count="19"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2"/>
      <color theme="1"/>
      <name val="Times New Roman"/>
      <family val="1"/>
    </font>
    <font>
      <sz val="10"/>
      <color rgb="FFFFFF00"/>
      <name val="Times New Roman"/>
      <family val="1"/>
    </font>
    <font>
      <b/>
      <sz val="12"/>
      <color theme="1"/>
      <name val="Times New Roman"/>
      <family val="1"/>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295">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1" fillId="4" borderId="14" xfId="1" applyNumberFormat="1" applyFont="1" applyFill="1" applyBorder="1" applyAlignment="1" applyProtection="1">
      <alignment horizontal="left" vertical="center"/>
      <protection hidden="1"/>
    </xf>
    <xf numFmtId="9" fontId="11"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1"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0" fontId="16" fillId="0" borderId="0" xfId="1" applyFont="1" applyAlignment="1">
      <alignment horizontal="center" vertical="center"/>
    </xf>
    <xf numFmtId="1" fontId="16" fillId="0" borderId="0" xfId="1" applyNumberFormat="1" applyFont="1" applyAlignment="1">
      <alignment horizontal="center" vertical="center"/>
    </xf>
    <xf numFmtId="0" fontId="5" fillId="3" borderId="4" xfId="0" applyFont="1" applyFill="1" applyBorder="1" applyAlignment="1">
      <alignment horizontal="center" vertical="center" wrapText="1"/>
    </xf>
    <xf numFmtId="0" fontId="6" fillId="0" borderId="0" xfId="0" applyFont="1" applyAlignment="1">
      <alignment horizontal="center"/>
    </xf>
    <xf numFmtId="9" fontId="1" fillId="2" borderId="13" xfId="2"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wrapText="1"/>
      <protection locked="0"/>
    </xf>
    <xf numFmtId="1" fontId="6" fillId="3" borderId="4" xfId="1" applyNumberFormat="1" applyFont="1" applyFill="1" applyBorder="1" applyAlignment="1" applyProtection="1">
      <alignment horizontal="center" wrapText="1"/>
      <protection locked="0"/>
    </xf>
    <xf numFmtId="0" fontId="6" fillId="3" borderId="12" xfId="1" applyFont="1" applyFill="1" applyBorder="1" applyAlignment="1" applyProtection="1">
      <alignment horizontal="center" wrapText="1"/>
      <protection locked="0"/>
    </xf>
    <xf numFmtId="0" fontId="6" fillId="3" borderId="4" xfId="0" applyFont="1" applyFill="1" applyBorder="1" applyAlignment="1">
      <alignment horizontal="center" vertical="center" wrapText="1"/>
    </xf>
    <xf numFmtId="0" fontId="17" fillId="0" borderId="0" xfId="0" applyFont="1"/>
    <xf numFmtId="166" fontId="17" fillId="0" borderId="0" xfId="0" applyNumberFormat="1" applyFont="1"/>
    <xf numFmtId="9" fontId="1" fillId="3" borderId="8" xfId="0" applyNumberFormat="1" applyFont="1" applyFill="1" applyBorder="1" applyAlignment="1">
      <alignment horizontal="left" vertical="top" wrapText="1"/>
    </xf>
    <xf numFmtId="0" fontId="7" fillId="3" borderId="4" xfId="0" applyFont="1" applyFill="1" applyBorder="1" applyAlignment="1">
      <alignment horizontal="left" vertical="top" wrapText="1"/>
    </xf>
    <xf numFmtId="0" fontId="1" fillId="0" borderId="0" xfId="0" applyFont="1"/>
    <xf numFmtId="0" fontId="18" fillId="0" borderId="0" xfId="1" applyFont="1" applyAlignment="1">
      <alignment horizontal="center" vertical="center"/>
    </xf>
    <xf numFmtId="1" fontId="6" fillId="0" borderId="0" xfId="0" applyNumberFormat="1" applyFont="1" applyAlignment="1">
      <alignment horizontal="center"/>
    </xf>
    <xf numFmtId="1" fontId="1" fillId="0" borderId="0" xfId="0" applyNumberFormat="1" applyFont="1" applyAlignment="1">
      <alignment horizont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9" fillId="3" borderId="4" xfId="0" applyFont="1" applyFill="1" applyBorder="1" applyAlignment="1">
      <alignment horizontal="center" vertical="center" wrapText="1"/>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9" fontId="6" fillId="3" borderId="12" xfId="0" applyNumberFormat="1"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6" fillId="3" borderId="4" xfId="0" applyFont="1" applyFill="1" applyBorder="1" applyAlignment="1">
      <alignment horizont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0" applyNumberFormat="1" applyFont="1" applyFill="1" applyBorder="1" applyAlignment="1">
      <alignment horizontal="center"/>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9"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6"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166" fontId="8" fillId="3" borderId="4" xfId="0" applyNumberFormat="1" applyFont="1" applyFill="1" applyBorder="1" applyAlignment="1">
      <alignment horizontal="center" vertical="center"/>
    </xf>
    <xf numFmtId="165" fontId="8" fillId="3" borderId="4" xfId="0" applyNumberFormat="1" applyFont="1" applyFill="1" applyBorder="1" applyAlignment="1">
      <alignment horizontal="center" vertical="center"/>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6" fillId="3" borderId="13" xfId="0" applyFont="1" applyFill="1" applyBorder="1" applyAlignment="1">
      <alignment horizontal="left" vertical="center"/>
    </xf>
    <xf numFmtId="0" fontId="7"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5" fillId="3" borderId="7" xfId="3" applyFill="1" applyBorder="1" applyAlignment="1">
      <alignment horizontal="left" vertical="top" wrapText="1"/>
    </xf>
    <xf numFmtId="0" fontId="5" fillId="3" borderId="10" xfId="0" applyFont="1" applyFill="1" applyBorder="1" applyAlignment="1">
      <alignment horizontal="lef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9" fillId="2" borderId="4" xfId="0" applyFont="1" applyFill="1" applyBorder="1" applyAlignment="1">
      <alignment horizontal="left" vertical="top" wrapText="1"/>
    </xf>
    <xf numFmtId="1" fontId="8" fillId="3" borderId="4" xfId="0" applyNumberFormat="1" applyFont="1" applyFill="1" applyBorder="1" applyAlignment="1">
      <alignment horizontal="left" vertical="top"/>
    </xf>
    <xf numFmtId="0" fontId="8" fillId="3" borderId="4" xfId="0" applyFont="1" applyFill="1" applyBorder="1" applyAlignment="1">
      <alignment horizontal="center" vertical="center"/>
    </xf>
    <xf numFmtId="0" fontId="9" fillId="2" borderId="4" xfId="0" applyFont="1" applyFill="1" applyBorder="1" applyAlignment="1">
      <alignment horizontal="center" vertical="top" wrapText="1"/>
    </xf>
    <xf numFmtId="0" fontId="5" fillId="3" borderId="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4" xfId="0" applyFont="1" applyFill="1" applyBorder="1" applyAlignment="1">
      <alignment horizontal="left" vertical="top"/>
    </xf>
    <xf numFmtId="1" fontId="8" fillId="3" borderId="7" xfId="0" applyNumberFormat="1" applyFont="1" applyFill="1" applyBorder="1" applyAlignment="1">
      <alignment horizontal="center" vertical="center" wrapText="1"/>
    </xf>
    <xf numFmtId="1" fontId="8" fillId="3" borderId="10" xfId="0" applyNumberFormat="1" applyFont="1" applyFill="1" applyBorder="1" applyAlignment="1">
      <alignment horizontal="center" vertical="center" wrapText="1"/>
    </xf>
    <xf numFmtId="0" fontId="6" fillId="3" borderId="4" xfId="0" applyFont="1" applyFill="1" applyBorder="1" applyAlignment="1">
      <alignment horizontal="left" vertical="center"/>
    </xf>
    <xf numFmtId="0" fontId="5" fillId="3" borderId="8" xfId="0" applyFont="1" applyFill="1" applyBorder="1" applyAlignment="1">
      <alignment horizontal="center" vertical="center" wrapText="1"/>
    </xf>
    <xf numFmtId="0" fontId="1" fillId="2" borderId="29"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2" xfId="0" applyFont="1" applyFill="1" applyBorder="1" applyAlignment="1">
      <alignment horizontal="left" vertical="top" wrapText="1"/>
    </xf>
    <xf numFmtId="0" fontId="5" fillId="3" borderId="29"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9" fillId="2" borderId="8" xfId="0" applyFont="1" applyFill="1" applyBorder="1" applyAlignment="1">
      <alignment horizontal="center" vertical="center" wrapText="1"/>
    </xf>
    <xf numFmtId="0" fontId="8" fillId="3" borderId="7" xfId="0" applyFont="1" applyFill="1" applyBorder="1" applyAlignment="1">
      <alignment horizontal="center" vertical="center"/>
    </xf>
    <xf numFmtId="1" fontId="8" fillId="3" borderId="7"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1" fontId="8" fillId="3" borderId="10" xfId="0" applyNumberFormat="1" applyFont="1" applyFill="1" applyBorder="1" applyAlignment="1">
      <alignment horizontal="center" vertical="center"/>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xdr:from>
      <xdr:col>0</xdr:col>
      <xdr:colOff>265043</xdr:colOff>
      <xdr:row>400</xdr:row>
      <xdr:rowOff>0</xdr:rowOff>
    </xdr:from>
    <xdr:to>
      <xdr:col>7</xdr:col>
      <xdr:colOff>471259</xdr:colOff>
      <xdr:row>449</xdr:row>
      <xdr:rowOff>23192</xdr:rowOff>
    </xdr:to>
    <xdr:grpSp>
      <xdr:nvGrpSpPr>
        <xdr:cNvPr id="2" name="Group 1">
          <a:extLst>
            <a:ext uri="{FF2B5EF4-FFF2-40B4-BE49-F238E27FC236}">
              <a16:creationId xmlns="" xmlns:a16="http://schemas.microsoft.com/office/drawing/2014/main" id="{E5939C77-FCFB-4617-989F-49E8C0CE95E0}"/>
            </a:ext>
          </a:extLst>
        </xdr:cNvPr>
        <xdr:cNvGrpSpPr/>
      </xdr:nvGrpSpPr>
      <xdr:grpSpPr>
        <a:xfrm>
          <a:off x="265043" y="79297696"/>
          <a:ext cx="6119999" cy="8140148"/>
          <a:chOff x="369000" y="55685"/>
          <a:chExt cx="6119999" cy="8139391"/>
        </a:xfrm>
      </xdr:grpSpPr>
      <xdr:grpSp>
        <xdr:nvGrpSpPr>
          <xdr:cNvPr id="3" name="Group 2">
            <a:extLst>
              <a:ext uri="{FF2B5EF4-FFF2-40B4-BE49-F238E27FC236}">
                <a16:creationId xmlns="" xmlns:a16="http://schemas.microsoft.com/office/drawing/2014/main" id="{109B8829-6646-4D75-AD4F-D4A6E3324FC5}"/>
              </a:ext>
            </a:extLst>
          </xdr:cNvPr>
          <xdr:cNvGrpSpPr/>
        </xdr:nvGrpSpPr>
        <xdr:grpSpPr>
          <a:xfrm>
            <a:off x="369000" y="55685"/>
            <a:ext cx="6119999" cy="4377277"/>
            <a:chOff x="0" y="0"/>
            <a:chExt cx="6858000" cy="4377277"/>
          </a:xfrm>
        </xdr:grpSpPr>
        <xdr:pic>
          <xdr:nvPicPr>
            <xdr:cNvPr id="5" name="Picture 4">
              <a:extLst>
                <a:ext uri="{FF2B5EF4-FFF2-40B4-BE49-F238E27FC236}">
                  <a16:creationId xmlns="" xmlns:a16="http://schemas.microsoft.com/office/drawing/2014/main" id="{DC4E96BA-0158-4A07-B061-0E14472C4AF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6858000" cy="4377277"/>
            </a:xfrm>
            <a:prstGeom prst="rect">
              <a:avLst/>
            </a:prstGeom>
            <a:ln>
              <a:solidFill>
                <a:schemeClr val="tx1"/>
              </a:solidFill>
            </a:ln>
          </xdr:spPr>
        </xdr:pic>
        <xdr:sp macro="" textlink="">
          <xdr:nvSpPr>
            <xdr:cNvPr id="6" name="Rectangle 5">
              <a:extLst>
                <a:ext uri="{FF2B5EF4-FFF2-40B4-BE49-F238E27FC236}">
                  <a16:creationId xmlns="" xmlns:a16="http://schemas.microsoft.com/office/drawing/2014/main" id="{5658F7C6-333A-46CB-89A5-AF7164453975}"/>
                </a:ext>
              </a:extLst>
            </xdr:cNvPr>
            <xdr:cNvSpPr/>
          </xdr:nvSpPr>
          <xdr:spPr>
            <a:xfrm rot="20194208">
              <a:off x="5135016" y="2180227"/>
              <a:ext cx="1173092" cy="57372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31">
              <a:extLst>
                <a:ext uri="{FF2B5EF4-FFF2-40B4-BE49-F238E27FC236}">
                  <a16:creationId xmlns="" xmlns:a16="http://schemas.microsoft.com/office/drawing/2014/main" id="{C40CFC90-AB82-4221-B5A7-1929A542A6F7}"/>
                </a:ext>
              </a:extLst>
            </xdr:cNvPr>
            <xdr:cNvSpPr/>
          </xdr:nvSpPr>
          <xdr:spPr>
            <a:xfrm rot="20194208">
              <a:off x="2793733" y="2992052"/>
              <a:ext cx="2109021" cy="1275100"/>
            </a:xfrm>
            <a:custGeom>
              <a:avLst/>
              <a:gdLst>
                <a:gd name="connsiteX0" fmla="*/ 0 w 2104221"/>
                <a:gd name="connsiteY0" fmla="*/ 0 h 1275100"/>
                <a:gd name="connsiteX1" fmla="*/ 2104221 w 2104221"/>
                <a:gd name="connsiteY1" fmla="*/ 0 h 1275100"/>
                <a:gd name="connsiteX2" fmla="*/ 2104221 w 2104221"/>
                <a:gd name="connsiteY2" fmla="*/ 1275100 h 1275100"/>
                <a:gd name="connsiteX3" fmla="*/ 0 w 2104221"/>
                <a:gd name="connsiteY3" fmla="*/ 1275100 h 1275100"/>
                <a:gd name="connsiteX4" fmla="*/ 0 w 2104221"/>
                <a:gd name="connsiteY4" fmla="*/ 0 h 1275100"/>
                <a:gd name="connsiteX0" fmla="*/ 0 w 2104221"/>
                <a:gd name="connsiteY0" fmla="*/ 0 h 1275100"/>
                <a:gd name="connsiteX1" fmla="*/ 2104221 w 2104221"/>
                <a:gd name="connsiteY1" fmla="*/ 0 h 1275100"/>
                <a:gd name="connsiteX2" fmla="*/ 2104221 w 2104221"/>
                <a:gd name="connsiteY2" fmla="*/ 1275100 h 1275100"/>
                <a:gd name="connsiteX3" fmla="*/ 6852 w 2104221"/>
                <a:gd name="connsiteY3" fmla="*/ 971831 h 1275100"/>
                <a:gd name="connsiteX4" fmla="*/ 0 w 2104221"/>
                <a:gd name="connsiteY4" fmla="*/ 0 h 1275100"/>
                <a:gd name="connsiteX0" fmla="*/ 0 w 2104221"/>
                <a:gd name="connsiteY0" fmla="*/ 0 h 1275100"/>
                <a:gd name="connsiteX1" fmla="*/ 2104221 w 2104221"/>
                <a:gd name="connsiteY1" fmla="*/ 0 h 1275100"/>
                <a:gd name="connsiteX2" fmla="*/ 2104221 w 2104221"/>
                <a:gd name="connsiteY2" fmla="*/ 1275100 h 1275100"/>
                <a:gd name="connsiteX3" fmla="*/ 1307036 w 2104221"/>
                <a:gd name="connsiteY3" fmla="*/ 1205196 h 1275100"/>
                <a:gd name="connsiteX4" fmla="*/ 6852 w 2104221"/>
                <a:gd name="connsiteY4" fmla="*/ 971831 h 1275100"/>
                <a:gd name="connsiteX5" fmla="*/ 0 w 2104221"/>
                <a:gd name="connsiteY5" fmla="*/ 0 h 1275100"/>
                <a:gd name="connsiteX0" fmla="*/ 4800 w 2109021"/>
                <a:gd name="connsiteY0" fmla="*/ 0 h 1275100"/>
                <a:gd name="connsiteX1" fmla="*/ 2109021 w 2109021"/>
                <a:gd name="connsiteY1" fmla="*/ 0 h 1275100"/>
                <a:gd name="connsiteX2" fmla="*/ 2109021 w 2109021"/>
                <a:gd name="connsiteY2" fmla="*/ 1275100 h 1275100"/>
                <a:gd name="connsiteX3" fmla="*/ 1311836 w 2109021"/>
                <a:gd name="connsiteY3" fmla="*/ 1205196 h 1275100"/>
                <a:gd name="connsiteX4" fmla="*/ 0 w 2109021"/>
                <a:gd name="connsiteY4" fmla="*/ 914877 h 1275100"/>
                <a:gd name="connsiteX5" fmla="*/ 4800 w 2109021"/>
                <a:gd name="connsiteY5" fmla="*/ 0 h 1275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09021" h="1275100">
                  <a:moveTo>
                    <a:pt x="4800" y="0"/>
                  </a:moveTo>
                  <a:lnTo>
                    <a:pt x="2109021" y="0"/>
                  </a:lnTo>
                  <a:lnTo>
                    <a:pt x="2109021" y="1275100"/>
                  </a:lnTo>
                  <a:cubicBezTo>
                    <a:pt x="1840428" y="1238446"/>
                    <a:pt x="1580429" y="1241850"/>
                    <a:pt x="1311836" y="1205196"/>
                  </a:cubicBezTo>
                  <a:lnTo>
                    <a:pt x="0" y="914877"/>
                  </a:lnTo>
                  <a:lnTo>
                    <a:pt x="4800"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Rectangle 32">
              <a:extLst>
                <a:ext uri="{FF2B5EF4-FFF2-40B4-BE49-F238E27FC236}">
                  <a16:creationId xmlns="" xmlns:a16="http://schemas.microsoft.com/office/drawing/2014/main" id="{82914D78-6C9A-453D-81B1-0C4DE81B0FBF}"/>
                </a:ext>
              </a:extLst>
            </xdr:cNvPr>
            <xdr:cNvSpPr/>
          </xdr:nvSpPr>
          <xdr:spPr>
            <a:xfrm rot="21129870">
              <a:off x="795599" y="659595"/>
              <a:ext cx="2289662" cy="1231840"/>
            </a:xfrm>
            <a:custGeom>
              <a:avLst/>
              <a:gdLst>
                <a:gd name="connsiteX0" fmla="*/ 0 w 2283920"/>
                <a:gd name="connsiteY0" fmla="*/ 0 h 1231840"/>
                <a:gd name="connsiteX1" fmla="*/ 2283920 w 2283920"/>
                <a:gd name="connsiteY1" fmla="*/ 0 h 1231840"/>
                <a:gd name="connsiteX2" fmla="*/ 2283920 w 2283920"/>
                <a:gd name="connsiteY2" fmla="*/ 1231840 h 1231840"/>
                <a:gd name="connsiteX3" fmla="*/ 0 w 2283920"/>
                <a:gd name="connsiteY3" fmla="*/ 1231840 h 1231840"/>
                <a:gd name="connsiteX4" fmla="*/ 0 w 2283920"/>
                <a:gd name="connsiteY4" fmla="*/ 0 h 1231840"/>
                <a:gd name="connsiteX0" fmla="*/ 0 w 2289662"/>
                <a:gd name="connsiteY0" fmla="*/ 0 h 1231840"/>
                <a:gd name="connsiteX1" fmla="*/ 2289662 w 2289662"/>
                <a:gd name="connsiteY1" fmla="*/ 330898 h 1231840"/>
                <a:gd name="connsiteX2" fmla="*/ 2283920 w 2289662"/>
                <a:gd name="connsiteY2" fmla="*/ 1231840 h 1231840"/>
                <a:gd name="connsiteX3" fmla="*/ 0 w 2289662"/>
                <a:gd name="connsiteY3" fmla="*/ 1231840 h 1231840"/>
                <a:gd name="connsiteX4" fmla="*/ 0 w 2289662"/>
                <a:gd name="connsiteY4" fmla="*/ 0 h 1231840"/>
                <a:gd name="connsiteX0" fmla="*/ 0 w 2289662"/>
                <a:gd name="connsiteY0" fmla="*/ 0 h 1231840"/>
                <a:gd name="connsiteX1" fmla="*/ 2289662 w 2289662"/>
                <a:gd name="connsiteY1" fmla="*/ 330898 h 1231840"/>
                <a:gd name="connsiteX2" fmla="*/ 2270011 w 2289662"/>
                <a:gd name="connsiteY2" fmla="*/ 1146598 h 1231840"/>
                <a:gd name="connsiteX3" fmla="*/ 0 w 2289662"/>
                <a:gd name="connsiteY3" fmla="*/ 1231840 h 1231840"/>
                <a:gd name="connsiteX4" fmla="*/ 0 w 2289662"/>
                <a:gd name="connsiteY4" fmla="*/ 0 h 123184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89662" h="1231840">
                  <a:moveTo>
                    <a:pt x="0" y="0"/>
                  </a:moveTo>
                  <a:lnTo>
                    <a:pt x="2289662" y="330898"/>
                  </a:lnTo>
                  <a:lnTo>
                    <a:pt x="2270011" y="1146598"/>
                  </a:lnTo>
                  <a:lnTo>
                    <a:pt x="0" y="1231840"/>
                  </a:lnTo>
                  <a:lnTo>
                    <a:pt x="0"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33">
              <a:extLst>
                <a:ext uri="{FF2B5EF4-FFF2-40B4-BE49-F238E27FC236}">
                  <a16:creationId xmlns="" xmlns:a16="http://schemas.microsoft.com/office/drawing/2014/main" id="{EFA6EF3C-6DFF-4973-A145-24CB73EC3201}"/>
                </a:ext>
              </a:extLst>
            </xdr:cNvPr>
            <xdr:cNvSpPr txBox="1"/>
          </xdr:nvSpPr>
          <xdr:spPr>
            <a:xfrm>
              <a:off x="1051562" y="428625"/>
              <a:ext cx="176493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3</a:t>
              </a:r>
            </a:p>
          </xdr:txBody>
        </xdr:sp>
        <xdr:sp macro="" textlink="">
          <xdr:nvSpPr>
            <xdr:cNvPr id="10" name="TextBox 34">
              <a:extLst>
                <a:ext uri="{FF2B5EF4-FFF2-40B4-BE49-F238E27FC236}">
                  <a16:creationId xmlns="" xmlns:a16="http://schemas.microsoft.com/office/drawing/2014/main" id="{7724C72B-23D0-4604-A85E-38AA9AB9B943}"/>
                </a:ext>
              </a:extLst>
            </xdr:cNvPr>
            <xdr:cNvSpPr txBox="1"/>
          </xdr:nvSpPr>
          <xdr:spPr>
            <a:xfrm rot="20275293">
              <a:off x="2626122" y="2735411"/>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a:t>
              </a:r>
            </a:p>
          </xdr:txBody>
        </xdr:sp>
        <xdr:sp macro="" textlink="">
          <xdr:nvSpPr>
            <xdr:cNvPr id="11" name="TextBox 35">
              <a:extLst>
                <a:ext uri="{FF2B5EF4-FFF2-40B4-BE49-F238E27FC236}">
                  <a16:creationId xmlns="" xmlns:a16="http://schemas.microsoft.com/office/drawing/2014/main" id="{DA938DA5-C899-46AA-822C-CC275132DE9B}"/>
                </a:ext>
              </a:extLst>
            </xdr:cNvPr>
            <xdr:cNvSpPr txBox="1"/>
          </xdr:nvSpPr>
          <xdr:spPr>
            <a:xfrm rot="20013346">
              <a:off x="4713941" y="1830120"/>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1</a:t>
              </a:r>
            </a:p>
          </xdr:txBody>
        </xdr:sp>
        <xdr:pic>
          <xdr:nvPicPr>
            <xdr:cNvPr id="12" name="Picture 11">
              <a:extLst>
                <a:ext uri="{FF2B5EF4-FFF2-40B4-BE49-F238E27FC236}">
                  <a16:creationId xmlns="" xmlns:a16="http://schemas.microsoft.com/office/drawing/2014/main" id="{33812C1E-09D7-4B82-A653-C461D1F5374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rot="14294559">
              <a:off x="430273" y="2973902"/>
              <a:ext cx="1080000" cy="1080000"/>
            </a:xfrm>
            <a:prstGeom prst="rect">
              <a:avLst/>
            </a:prstGeom>
          </xdr:spPr>
        </xdr:pic>
        <xdr:sp macro="" textlink="">
          <xdr:nvSpPr>
            <xdr:cNvPr id="13" name="TextBox 34">
              <a:extLst>
                <a:ext uri="{FF2B5EF4-FFF2-40B4-BE49-F238E27FC236}">
                  <a16:creationId xmlns="" xmlns:a16="http://schemas.microsoft.com/office/drawing/2014/main" id="{88B2AD12-6132-447E-96D2-8439986674AE}"/>
                </a:ext>
              </a:extLst>
            </xdr:cNvPr>
            <xdr:cNvSpPr txBox="1"/>
          </xdr:nvSpPr>
          <xdr:spPr>
            <a:xfrm rot="20275293">
              <a:off x="3015465" y="3090957"/>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p>
          </xdr:txBody>
        </xdr:sp>
        <xdr:sp macro="" textlink="">
          <xdr:nvSpPr>
            <xdr:cNvPr id="14" name="TextBox 34">
              <a:extLst>
                <a:ext uri="{FF2B5EF4-FFF2-40B4-BE49-F238E27FC236}">
                  <a16:creationId xmlns="" xmlns:a16="http://schemas.microsoft.com/office/drawing/2014/main" id="{449A0147-1DBC-4C93-9CC1-15650EDFA472}"/>
                </a:ext>
              </a:extLst>
            </xdr:cNvPr>
            <xdr:cNvSpPr txBox="1"/>
          </xdr:nvSpPr>
          <xdr:spPr>
            <a:xfrm rot="20275293">
              <a:off x="4158378" y="2813187"/>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p>
          </xdr:txBody>
        </xdr:sp>
        <xdr:sp macro="" textlink="">
          <xdr:nvSpPr>
            <xdr:cNvPr id="15" name="TextBox 34">
              <a:extLst>
                <a:ext uri="{FF2B5EF4-FFF2-40B4-BE49-F238E27FC236}">
                  <a16:creationId xmlns="" xmlns:a16="http://schemas.microsoft.com/office/drawing/2014/main" id="{0C3A9496-2E78-443E-85CF-D1C96D0D2707}"/>
                </a:ext>
              </a:extLst>
            </xdr:cNvPr>
            <xdr:cNvSpPr txBox="1"/>
          </xdr:nvSpPr>
          <xdr:spPr>
            <a:xfrm rot="20275293">
              <a:off x="867794" y="1068796"/>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p>
          </xdr:txBody>
        </xdr:sp>
        <xdr:sp macro="" textlink="">
          <xdr:nvSpPr>
            <xdr:cNvPr id="16" name="TextBox 34">
              <a:extLst>
                <a:ext uri="{FF2B5EF4-FFF2-40B4-BE49-F238E27FC236}">
                  <a16:creationId xmlns="" xmlns:a16="http://schemas.microsoft.com/office/drawing/2014/main" id="{71A7F5B7-1459-4461-A1BE-8423F72DFC20}"/>
                </a:ext>
              </a:extLst>
            </xdr:cNvPr>
            <xdr:cNvSpPr txBox="1"/>
          </xdr:nvSpPr>
          <xdr:spPr>
            <a:xfrm rot="20275293">
              <a:off x="2362371" y="924356"/>
              <a:ext cx="176493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p>
          </xdr:txBody>
        </xdr:sp>
      </xdr:grpSp>
      <xdr:pic>
        <xdr:nvPicPr>
          <xdr:cNvPr id="4" name="Picture 3">
            <a:extLst>
              <a:ext uri="{FF2B5EF4-FFF2-40B4-BE49-F238E27FC236}">
                <a16:creationId xmlns="" xmlns:a16="http://schemas.microsoft.com/office/drawing/2014/main" id="{0D5D63CB-5911-4EC9-A83F-72F6EB143052}"/>
              </a:ext>
            </a:extLst>
          </xdr:cNvPr>
          <xdr:cNvPicPr>
            <a:picLocks noChangeAspect="1"/>
          </xdr:cNvPicPr>
        </xdr:nvPicPr>
        <xdr:blipFill>
          <a:blip xmlns:r="http://schemas.openxmlformats.org/officeDocument/2006/relationships" r:embed="rId3"/>
          <a:stretch>
            <a:fillRect/>
          </a:stretch>
        </xdr:blipFill>
        <xdr:spPr>
          <a:xfrm>
            <a:off x="1154563" y="4547094"/>
            <a:ext cx="4523006" cy="3647982"/>
          </a:xfrm>
          <a:prstGeom prst="rect">
            <a:avLst/>
          </a:prstGeom>
          <a:ln>
            <a:solidFill>
              <a:schemeClr val="tx1"/>
            </a:solidFill>
          </a:ln>
        </xdr:spPr>
      </xdr:pic>
    </xdr:grpSp>
    <xdr:clientData/>
  </xdr:twoCellAnchor>
  <xdr:twoCellAnchor>
    <xdr:from>
      <xdr:col>0</xdr:col>
      <xdr:colOff>488674</xdr:colOff>
      <xdr:row>454</xdr:row>
      <xdr:rowOff>16565</xdr:rowOff>
    </xdr:from>
    <xdr:to>
      <xdr:col>7</xdr:col>
      <xdr:colOff>33130</xdr:colOff>
      <xdr:row>498</xdr:row>
      <xdr:rowOff>149087</xdr:rowOff>
    </xdr:to>
    <xdr:grpSp>
      <xdr:nvGrpSpPr>
        <xdr:cNvPr id="17" name="Group 16">
          <a:extLst>
            <a:ext uri="{FF2B5EF4-FFF2-40B4-BE49-F238E27FC236}">
              <a16:creationId xmlns="" xmlns:a16="http://schemas.microsoft.com/office/drawing/2014/main" id="{3E505361-1BA7-4D7A-836A-5D258B5F305D}"/>
            </a:ext>
          </a:extLst>
        </xdr:cNvPr>
        <xdr:cNvGrpSpPr/>
      </xdr:nvGrpSpPr>
      <xdr:grpSpPr>
        <a:xfrm>
          <a:off x="488674" y="88259478"/>
          <a:ext cx="5458239" cy="7421218"/>
          <a:chOff x="371475" y="89994443"/>
          <a:chExt cx="5646553" cy="8325078"/>
        </a:xfrm>
      </xdr:grpSpPr>
      <xdr:grpSp>
        <xdr:nvGrpSpPr>
          <xdr:cNvPr id="18" name="Group 17">
            <a:extLst>
              <a:ext uri="{FF2B5EF4-FFF2-40B4-BE49-F238E27FC236}">
                <a16:creationId xmlns="" xmlns:a16="http://schemas.microsoft.com/office/drawing/2014/main" id="{6BB350B3-3882-43AF-8BF3-5A29BFCBB092}"/>
              </a:ext>
            </a:extLst>
          </xdr:cNvPr>
          <xdr:cNvGrpSpPr/>
        </xdr:nvGrpSpPr>
        <xdr:grpSpPr>
          <a:xfrm>
            <a:off x="371475" y="93775120"/>
            <a:ext cx="5646553" cy="4544401"/>
            <a:chOff x="371475" y="96250124"/>
            <a:chExt cx="5647674" cy="4506123"/>
          </a:xfrm>
        </xdr:grpSpPr>
        <xdr:pic>
          <xdr:nvPicPr>
            <xdr:cNvPr id="20" name="Picture 19">
              <a:extLst>
                <a:ext uri="{FF2B5EF4-FFF2-40B4-BE49-F238E27FC236}">
                  <a16:creationId xmlns="" xmlns:a16="http://schemas.microsoft.com/office/drawing/2014/main" id="{DFDC3F06-185F-40F2-9AF0-7F61D19BE519}"/>
                </a:ext>
              </a:extLst>
            </xdr:cNvPr>
            <xdr:cNvPicPr>
              <a:picLocks noChangeAspect="1"/>
            </xdr:cNvPicPr>
          </xdr:nvPicPr>
          <xdr:blipFill>
            <a:blip xmlns:r="http://schemas.openxmlformats.org/officeDocument/2006/relationships" r:embed="rId4"/>
            <a:stretch>
              <a:fillRect/>
            </a:stretch>
          </xdr:blipFill>
          <xdr:spPr>
            <a:xfrm>
              <a:off x="371475" y="96250124"/>
              <a:ext cx="5647674" cy="4506123"/>
            </a:xfrm>
            <a:prstGeom prst="rect">
              <a:avLst/>
            </a:prstGeom>
            <a:ln>
              <a:solidFill>
                <a:sysClr val="windowText" lastClr="000000"/>
              </a:solidFill>
            </a:ln>
          </xdr:spPr>
        </xdr:pic>
        <xdr:sp macro="" textlink="">
          <xdr:nvSpPr>
            <xdr:cNvPr id="21" name="Rectangle 20">
              <a:extLst>
                <a:ext uri="{FF2B5EF4-FFF2-40B4-BE49-F238E27FC236}">
                  <a16:creationId xmlns="" xmlns:a16="http://schemas.microsoft.com/office/drawing/2014/main" id="{AF1B26A7-A644-4706-B675-FCB71103FDBB}"/>
                </a:ext>
              </a:extLst>
            </xdr:cNvPr>
            <xdr:cNvSpPr/>
          </xdr:nvSpPr>
          <xdr:spPr>
            <a:xfrm rot="20457635">
              <a:off x="1543051" y="97964626"/>
              <a:ext cx="2743200" cy="2066925"/>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TextBox 21">
              <a:extLst>
                <a:ext uri="{FF2B5EF4-FFF2-40B4-BE49-F238E27FC236}">
                  <a16:creationId xmlns="" xmlns:a16="http://schemas.microsoft.com/office/drawing/2014/main" id="{5D84F1C7-2BA4-4905-B869-C08066141126}"/>
                </a:ext>
              </a:extLst>
            </xdr:cNvPr>
            <xdr:cNvSpPr txBox="1"/>
          </xdr:nvSpPr>
          <xdr:spPr>
            <a:xfrm rot="20468476">
              <a:off x="2130935" y="98728411"/>
              <a:ext cx="1566214"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FF00"/>
                  </a:solidFill>
                  <a:latin typeface="Times New Roman" panose="02020603050405020304" pitchFamily="18" charset="0"/>
                  <a:cs typeface="Times New Roman" panose="02020603050405020304" pitchFamily="18" charset="0"/>
                </a:rPr>
                <a:t>Anandam ­ II</a:t>
              </a:r>
            </a:p>
          </xdr:txBody>
        </xdr:sp>
      </xdr:grpSp>
      <xdr:pic>
        <xdr:nvPicPr>
          <xdr:cNvPr id="19" name="Picture 18">
            <a:extLst>
              <a:ext uri="{FF2B5EF4-FFF2-40B4-BE49-F238E27FC236}">
                <a16:creationId xmlns="" xmlns:a16="http://schemas.microsoft.com/office/drawing/2014/main" id="{AD215A7A-C3E0-43A0-BDC1-89141E569C67}"/>
              </a:ext>
            </a:extLst>
          </xdr:cNvPr>
          <xdr:cNvPicPr>
            <a:picLocks noChangeAspect="1"/>
          </xdr:cNvPicPr>
        </xdr:nvPicPr>
        <xdr:blipFill>
          <a:blip xmlns:r="http://schemas.openxmlformats.org/officeDocument/2006/relationships" r:embed="rId5"/>
          <a:stretch>
            <a:fillRect/>
          </a:stretch>
        </xdr:blipFill>
        <xdr:spPr>
          <a:xfrm>
            <a:off x="840442" y="89994443"/>
            <a:ext cx="4717675" cy="3626922"/>
          </a:xfrm>
          <a:prstGeom prst="rect">
            <a:avLst/>
          </a:prstGeom>
          <a:ln>
            <a:solidFill>
              <a:sysClr val="windowText" lastClr="000000"/>
            </a:solidFill>
          </a:ln>
        </xdr:spPr>
      </xdr:pic>
    </xdr:grpSp>
    <xdr:clientData/>
  </xdr:twoCellAnchor>
  <xdr:twoCellAnchor editAs="oneCell">
    <xdr:from>
      <xdr:col>8</xdr:col>
      <xdr:colOff>502340</xdr:colOff>
      <xdr:row>7</xdr:row>
      <xdr:rowOff>112644</xdr:rowOff>
    </xdr:from>
    <xdr:to>
      <xdr:col>13</xdr:col>
      <xdr:colOff>531945</xdr:colOff>
      <xdr:row>8</xdr:row>
      <xdr:rowOff>167298</xdr:rowOff>
    </xdr:to>
    <xdr:pic>
      <xdr:nvPicPr>
        <xdr:cNvPr id="42" name="Picture 41">
          <a:extLst>
            <a:ext uri="{FF2B5EF4-FFF2-40B4-BE49-F238E27FC236}">
              <a16:creationId xmlns="" xmlns:a16="http://schemas.microsoft.com/office/drawing/2014/main" id="{258F7FFE-AE19-4451-AB82-D17469A115D3}"/>
            </a:ext>
          </a:extLst>
        </xdr:cNvPr>
        <xdr:cNvPicPr>
          <a:picLocks noChangeAspect="1"/>
        </xdr:cNvPicPr>
      </xdr:nvPicPr>
      <xdr:blipFill>
        <a:blip xmlns:r="http://schemas.openxmlformats.org/officeDocument/2006/relationships" r:embed="rId6"/>
        <a:stretch>
          <a:fillRect/>
        </a:stretch>
      </xdr:blipFill>
      <xdr:spPr>
        <a:xfrm>
          <a:off x="7246040" y="2150994"/>
          <a:ext cx="3579708" cy="559480"/>
        </a:xfrm>
        <a:prstGeom prst="rect">
          <a:avLst/>
        </a:prstGeom>
      </xdr:spPr>
    </xdr:pic>
    <xdr:clientData/>
  </xdr:twoCellAnchor>
  <xdr:twoCellAnchor editAs="oneCell">
    <xdr:from>
      <xdr:col>8</xdr:col>
      <xdr:colOff>82826</xdr:colOff>
      <xdr:row>37</xdr:row>
      <xdr:rowOff>1341782</xdr:rowOff>
    </xdr:from>
    <xdr:to>
      <xdr:col>12</xdr:col>
      <xdr:colOff>5935</xdr:colOff>
      <xdr:row>45</xdr:row>
      <xdr:rowOff>282485</xdr:rowOff>
    </xdr:to>
    <xdr:pic>
      <xdr:nvPicPr>
        <xdr:cNvPr id="44" name="Picture 43">
          <a:extLst>
            <a:ext uri="{FF2B5EF4-FFF2-40B4-BE49-F238E27FC236}">
              <a16:creationId xmlns="" xmlns:a16="http://schemas.microsoft.com/office/drawing/2014/main" id="{13A0EC79-C14C-4D80-95F3-1CB364EF70B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858000" y="11885543"/>
          <a:ext cx="2880000" cy="1831820"/>
        </a:xfrm>
        <a:prstGeom prst="rect">
          <a:avLst/>
        </a:prstGeom>
      </xdr:spPr>
    </xdr:pic>
    <xdr:clientData/>
  </xdr:twoCellAnchor>
  <xdr:twoCellAnchor editAs="oneCell">
    <xdr:from>
      <xdr:col>8</xdr:col>
      <xdr:colOff>41413</xdr:colOff>
      <xdr:row>45</xdr:row>
      <xdr:rowOff>347870</xdr:rowOff>
    </xdr:from>
    <xdr:to>
      <xdr:col>13</xdr:col>
      <xdr:colOff>71609</xdr:colOff>
      <xdr:row>47</xdr:row>
      <xdr:rowOff>903734</xdr:rowOff>
    </xdr:to>
    <xdr:pic>
      <xdr:nvPicPr>
        <xdr:cNvPr id="45" name="Picture 44">
          <a:extLst>
            <a:ext uri="{FF2B5EF4-FFF2-40B4-BE49-F238E27FC236}">
              <a16:creationId xmlns="" xmlns:a16="http://schemas.microsoft.com/office/drawing/2014/main" id="{4CB2E50D-76A8-435C-9A58-9BE5EC4F7BC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16587" y="13749131"/>
          <a:ext cx="3600000" cy="1491799"/>
        </a:xfrm>
        <a:prstGeom prst="rect">
          <a:avLst/>
        </a:prstGeom>
      </xdr:spPr>
    </xdr:pic>
    <xdr:clientData/>
  </xdr:twoCellAnchor>
  <xdr:twoCellAnchor editAs="oneCell">
    <xdr:from>
      <xdr:col>8</xdr:col>
      <xdr:colOff>74543</xdr:colOff>
      <xdr:row>47</xdr:row>
      <xdr:rowOff>969066</xdr:rowOff>
    </xdr:from>
    <xdr:to>
      <xdr:col>13</xdr:col>
      <xdr:colOff>96165</xdr:colOff>
      <xdr:row>49</xdr:row>
      <xdr:rowOff>20747</xdr:rowOff>
    </xdr:to>
    <xdr:pic>
      <xdr:nvPicPr>
        <xdr:cNvPr id="46" name="Picture 45">
          <a:extLst>
            <a:ext uri="{FF2B5EF4-FFF2-40B4-BE49-F238E27FC236}">
              <a16:creationId xmlns="" xmlns:a16="http://schemas.microsoft.com/office/drawing/2014/main" id="{28CB7B85-594C-4735-B59B-2E46A0234C06}"/>
            </a:ext>
          </a:extLst>
        </xdr:cNvPr>
        <xdr:cNvPicPr>
          <a:picLocks noChangeAspect="1"/>
        </xdr:cNvPicPr>
      </xdr:nvPicPr>
      <xdr:blipFill>
        <a:blip xmlns:r="http://schemas.openxmlformats.org/officeDocument/2006/relationships" r:embed="rId9"/>
        <a:stretch>
          <a:fillRect/>
        </a:stretch>
      </xdr:blipFill>
      <xdr:spPr>
        <a:xfrm>
          <a:off x="6849717" y="15306262"/>
          <a:ext cx="3591426" cy="285790"/>
        </a:xfrm>
        <a:prstGeom prst="rect">
          <a:avLst/>
        </a:prstGeom>
      </xdr:spPr>
    </xdr:pic>
    <xdr:clientData/>
  </xdr:twoCellAnchor>
  <xdr:twoCellAnchor editAs="oneCell">
    <xdr:from>
      <xdr:col>10</xdr:col>
      <xdr:colOff>515889</xdr:colOff>
      <xdr:row>47</xdr:row>
      <xdr:rowOff>999831</xdr:rowOff>
    </xdr:from>
    <xdr:to>
      <xdr:col>14</xdr:col>
      <xdr:colOff>22235</xdr:colOff>
      <xdr:row>54</xdr:row>
      <xdr:rowOff>53429</xdr:rowOff>
    </xdr:to>
    <xdr:pic>
      <xdr:nvPicPr>
        <xdr:cNvPr id="47" name="Picture 46">
          <a:extLst>
            <a:ext uri="{FF2B5EF4-FFF2-40B4-BE49-F238E27FC236}">
              <a16:creationId xmlns="" xmlns:a16="http://schemas.microsoft.com/office/drawing/2014/main" id="{8AB6F502-CE01-4A8B-94FA-365A5C1A93AB}"/>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802639" y="15559474"/>
          <a:ext cx="1955632" cy="1791658"/>
        </a:xfrm>
        <a:prstGeom prst="rect">
          <a:avLst/>
        </a:prstGeom>
      </xdr:spPr>
    </xdr:pic>
    <xdr:clientData/>
  </xdr:twoCellAnchor>
  <xdr:twoCellAnchor editAs="oneCell">
    <xdr:from>
      <xdr:col>9</xdr:col>
      <xdr:colOff>343729</xdr:colOff>
      <xdr:row>55</xdr:row>
      <xdr:rowOff>1179681</xdr:rowOff>
    </xdr:from>
    <xdr:to>
      <xdr:col>13</xdr:col>
      <xdr:colOff>579803</xdr:colOff>
      <xdr:row>59</xdr:row>
      <xdr:rowOff>135176</xdr:rowOff>
    </xdr:to>
    <xdr:pic>
      <xdr:nvPicPr>
        <xdr:cNvPr id="48" name="Picture 47">
          <a:extLst>
            <a:ext uri="{FF2B5EF4-FFF2-40B4-BE49-F238E27FC236}">
              <a16:creationId xmlns="" xmlns:a16="http://schemas.microsoft.com/office/drawing/2014/main" id="{A51767B5-F943-44F8-B338-9DF15FF3D137}"/>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018158" y="17453824"/>
          <a:ext cx="2875859" cy="1010172"/>
        </a:xfrm>
        <a:prstGeom prst="rect">
          <a:avLst/>
        </a:prstGeom>
      </xdr:spPr>
    </xdr:pic>
    <xdr:clientData/>
  </xdr:twoCellAnchor>
  <xdr:twoCellAnchor editAs="oneCell">
    <xdr:from>
      <xdr:col>8</xdr:col>
      <xdr:colOff>115956</xdr:colOff>
      <xdr:row>62</xdr:row>
      <xdr:rowOff>24849</xdr:rowOff>
    </xdr:from>
    <xdr:to>
      <xdr:col>11</xdr:col>
      <xdr:colOff>291978</xdr:colOff>
      <xdr:row>69</xdr:row>
      <xdr:rowOff>143820</xdr:rowOff>
    </xdr:to>
    <xdr:pic>
      <xdr:nvPicPr>
        <xdr:cNvPr id="49" name="Picture 48">
          <a:extLst>
            <a:ext uri="{FF2B5EF4-FFF2-40B4-BE49-F238E27FC236}">
              <a16:creationId xmlns="" xmlns:a16="http://schemas.microsoft.com/office/drawing/2014/main" id="{813053D5-3F1D-4AC1-9F9F-70567B3C70A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891130" y="18569610"/>
          <a:ext cx="2520000" cy="1551059"/>
        </a:xfrm>
        <a:prstGeom prst="rect">
          <a:avLst/>
        </a:prstGeom>
      </xdr:spPr>
    </xdr:pic>
    <xdr:clientData/>
  </xdr:twoCellAnchor>
  <xdr:twoCellAnchor>
    <xdr:from>
      <xdr:col>8</xdr:col>
      <xdr:colOff>546624</xdr:colOff>
      <xdr:row>347</xdr:row>
      <xdr:rowOff>29719</xdr:rowOff>
    </xdr:from>
    <xdr:to>
      <xdr:col>18</xdr:col>
      <xdr:colOff>553689</xdr:colOff>
      <xdr:row>397</xdr:row>
      <xdr:rowOff>116368</xdr:rowOff>
    </xdr:to>
    <xdr:grpSp>
      <xdr:nvGrpSpPr>
        <xdr:cNvPr id="50" name="Group 49">
          <a:extLst>
            <a:ext uri="{FF2B5EF4-FFF2-40B4-BE49-F238E27FC236}">
              <a16:creationId xmlns="" xmlns:a16="http://schemas.microsoft.com/office/drawing/2014/main" id="{8D3D362F-25A4-4A3D-A9D9-37C7B5DD4094}"/>
            </a:ext>
          </a:extLst>
        </xdr:cNvPr>
        <xdr:cNvGrpSpPr/>
      </xdr:nvGrpSpPr>
      <xdr:grpSpPr>
        <a:xfrm>
          <a:off x="7321798" y="70547849"/>
          <a:ext cx="6641434" cy="8369258"/>
          <a:chOff x="120098" y="385141"/>
          <a:chExt cx="6624233" cy="8373717"/>
        </a:xfrm>
      </xdr:grpSpPr>
      <xdr:pic>
        <xdr:nvPicPr>
          <xdr:cNvPr id="51" name="Picture 50">
            <a:extLst>
              <a:ext uri="{FF2B5EF4-FFF2-40B4-BE49-F238E27FC236}">
                <a16:creationId xmlns="" xmlns:a16="http://schemas.microsoft.com/office/drawing/2014/main" id="{A59D9E01-918F-4B1E-B2CA-61470DC52EE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20098" y="385141"/>
            <a:ext cx="2127340" cy="2646857"/>
          </a:xfrm>
          <a:prstGeom prst="rect">
            <a:avLst/>
          </a:prstGeom>
          <a:ln>
            <a:solidFill>
              <a:schemeClr val="tx1"/>
            </a:solidFill>
          </a:ln>
        </xdr:spPr>
      </xdr:pic>
      <xdr:pic>
        <xdr:nvPicPr>
          <xdr:cNvPr id="52" name="Picture 51">
            <a:extLst>
              <a:ext uri="{FF2B5EF4-FFF2-40B4-BE49-F238E27FC236}">
                <a16:creationId xmlns="" xmlns:a16="http://schemas.microsoft.com/office/drawing/2014/main" id="{474C90E7-4D03-433C-BE3A-C6B6EAB4053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365330" y="385141"/>
            <a:ext cx="2127340" cy="2646857"/>
          </a:xfrm>
          <a:prstGeom prst="rect">
            <a:avLst/>
          </a:prstGeom>
          <a:ln>
            <a:solidFill>
              <a:schemeClr val="tx1"/>
            </a:solidFill>
          </a:ln>
        </xdr:spPr>
      </xdr:pic>
      <xdr:pic>
        <xdr:nvPicPr>
          <xdr:cNvPr id="53" name="Picture 52">
            <a:extLst>
              <a:ext uri="{FF2B5EF4-FFF2-40B4-BE49-F238E27FC236}">
                <a16:creationId xmlns="" xmlns:a16="http://schemas.microsoft.com/office/drawing/2014/main" id="{959CCA7A-01D6-496A-A734-9DDB583D8C0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450262" y="3178984"/>
            <a:ext cx="1727362" cy="2149200"/>
          </a:xfrm>
          <a:prstGeom prst="rect">
            <a:avLst/>
          </a:prstGeom>
          <a:ln>
            <a:solidFill>
              <a:schemeClr val="tx1"/>
            </a:solidFill>
          </a:ln>
        </xdr:spPr>
      </xdr:pic>
      <xdr:pic>
        <xdr:nvPicPr>
          <xdr:cNvPr id="54" name="Picture 53">
            <a:extLst>
              <a:ext uri="{FF2B5EF4-FFF2-40B4-BE49-F238E27FC236}">
                <a16:creationId xmlns="" xmlns:a16="http://schemas.microsoft.com/office/drawing/2014/main" id="{C2921F3B-F2F5-42C7-8D99-0533A0B3AD4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616991" y="385141"/>
            <a:ext cx="2127340" cy="2643685"/>
          </a:xfrm>
          <a:prstGeom prst="rect">
            <a:avLst/>
          </a:prstGeom>
          <a:ln>
            <a:solidFill>
              <a:schemeClr val="tx1"/>
            </a:solidFill>
          </a:ln>
        </xdr:spPr>
      </xdr:pic>
      <xdr:pic>
        <xdr:nvPicPr>
          <xdr:cNvPr id="55" name="Picture 54">
            <a:extLst>
              <a:ext uri="{FF2B5EF4-FFF2-40B4-BE49-F238E27FC236}">
                <a16:creationId xmlns="" xmlns:a16="http://schemas.microsoft.com/office/drawing/2014/main" id="{D2D46AF3-CFFC-4C2B-AF6B-ACB36B029461}"/>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17172" y="3174266"/>
            <a:ext cx="1728463" cy="2150571"/>
          </a:xfrm>
          <a:prstGeom prst="rect">
            <a:avLst/>
          </a:prstGeom>
          <a:ln>
            <a:solidFill>
              <a:schemeClr val="tx1"/>
            </a:solidFill>
          </a:ln>
        </xdr:spPr>
      </xdr:pic>
      <xdr:pic>
        <xdr:nvPicPr>
          <xdr:cNvPr id="56" name="Picture 55">
            <a:extLst>
              <a:ext uri="{FF2B5EF4-FFF2-40B4-BE49-F238E27FC236}">
                <a16:creationId xmlns="" xmlns:a16="http://schemas.microsoft.com/office/drawing/2014/main" id="{5CE0F848-C8BE-45F1-B3B9-6CD12E110491}"/>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01697" y="5467106"/>
            <a:ext cx="2600383" cy="1819714"/>
          </a:xfrm>
          <a:prstGeom prst="rect">
            <a:avLst/>
          </a:prstGeom>
          <a:ln>
            <a:solidFill>
              <a:schemeClr val="tx1"/>
            </a:solidFill>
          </a:ln>
        </xdr:spPr>
      </xdr:pic>
      <xdr:pic>
        <xdr:nvPicPr>
          <xdr:cNvPr id="57" name="Picture 56">
            <a:extLst>
              <a:ext uri="{FF2B5EF4-FFF2-40B4-BE49-F238E27FC236}">
                <a16:creationId xmlns="" xmlns:a16="http://schemas.microsoft.com/office/drawing/2014/main" id="{51A60EDA-480C-4031-BBE1-B6DB91FED6B7}"/>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282252" y="3174266"/>
            <a:ext cx="1728463" cy="2150571"/>
          </a:xfrm>
          <a:prstGeom prst="rect">
            <a:avLst/>
          </a:prstGeom>
          <a:ln>
            <a:solidFill>
              <a:schemeClr val="tx1"/>
            </a:solidFill>
          </a:ln>
        </xdr:spPr>
      </xdr:pic>
      <xdr:pic>
        <xdr:nvPicPr>
          <xdr:cNvPr id="58" name="Picture 57">
            <a:extLst>
              <a:ext uri="{FF2B5EF4-FFF2-40B4-BE49-F238E27FC236}">
                <a16:creationId xmlns="" xmlns:a16="http://schemas.microsoft.com/office/drawing/2014/main" id="{8589088A-48EF-4A64-9815-757EE6E528F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45624" y="5470276"/>
            <a:ext cx="2600383" cy="1819714"/>
          </a:xfrm>
          <a:prstGeom prst="rect">
            <a:avLst/>
          </a:prstGeom>
          <a:ln>
            <a:solidFill>
              <a:schemeClr val="tx1"/>
            </a:solidFill>
          </a:ln>
        </xdr:spPr>
      </xdr:pic>
      <xdr:pic>
        <xdr:nvPicPr>
          <xdr:cNvPr id="59" name="Picture 58">
            <a:extLst>
              <a:ext uri="{FF2B5EF4-FFF2-40B4-BE49-F238E27FC236}">
                <a16:creationId xmlns="" xmlns:a16="http://schemas.microsoft.com/office/drawing/2014/main" id="{CC8CEA8B-25C7-46A1-9161-8389ADFEEA04}"/>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223599" y="7429088"/>
            <a:ext cx="1063670" cy="1323428"/>
          </a:xfrm>
          <a:prstGeom prst="rect">
            <a:avLst/>
          </a:prstGeom>
          <a:ln>
            <a:solidFill>
              <a:schemeClr val="tx1"/>
            </a:solidFill>
          </a:ln>
        </xdr:spPr>
      </xdr:pic>
      <xdr:pic>
        <xdr:nvPicPr>
          <xdr:cNvPr id="60" name="Picture 59">
            <a:extLst>
              <a:ext uri="{FF2B5EF4-FFF2-40B4-BE49-F238E27FC236}">
                <a16:creationId xmlns="" xmlns:a16="http://schemas.microsoft.com/office/drawing/2014/main" id="{EDA9DE1D-9180-4FBF-8CB8-26AF1A71DAC3}"/>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429000" y="7435430"/>
            <a:ext cx="1063670" cy="1323428"/>
          </a:xfrm>
          <a:prstGeom prst="rect">
            <a:avLst/>
          </a:prstGeom>
          <a:ln>
            <a:solidFill>
              <a:schemeClr val="tx1"/>
            </a:solidFill>
          </a:ln>
        </xdr:spPr>
      </xdr:pic>
      <xdr:sp macro="" textlink="">
        <xdr:nvSpPr>
          <xdr:cNvPr id="61" name="TextBox 56">
            <a:extLst>
              <a:ext uri="{FF2B5EF4-FFF2-40B4-BE49-F238E27FC236}">
                <a16:creationId xmlns="" xmlns:a16="http://schemas.microsoft.com/office/drawing/2014/main" id="{D4C3A9E3-491C-4238-A63B-891DC8912B71}"/>
              </a:ext>
            </a:extLst>
          </xdr:cNvPr>
          <xdr:cNvSpPr txBox="1"/>
        </xdr:nvSpPr>
        <xdr:spPr>
          <a:xfrm>
            <a:off x="1080880" y="420157"/>
            <a:ext cx="1210739"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1</a:t>
            </a:r>
            <a:endParaRPr lang="en-IN" sz="1400" b="1">
              <a:solidFill>
                <a:srgbClr val="FF0000"/>
              </a:solidFill>
            </a:endParaRPr>
          </a:p>
        </xdr:txBody>
      </xdr:sp>
      <xdr:sp macro="" textlink="">
        <xdr:nvSpPr>
          <xdr:cNvPr id="62" name="TextBox 57">
            <a:extLst>
              <a:ext uri="{FF2B5EF4-FFF2-40B4-BE49-F238E27FC236}">
                <a16:creationId xmlns="" xmlns:a16="http://schemas.microsoft.com/office/drawing/2014/main" id="{B93910AF-B9B5-41C7-9BC8-AB56F5F9FFB6}"/>
              </a:ext>
            </a:extLst>
          </xdr:cNvPr>
          <xdr:cNvSpPr txBox="1"/>
        </xdr:nvSpPr>
        <xdr:spPr>
          <a:xfrm>
            <a:off x="3060424" y="2279987"/>
            <a:ext cx="1381582"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2B</a:t>
            </a:r>
            <a:endParaRPr lang="en-IN" sz="1400" b="1">
              <a:solidFill>
                <a:srgbClr val="FF0000"/>
              </a:solidFill>
            </a:endParaRPr>
          </a:p>
        </xdr:txBody>
      </xdr:sp>
      <xdr:sp macro="" textlink="">
        <xdr:nvSpPr>
          <xdr:cNvPr id="63" name="TextBox 58">
            <a:extLst>
              <a:ext uri="{FF2B5EF4-FFF2-40B4-BE49-F238E27FC236}">
                <a16:creationId xmlns="" xmlns:a16="http://schemas.microsoft.com/office/drawing/2014/main" id="{CE03ADDA-B5E1-487C-A5F7-5EFD91E52504}"/>
              </a:ext>
            </a:extLst>
          </xdr:cNvPr>
          <xdr:cNvSpPr txBox="1"/>
        </xdr:nvSpPr>
        <xdr:spPr>
          <a:xfrm>
            <a:off x="2786087" y="4967946"/>
            <a:ext cx="1345962"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2B</a:t>
            </a:r>
            <a:endParaRPr lang="en-IN" sz="1400" b="1">
              <a:solidFill>
                <a:srgbClr val="FF0000"/>
              </a:solidFill>
            </a:endParaRPr>
          </a:p>
        </xdr:txBody>
      </xdr:sp>
      <xdr:sp macro="" textlink="">
        <xdr:nvSpPr>
          <xdr:cNvPr id="64" name="TextBox 59">
            <a:extLst>
              <a:ext uri="{FF2B5EF4-FFF2-40B4-BE49-F238E27FC236}">
                <a16:creationId xmlns="" xmlns:a16="http://schemas.microsoft.com/office/drawing/2014/main" id="{800E77B2-B219-494A-BF25-F6879E26F743}"/>
              </a:ext>
            </a:extLst>
          </xdr:cNvPr>
          <xdr:cNvSpPr txBox="1"/>
        </xdr:nvSpPr>
        <xdr:spPr>
          <a:xfrm>
            <a:off x="5187764" y="2397544"/>
            <a:ext cx="1349913"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2A</a:t>
            </a:r>
            <a:endParaRPr lang="en-IN" sz="1400" b="1">
              <a:solidFill>
                <a:srgbClr val="FF0000"/>
              </a:solidFill>
            </a:endParaRPr>
          </a:p>
        </xdr:txBody>
      </xdr:sp>
      <xdr:sp macro="" textlink="">
        <xdr:nvSpPr>
          <xdr:cNvPr id="65" name="TextBox 60">
            <a:extLst>
              <a:ext uri="{FF2B5EF4-FFF2-40B4-BE49-F238E27FC236}">
                <a16:creationId xmlns="" xmlns:a16="http://schemas.microsoft.com/office/drawing/2014/main" id="{5143C5EB-9DCA-492C-8392-5040D3CB24F8}"/>
              </a:ext>
            </a:extLst>
          </xdr:cNvPr>
          <xdr:cNvSpPr txBox="1"/>
        </xdr:nvSpPr>
        <xdr:spPr>
          <a:xfrm>
            <a:off x="1018348" y="4886821"/>
            <a:ext cx="1280076"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1</a:t>
            </a:r>
            <a:endParaRPr lang="en-IN" sz="1400" b="1">
              <a:solidFill>
                <a:srgbClr val="FF0000"/>
              </a:solidFill>
            </a:endParaRPr>
          </a:p>
        </xdr:txBody>
      </xdr:sp>
      <xdr:sp macro="" textlink="">
        <xdr:nvSpPr>
          <xdr:cNvPr id="66" name="TextBox 61">
            <a:extLst>
              <a:ext uri="{FF2B5EF4-FFF2-40B4-BE49-F238E27FC236}">
                <a16:creationId xmlns="" xmlns:a16="http://schemas.microsoft.com/office/drawing/2014/main" id="{10245685-F765-4713-B269-DF7BDE3832FE}"/>
              </a:ext>
            </a:extLst>
          </xdr:cNvPr>
          <xdr:cNvSpPr txBox="1"/>
        </xdr:nvSpPr>
        <xdr:spPr>
          <a:xfrm>
            <a:off x="4341618" y="3191774"/>
            <a:ext cx="1283610"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3A</a:t>
            </a:r>
            <a:endParaRPr lang="en-IN" sz="1400" b="1">
              <a:solidFill>
                <a:srgbClr val="FF0000"/>
              </a:solidFill>
            </a:endParaRPr>
          </a:p>
        </xdr:txBody>
      </xdr:sp>
      <xdr:sp macro="" textlink="">
        <xdr:nvSpPr>
          <xdr:cNvPr id="67" name="TextBox 62">
            <a:extLst>
              <a:ext uri="{FF2B5EF4-FFF2-40B4-BE49-F238E27FC236}">
                <a16:creationId xmlns="" xmlns:a16="http://schemas.microsoft.com/office/drawing/2014/main" id="{937741E0-3237-4D44-9640-5A22F96DD334}"/>
              </a:ext>
            </a:extLst>
          </xdr:cNvPr>
          <xdr:cNvSpPr txBox="1"/>
        </xdr:nvSpPr>
        <xdr:spPr>
          <a:xfrm>
            <a:off x="1649813" y="6783503"/>
            <a:ext cx="1402328" cy="3187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3B</a:t>
            </a:r>
            <a:endParaRPr lang="en-IN" sz="1400" b="1">
              <a:solidFill>
                <a:srgbClr val="FF0000"/>
              </a:solidFill>
            </a:endParaRPr>
          </a:p>
        </xdr:txBody>
      </xdr:sp>
    </xdr:grpSp>
    <xdr:clientData/>
  </xdr:twoCellAnchor>
  <xdr:twoCellAnchor editAs="oneCell">
    <xdr:from>
      <xdr:col>11</xdr:col>
      <xdr:colOff>392692</xdr:colOff>
      <xdr:row>26</xdr:row>
      <xdr:rowOff>50183</xdr:rowOff>
    </xdr:from>
    <xdr:to>
      <xdr:col>15</xdr:col>
      <xdr:colOff>81760</xdr:colOff>
      <xdr:row>28</xdr:row>
      <xdr:rowOff>222341</xdr:rowOff>
    </xdr:to>
    <xdr:pic>
      <xdr:nvPicPr>
        <xdr:cNvPr id="69" name="Picture 68">
          <a:extLst>
            <a:ext uri="{FF2B5EF4-FFF2-40B4-BE49-F238E27FC236}">
              <a16:creationId xmlns="" xmlns:a16="http://schemas.microsoft.com/office/drawing/2014/main" id="{33859603-9E67-4B06-999C-9606BD4DF891}"/>
            </a:ext>
          </a:extLst>
        </xdr:cNvPr>
        <xdr:cNvPicPr>
          <a:picLocks noChangeAspect="1"/>
        </xdr:cNvPicPr>
      </xdr:nvPicPr>
      <xdr:blipFill>
        <a:blip xmlns:r="http://schemas.openxmlformats.org/officeDocument/2006/relationships" r:embed="rId23"/>
        <a:stretch>
          <a:fillRect/>
        </a:stretch>
      </xdr:blipFill>
      <xdr:spPr>
        <a:xfrm>
          <a:off x="9290163" y="6986624"/>
          <a:ext cx="2109538" cy="1057423"/>
        </a:xfrm>
        <a:prstGeom prst="rect">
          <a:avLst/>
        </a:prstGeom>
      </xdr:spPr>
    </xdr:pic>
    <xdr:clientData/>
  </xdr:twoCellAnchor>
  <xdr:twoCellAnchor editAs="oneCell">
    <xdr:from>
      <xdr:col>11</xdr:col>
      <xdr:colOff>68356</xdr:colOff>
      <xdr:row>190</xdr:row>
      <xdr:rowOff>76203</xdr:rowOff>
    </xdr:from>
    <xdr:to>
      <xdr:col>21</xdr:col>
      <xdr:colOff>211542</xdr:colOff>
      <xdr:row>203</xdr:row>
      <xdr:rowOff>124129</xdr:rowOff>
    </xdr:to>
    <xdr:pic>
      <xdr:nvPicPr>
        <xdr:cNvPr id="23" name="Picture 22"/>
        <xdr:cNvPicPr>
          <a:picLocks noChangeAspect="1"/>
        </xdr:cNvPicPr>
      </xdr:nvPicPr>
      <xdr:blipFill>
        <a:blip xmlns:r="http://schemas.openxmlformats.org/officeDocument/2006/relationships" r:embed="rId24"/>
        <a:stretch>
          <a:fillRect/>
        </a:stretch>
      </xdr:blipFill>
      <xdr:spPr>
        <a:xfrm>
          <a:off x="8965827" y="42199115"/>
          <a:ext cx="6194362" cy="2109809"/>
        </a:xfrm>
        <a:prstGeom prst="rect">
          <a:avLst/>
        </a:prstGeom>
      </xdr:spPr>
    </xdr:pic>
    <xdr:clientData/>
  </xdr:twoCellAnchor>
  <xdr:twoCellAnchor editAs="oneCell">
    <xdr:from>
      <xdr:col>17</xdr:col>
      <xdr:colOff>551491</xdr:colOff>
      <xdr:row>198</xdr:row>
      <xdr:rowOff>68036</xdr:rowOff>
    </xdr:from>
    <xdr:to>
      <xdr:col>30</xdr:col>
      <xdr:colOff>418500</xdr:colOff>
      <xdr:row>227</xdr:row>
      <xdr:rowOff>146893</xdr:rowOff>
    </xdr:to>
    <xdr:pic>
      <xdr:nvPicPr>
        <xdr:cNvPr id="68" name="Picture 67"/>
        <xdr:cNvPicPr>
          <a:picLocks noChangeAspect="1"/>
        </xdr:cNvPicPr>
      </xdr:nvPicPr>
      <xdr:blipFill>
        <a:blip xmlns:r="http://schemas.openxmlformats.org/officeDocument/2006/relationships" r:embed="rId25"/>
        <a:stretch>
          <a:fillRect/>
        </a:stretch>
      </xdr:blipFill>
      <xdr:spPr>
        <a:xfrm>
          <a:off x="13124491" y="44073536"/>
          <a:ext cx="7827188" cy="4868572"/>
        </a:xfrm>
        <a:prstGeom prst="rect">
          <a:avLst/>
        </a:prstGeom>
      </xdr:spPr>
    </xdr:pic>
    <xdr:clientData/>
  </xdr:twoCellAnchor>
  <xdr:twoCellAnchor editAs="oneCell">
    <xdr:from>
      <xdr:col>11</xdr:col>
      <xdr:colOff>79242</xdr:colOff>
      <xdr:row>199</xdr:row>
      <xdr:rowOff>126469</xdr:rowOff>
    </xdr:from>
    <xdr:to>
      <xdr:col>23</xdr:col>
      <xdr:colOff>264062</xdr:colOff>
      <xdr:row>221</xdr:row>
      <xdr:rowOff>169071</xdr:rowOff>
    </xdr:to>
    <xdr:pic>
      <xdr:nvPicPr>
        <xdr:cNvPr id="70" name="Picture 69"/>
        <xdr:cNvPicPr>
          <a:picLocks noChangeAspect="1"/>
        </xdr:cNvPicPr>
      </xdr:nvPicPr>
      <xdr:blipFill>
        <a:blip xmlns:r="http://schemas.openxmlformats.org/officeDocument/2006/relationships" r:embed="rId26"/>
        <a:stretch>
          <a:fillRect/>
        </a:stretch>
      </xdr:blipFill>
      <xdr:spPr>
        <a:xfrm>
          <a:off x="9168813" y="44186398"/>
          <a:ext cx="7532678" cy="3621279"/>
        </a:xfrm>
        <a:prstGeom prst="rect">
          <a:avLst/>
        </a:prstGeom>
      </xdr:spPr>
    </xdr:pic>
    <xdr:clientData/>
  </xdr:twoCellAnchor>
  <xdr:twoCellAnchor>
    <xdr:from>
      <xdr:col>2</xdr:col>
      <xdr:colOff>467139</xdr:colOff>
      <xdr:row>376</xdr:row>
      <xdr:rowOff>80661</xdr:rowOff>
    </xdr:from>
    <xdr:to>
      <xdr:col>3</xdr:col>
      <xdr:colOff>92767</xdr:colOff>
      <xdr:row>378</xdr:row>
      <xdr:rowOff>67917</xdr:rowOff>
    </xdr:to>
    <xdr:sp macro="" textlink="">
      <xdr:nvSpPr>
        <xdr:cNvPr id="94" name="TextBox 56">
          <a:extLst>
            <a:ext uri="{FF2B5EF4-FFF2-40B4-BE49-F238E27FC236}">
              <a16:creationId xmlns="" xmlns:a16="http://schemas.microsoft.com/office/drawing/2014/main" id="{D4C3A9E3-491C-4238-A63B-891DC8912B71}"/>
            </a:ext>
          </a:extLst>
        </xdr:cNvPr>
        <xdr:cNvSpPr txBox="1"/>
      </xdr:nvSpPr>
      <xdr:spPr>
        <a:xfrm>
          <a:off x="2073965" y="75402704"/>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3B</a:t>
          </a:r>
          <a:endParaRPr lang="en-IN" sz="1400" b="1">
            <a:solidFill>
              <a:srgbClr val="FF0000"/>
            </a:solidFill>
          </a:endParaRPr>
        </a:p>
      </xdr:txBody>
    </xdr:sp>
    <xdr:clientData/>
  </xdr:twoCellAnchor>
  <xdr:twoCellAnchor>
    <xdr:from>
      <xdr:col>0</xdr:col>
      <xdr:colOff>173934</xdr:colOff>
      <xdr:row>346</xdr:row>
      <xdr:rowOff>60782</xdr:rowOff>
    </xdr:from>
    <xdr:to>
      <xdr:col>7</xdr:col>
      <xdr:colOff>646043</xdr:colOff>
      <xdr:row>397</xdr:row>
      <xdr:rowOff>77960</xdr:rowOff>
    </xdr:to>
    <xdr:grpSp>
      <xdr:nvGrpSpPr>
        <xdr:cNvPr id="27" name="Group 26"/>
        <xdr:cNvGrpSpPr/>
      </xdr:nvGrpSpPr>
      <xdr:grpSpPr>
        <a:xfrm>
          <a:off x="173934" y="70413260"/>
          <a:ext cx="6385892" cy="8465439"/>
          <a:chOff x="173934" y="70413260"/>
          <a:chExt cx="6385892" cy="8465439"/>
        </a:xfrm>
      </xdr:grpSpPr>
      <xdr:grpSp>
        <xdr:nvGrpSpPr>
          <xdr:cNvPr id="26" name="Group 25"/>
          <xdr:cNvGrpSpPr/>
        </xdr:nvGrpSpPr>
        <xdr:grpSpPr>
          <a:xfrm>
            <a:off x="173934" y="70413260"/>
            <a:ext cx="6385892" cy="8465439"/>
            <a:chOff x="173934" y="70413260"/>
            <a:chExt cx="6385892" cy="8465439"/>
          </a:xfrm>
        </xdr:grpSpPr>
        <xdr:grpSp>
          <xdr:nvGrpSpPr>
            <xdr:cNvPr id="24" name="Group 23"/>
            <xdr:cNvGrpSpPr/>
          </xdr:nvGrpSpPr>
          <xdr:grpSpPr>
            <a:xfrm>
              <a:off x="173934" y="70413260"/>
              <a:ext cx="6385892" cy="8465439"/>
              <a:chOff x="149086" y="70413260"/>
              <a:chExt cx="6385892" cy="8465439"/>
            </a:xfrm>
          </xdr:grpSpPr>
          <xdr:pic>
            <xdr:nvPicPr>
              <xdr:cNvPr id="71" name="Picture 70" descr="https://vsjcllp.vsjadon.com/upload/insp-247897-1525.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3337892" y="77332644"/>
                <a:ext cx="1134717" cy="1546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7897-843.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653747" y="75398329"/>
                <a:ext cx="1356015" cy="1851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7897-845.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462169" y="70413260"/>
                <a:ext cx="1885831" cy="2574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7897-844.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2445025" y="70421034"/>
                <a:ext cx="1885831" cy="25746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7897-860.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4414629" y="70420013"/>
                <a:ext cx="1885831" cy="2574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7897-874.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149086" y="75396961"/>
                <a:ext cx="2408228" cy="1847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7897-877.jpg"/>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1905000" y="73071356"/>
                <a:ext cx="2891031" cy="2217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7897-880.jpg"/>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4886738" y="73078221"/>
                <a:ext cx="1627233" cy="22224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47897-931.jpg"/>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2131752" y="77326195"/>
                <a:ext cx="1134273" cy="15491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47897-1512.jpg"/>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4098234" y="75390719"/>
                <a:ext cx="2436744" cy="18694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88" name="TextBox 56">
              <a:extLst>
                <a:ext uri="{FF2B5EF4-FFF2-40B4-BE49-F238E27FC236}">
                  <a16:creationId xmlns="" xmlns:a16="http://schemas.microsoft.com/office/drawing/2014/main" id="{D4C3A9E3-491C-4238-A63B-891DC8912B71}"/>
                </a:ext>
              </a:extLst>
            </xdr:cNvPr>
            <xdr:cNvSpPr txBox="1"/>
          </xdr:nvSpPr>
          <xdr:spPr>
            <a:xfrm>
              <a:off x="1386507" y="70441421"/>
              <a:ext cx="965753"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Bldg No. 1</a:t>
              </a:r>
              <a:endParaRPr lang="en-IN" sz="1400" b="1">
                <a:solidFill>
                  <a:srgbClr val="FF0000"/>
                </a:solidFill>
              </a:endParaRPr>
            </a:p>
          </xdr:txBody>
        </xdr:sp>
        <xdr:sp macro="" textlink="">
          <xdr:nvSpPr>
            <xdr:cNvPr id="90" name="TextBox 56">
              <a:extLst>
                <a:ext uri="{FF2B5EF4-FFF2-40B4-BE49-F238E27FC236}">
                  <a16:creationId xmlns="" xmlns:a16="http://schemas.microsoft.com/office/drawing/2014/main" id="{D4C3A9E3-491C-4238-A63B-891DC8912B71}"/>
                </a:ext>
              </a:extLst>
            </xdr:cNvPr>
            <xdr:cNvSpPr txBox="1"/>
          </xdr:nvSpPr>
          <xdr:spPr>
            <a:xfrm>
              <a:off x="3786808" y="70439763"/>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2A</a:t>
              </a:r>
              <a:endParaRPr lang="en-IN" sz="1400" b="1">
                <a:solidFill>
                  <a:srgbClr val="FF0000"/>
                </a:solidFill>
              </a:endParaRPr>
            </a:p>
          </xdr:txBody>
        </xdr:sp>
        <xdr:sp macro="" textlink="">
          <xdr:nvSpPr>
            <xdr:cNvPr id="91" name="TextBox 56">
              <a:extLst>
                <a:ext uri="{FF2B5EF4-FFF2-40B4-BE49-F238E27FC236}">
                  <a16:creationId xmlns="" xmlns:a16="http://schemas.microsoft.com/office/drawing/2014/main" id="{D4C3A9E3-491C-4238-A63B-891DC8912B71}"/>
                </a:ext>
              </a:extLst>
            </xdr:cNvPr>
            <xdr:cNvSpPr txBox="1"/>
          </xdr:nvSpPr>
          <xdr:spPr>
            <a:xfrm>
              <a:off x="4436164" y="70443076"/>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2B</a:t>
              </a:r>
              <a:endParaRPr lang="en-IN" sz="1400" b="1">
                <a:solidFill>
                  <a:srgbClr val="FF0000"/>
                </a:solidFill>
              </a:endParaRPr>
            </a:p>
          </xdr:txBody>
        </xdr:sp>
        <xdr:sp macro="" textlink="">
          <xdr:nvSpPr>
            <xdr:cNvPr id="93" name="TextBox 56">
              <a:extLst>
                <a:ext uri="{FF2B5EF4-FFF2-40B4-BE49-F238E27FC236}">
                  <a16:creationId xmlns="" xmlns:a16="http://schemas.microsoft.com/office/drawing/2014/main" id="{D4C3A9E3-491C-4238-A63B-891DC8912B71}"/>
                </a:ext>
              </a:extLst>
            </xdr:cNvPr>
            <xdr:cNvSpPr txBox="1"/>
          </xdr:nvSpPr>
          <xdr:spPr>
            <a:xfrm>
              <a:off x="2488095" y="73133269"/>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3A</a:t>
              </a:r>
              <a:endParaRPr lang="en-IN" sz="1400" b="1">
                <a:solidFill>
                  <a:srgbClr val="FF0000"/>
                </a:solidFill>
              </a:endParaRPr>
            </a:p>
          </xdr:txBody>
        </xdr:sp>
        <xdr:sp macro="" textlink="">
          <xdr:nvSpPr>
            <xdr:cNvPr id="95" name="TextBox 56">
              <a:extLst>
                <a:ext uri="{FF2B5EF4-FFF2-40B4-BE49-F238E27FC236}">
                  <a16:creationId xmlns="" xmlns:a16="http://schemas.microsoft.com/office/drawing/2014/main" id="{D4C3A9E3-491C-4238-A63B-891DC8912B71}"/>
                </a:ext>
              </a:extLst>
            </xdr:cNvPr>
            <xdr:cNvSpPr txBox="1"/>
          </xdr:nvSpPr>
          <xdr:spPr>
            <a:xfrm>
              <a:off x="6028082" y="73095168"/>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3B</a:t>
              </a:r>
              <a:endParaRPr lang="en-IN" sz="1400" b="1">
                <a:solidFill>
                  <a:srgbClr val="FF0000"/>
                </a:solidFill>
              </a:endParaRPr>
            </a:p>
          </xdr:txBody>
        </xdr:sp>
        <xdr:pic>
          <xdr:nvPicPr>
            <xdr:cNvPr id="96" name="Picture 95" descr="https://vsjcllp.vsjadon.com/upload/insp-247897-916.jpg"/>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190501" y="73060891"/>
              <a:ext cx="1668008" cy="22263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13" name="TextBox 56">
            <a:extLst>
              <a:ext uri="{FF2B5EF4-FFF2-40B4-BE49-F238E27FC236}">
                <a16:creationId xmlns="" xmlns:a16="http://schemas.microsoft.com/office/drawing/2014/main" id="{D4C3A9E3-491C-4238-A63B-891DC8912B71}"/>
              </a:ext>
            </a:extLst>
          </xdr:cNvPr>
          <xdr:cNvSpPr txBox="1"/>
        </xdr:nvSpPr>
        <xdr:spPr>
          <a:xfrm>
            <a:off x="289892" y="73121673"/>
            <a:ext cx="487019" cy="318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3A</a:t>
            </a:r>
            <a:endParaRPr lang="en-IN" sz="1400" b="1">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395aXDdTbavVRtN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03"/>
  <sheetViews>
    <sheetView tabSelected="1" view="pageBreakPreview" zoomScale="115" zoomScaleNormal="115" zoomScaleSheetLayoutView="115" workbookViewId="0">
      <selection activeCell="J3" sqref="J3"/>
    </sheetView>
  </sheetViews>
  <sheetFormatPr defaultRowHeight="12.75" x14ac:dyDescent="0.2"/>
  <cols>
    <col min="1" max="2" width="12" style="6" customWidth="1"/>
    <col min="3" max="8" width="12.85546875" style="6" customWidth="1"/>
    <col min="9" max="9" width="13.85546875" style="6" customWidth="1"/>
    <col min="10" max="10" width="12" style="6" customWidth="1"/>
    <col min="11" max="16384" width="9.140625" style="6"/>
  </cols>
  <sheetData>
    <row r="1" spans="1:20" ht="41.25" customHeight="1" x14ac:dyDescent="0.2">
      <c r="A1" s="229" t="s">
        <v>142</v>
      </c>
      <c r="B1" s="229"/>
      <c r="C1" s="230"/>
      <c r="D1" s="230"/>
      <c r="E1" s="230"/>
      <c r="F1" s="230"/>
      <c r="G1" s="230"/>
      <c r="H1" s="230"/>
    </row>
    <row r="2" spans="1:20" ht="14.25" x14ac:dyDescent="0.2">
      <c r="A2" s="236" t="s">
        <v>85</v>
      </c>
      <c r="B2" s="236"/>
      <c r="C2" s="236"/>
      <c r="D2" s="236"/>
      <c r="E2" s="236"/>
      <c r="F2" s="236"/>
      <c r="G2" s="236"/>
      <c r="H2" s="236"/>
    </row>
    <row r="3" spans="1:20" ht="25.5" x14ac:dyDescent="0.2">
      <c r="A3" s="12" t="s">
        <v>102</v>
      </c>
      <c r="B3" s="12"/>
      <c r="C3" s="183" t="s">
        <v>108</v>
      </c>
      <c r="D3" s="184"/>
      <c r="E3" s="185"/>
      <c r="F3" s="11" t="s">
        <v>103</v>
      </c>
      <c r="G3" s="187">
        <v>45915</v>
      </c>
      <c r="H3" s="187"/>
    </row>
    <row r="4" spans="1:20" ht="25.5" x14ac:dyDescent="0.2">
      <c r="A4" s="12" t="s">
        <v>106</v>
      </c>
      <c r="B4" s="12"/>
      <c r="C4" s="181" t="s">
        <v>225</v>
      </c>
      <c r="D4" s="186"/>
      <c r="E4" s="182"/>
      <c r="F4" s="11" t="s">
        <v>104</v>
      </c>
      <c r="G4" s="188" t="s">
        <v>308</v>
      </c>
      <c r="H4" s="188"/>
    </row>
    <row r="5" spans="1:20" ht="30.75" customHeight="1" x14ac:dyDescent="0.2">
      <c r="A5" s="241" t="s">
        <v>107</v>
      </c>
      <c r="B5" s="242"/>
      <c r="C5" s="183" t="s">
        <v>309</v>
      </c>
      <c r="D5" s="184"/>
      <c r="E5" s="185"/>
      <c r="F5" s="11" t="s">
        <v>105</v>
      </c>
      <c r="G5" s="187" t="str">
        <f ca="1">TEXT(TODAY(),"DD/MM/YYYY")</f>
        <v>19/09/2025</v>
      </c>
      <c r="H5" s="187"/>
    </row>
    <row r="6" spans="1:20" ht="14.25" x14ac:dyDescent="0.2">
      <c r="A6" s="236" t="s">
        <v>101</v>
      </c>
      <c r="B6" s="236"/>
      <c r="C6" s="236"/>
      <c r="D6" s="236"/>
      <c r="E6" s="236"/>
      <c r="F6" s="236"/>
      <c r="G6" s="236"/>
      <c r="H6" s="236"/>
    </row>
    <row r="7" spans="1:20" ht="14.25" x14ac:dyDescent="0.2">
      <c r="A7" s="193" t="s">
        <v>0</v>
      </c>
      <c r="B7" s="194"/>
      <c r="C7" s="238" t="s">
        <v>226</v>
      </c>
      <c r="D7" s="238"/>
      <c r="E7" s="238"/>
      <c r="F7" s="238"/>
      <c r="G7" s="238"/>
      <c r="H7" s="238"/>
    </row>
    <row r="8" spans="1:20" ht="39.75" customHeight="1" x14ac:dyDescent="0.2">
      <c r="A8" s="193" t="s">
        <v>1</v>
      </c>
      <c r="B8" s="194"/>
      <c r="C8" s="231" t="str">
        <f>CONCATENATE((IF(OR(C7="",C7="NA"),"",C7)),", ",(IF(OR(A9="",A9="NA"),"",A9)),".",(IF(OR(C9="",C9="NA"),"",C9)),", near ",(IF(OR(C17="",C17="NA"),"",C17)),", ",(IF(OR(C11="",C11="NA"),"",C11)),", ",(IF(OR(C10="",C10="NA"),"",C10)),", ",(IF(OR(C12="",C12="NA"),"",C12)),", ",(IF(OR(C13="",C13="NA"),"",C13)),", ",(IF(OR(C14="",C14="NA"),"",C14))," - ",(IF(OR(C15="",C15="NA"),"",C15)),".")</f>
        <v>Anandam - II, Survey No.112/1, 113/2, 114/1A, 114/9A, 114/10/11/B &amp; 115/6, near Today Global Codename Cloud City, Mumbra Panvel Highway, Rohinjan, Taloja Panchanand West, Panvel, Raigad - 410210.</v>
      </c>
      <c r="D8" s="231"/>
      <c r="E8" s="231"/>
      <c r="F8" s="231"/>
      <c r="G8" s="231"/>
      <c r="H8" s="231"/>
      <c r="P8" s="57" t="s">
        <v>146</v>
      </c>
      <c r="Q8" s="57" t="s">
        <v>147</v>
      </c>
      <c r="R8" s="57" t="s">
        <v>148</v>
      </c>
      <c r="S8" s="57" t="s">
        <v>149</v>
      </c>
      <c r="T8" s="57" t="s">
        <v>150</v>
      </c>
    </row>
    <row r="9" spans="1:20" ht="15" x14ac:dyDescent="0.2">
      <c r="A9" s="193" t="s">
        <v>252</v>
      </c>
      <c r="B9" s="194"/>
      <c r="C9" s="231" t="s">
        <v>227</v>
      </c>
      <c r="D9" s="231"/>
      <c r="E9" s="231"/>
      <c r="F9" s="231"/>
      <c r="G9" s="231"/>
      <c r="H9" s="231"/>
      <c r="P9" s="57" t="s">
        <v>151</v>
      </c>
      <c r="Q9" s="57" t="s">
        <v>152</v>
      </c>
      <c r="R9" s="57" t="s">
        <v>153</v>
      </c>
      <c r="S9" s="57" t="s">
        <v>154</v>
      </c>
      <c r="T9" s="57" t="s">
        <v>155</v>
      </c>
    </row>
    <row r="10" spans="1:20" ht="15" x14ac:dyDescent="0.2">
      <c r="A10" s="193" t="s">
        <v>6</v>
      </c>
      <c r="B10" s="194"/>
      <c r="C10" s="232" t="s">
        <v>228</v>
      </c>
      <c r="D10" s="232"/>
      <c r="E10" s="232"/>
      <c r="F10" s="232"/>
      <c r="G10" s="232"/>
      <c r="H10" s="232"/>
      <c r="P10" s="57" t="s">
        <v>156</v>
      </c>
      <c r="Q10" s="57" t="s">
        <v>157</v>
      </c>
      <c r="R10" s="57" t="s">
        <v>158</v>
      </c>
      <c r="S10" s="57" t="s">
        <v>159</v>
      </c>
      <c r="T10" s="57" t="s">
        <v>160</v>
      </c>
    </row>
    <row r="11" spans="1:20" ht="15" x14ac:dyDescent="0.2">
      <c r="A11" s="193" t="s">
        <v>144</v>
      </c>
      <c r="B11" s="194"/>
      <c r="C11" s="232" t="s">
        <v>229</v>
      </c>
      <c r="D11" s="232"/>
      <c r="E11" s="232"/>
      <c r="F11" s="232"/>
      <c r="G11" s="232"/>
      <c r="H11" s="232"/>
      <c r="P11" s="57" t="s">
        <v>161</v>
      </c>
      <c r="Q11" s="57" t="s">
        <v>162</v>
      </c>
      <c r="R11" s="57" t="s">
        <v>163</v>
      </c>
      <c r="S11" s="57" t="s">
        <v>164</v>
      </c>
      <c r="T11" s="57" t="s">
        <v>165</v>
      </c>
    </row>
    <row r="12" spans="1:20" ht="15" x14ac:dyDescent="0.2">
      <c r="A12" s="193" t="s">
        <v>145</v>
      </c>
      <c r="B12" s="194"/>
      <c r="C12" s="232" t="s">
        <v>230</v>
      </c>
      <c r="D12" s="232"/>
      <c r="E12" s="232"/>
      <c r="F12" s="232"/>
      <c r="G12" s="232"/>
      <c r="H12" s="232"/>
      <c r="P12" s="57" t="s">
        <v>166</v>
      </c>
      <c r="Q12" s="57" t="s">
        <v>167</v>
      </c>
      <c r="R12" s="57" t="s">
        <v>148</v>
      </c>
      <c r="S12" s="57" t="s">
        <v>168</v>
      </c>
      <c r="T12" s="57" t="s">
        <v>169</v>
      </c>
    </row>
    <row r="13" spans="1:20" ht="15" x14ac:dyDescent="0.2">
      <c r="A13" s="193" t="s">
        <v>132</v>
      </c>
      <c r="B13" s="194"/>
      <c r="C13" s="232" t="s">
        <v>159</v>
      </c>
      <c r="D13" s="232"/>
      <c r="E13" s="232"/>
      <c r="F13" s="232"/>
      <c r="G13" s="232"/>
      <c r="H13" s="232"/>
      <c r="P13" s="57" t="s">
        <v>170</v>
      </c>
      <c r="Q13" s="57" t="s">
        <v>147</v>
      </c>
      <c r="R13" s="57"/>
      <c r="S13" s="57" t="s">
        <v>171</v>
      </c>
      <c r="T13" s="57" t="s">
        <v>172</v>
      </c>
    </row>
    <row r="14" spans="1:20" ht="15" x14ac:dyDescent="0.2">
      <c r="A14" s="193" t="s">
        <v>133</v>
      </c>
      <c r="B14" s="194"/>
      <c r="C14" s="232" t="s">
        <v>149</v>
      </c>
      <c r="D14" s="232"/>
      <c r="E14" s="232"/>
      <c r="F14" s="232"/>
      <c r="G14" s="232"/>
      <c r="H14" s="232"/>
      <c r="P14" s="57" t="s">
        <v>173</v>
      </c>
      <c r="Q14" s="57" t="s">
        <v>174</v>
      </c>
      <c r="R14" s="57"/>
      <c r="S14" s="57" t="s">
        <v>175</v>
      </c>
      <c r="T14" s="57" t="s">
        <v>176</v>
      </c>
    </row>
    <row r="15" spans="1:20" ht="15" x14ac:dyDescent="0.2">
      <c r="A15" s="193" t="s">
        <v>134</v>
      </c>
      <c r="B15" s="194"/>
      <c r="C15" s="233">
        <v>410210</v>
      </c>
      <c r="D15" s="233"/>
      <c r="E15" s="233"/>
      <c r="F15" s="233"/>
      <c r="G15" s="233"/>
      <c r="H15" s="233"/>
      <c r="P15" s="57" t="s">
        <v>177</v>
      </c>
      <c r="Q15" s="57" t="s">
        <v>178</v>
      </c>
      <c r="R15" s="57"/>
      <c r="S15" s="57" t="s">
        <v>179</v>
      </c>
      <c r="T15" s="57" t="s">
        <v>180</v>
      </c>
    </row>
    <row r="16" spans="1:20" ht="15" x14ac:dyDescent="0.2">
      <c r="A16" s="193" t="s">
        <v>48</v>
      </c>
      <c r="B16" s="194"/>
      <c r="C16" s="231" t="s">
        <v>231</v>
      </c>
      <c r="D16" s="231"/>
      <c r="E16" s="231"/>
      <c r="F16" s="231"/>
      <c r="G16" s="231"/>
      <c r="H16" s="231"/>
      <c r="P16" s="57"/>
      <c r="Q16" s="57"/>
      <c r="R16" s="57"/>
      <c r="S16" s="57" t="s">
        <v>181</v>
      </c>
      <c r="T16" s="57" t="s">
        <v>182</v>
      </c>
    </row>
    <row r="17" spans="1:20" ht="15" x14ac:dyDescent="0.2">
      <c r="A17" s="193" t="s">
        <v>90</v>
      </c>
      <c r="B17" s="194"/>
      <c r="C17" s="235" t="s">
        <v>232</v>
      </c>
      <c r="D17" s="235"/>
      <c r="E17" s="235"/>
      <c r="F17" s="235"/>
      <c r="G17" s="235"/>
      <c r="H17" s="235"/>
      <c r="P17" s="57"/>
      <c r="Q17" s="57"/>
      <c r="R17" s="57"/>
      <c r="S17" s="57" t="s">
        <v>183</v>
      </c>
      <c r="T17" s="57" t="s">
        <v>184</v>
      </c>
    </row>
    <row r="18" spans="1:20" ht="15" x14ac:dyDescent="0.2">
      <c r="A18" s="193" t="s">
        <v>89</v>
      </c>
      <c r="B18" s="194"/>
      <c r="C18" s="221" t="s">
        <v>143</v>
      </c>
      <c r="D18" s="222"/>
      <c r="E18" s="223"/>
      <c r="F18" s="221" t="s">
        <v>233</v>
      </c>
      <c r="G18" s="222"/>
      <c r="H18" s="223"/>
      <c r="P18" s="57"/>
      <c r="Q18" s="57"/>
      <c r="R18" s="57"/>
      <c r="S18" s="57" t="s">
        <v>185</v>
      </c>
      <c r="T18" s="57" t="s">
        <v>186</v>
      </c>
    </row>
    <row r="19" spans="1:20" ht="15" x14ac:dyDescent="0.2">
      <c r="A19" s="193" t="s">
        <v>135</v>
      </c>
      <c r="B19" s="194"/>
      <c r="C19" s="239" t="s">
        <v>234</v>
      </c>
      <c r="D19" s="204"/>
      <c r="E19" s="204"/>
      <c r="F19" s="204"/>
      <c r="G19" s="204"/>
      <c r="H19" s="240"/>
      <c r="P19" s="57"/>
      <c r="Q19" s="57"/>
      <c r="R19" s="57"/>
      <c r="S19" s="57" t="s">
        <v>187</v>
      </c>
      <c r="T19" s="57" t="s">
        <v>188</v>
      </c>
    </row>
    <row r="20" spans="1:20" ht="15" x14ac:dyDescent="0.2">
      <c r="A20" s="193" t="s">
        <v>2</v>
      </c>
      <c r="B20" s="194"/>
      <c r="C20" s="231" t="s">
        <v>235</v>
      </c>
      <c r="D20" s="231"/>
      <c r="E20" s="231"/>
      <c r="F20" s="231"/>
      <c r="G20" s="231"/>
      <c r="H20" s="231"/>
      <c r="P20" s="57"/>
      <c r="Q20" s="57"/>
      <c r="R20" s="57"/>
      <c r="S20" s="57" t="s">
        <v>189</v>
      </c>
      <c r="T20" s="57" t="s">
        <v>190</v>
      </c>
    </row>
    <row r="21" spans="1:20" ht="27" customHeight="1" x14ac:dyDescent="0.2">
      <c r="A21" s="193" t="s">
        <v>3</v>
      </c>
      <c r="B21" s="194"/>
      <c r="C21" s="237" t="s">
        <v>236</v>
      </c>
      <c r="D21" s="237"/>
      <c r="E21" s="237"/>
      <c r="F21" s="237"/>
      <c r="G21" s="237"/>
      <c r="H21" s="237"/>
      <c r="P21" s="57"/>
      <c r="Q21" s="57"/>
      <c r="R21" s="57"/>
      <c r="S21" s="57" t="s">
        <v>191</v>
      </c>
      <c r="T21" s="57" t="s">
        <v>192</v>
      </c>
    </row>
    <row r="22" spans="1:20" ht="15" customHeight="1" x14ac:dyDescent="0.2">
      <c r="A22" s="193" t="s">
        <v>109</v>
      </c>
      <c r="B22" s="194"/>
      <c r="C22" s="233" t="s">
        <v>52</v>
      </c>
      <c r="D22" s="233"/>
      <c r="E22" s="233"/>
      <c r="F22" s="233"/>
      <c r="G22" s="233"/>
      <c r="H22" s="233"/>
      <c r="P22" s="57"/>
      <c r="Q22" s="57"/>
      <c r="R22" s="57"/>
      <c r="S22" s="57" t="s">
        <v>193</v>
      </c>
      <c r="T22" s="57" t="s">
        <v>194</v>
      </c>
    </row>
    <row r="23" spans="1:20" ht="38.25" customHeight="1" x14ac:dyDescent="0.2">
      <c r="A23" s="193" t="s">
        <v>4</v>
      </c>
      <c r="B23" s="194"/>
      <c r="C23" s="231" t="s">
        <v>237</v>
      </c>
      <c r="D23" s="232"/>
      <c r="E23" s="232"/>
      <c r="F23" s="232"/>
      <c r="G23" s="232"/>
      <c r="H23" s="232"/>
    </row>
    <row r="24" spans="1:20" x14ac:dyDescent="0.2">
      <c r="A24" s="193" t="s">
        <v>5</v>
      </c>
      <c r="B24" s="194"/>
      <c r="C24" s="232" t="s">
        <v>238</v>
      </c>
      <c r="D24" s="232"/>
      <c r="E24" s="232"/>
      <c r="F24" s="232"/>
      <c r="G24" s="232"/>
      <c r="H24" s="232"/>
    </row>
    <row r="25" spans="1:20" ht="27.75" customHeight="1" x14ac:dyDescent="0.2">
      <c r="A25" s="193" t="s">
        <v>87</v>
      </c>
      <c r="B25" s="194"/>
      <c r="C25" s="232" t="s">
        <v>239</v>
      </c>
      <c r="D25" s="232"/>
      <c r="E25" s="232"/>
      <c r="F25" s="232"/>
      <c r="G25" s="232"/>
      <c r="H25" s="232"/>
    </row>
    <row r="26" spans="1:20" ht="45.75" customHeight="1" x14ac:dyDescent="0.2">
      <c r="A26" s="195" t="s">
        <v>88</v>
      </c>
      <c r="B26" s="196"/>
      <c r="C26" s="234" t="s">
        <v>240</v>
      </c>
      <c r="D26" s="234"/>
      <c r="E26" s="234"/>
      <c r="F26" s="234"/>
      <c r="G26" s="234"/>
      <c r="H26" s="234"/>
    </row>
    <row r="27" spans="1:20" ht="44.25" customHeight="1" x14ac:dyDescent="0.2">
      <c r="A27" s="193" t="s">
        <v>92</v>
      </c>
      <c r="B27" s="194"/>
      <c r="C27" s="247" t="s">
        <v>241</v>
      </c>
      <c r="D27" s="247"/>
      <c r="E27" s="247"/>
      <c r="F27" s="13" t="s">
        <v>7</v>
      </c>
      <c r="G27" s="234" t="s">
        <v>91</v>
      </c>
      <c r="H27" s="234"/>
      <c r="L27" s="6">
        <f>462+345</f>
        <v>807</v>
      </c>
    </row>
    <row r="28" spans="1:20" ht="25.5" x14ac:dyDescent="0.2">
      <c r="A28" s="193" t="s">
        <v>8</v>
      </c>
      <c r="B28" s="194"/>
      <c r="C28" s="234" t="s">
        <v>242</v>
      </c>
      <c r="D28" s="234"/>
      <c r="E28" s="234"/>
      <c r="F28" s="88" t="s">
        <v>124</v>
      </c>
      <c r="G28" s="244">
        <f>807*0.15</f>
        <v>121.05</v>
      </c>
      <c r="H28" s="244"/>
      <c r="I28" s="6">
        <f>807*0.15</f>
        <v>121.05</v>
      </c>
    </row>
    <row r="29" spans="1:20" ht="39.75" customHeight="1" x14ac:dyDescent="0.2">
      <c r="A29" s="193" t="s">
        <v>203</v>
      </c>
      <c r="B29" s="194"/>
      <c r="C29" s="203" t="s">
        <v>243</v>
      </c>
      <c r="D29" s="204"/>
      <c r="E29" s="205"/>
      <c r="F29" s="205"/>
      <c r="G29" s="205"/>
      <c r="H29" s="206"/>
    </row>
    <row r="30" spans="1:20" ht="40.5" customHeight="1" x14ac:dyDescent="0.2">
      <c r="A30" s="193" t="s">
        <v>204</v>
      </c>
      <c r="B30" s="194"/>
      <c r="C30" s="203" t="s">
        <v>244</v>
      </c>
      <c r="D30" s="204"/>
      <c r="E30" s="205"/>
      <c r="F30" s="205"/>
      <c r="G30" s="205"/>
      <c r="H30" s="206"/>
    </row>
    <row r="31" spans="1:20" ht="12.75" customHeight="1" x14ac:dyDescent="0.2">
      <c r="A31" s="197" t="s">
        <v>9</v>
      </c>
      <c r="B31" s="198"/>
      <c r="C31" s="189" t="s">
        <v>93</v>
      </c>
      <c r="D31" s="190"/>
      <c r="E31" s="14" t="s">
        <v>12</v>
      </c>
      <c r="F31" s="14" t="s">
        <v>13</v>
      </c>
      <c r="G31" s="14" t="s">
        <v>14</v>
      </c>
      <c r="H31" s="14" t="s">
        <v>15</v>
      </c>
    </row>
    <row r="32" spans="1:20" ht="12.75" customHeight="1" x14ac:dyDescent="0.2">
      <c r="A32" s="199"/>
      <c r="B32" s="200"/>
      <c r="C32" s="191" t="s">
        <v>10</v>
      </c>
      <c r="D32" s="192"/>
      <c r="E32" s="15" t="s">
        <v>218</v>
      </c>
      <c r="F32" s="20" t="s">
        <v>218</v>
      </c>
      <c r="G32" s="20" t="s">
        <v>218</v>
      </c>
      <c r="H32" s="20" t="s">
        <v>218</v>
      </c>
    </row>
    <row r="33" spans="1:11" ht="12.75" customHeight="1" x14ac:dyDescent="0.2">
      <c r="A33" s="199"/>
      <c r="B33" s="200"/>
      <c r="C33" s="191" t="s">
        <v>86</v>
      </c>
      <c r="D33" s="192"/>
      <c r="E33" s="16" t="s">
        <v>245</v>
      </c>
      <c r="F33" s="19" t="s">
        <v>245</v>
      </c>
      <c r="G33" s="19" t="s">
        <v>245</v>
      </c>
      <c r="H33" s="19" t="s">
        <v>245</v>
      </c>
    </row>
    <row r="34" spans="1:11" ht="39.75" customHeight="1" x14ac:dyDescent="0.2">
      <c r="A34" s="201"/>
      <c r="B34" s="202"/>
      <c r="C34" s="154" t="s">
        <v>11</v>
      </c>
      <c r="D34" s="156"/>
      <c r="E34" s="78" t="s">
        <v>247</v>
      </c>
      <c r="F34" s="78" t="s">
        <v>246</v>
      </c>
      <c r="G34" s="78" t="s">
        <v>232</v>
      </c>
      <c r="H34" s="78" t="s">
        <v>246</v>
      </c>
    </row>
    <row r="35" spans="1:11" ht="29.25" customHeight="1" x14ac:dyDescent="0.2">
      <c r="A35" s="193" t="s">
        <v>16</v>
      </c>
      <c r="B35" s="194"/>
      <c r="C35" s="166" t="s">
        <v>251</v>
      </c>
      <c r="D35" s="166"/>
      <c r="E35" s="166"/>
      <c r="F35" s="166"/>
      <c r="G35" s="166"/>
      <c r="H35" s="166"/>
    </row>
    <row r="36" spans="1:11" ht="38.25" customHeight="1" x14ac:dyDescent="0.2">
      <c r="A36" s="193" t="s">
        <v>129</v>
      </c>
      <c r="B36" s="194"/>
      <c r="C36" s="250">
        <v>16010</v>
      </c>
      <c r="D36" s="251"/>
      <c r="E36" s="243" t="s">
        <v>130</v>
      </c>
      <c r="F36" s="243"/>
      <c r="G36" s="245">
        <v>15228.221</v>
      </c>
      <c r="H36" s="245"/>
    </row>
    <row r="37" spans="1:11" x14ac:dyDescent="0.2">
      <c r="A37" s="193" t="s">
        <v>17</v>
      </c>
      <c r="B37" s="194"/>
      <c r="C37" s="252" t="s">
        <v>294</v>
      </c>
      <c r="D37" s="252"/>
      <c r="E37" s="252"/>
      <c r="F37" s="252"/>
      <c r="G37" s="252"/>
      <c r="H37" s="252"/>
    </row>
    <row r="38" spans="1:11" ht="135.75" customHeight="1" x14ac:dyDescent="0.2">
      <c r="A38" s="193" t="s">
        <v>123</v>
      </c>
      <c r="B38" s="194"/>
      <c r="C38" s="248" t="s">
        <v>293</v>
      </c>
      <c r="D38" s="248"/>
      <c r="E38" s="249"/>
      <c r="F38" s="249"/>
      <c r="G38" s="249"/>
      <c r="H38" s="249"/>
      <c r="I38" s="64"/>
    </row>
    <row r="39" spans="1:11" x14ac:dyDescent="0.2">
      <c r="A39" s="246" t="s">
        <v>94</v>
      </c>
      <c r="B39" s="246"/>
      <c r="C39" s="246"/>
      <c r="D39" s="246"/>
      <c r="E39" s="246"/>
      <c r="F39" s="246"/>
      <c r="G39" s="246"/>
      <c r="H39" s="246"/>
    </row>
    <row r="40" spans="1:11" ht="12.75" customHeight="1" x14ac:dyDescent="0.2">
      <c r="A40" s="207" t="s">
        <v>19</v>
      </c>
      <c r="B40" s="208"/>
      <c r="C40" s="167" t="s">
        <v>95</v>
      </c>
      <c r="D40" s="167"/>
      <c r="E40" s="167"/>
      <c r="F40" s="167"/>
      <c r="G40" s="219">
        <v>15228.221</v>
      </c>
      <c r="H40" s="219"/>
    </row>
    <row r="41" spans="1:11" x14ac:dyDescent="0.2">
      <c r="A41" s="209"/>
      <c r="B41" s="210"/>
      <c r="C41" s="131" t="s">
        <v>96</v>
      </c>
      <c r="D41" s="131"/>
      <c r="E41" s="131"/>
      <c r="F41" s="131"/>
      <c r="G41" s="219">
        <f>16751.041/G40</f>
        <v>1.0999998620981402</v>
      </c>
      <c r="H41" s="219"/>
    </row>
    <row r="42" spans="1:11" x14ac:dyDescent="0.2">
      <c r="A42" s="209"/>
      <c r="B42" s="210"/>
      <c r="C42" s="131" t="s">
        <v>97</v>
      </c>
      <c r="D42" s="131"/>
      <c r="E42" s="131"/>
      <c r="F42" s="131"/>
      <c r="G42" s="219">
        <f>G45/G40-G41</f>
        <v>2.5641102135305234</v>
      </c>
      <c r="H42" s="219"/>
    </row>
    <row r="43" spans="1:11" x14ac:dyDescent="0.2">
      <c r="A43" s="209"/>
      <c r="B43" s="210"/>
      <c r="C43" s="131" t="s">
        <v>98</v>
      </c>
      <c r="D43" s="131"/>
      <c r="E43" s="131"/>
      <c r="F43" s="131"/>
      <c r="G43" s="219">
        <f>G41+G42</f>
        <v>3.6641100756286633</v>
      </c>
      <c r="H43" s="219"/>
    </row>
    <row r="44" spans="1:11" x14ac:dyDescent="0.2">
      <c r="A44" s="209"/>
      <c r="B44" s="210"/>
      <c r="C44" s="131" t="s">
        <v>127</v>
      </c>
      <c r="D44" s="131"/>
      <c r="E44" s="131"/>
      <c r="F44" s="131"/>
      <c r="G44" s="220">
        <v>55832.963000000003</v>
      </c>
      <c r="H44" s="220"/>
    </row>
    <row r="45" spans="1:11" x14ac:dyDescent="0.2">
      <c r="A45" s="211"/>
      <c r="B45" s="212"/>
      <c r="C45" s="131" t="s">
        <v>99</v>
      </c>
      <c r="D45" s="131"/>
      <c r="E45" s="131"/>
      <c r="F45" s="131"/>
      <c r="G45" s="220">
        <v>55797.877999999997</v>
      </c>
      <c r="H45" s="220"/>
    </row>
    <row r="46" spans="1:11" ht="32.25" customHeight="1" x14ac:dyDescent="0.2">
      <c r="A46" s="193" t="s">
        <v>100</v>
      </c>
      <c r="B46" s="194"/>
      <c r="C46" s="163" t="s">
        <v>248</v>
      </c>
      <c r="D46" s="164"/>
      <c r="E46" s="164"/>
      <c r="F46" s="165"/>
      <c r="G46" s="62" t="s">
        <v>216</v>
      </c>
      <c r="H46" s="63">
        <v>45587</v>
      </c>
    </row>
    <row r="47" spans="1:11" ht="42" customHeight="1" x14ac:dyDescent="0.2">
      <c r="A47" s="193" t="s">
        <v>20</v>
      </c>
      <c r="B47" s="194"/>
      <c r="C47" s="166" t="s">
        <v>295</v>
      </c>
      <c r="D47" s="166"/>
      <c r="E47" s="167"/>
      <c r="F47" s="167"/>
      <c r="G47" s="167"/>
      <c r="H47" s="167"/>
      <c r="I47" s="18"/>
      <c r="J47" s="18"/>
      <c r="K47" s="18"/>
    </row>
    <row r="48" spans="1:11" ht="84" customHeight="1" x14ac:dyDescent="0.2">
      <c r="A48" s="195" t="s">
        <v>249</v>
      </c>
      <c r="B48" s="196"/>
      <c r="C48" s="163" t="s">
        <v>284</v>
      </c>
      <c r="D48" s="164"/>
      <c r="E48" s="164"/>
      <c r="F48" s="165"/>
      <c r="G48" s="62" t="s">
        <v>216</v>
      </c>
      <c r="H48" s="63">
        <v>45587</v>
      </c>
      <c r="I48" s="18"/>
      <c r="J48" s="18"/>
      <c r="K48" s="18"/>
    </row>
    <row r="49" spans="1:12" x14ac:dyDescent="0.2">
      <c r="A49" s="213" t="s">
        <v>21</v>
      </c>
      <c r="B49" s="214"/>
      <c r="C49" s="168" t="s">
        <v>110</v>
      </c>
      <c r="D49" s="169"/>
      <c r="E49" s="131" t="s">
        <v>218</v>
      </c>
      <c r="F49" s="131"/>
      <c r="G49" s="131"/>
      <c r="H49" s="131"/>
      <c r="I49" s="18"/>
      <c r="J49" s="18"/>
      <c r="K49" s="18"/>
    </row>
    <row r="50" spans="1:12" x14ac:dyDescent="0.2">
      <c r="A50" s="215"/>
      <c r="B50" s="216"/>
      <c r="C50" s="168" t="s">
        <v>111</v>
      </c>
      <c r="D50" s="169"/>
      <c r="E50" s="181" t="s">
        <v>218</v>
      </c>
      <c r="F50" s="182"/>
      <c r="G50" s="62" t="s">
        <v>216</v>
      </c>
      <c r="H50" s="65" t="s">
        <v>218</v>
      </c>
      <c r="J50" s="6" t="s">
        <v>223</v>
      </c>
    </row>
    <row r="51" spans="1:12" x14ac:dyDescent="0.2">
      <c r="A51" s="217"/>
      <c r="B51" s="218"/>
      <c r="C51" s="168" t="s">
        <v>224</v>
      </c>
      <c r="D51" s="94"/>
      <c r="E51" s="130" t="s">
        <v>218</v>
      </c>
      <c r="F51" s="131"/>
      <c r="G51" s="131"/>
      <c r="H51" s="131"/>
      <c r="I51" s="130" t="s">
        <v>222</v>
      </c>
      <c r="J51" s="131"/>
      <c r="K51" s="131"/>
      <c r="L51" s="131"/>
    </row>
    <row r="52" spans="1:12" x14ac:dyDescent="0.2">
      <c r="A52" s="132" t="s">
        <v>217</v>
      </c>
      <c r="B52" s="134"/>
      <c r="C52" s="168"/>
      <c r="D52" s="253"/>
      <c r="E52" s="253"/>
      <c r="F52" s="253"/>
      <c r="G52" s="253"/>
      <c r="H52" s="169"/>
    </row>
    <row r="53" spans="1:12" x14ac:dyDescent="0.2">
      <c r="A53" s="174" t="s">
        <v>305</v>
      </c>
      <c r="B53" s="175"/>
      <c r="C53" s="178" t="s">
        <v>304</v>
      </c>
      <c r="D53" s="179"/>
      <c r="E53" s="179"/>
      <c r="F53" s="180"/>
      <c r="G53" s="62" t="s">
        <v>216</v>
      </c>
      <c r="H53" s="63">
        <v>44876</v>
      </c>
    </row>
    <row r="54" spans="1:12" ht="66.75" customHeight="1" x14ac:dyDescent="0.2">
      <c r="A54" s="176"/>
      <c r="B54" s="177"/>
      <c r="C54" s="178" t="s">
        <v>306</v>
      </c>
      <c r="D54" s="179"/>
      <c r="E54" s="179"/>
      <c r="F54" s="179"/>
      <c r="G54" s="179"/>
      <c r="H54" s="180"/>
    </row>
    <row r="55" spans="1:12" x14ac:dyDescent="0.2">
      <c r="A55" s="174" t="s">
        <v>219</v>
      </c>
      <c r="B55" s="175"/>
      <c r="C55" s="163" t="s">
        <v>250</v>
      </c>
      <c r="D55" s="164"/>
      <c r="E55" s="164"/>
      <c r="F55" s="165"/>
      <c r="G55" s="62" t="s">
        <v>216</v>
      </c>
      <c r="H55" s="63">
        <v>45027</v>
      </c>
    </row>
    <row r="56" spans="1:12" ht="97.5" customHeight="1" x14ac:dyDescent="0.2">
      <c r="A56" s="176"/>
      <c r="B56" s="177"/>
      <c r="C56" s="163" t="s">
        <v>253</v>
      </c>
      <c r="D56" s="164"/>
      <c r="E56" s="164"/>
      <c r="F56" s="164"/>
      <c r="G56" s="164"/>
      <c r="H56" s="165"/>
    </row>
    <row r="57" spans="1:12" x14ac:dyDescent="0.2">
      <c r="A57" s="254" t="s">
        <v>220</v>
      </c>
      <c r="B57" s="255"/>
      <c r="C57" s="260" t="s">
        <v>285</v>
      </c>
      <c r="D57" s="261"/>
      <c r="E57" s="261"/>
      <c r="F57" s="262"/>
      <c r="G57" s="62" t="s">
        <v>216</v>
      </c>
      <c r="H57" s="63">
        <v>44928</v>
      </c>
    </row>
    <row r="58" spans="1:12" ht="25.5" customHeight="1" x14ac:dyDescent="0.2">
      <c r="A58" s="256"/>
      <c r="B58" s="257"/>
      <c r="C58" s="263"/>
      <c r="D58" s="264"/>
      <c r="E58" s="264"/>
      <c r="F58" s="265"/>
      <c r="G58" s="62" t="s">
        <v>221</v>
      </c>
      <c r="H58" s="63">
        <v>47849</v>
      </c>
    </row>
    <row r="59" spans="1:12" ht="25.5" customHeight="1" x14ac:dyDescent="0.2">
      <c r="A59" s="258"/>
      <c r="B59" s="259"/>
      <c r="C59" s="163" t="s">
        <v>286</v>
      </c>
      <c r="D59" s="164"/>
      <c r="E59" s="164"/>
      <c r="F59" s="164"/>
      <c r="G59" s="164"/>
      <c r="H59" s="165"/>
      <c r="I59" s="89">
        <f>157.05-24.05</f>
        <v>133</v>
      </c>
    </row>
    <row r="60" spans="1:12" x14ac:dyDescent="0.2">
      <c r="A60" s="105" t="s">
        <v>22</v>
      </c>
      <c r="B60" s="105"/>
      <c r="C60" s="105"/>
      <c r="D60" s="105"/>
      <c r="E60" s="105"/>
      <c r="F60" s="105"/>
      <c r="G60" s="105"/>
      <c r="H60" s="105"/>
    </row>
    <row r="61" spans="1:12" ht="12.75" customHeight="1" x14ac:dyDescent="0.2">
      <c r="A61" s="132" t="s">
        <v>23</v>
      </c>
      <c r="B61" s="134"/>
      <c r="C61" s="171">
        <v>44902</v>
      </c>
      <c r="D61" s="173"/>
      <c r="E61" s="132" t="s">
        <v>24</v>
      </c>
      <c r="F61" s="134"/>
      <c r="G61" s="171">
        <v>46752</v>
      </c>
      <c r="H61" s="172"/>
    </row>
    <row r="62" spans="1:12" ht="13.5" thickBot="1" x14ac:dyDescent="0.25">
      <c r="A62" s="170" t="s">
        <v>57</v>
      </c>
      <c r="B62" s="170"/>
      <c r="C62" s="170"/>
      <c r="D62" s="170"/>
      <c r="E62" s="170"/>
      <c r="F62" s="170"/>
      <c r="G62" s="170"/>
      <c r="H62" s="170"/>
    </row>
    <row r="63" spans="1:12" x14ac:dyDescent="0.2">
      <c r="A63" s="107" t="s">
        <v>254</v>
      </c>
      <c r="B63" s="108"/>
      <c r="C63" s="108"/>
      <c r="D63" s="109"/>
      <c r="E63" s="40" t="s">
        <v>58</v>
      </c>
      <c r="F63" s="40" t="s">
        <v>59</v>
      </c>
      <c r="G63" s="40" t="s">
        <v>60</v>
      </c>
      <c r="H63" s="41" t="s">
        <v>46</v>
      </c>
      <c r="I63" s="42"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","0")))&amp;(IF(E68=0%,"",IF(E68=J69,"Footing work is process",IF(E68=J70,"Footing work Completed",IF(E68=J71,"1st Basement Completed",IF(E68=J72,"1st &amp; 2nd Basement Completed",IF(E68=J73,"1st to 3rd Basement Completed",IF(E68=J74,"1st to 4th Basement Completed",IF(E68=J75,"Plinth work is process",IF(E68=J76,"Plinth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upto 15 Slab, Brickwork upto 10 Floor, Internal Plaster upto 4 Floor Completed</v>
      </c>
      <c r="J63" s="43"/>
    </row>
    <row r="64" spans="1:12" x14ac:dyDescent="0.2">
      <c r="A64" s="110"/>
      <c r="B64" s="111"/>
      <c r="C64" s="111"/>
      <c r="D64" s="112"/>
      <c r="E64" s="44">
        <v>0</v>
      </c>
      <c r="F64" s="44">
        <v>1</v>
      </c>
      <c r="G64" s="44">
        <v>1</v>
      </c>
      <c r="H64" s="45">
        <f ca="1">--TRIM(RIGHT(SUBSTITUTE(LEFT(A63,_xlfn.AGGREGATE(16,6,FIND({0,1,2,3,4,5,6,7,8,9},A63,ROW(INDIRECT("1:"&amp;LEN(A63)))),1))," ",REPT(" ",LEN(A63))),LEN(A63)))</f>
        <v>22</v>
      </c>
      <c r="I64" s="46"/>
      <c r="J64" s="47"/>
    </row>
    <row r="65" spans="1:10" ht="27.75" customHeight="1" x14ac:dyDescent="0.2">
      <c r="A65" s="59" t="s">
        <v>136</v>
      </c>
      <c r="B65" s="58"/>
      <c r="C65" s="114" t="str">
        <f ca="1">I63</f>
        <v>Excavation work Completed. Plinth work completed, RCC upto 15 Slab, Brickwork upto 10 Floor, Internal Plaster upto 4 Floor Completed</v>
      </c>
      <c r="D65" s="114"/>
      <c r="E65" s="114"/>
      <c r="F65" s="114"/>
      <c r="G65" s="114"/>
      <c r="H65" s="115"/>
      <c r="I65" s="46" t="s">
        <v>137</v>
      </c>
      <c r="J65" s="47"/>
    </row>
    <row r="66" spans="1:10" ht="15" customHeight="1" x14ac:dyDescent="0.2">
      <c r="A66" s="116" t="s">
        <v>61</v>
      </c>
      <c r="B66" s="117"/>
      <c r="C66" s="118" t="s">
        <v>138</v>
      </c>
      <c r="D66" s="118"/>
      <c r="E66" s="48" t="s">
        <v>62</v>
      </c>
      <c r="F66" s="48" t="s">
        <v>63</v>
      </c>
      <c r="G66" s="119" t="s">
        <v>56</v>
      </c>
      <c r="H66" s="120"/>
      <c r="I66" s="1" t="s">
        <v>64</v>
      </c>
      <c r="J66" s="49">
        <f ca="1">H64*25%</f>
        <v>5.5</v>
      </c>
    </row>
    <row r="67" spans="1:10" ht="15" customHeight="1" x14ac:dyDescent="0.2">
      <c r="A67" s="116" t="s">
        <v>65</v>
      </c>
      <c r="B67" s="117"/>
      <c r="C67" s="121">
        <v>0</v>
      </c>
      <c r="D67" s="121"/>
      <c r="E67" s="81">
        <f ca="1">J68</f>
        <v>22</v>
      </c>
      <c r="F67" s="50">
        <f ca="1">((100/H64)*E67)/100</f>
        <v>1.0000000000000002</v>
      </c>
      <c r="G67" s="122">
        <f ca="1">(((E68/H64*10)+(40/(F64+G64+H64)*E69)+(15/(H64)*E70)+(5/(H64)*E71)+(5/H64*E72)+(10/H64*E73)+(5/H64*E74)+(5/H64*E75)+(5/H64*E76))/100)</f>
        <v>0.42727272727272725</v>
      </c>
      <c r="H67" s="123"/>
      <c r="I67" s="1" t="s">
        <v>66</v>
      </c>
      <c r="J67" s="51">
        <f ca="1">H64*50%</f>
        <v>11</v>
      </c>
    </row>
    <row r="68" spans="1:10" ht="15" customHeight="1" x14ac:dyDescent="0.2">
      <c r="A68" s="116" t="s">
        <v>67</v>
      </c>
      <c r="B68" s="117"/>
      <c r="C68" s="121">
        <v>0.1</v>
      </c>
      <c r="D68" s="121"/>
      <c r="E68" s="82">
        <f ca="1">J76</f>
        <v>22</v>
      </c>
      <c r="F68" s="50">
        <f ca="1">((100/H64)*E68)/100</f>
        <v>1.0000000000000002</v>
      </c>
      <c r="G68" s="122"/>
      <c r="H68" s="123"/>
      <c r="I68" s="1" t="s">
        <v>68</v>
      </c>
      <c r="J68" s="51">
        <f ca="1">H64</f>
        <v>22</v>
      </c>
    </row>
    <row r="69" spans="1:10" ht="15" customHeight="1" x14ac:dyDescent="0.2">
      <c r="A69" s="116" t="s">
        <v>69</v>
      </c>
      <c r="B69" s="117"/>
      <c r="C69" s="121">
        <v>0.4</v>
      </c>
      <c r="D69" s="121"/>
      <c r="E69" s="82">
        <v>15</v>
      </c>
      <c r="F69" s="50">
        <f ca="1">((100/(F64+G64+H64))*E69)/100</f>
        <v>0.62500000000000011</v>
      </c>
      <c r="G69" s="122"/>
      <c r="H69" s="123"/>
      <c r="I69" s="1" t="s">
        <v>70</v>
      </c>
      <c r="J69" s="52">
        <f ca="1">(IF(E64&gt;1,(H64/(E64+2)),H64/4))</f>
        <v>5.5</v>
      </c>
    </row>
    <row r="70" spans="1:10" ht="15" customHeight="1" x14ac:dyDescent="0.2">
      <c r="A70" s="116" t="s">
        <v>71</v>
      </c>
      <c r="B70" s="117"/>
      <c r="C70" s="121">
        <v>0.15</v>
      </c>
      <c r="D70" s="121"/>
      <c r="E70" s="81">
        <v>10</v>
      </c>
      <c r="F70" s="50">
        <f ca="1">((100/H64)*E70)/100</f>
        <v>0.45454545454545459</v>
      </c>
      <c r="G70" s="122"/>
      <c r="H70" s="123"/>
      <c r="I70" s="1" t="s">
        <v>72</v>
      </c>
      <c r="J70" s="52">
        <f ca="1">(IF(E64&gt;1,(H64/(E64+2)+J69),H64/4+J69))</f>
        <v>11</v>
      </c>
    </row>
    <row r="71" spans="1:10" ht="15" customHeight="1" x14ac:dyDescent="0.2">
      <c r="A71" s="116" t="s">
        <v>73</v>
      </c>
      <c r="B71" s="117"/>
      <c r="C71" s="121">
        <v>0.05</v>
      </c>
      <c r="D71" s="121"/>
      <c r="E71" s="81">
        <v>4</v>
      </c>
      <c r="F71" s="50">
        <f ca="1">((100/H64)*E71)/100</f>
        <v>0.18181818181818182</v>
      </c>
      <c r="G71" s="122"/>
      <c r="H71" s="123"/>
      <c r="I71" s="1" t="s">
        <v>74</v>
      </c>
      <c r="J71" s="52">
        <f>(IF(E64&gt;1,(H64/(E64+2)+J70),0))</f>
        <v>0</v>
      </c>
    </row>
    <row r="72" spans="1:10" ht="15" customHeight="1" x14ac:dyDescent="0.2">
      <c r="A72" s="116" t="s">
        <v>75</v>
      </c>
      <c r="B72" s="117"/>
      <c r="C72" s="121">
        <v>0.05</v>
      </c>
      <c r="D72" s="121"/>
      <c r="E72" s="81">
        <v>0</v>
      </c>
      <c r="F72" s="50">
        <f ca="1">((100/(H64))*E72)/100</f>
        <v>0</v>
      </c>
      <c r="G72" s="122"/>
      <c r="H72" s="123"/>
      <c r="I72" s="1" t="s">
        <v>76</v>
      </c>
      <c r="J72" s="52">
        <f>(IF(E64&gt;2,(H64/(E64+2)+J71),0))</f>
        <v>0</v>
      </c>
    </row>
    <row r="73" spans="1:10" ht="15" customHeight="1" x14ac:dyDescent="0.2">
      <c r="A73" s="116" t="s">
        <v>77</v>
      </c>
      <c r="B73" s="117"/>
      <c r="C73" s="121">
        <v>0.1</v>
      </c>
      <c r="D73" s="121"/>
      <c r="E73" s="81">
        <v>0</v>
      </c>
      <c r="F73" s="50">
        <f ca="1">((100/H64)*E73)/100</f>
        <v>0</v>
      </c>
      <c r="G73" s="122"/>
      <c r="H73" s="123"/>
      <c r="I73" s="1" t="s">
        <v>78</v>
      </c>
      <c r="J73" s="53">
        <f>(IF(E64&gt;3,(H64/(E64+2)+J72),0))</f>
        <v>0</v>
      </c>
    </row>
    <row r="74" spans="1:10" ht="15.75" customHeight="1" x14ac:dyDescent="0.2">
      <c r="A74" s="116" t="s">
        <v>79</v>
      </c>
      <c r="B74" s="117"/>
      <c r="C74" s="121">
        <v>0.05</v>
      </c>
      <c r="D74" s="121"/>
      <c r="E74" s="81">
        <v>0</v>
      </c>
      <c r="F74" s="50">
        <f ca="1">((100/H64)*E74)/100</f>
        <v>0</v>
      </c>
      <c r="G74" s="122"/>
      <c r="H74" s="123"/>
      <c r="I74" s="1" t="s">
        <v>80</v>
      </c>
      <c r="J74" s="52">
        <f>(IF(E64&gt;4,(H64/(E64+2)+J73),0))</f>
        <v>0</v>
      </c>
    </row>
    <row r="75" spans="1:10" x14ac:dyDescent="0.2">
      <c r="A75" s="116" t="s">
        <v>81</v>
      </c>
      <c r="B75" s="117"/>
      <c r="C75" s="121">
        <v>0.05</v>
      </c>
      <c r="D75" s="121"/>
      <c r="E75" s="81">
        <v>0</v>
      </c>
      <c r="F75" s="50">
        <f ca="1">((100/(H64))*E75)/100</f>
        <v>0</v>
      </c>
      <c r="G75" s="122"/>
      <c r="H75" s="123"/>
      <c r="I75" s="1" t="s">
        <v>82</v>
      </c>
      <c r="J75" s="52">
        <f ca="1">(IF(E64=1,(H64/(E64+3)+J70),IF(E64=0,(H64/4+J70),IF(E64&gt;1,0))))</f>
        <v>16.5</v>
      </c>
    </row>
    <row r="76" spans="1:10" ht="13.5" thickBot="1" x14ac:dyDescent="0.25">
      <c r="A76" s="161" t="s">
        <v>83</v>
      </c>
      <c r="B76" s="162"/>
      <c r="C76" s="113">
        <v>0.05</v>
      </c>
      <c r="D76" s="113"/>
      <c r="E76" s="83">
        <v>0</v>
      </c>
      <c r="F76" s="54">
        <f ca="1">((100/(H64))*E76)/100</f>
        <v>0</v>
      </c>
      <c r="G76" s="124"/>
      <c r="H76" s="125"/>
      <c r="I76" s="55" t="s">
        <v>84</v>
      </c>
      <c r="J76" s="56">
        <f ca="1">(IF(E64&gt;1.5,(H64/(E64+2)+J70+MAX(0,J71-J70)+MAX(0,J72-J71)+MAX(0,J73-J72)+MAX(0,J74-J73)+MAX(0,J75-J74)),IF(E64=1,(H64/(E64+3)+J75),IF(E64=0,H64/4+J75))))</f>
        <v>22</v>
      </c>
    </row>
    <row r="77" spans="1:10" x14ac:dyDescent="0.2">
      <c r="A77" s="107" t="s">
        <v>287</v>
      </c>
      <c r="B77" s="108"/>
      <c r="C77" s="108"/>
      <c r="D77" s="109"/>
      <c r="E77" s="40" t="s">
        <v>58</v>
      </c>
      <c r="F77" s="40" t="s">
        <v>59</v>
      </c>
      <c r="G77" s="40" t="s">
        <v>60</v>
      </c>
      <c r="H77" s="41" t="s">
        <v>46</v>
      </c>
      <c r="I77" s="42" t="str">
        <f ca="1">(IF(G81&gt;99%,"All work completed. Please provide OC.",IF(G81&gt;89.8%,"Plinth, RCC, Brick, Plaster, Flooring, Painting work Completed. Finishing work is in process.",IF(G81&lt;94%,(IF(E81=0,"Work not yet Started.",IF(F81=25%,"Piling work in process",IF(F81=50%,"Excavation work in process",IF(F81=100%,"Excavation work Completed. ","0")))&amp;(IF(E82=0%,"",IF(E82=J83,"Footing work is process",IF(E82=J84,"Footing work Completed",IF(E82=J85,"1st Basement Completed",IF(E82=J86,"1st &amp; 2nd Basement Completed",IF(E82=J87,"1st to 3rd Basement Completed",IF(E82=J88,"1st to 4th Basement Completed",IF(E82=J89,"Plinth work is process",IF(E82=J90,"Plinth work completed","0")))))))))))&amp;(IF(E83=(F78+G78+H78),", RCC Slab",IF(E83&gt;0,", RCC upto "&amp;E83&amp;" Slab",""))&amp;(IF(E84=H78,", Brickwork",IF(E84&gt;0,", Brickwork upto "&amp;E84&amp;" Floor",""))&amp;(IF(E85=H78,", Internal Plaster",IF(E85&gt;0,", Internal Plaster upto "&amp;E85&amp;" Floor",""))&amp;(IF(E86=H78,", External Plaster",IF(E86&gt;0,", External Plaster upto "&amp;E86&amp;" Floor",""))&amp;(IF(E87=H78,", Flooring",IF(E87&gt;0,", Flooring upto "&amp;E87&amp;" Floor",""))&amp;(IF(E88=H78,", Painting",IF(E88&gt;0,", Painting upto "&amp;E88&amp;" Floor",""))&amp;(IF(E89&gt;0,", Finishing upto "&amp;E89&amp;" Floor","")&amp;(IF(E83&gt;0.5," Completed",""))))))))))))))</f>
        <v>Excavation work Completed. Plinth work completed, RCC upto 18 Slab, Brickwork upto 12 Floor, Internal Plaster upto 4 Floor Completed</v>
      </c>
      <c r="J77" s="43"/>
    </row>
    <row r="78" spans="1:10" x14ac:dyDescent="0.2">
      <c r="A78" s="110"/>
      <c r="B78" s="111"/>
      <c r="C78" s="111"/>
      <c r="D78" s="112"/>
      <c r="E78" s="44">
        <v>0</v>
      </c>
      <c r="F78" s="44">
        <v>1</v>
      </c>
      <c r="G78" s="44">
        <v>1</v>
      </c>
      <c r="H78" s="45">
        <f ca="1">--TRIM(RIGHT(SUBSTITUTE(LEFT(A77,_xlfn.AGGREGATE(16,6,FIND({0,1,2,3,4,5,6,7,8,9},A77,ROW(INDIRECT("1:"&amp;LEN(A77)))),1))," ",REPT(" ",LEN(A77))),LEN(A77)))</f>
        <v>22</v>
      </c>
      <c r="I78" s="46"/>
      <c r="J78" s="47"/>
    </row>
    <row r="79" spans="1:10" ht="27" customHeight="1" x14ac:dyDescent="0.2">
      <c r="A79" s="59" t="s">
        <v>136</v>
      </c>
      <c r="B79" s="58"/>
      <c r="C79" s="114" t="str">
        <f ca="1">I77</f>
        <v>Excavation work Completed. Plinth work completed, RCC upto 18 Slab, Brickwork upto 12 Floor, Internal Plaster upto 4 Floor Completed</v>
      </c>
      <c r="D79" s="114"/>
      <c r="E79" s="114"/>
      <c r="F79" s="114"/>
      <c r="G79" s="114"/>
      <c r="H79" s="115"/>
      <c r="I79" s="46" t="s">
        <v>137</v>
      </c>
      <c r="J79" s="47"/>
    </row>
    <row r="80" spans="1:10" ht="15" customHeight="1" x14ac:dyDescent="0.2">
      <c r="A80" s="116" t="s">
        <v>61</v>
      </c>
      <c r="B80" s="117"/>
      <c r="C80" s="118" t="s">
        <v>138</v>
      </c>
      <c r="D80" s="118"/>
      <c r="E80" s="73" t="s">
        <v>62</v>
      </c>
      <c r="F80" s="73" t="s">
        <v>63</v>
      </c>
      <c r="G80" s="119" t="s">
        <v>56</v>
      </c>
      <c r="H80" s="120"/>
      <c r="I80" s="1" t="s">
        <v>64</v>
      </c>
      <c r="J80" s="49">
        <f ca="1">H78*25%</f>
        <v>5.5</v>
      </c>
    </row>
    <row r="81" spans="1:10" ht="15" customHeight="1" x14ac:dyDescent="0.2">
      <c r="A81" s="116" t="s">
        <v>65</v>
      </c>
      <c r="B81" s="117"/>
      <c r="C81" s="121">
        <v>0</v>
      </c>
      <c r="D81" s="121"/>
      <c r="E81" s="81">
        <f ca="1">J82</f>
        <v>22</v>
      </c>
      <c r="F81" s="74">
        <f ca="1">((100/H78)*E81)/100</f>
        <v>1.0000000000000002</v>
      </c>
      <c r="G81" s="122">
        <f ca="1">(((E82/H78*10)+(40/(F78+G78+H78)*E83)+(15/(H78)*E84)+(5/(H78)*E85)+(5/H78*E86)+(10/H78*E87)+(5/H78*E88)+(5/H78*E89)+(5/H78*E90))/100)</f>
        <v>0.49090909090909085</v>
      </c>
      <c r="H81" s="123"/>
      <c r="I81" s="1" t="s">
        <v>66</v>
      </c>
      <c r="J81" s="51">
        <f ca="1">H78*50%</f>
        <v>11</v>
      </c>
    </row>
    <row r="82" spans="1:10" ht="15" customHeight="1" x14ac:dyDescent="0.2">
      <c r="A82" s="116" t="s">
        <v>67</v>
      </c>
      <c r="B82" s="117"/>
      <c r="C82" s="121">
        <v>0.1</v>
      </c>
      <c r="D82" s="121"/>
      <c r="E82" s="82">
        <f ca="1">J90</f>
        <v>22</v>
      </c>
      <c r="F82" s="74">
        <f ca="1">((100/H78)*E82)/100</f>
        <v>1.0000000000000002</v>
      </c>
      <c r="G82" s="122"/>
      <c r="H82" s="123"/>
      <c r="I82" s="1" t="s">
        <v>68</v>
      </c>
      <c r="J82" s="51">
        <f ca="1">H78</f>
        <v>22</v>
      </c>
    </row>
    <row r="83" spans="1:10" ht="15" customHeight="1" x14ac:dyDescent="0.2">
      <c r="A83" s="116" t="s">
        <v>69</v>
      </c>
      <c r="B83" s="117"/>
      <c r="C83" s="121">
        <v>0.4</v>
      </c>
      <c r="D83" s="121"/>
      <c r="E83" s="82">
        <v>18</v>
      </c>
      <c r="F83" s="74">
        <f ca="1">((100/(F78+G78+H78))*E83)/100</f>
        <v>0.75</v>
      </c>
      <c r="G83" s="122"/>
      <c r="H83" s="123"/>
      <c r="I83" s="1" t="s">
        <v>70</v>
      </c>
      <c r="J83" s="52">
        <f ca="1">(IF(E78&gt;1,(H78/(E78+2)),H78/4))</f>
        <v>5.5</v>
      </c>
    </row>
    <row r="84" spans="1:10" ht="15" customHeight="1" x14ac:dyDescent="0.2">
      <c r="A84" s="116" t="s">
        <v>71</v>
      </c>
      <c r="B84" s="117"/>
      <c r="C84" s="121">
        <v>0.15</v>
      </c>
      <c r="D84" s="121"/>
      <c r="E84" s="81">
        <v>12</v>
      </c>
      <c r="F84" s="74">
        <f ca="1">((100/H78)*E84)/100</f>
        <v>0.54545454545454541</v>
      </c>
      <c r="G84" s="122"/>
      <c r="H84" s="123"/>
      <c r="I84" s="1" t="s">
        <v>72</v>
      </c>
      <c r="J84" s="52">
        <f ca="1">(IF(E78&gt;1,(H78/(E78+2)+J83),H78/4+J83))</f>
        <v>11</v>
      </c>
    </row>
    <row r="85" spans="1:10" ht="15" customHeight="1" x14ac:dyDescent="0.2">
      <c r="A85" s="116" t="s">
        <v>73</v>
      </c>
      <c r="B85" s="117"/>
      <c r="C85" s="121">
        <v>0.05</v>
      </c>
      <c r="D85" s="121"/>
      <c r="E85" s="81">
        <v>4</v>
      </c>
      <c r="F85" s="74">
        <f ca="1">((100/H78)*E85)/100</f>
        <v>0.18181818181818182</v>
      </c>
      <c r="G85" s="122"/>
      <c r="H85" s="123"/>
      <c r="I85" s="1" t="s">
        <v>74</v>
      </c>
      <c r="J85" s="52">
        <f>(IF(E78&gt;1,(H78/(E78+2)+J84),0))</f>
        <v>0</v>
      </c>
    </row>
    <row r="86" spans="1:10" ht="15" customHeight="1" x14ac:dyDescent="0.2">
      <c r="A86" s="116" t="s">
        <v>75</v>
      </c>
      <c r="B86" s="117"/>
      <c r="C86" s="121">
        <v>0.05</v>
      </c>
      <c r="D86" s="121"/>
      <c r="E86" s="81">
        <v>0</v>
      </c>
      <c r="F86" s="74">
        <f ca="1">((100/(H78))*E86)/100</f>
        <v>0</v>
      </c>
      <c r="G86" s="122"/>
      <c r="H86" s="123"/>
      <c r="I86" s="1" t="s">
        <v>76</v>
      </c>
      <c r="J86" s="52">
        <f>(IF(E78&gt;2,(H78/(E78+2)+J85),0))</f>
        <v>0</v>
      </c>
    </row>
    <row r="87" spans="1:10" ht="15" customHeight="1" x14ac:dyDescent="0.2">
      <c r="A87" s="116" t="s">
        <v>77</v>
      </c>
      <c r="B87" s="117"/>
      <c r="C87" s="121">
        <v>0.1</v>
      </c>
      <c r="D87" s="121"/>
      <c r="E87" s="81">
        <v>0</v>
      </c>
      <c r="F87" s="74">
        <f ca="1">((100/H78)*E87)/100</f>
        <v>0</v>
      </c>
      <c r="G87" s="122"/>
      <c r="H87" s="123"/>
      <c r="I87" s="1" t="s">
        <v>78</v>
      </c>
      <c r="J87" s="53">
        <f>(IF(E78&gt;3,(H78/(E78+2)+J86),0))</f>
        <v>0</v>
      </c>
    </row>
    <row r="88" spans="1:10" ht="15.75" customHeight="1" x14ac:dyDescent="0.2">
      <c r="A88" s="116" t="s">
        <v>79</v>
      </c>
      <c r="B88" s="117"/>
      <c r="C88" s="121">
        <v>0.05</v>
      </c>
      <c r="D88" s="121"/>
      <c r="E88" s="81">
        <v>0</v>
      </c>
      <c r="F88" s="74">
        <f ca="1">((100/H78)*E88)/100</f>
        <v>0</v>
      </c>
      <c r="G88" s="122"/>
      <c r="H88" s="123"/>
      <c r="I88" s="1" t="s">
        <v>80</v>
      </c>
      <c r="J88" s="52">
        <f>(IF(E78&gt;4,(H78/(E78+2)+J87),0))</f>
        <v>0</v>
      </c>
    </row>
    <row r="89" spans="1:10" x14ac:dyDescent="0.2">
      <c r="A89" s="116" t="s">
        <v>81</v>
      </c>
      <c r="B89" s="117"/>
      <c r="C89" s="121">
        <v>0.05</v>
      </c>
      <c r="D89" s="121"/>
      <c r="E89" s="81">
        <v>0</v>
      </c>
      <c r="F89" s="74">
        <f ca="1">((100/(H78))*E89)/100</f>
        <v>0</v>
      </c>
      <c r="G89" s="122"/>
      <c r="H89" s="123"/>
      <c r="I89" s="1" t="s">
        <v>82</v>
      </c>
      <c r="J89" s="52">
        <f ca="1">(IF(E78=1,(H78/(E78+3)+J84),IF(E78=0,(H78/4+J84),IF(E78&gt;1,0))))</f>
        <v>16.5</v>
      </c>
    </row>
    <row r="90" spans="1:10" ht="13.5" thickBot="1" x14ac:dyDescent="0.25">
      <c r="A90" s="161" t="s">
        <v>83</v>
      </c>
      <c r="B90" s="162"/>
      <c r="C90" s="113">
        <v>0.05</v>
      </c>
      <c r="D90" s="113"/>
      <c r="E90" s="83">
        <v>0</v>
      </c>
      <c r="F90" s="75">
        <f ca="1">((100/(H78))*E90)/100</f>
        <v>0</v>
      </c>
      <c r="G90" s="124"/>
      <c r="H90" s="125"/>
      <c r="I90" s="55" t="s">
        <v>84</v>
      </c>
      <c r="J90" s="56">
        <f ca="1">(IF(E78&gt;1.5,(H78/(E78+2)+J84+MAX(0,J85-J84)+MAX(0,J86-J85)+MAX(0,J87-J86)+MAX(0,J88-J87)+MAX(0,J89-J88)),IF(E78=1,(H78/(E78+3)+J89),IF(E78=0,H78/4+J89))))</f>
        <v>22</v>
      </c>
    </row>
    <row r="91" spans="1:10" x14ac:dyDescent="0.2">
      <c r="A91" s="107" t="s">
        <v>288</v>
      </c>
      <c r="B91" s="108"/>
      <c r="C91" s="108"/>
      <c r="D91" s="109"/>
      <c r="E91" s="40" t="s">
        <v>58</v>
      </c>
      <c r="F91" s="40" t="s">
        <v>59</v>
      </c>
      <c r="G91" s="40" t="s">
        <v>60</v>
      </c>
      <c r="H91" s="41" t="s">
        <v>46</v>
      </c>
      <c r="I91" s="42" t="str">
        <f ca="1">(IF(G95&gt;99%,"All work completed. Please provide OC.",IF(G95&gt;89.8%,"Plinth, RCC, Brick, Plaster, Flooring, Painting work Completed. Finishing work is in process.",IF(G95&lt;94%,(IF(E95=0,"Work not yet Started.",IF(F95=25%,"Piling work in process",IF(F95=50%,"Excavation work in process",IF(F95=100%,"Excavation work Completed. ","0")))&amp;(IF(E96=0%,"",IF(E96=J97,"Footing work is process",IF(E96=J98,"Footing work Completed",IF(E96=J99,"1st Basement Completed",IF(E96=J100,"1st &amp; 2nd Basement Completed",IF(E96=J101,"1st to 3rd Basement Completed",IF(E96=J102,"1st to 4th Basement Completed",IF(E96=J103,"Plinth work is process",IF(E96=J104,"Plinth work completed","0")))))))))))&amp;(IF(E97=(F92+G92+H92),", RCC Slab",IF(E97&gt;0,", RCC upto "&amp;E97&amp;" Slab",""))&amp;(IF(E98=H92,", Brickwork",IF(E98&gt;0,", Brickwork upto "&amp;E98&amp;" Floor",""))&amp;(IF(E99=H92,", Internal Plaster",IF(E99&gt;0,", Internal Plaster upto "&amp;E99&amp;" Floor",""))&amp;(IF(E100=H92,", External Plaster",IF(E100&gt;0,", External Plaster upto "&amp;E100&amp;" Floor",""))&amp;(IF(E101=H92,", Flooring",IF(E101&gt;0,", Flooring upto "&amp;E101&amp;" Floor",""))&amp;(IF(E102=H92,", Painting",IF(E102&gt;0,", Painting upto "&amp;E102&amp;" Floor",""))&amp;(IF(E103&gt;0,", Finishing upto "&amp;E103&amp;" Floor","")&amp;(IF(E97&gt;0.5," Completed",""))))))))))))))</f>
        <v>Excavation work Completed. Plinth work completed, RCC upto 18 Slab, Brickwork upto 11 Floor, Internal Plaster upto 4 Floor Completed</v>
      </c>
      <c r="J91" s="43"/>
    </row>
    <row r="92" spans="1:10" x14ac:dyDescent="0.2">
      <c r="A92" s="110"/>
      <c r="B92" s="111"/>
      <c r="C92" s="111"/>
      <c r="D92" s="112"/>
      <c r="E92" s="44">
        <v>0</v>
      </c>
      <c r="F92" s="44">
        <v>1</v>
      </c>
      <c r="G92" s="44">
        <v>1</v>
      </c>
      <c r="H92" s="45">
        <f ca="1">--TRIM(RIGHT(SUBSTITUTE(LEFT(A91,_xlfn.AGGREGATE(16,6,FIND({0,1,2,3,4,5,6,7,8,9},A91,ROW(INDIRECT("1:"&amp;LEN(A91)))),1))," ",REPT(" ",LEN(A91))),LEN(A91)))</f>
        <v>22</v>
      </c>
      <c r="I92" s="46"/>
      <c r="J92" s="47"/>
    </row>
    <row r="93" spans="1:10" ht="27" customHeight="1" x14ac:dyDescent="0.2">
      <c r="A93" s="59" t="s">
        <v>136</v>
      </c>
      <c r="B93" s="58"/>
      <c r="C93" s="114" t="str">
        <f ca="1">I91</f>
        <v>Excavation work Completed. Plinth work completed, RCC upto 18 Slab, Brickwork upto 11 Floor, Internal Plaster upto 4 Floor Completed</v>
      </c>
      <c r="D93" s="114"/>
      <c r="E93" s="114"/>
      <c r="F93" s="114"/>
      <c r="G93" s="114"/>
      <c r="H93" s="115"/>
      <c r="I93" s="46" t="s">
        <v>137</v>
      </c>
      <c r="J93" s="47"/>
    </row>
    <row r="94" spans="1:10" ht="15" customHeight="1" x14ac:dyDescent="0.2">
      <c r="A94" s="116" t="s">
        <v>61</v>
      </c>
      <c r="B94" s="117"/>
      <c r="C94" s="118" t="s">
        <v>138</v>
      </c>
      <c r="D94" s="118"/>
      <c r="E94" s="70" t="s">
        <v>62</v>
      </c>
      <c r="F94" s="70" t="s">
        <v>63</v>
      </c>
      <c r="G94" s="119" t="s">
        <v>56</v>
      </c>
      <c r="H94" s="120"/>
      <c r="I94" s="1" t="s">
        <v>64</v>
      </c>
      <c r="J94" s="49">
        <f ca="1">H92*25%</f>
        <v>5.5</v>
      </c>
    </row>
    <row r="95" spans="1:10" ht="15" customHeight="1" x14ac:dyDescent="0.2">
      <c r="A95" s="116" t="s">
        <v>65</v>
      </c>
      <c r="B95" s="117"/>
      <c r="C95" s="121">
        <v>0</v>
      </c>
      <c r="D95" s="121"/>
      <c r="E95" s="81">
        <f ca="1">J96</f>
        <v>22</v>
      </c>
      <c r="F95" s="71">
        <f ca="1">((100/H92)*E95)/100</f>
        <v>1.0000000000000002</v>
      </c>
      <c r="G95" s="122">
        <f ca="1">(((E96/H92*10)+(40/(F92+G92+H92)*E97)+(15/(H92)*E98)+(5/(H92)*E99)+(5/H92*E100)+(10/H92*E101)+(5/H92*E102)+(5/H92*E103)+(5/H92*E104))/100)</f>
        <v>0.48409090909090907</v>
      </c>
      <c r="H95" s="123"/>
      <c r="I95" s="1" t="s">
        <v>66</v>
      </c>
      <c r="J95" s="51">
        <f ca="1">H92*50%</f>
        <v>11</v>
      </c>
    </row>
    <row r="96" spans="1:10" ht="15" customHeight="1" x14ac:dyDescent="0.2">
      <c r="A96" s="116" t="s">
        <v>67</v>
      </c>
      <c r="B96" s="117"/>
      <c r="C96" s="121">
        <v>0.1</v>
      </c>
      <c r="D96" s="121"/>
      <c r="E96" s="82">
        <f ca="1">J104</f>
        <v>22</v>
      </c>
      <c r="F96" s="71">
        <f ca="1">((100/H92)*E96)/100</f>
        <v>1.0000000000000002</v>
      </c>
      <c r="G96" s="122"/>
      <c r="H96" s="123"/>
      <c r="I96" s="1" t="s">
        <v>68</v>
      </c>
      <c r="J96" s="51">
        <f ca="1">H92</f>
        <v>22</v>
      </c>
    </row>
    <row r="97" spans="1:10" ht="15" customHeight="1" x14ac:dyDescent="0.2">
      <c r="A97" s="116" t="s">
        <v>69</v>
      </c>
      <c r="B97" s="117"/>
      <c r="C97" s="121">
        <v>0.4</v>
      </c>
      <c r="D97" s="121"/>
      <c r="E97" s="82">
        <v>18</v>
      </c>
      <c r="F97" s="71">
        <f ca="1">((100/(F92+G92+H92))*E97)/100</f>
        <v>0.75</v>
      </c>
      <c r="G97" s="122"/>
      <c r="H97" s="123"/>
      <c r="I97" s="1" t="s">
        <v>70</v>
      </c>
      <c r="J97" s="52">
        <f ca="1">(IF(E92&gt;1,(H92/(E92+2)),H92/4))</f>
        <v>5.5</v>
      </c>
    </row>
    <row r="98" spans="1:10" ht="15" customHeight="1" x14ac:dyDescent="0.2">
      <c r="A98" s="116" t="s">
        <v>71</v>
      </c>
      <c r="B98" s="117"/>
      <c r="C98" s="121">
        <v>0.15</v>
      </c>
      <c r="D98" s="121"/>
      <c r="E98" s="81">
        <v>11</v>
      </c>
      <c r="F98" s="71">
        <f ca="1">((100/H92)*E98)/100</f>
        <v>0.50000000000000011</v>
      </c>
      <c r="G98" s="122"/>
      <c r="H98" s="123"/>
      <c r="I98" s="1" t="s">
        <v>72</v>
      </c>
      <c r="J98" s="52">
        <f ca="1">(IF(E92&gt;1,(H92/(E92+2)+J97),H92/4+J97))</f>
        <v>11</v>
      </c>
    </row>
    <row r="99" spans="1:10" ht="15" customHeight="1" x14ac:dyDescent="0.2">
      <c r="A99" s="116" t="s">
        <v>73</v>
      </c>
      <c r="B99" s="117"/>
      <c r="C99" s="121">
        <v>0.05</v>
      </c>
      <c r="D99" s="121"/>
      <c r="E99" s="81">
        <v>4</v>
      </c>
      <c r="F99" s="71">
        <f ca="1">((100/H92)*E99)/100</f>
        <v>0.18181818181818182</v>
      </c>
      <c r="G99" s="122"/>
      <c r="H99" s="123"/>
      <c r="I99" s="1" t="s">
        <v>74</v>
      </c>
      <c r="J99" s="52">
        <f>(IF(E92&gt;1,(H92/(E92+2)+J98),0))</f>
        <v>0</v>
      </c>
    </row>
    <row r="100" spans="1:10" ht="15" customHeight="1" x14ac:dyDescent="0.2">
      <c r="A100" s="116" t="s">
        <v>75</v>
      </c>
      <c r="B100" s="117"/>
      <c r="C100" s="121">
        <v>0.05</v>
      </c>
      <c r="D100" s="121"/>
      <c r="E100" s="81">
        <v>0</v>
      </c>
      <c r="F100" s="71">
        <f ca="1">((100/(H92))*E100)/100</f>
        <v>0</v>
      </c>
      <c r="G100" s="122"/>
      <c r="H100" s="123"/>
      <c r="I100" s="1" t="s">
        <v>76</v>
      </c>
      <c r="J100" s="52">
        <f>(IF(E92&gt;2,(H92/(E92+2)+J99),0))</f>
        <v>0</v>
      </c>
    </row>
    <row r="101" spans="1:10" ht="15" customHeight="1" x14ac:dyDescent="0.2">
      <c r="A101" s="116" t="s">
        <v>77</v>
      </c>
      <c r="B101" s="117"/>
      <c r="C101" s="121">
        <v>0.1</v>
      </c>
      <c r="D101" s="121"/>
      <c r="E101" s="81">
        <v>0</v>
      </c>
      <c r="F101" s="71">
        <f ca="1">((100/H92)*E101)/100</f>
        <v>0</v>
      </c>
      <c r="G101" s="122"/>
      <c r="H101" s="123"/>
      <c r="I101" s="1" t="s">
        <v>78</v>
      </c>
      <c r="J101" s="53">
        <f>(IF(E92&gt;3,(H92/(E92+2)+J100),0))</f>
        <v>0</v>
      </c>
    </row>
    <row r="102" spans="1:10" ht="15.75" customHeight="1" x14ac:dyDescent="0.2">
      <c r="A102" s="116" t="s">
        <v>79</v>
      </c>
      <c r="B102" s="117"/>
      <c r="C102" s="121">
        <v>0.05</v>
      </c>
      <c r="D102" s="121"/>
      <c r="E102" s="81">
        <v>0</v>
      </c>
      <c r="F102" s="71">
        <f ca="1">((100/H92)*E102)/100</f>
        <v>0</v>
      </c>
      <c r="G102" s="122"/>
      <c r="H102" s="123"/>
      <c r="I102" s="1" t="s">
        <v>80</v>
      </c>
      <c r="J102" s="52">
        <f>(IF(E92&gt;4,(H92/(E92+2)+J101),0))</f>
        <v>0</v>
      </c>
    </row>
    <row r="103" spans="1:10" x14ac:dyDescent="0.2">
      <c r="A103" s="116" t="s">
        <v>81</v>
      </c>
      <c r="B103" s="117"/>
      <c r="C103" s="121">
        <v>0.05</v>
      </c>
      <c r="D103" s="121"/>
      <c r="E103" s="81">
        <v>0</v>
      </c>
      <c r="F103" s="71">
        <f ca="1">((100/(H92))*E103)/100</f>
        <v>0</v>
      </c>
      <c r="G103" s="122"/>
      <c r="H103" s="123"/>
      <c r="I103" s="1" t="s">
        <v>82</v>
      </c>
      <c r="J103" s="52">
        <f ca="1">(IF(E92=1,(H92/(E92+3)+J98),IF(E92=0,(H92/4+J98),IF(E92&gt;1,0))))</f>
        <v>16.5</v>
      </c>
    </row>
    <row r="104" spans="1:10" ht="13.5" thickBot="1" x14ac:dyDescent="0.25">
      <c r="A104" s="161" t="s">
        <v>83</v>
      </c>
      <c r="B104" s="162"/>
      <c r="C104" s="113">
        <v>0.05</v>
      </c>
      <c r="D104" s="113"/>
      <c r="E104" s="83">
        <v>0</v>
      </c>
      <c r="F104" s="72">
        <f ca="1">((100/(H92))*E104)/100</f>
        <v>0</v>
      </c>
      <c r="G104" s="124"/>
      <c r="H104" s="125"/>
      <c r="I104" s="55" t="s">
        <v>84</v>
      </c>
      <c r="J104" s="56">
        <f ca="1">(IF(E92&gt;1.5,(H92/(E92+2)+J98+MAX(0,J99-J98)+MAX(0,J100-J99)+MAX(0,J101-J100)+MAX(0,J102-J101)+MAX(0,J103-J102)),IF(E92=1,(H92/(E92+3)+J103),IF(E92=0,H92/4+J103))))</f>
        <v>22</v>
      </c>
    </row>
    <row r="105" spans="1:10" x14ac:dyDescent="0.2">
      <c r="A105" s="107" t="s">
        <v>296</v>
      </c>
      <c r="B105" s="108"/>
      <c r="C105" s="108"/>
      <c r="D105" s="109"/>
      <c r="E105" s="40" t="s">
        <v>58</v>
      </c>
      <c r="F105" s="40" t="s">
        <v>59</v>
      </c>
      <c r="G105" s="40" t="s">
        <v>60</v>
      </c>
      <c r="H105" s="41" t="s">
        <v>46</v>
      </c>
      <c r="I105" s="42" t="str">
        <f ca="1">(IF(G109&gt;99%,"All work completed. Please provide OC.",IF(G109&gt;89.8%,"Plinth, RCC, Brick, Plaster, Flooring, Painting work Completed. Finishing work is in process.",IF(G109&lt;94%,(IF(E109=0,"Work not yet Started.",IF(F109=25%,"Piling work in process",IF(F109=50%,"Excavation work in process",IF(F109=100%,"Excavation work Completed. ","0")))&amp;(IF(E110=0%,"",IF(E110=J111,"Footing work is process",IF(E110=J112,"Footing work Completed",IF(E110=J113,"1st Basement Completed",IF(E110=J114,"1st &amp; 2nd Basement Completed",IF(E110=J115,"1st to 3rd Basement Completed",IF(E110=J116,"1st to 4th Basement Completed",IF(E110=J117,"Plinth work is process",IF(E110=J118,"Plinth work completed","0")))))))))))&amp;(IF(E111=(F106+G106+H106),", RCC Slab",IF(E111&gt;0,", RCC upto "&amp;E111&amp;" Slab",""))&amp;(IF(E112=H106,", Brickwork",IF(E112&gt;0,", Brickwork upto "&amp;E112&amp;" Floor",""))&amp;(IF(E113=H106,", Internal Plaster",IF(E113&gt;0,", Internal Plaster upto "&amp;E113&amp;" Floor",""))&amp;(IF(E114=H106,", External Plaster",IF(E114&gt;0,", External Plaster upto "&amp;E114&amp;" Floor",""))&amp;(IF(E115=H106,", Flooring",IF(E115&gt;0,", Flooring upto "&amp;E115&amp;" Floor",""))&amp;(IF(E116=H106,", Painting",IF(E116&gt;0,", Painting upto "&amp;E116&amp;" Floor",""))&amp;(IF(E117&gt;0,", Finishing upto "&amp;E117&amp;" Floor","")&amp;(IF(E111&gt;0.5," Completed",""))))))))))))))</f>
        <v>Excavation work Completed. Plinth work completed, RCC upto 6 Slab Completed</v>
      </c>
      <c r="J105" s="43"/>
    </row>
    <row r="106" spans="1:10" x14ac:dyDescent="0.2">
      <c r="A106" s="110"/>
      <c r="B106" s="111"/>
      <c r="C106" s="111"/>
      <c r="D106" s="112"/>
      <c r="E106" s="44">
        <v>0</v>
      </c>
      <c r="F106" s="44">
        <v>1</v>
      </c>
      <c r="G106" s="44">
        <v>0</v>
      </c>
      <c r="H106" s="45">
        <f ca="1">--TRIM(RIGHT(SUBSTITUTE(LEFT(A105,_xlfn.AGGREGATE(16,6,FIND({0,1,2,3,4,5,6,7,8,9},A105,ROW(INDIRECT("1:"&amp;LEN(A105)))),1))," ",REPT(" ",LEN(A105))),LEN(A105)))</f>
        <v>28</v>
      </c>
      <c r="I106" s="46"/>
      <c r="J106" s="47"/>
    </row>
    <row r="107" spans="1:10" ht="15" customHeight="1" x14ac:dyDescent="0.2">
      <c r="A107" s="59" t="s">
        <v>136</v>
      </c>
      <c r="B107" s="58"/>
      <c r="C107" s="114" t="str">
        <f ca="1">I105</f>
        <v>Excavation work Completed. Plinth work completed, RCC upto 6 Slab Completed</v>
      </c>
      <c r="D107" s="114"/>
      <c r="E107" s="114"/>
      <c r="F107" s="114"/>
      <c r="G107" s="114"/>
      <c r="H107" s="115"/>
      <c r="I107" s="46" t="s">
        <v>137</v>
      </c>
      <c r="J107" s="47"/>
    </row>
    <row r="108" spans="1:10" ht="15" customHeight="1" x14ac:dyDescent="0.2">
      <c r="A108" s="116" t="s">
        <v>61</v>
      </c>
      <c r="B108" s="117"/>
      <c r="C108" s="118" t="s">
        <v>138</v>
      </c>
      <c r="D108" s="118"/>
      <c r="E108" s="70" t="s">
        <v>62</v>
      </c>
      <c r="F108" s="70" t="s">
        <v>63</v>
      </c>
      <c r="G108" s="119" t="s">
        <v>56</v>
      </c>
      <c r="H108" s="120"/>
      <c r="I108" s="1" t="s">
        <v>64</v>
      </c>
      <c r="J108" s="49">
        <f ca="1">H106*25%</f>
        <v>7</v>
      </c>
    </row>
    <row r="109" spans="1:10" ht="15" customHeight="1" x14ac:dyDescent="0.2">
      <c r="A109" s="116" t="s">
        <v>65</v>
      </c>
      <c r="B109" s="117"/>
      <c r="C109" s="121">
        <v>0</v>
      </c>
      <c r="D109" s="121"/>
      <c r="E109" s="81">
        <f ca="1">J110</f>
        <v>28</v>
      </c>
      <c r="F109" s="71">
        <f ca="1">((100/H106)*E109)/100</f>
        <v>1</v>
      </c>
      <c r="G109" s="122">
        <f ca="1">(((E110/H106*10)+(40/(F106+G106+H106)*E111)+(15/(H106)*E112)+(5/(H106)*E113)+(5/H106*E114)+(10/H106*E115)+(5/H106*E116)+(5/H106*E117)+(5/H106*E118))/100)</f>
        <v>0.18275862068965515</v>
      </c>
      <c r="H109" s="123"/>
      <c r="I109" s="1" t="s">
        <v>66</v>
      </c>
      <c r="J109" s="51">
        <f ca="1">H106*50%</f>
        <v>14</v>
      </c>
    </row>
    <row r="110" spans="1:10" ht="15" customHeight="1" x14ac:dyDescent="0.2">
      <c r="A110" s="116" t="s">
        <v>67</v>
      </c>
      <c r="B110" s="117"/>
      <c r="C110" s="121">
        <v>0.1</v>
      </c>
      <c r="D110" s="121"/>
      <c r="E110" s="82">
        <f ca="1">J118</f>
        <v>28</v>
      </c>
      <c r="F110" s="71">
        <f ca="1">((100/H106)*E110)/100</f>
        <v>1</v>
      </c>
      <c r="G110" s="122"/>
      <c r="H110" s="123"/>
      <c r="I110" s="1" t="s">
        <v>68</v>
      </c>
      <c r="J110" s="51">
        <f ca="1">H106</f>
        <v>28</v>
      </c>
    </row>
    <row r="111" spans="1:10" ht="15" customHeight="1" x14ac:dyDescent="0.2">
      <c r="A111" s="116" t="s">
        <v>69</v>
      </c>
      <c r="B111" s="117"/>
      <c r="C111" s="121">
        <v>0.4</v>
      </c>
      <c r="D111" s="121"/>
      <c r="E111" s="82">
        <v>6</v>
      </c>
      <c r="F111" s="71">
        <f ca="1">((100/(F106+G106+H106))*E111)/100</f>
        <v>0.20689655172413793</v>
      </c>
      <c r="G111" s="122"/>
      <c r="H111" s="123"/>
      <c r="I111" s="1" t="s">
        <v>70</v>
      </c>
      <c r="J111" s="52">
        <f ca="1">(IF(E106&gt;1,(H106/(E106+2)),H106/4))</f>
        <v>7</v>
      </c>
    </row>
    <row r="112" spans="1:10" ht="15" customHeight="1" x14ac:dyDescent="0.2">
      <c r="A112" s="116" t="s">
        <v>71</v>
      </c>
      <c r="B112" s="117"/>
      <c r="C112" s="121">
        <v>0.15</v>
      </c>
      <c r="D112" s="121"/>
      <c r="E112" s="81">
        <v>0</v>
      </c>
      <c r="F112" s="71">
        <f ca="1">((100/H106)*E112)/100</f>
        <v>0</v>
      </c>
      <c r="G112" s="122"/>
      <c r="H112" s="123"/>
      <c r="I112" s="1" t="s">
        <v>72</v>
      </c>
      <c r="J112" s="52">
        <f ca="1">(IF(E106&gt;1,(H106/(E106+2)+J111),H106/4+J111))</f>
        <v>14</v>
      </c>
    </row>
    <row r="113" spans="1:10" ht="15" customHeight="1" x14ac:dyDescent="0.2">
      <c r="A113" s="116" t="s">
        <v>73</v>
      </c>
      <c r="B113" s="117"/>
      <c r="C113" s="121">
        <v>0.05</v>
      </c>
      <c r="D113" s="121"/>
      <c r="E113" s="81">
        <v>0</v>
      </c>
      <c r="F113" s="71">
        <f ca="1">((100/H106)*E113)/100</f>
        <v>0</v>
      </c>
      <c r="G113" s="122"/>
      <c r="H113" s="123"/>
      <c r="I113" s="1" t="s">
        <v>74</v>
      </c>
      <c r="J113" s="52">
        <f>(IF(E106&gt;1,(H106/(E106+2)+J112),0))</f>
        <v>0</v>
      </c>
    </row>
    <row r="114" spans="1:10" ht="15" customHeight="1" x14ac:dyDescent="0.2">
      <c r="A114" s="116" t="s">
        <v>75</v>
      </c>
      <c r="B114" s="117"/>
      <c r="C114" s="121">
        <v>0.05</v>
      </c>
      <c r="D114" s="121"/>
      <c r="E114" s="81">
        <v>0</v>
      </c>
      <c r="F114" s="71">
        <f ca="1">((100/(H106))*E114)/100</f>
        <v>0</v>
      </c>
      <c r="G114" s="122"/>
      <c r="H114" s="123"/>
      <c r="I114" s="1" t="s">
        <v>76</v>
      </c>
      <c r="J114" s="52">
        <f>(IF(E106&gt;2,(H106/(E106+2)+J113),0))</f>
        <v>0</v>
      </c>
    </row>
    <row r="115" spans="1:10" ht="15" customHeight="1" x14ac:dyDescent="0.2">
      <c r="A115" s="116" t="s">
        <v>77</v>
      </c>
      <c r="B115" s="117"/>
      <c r="C115" s="121">
        <v>0.1</v>
      </c>
      <c r="D115" s="121"/>
      <c r="E115" s="81">
        <v>0</v>
      </c>
      <c r="F115" s="71">
        <f ca="1">((100/H106)*E115)/100</f>
        <v>0</v>
      </c>
      <c r="G115" s="122"/>
      <c r="H115" s="123"/>
      <c r="I115" s="1" t="s">
        <v>78</v>
      </c>
      <c r="J115" s="53">
        <f>(IF(E106&gt;3,(H106/(E106+2)+J114),0))</f>
        <v>0</v>
      </c>
    </row>
    <row r="116" spans="1:10" ht="15.75" customHeight="1" x14ac:dyDescent="0.2">
      <c r="A116" s="116" t="s">
        <v>79</v>
      </c>
      <c r="B116" s="117"/>
      <c r="C116" s="121">
        <v>0.05</v>
      </c>
      <c r="D116" s="121"/>
      <c r="E116" s="81">
        <v>0</v>
      </c>
      <c r="F116" s="71">
        <f ca="1">((100/H106)*E116)/100</f>
        <v>0</v>
      </c>
      <c r="G116" s="122"/>
      <c r="H116" s="123"/>
      <c r="I116" s="1" t="s">
        <v>80</v>
      </c>
      <c r="J116" s="52">
        <f>(IF(E106&gt;4,(H106/(E106+2)+J115),0))</f>
        <v>0</v>
      </c>
    </row>
    <row r="117" spans="1:10" x14ac:dyDescent="0.2">
      <c r="A117" s="116" t="s">
        <v>81</v>
      </c>
      <c r="B117" s="117"/>
      <c r="C117" s="121">
        <v>0.05</v>
      </c>
      <c r="D117" s="121"/>
      <c r="E117" s="81">
        <v>0</v>
      </c>
      <c r="F117" s="71">
        <f ca="1">((100/(H106))*E117)/100</f>
        <v>0</v>
      </c>
      <c r="G117" s="122"/>
      <c r="H117" s="123"/>
      <c r="I117" s="1" t="s">
        <v>82</v>
      </c>
      <c r="J117" s="52">
        <f ca="1">(IF(E106=1,(H106/(E106+3)+J112),IF(E106=0,(H106/4+J112),IF(E106&gt;1,0))))</f>
        <v>21</v>
      </c>
    </row>
    <row r="118" spans="1:10" ht="13.5" thickBot="1" x14ac:dyDescent="0.25">
      <c r="A118" s="161" t="s">
        <v>83</v>
      </c>
      <c r="B118" s="162"/>
      <c r="C118" s="113">
        <v>0.05</v>
      </c>
      <c r="D118" s="113"/>
      <c r="E118" s="83">
        <v>0</v>
      </c>
      <c r="F118" s="72">
        <f ca="1">((100/(H106))*E118)/100</f>
        <v>0</v>
      </c>
      <c r="G118" s="124"/>
      <c r="H118" s="125"/>
      <c r="I118" s="55" t="s">
        <v>84</v>
      </c>
      <c r="J118" s="56">
        <f ca="1">(IF(E106&gt;1.5,(H106/(E106+2)+J112+MAX(0,J113-J112)+MAX(0,J114-J113)+MAX(0,J115-J114)+MAX(0,J116-J115)+MAX(0,J117-J116)),IF(E106=1,(H106/(E106+3)+J117),IF(E106=0,H106/4+J117))))</f>
        <v>28</v>
      </c>
    </row>
    <row r="119" spans="1:10" x14ac:dyDescent="0.2">
      <c r="A119" s="107" t="s">
        <v>289</v>
      </c>
      <c r="B119" s="108"/>
      <c r="C119" s="108"/>
      <c r="D119" s="109"/>
      <c r="E119" s="40" t="s">
        <v>58</v>
      </c>
      <c r="F119" s="40" t="s">
        <v>59</v>
      </c>
      <c r="G119" s="40" t="s">
        <v>60</v>
      </c>
      <c r="H119" s="41" t="s">
        <v>46</v>
      </c>
      <c r="I119" s="42" t="str">
        <f ca="1">(IF(G123&gt;99%,"All work completed. Please provide OC.",IF(G123&gt;89.8%,"Plinth, RCC, Brick, Plaster, Flooring, Painting work Completed. Finishing work is in process.",IF(G123&lt;94%,(IF(E123=0,"Work not yet Started.",IF(F123=25%,"Piling work in process",IF(F123=50%,"Excavation work in process",IF(F123=100%,"Excavation work Completed. ","0")))&amp;(IF(E124=0%,"",IF(E124=J125,"Footing work is process",IF(E124=J126,"Footing work Completed",IF(E124=J127,"1st Basement Completed",IF(E124=J128,"1st &amp; 2nd Basement Completed",IF(E124=J129,"1st to 3rd Basement Completed",IF(E124=J130,"1st to 4th Basement Completed",IF(E124=J131,"Plinth work is process",IF(E124=J132,"Plinth work completed","0")))))))))))&amp;(IF(E125=(F120+G120+H120),", RCC Slab",IF(E125&gt;0,", RCC upto "&amp;E125&amp;" Slab",""))&amp;(IF(E126=H120,", Brickwork",IF(E126&gt;0,", Brickwork upto "&amp;E126&amp;" Floor",""))&amp;(IF(E127=H120,", Internal Plaster",IF(E127&gt;0,", Internal Plaster upto "&amp;E127&amp;" Floor",""))&amp;(IF(E128=H120,", External Plaster",IF(E128&gt;0,", External Plaster upto "&amp;E128&amp;" Floor",""))&amp;(IF(E129=H120,", Flooring",IF(E129&gt;0,", Flooring upto "&amp;E129&amp;" Floor",""))&amp;(IF(E130=H120,", Painting",IF(E130&gt;0,", Painting upto "&amp;E130&amp;" Floor",""))&amp;(IF(E131&gt;0,", Finishing upto "&amp;E131&amp;" Floor","")&amp;(IF(E125&gt;0.5," Completed",""))))))))))))))</f>
        <v>Excavation work Completed. Plinth work completed, RCC upto 7 Slab Completed</v>
      </c>
      <c r="J119" s="43"/>
    </row>
    <row r="120" spans="1:10" x14ac:dyDescent="0.2">
      <c r="A120" s="110"/>
      <c r="B120" s="111"/>
      <c r="C120" s="111"/>
      <c r="D120" s="112"/>
      <c r="E120" s="44">
        <v>0</v>
      </c>
      <c r="F120" s="44">
        <v>1</v>
      </c>
      <c r="G120" s="44">
        <v>0</v>
      </c>
      <c r="H120" s="45">
        <f ca="1">--TRIM(RIGHT(SUBSTITUTE(LEFT(A119,_xlfn.AGGREGATE(16,6,FIND({0,1,2,3,4,5,6,7,8,9},A119,ROW(INDIRECT("1:"&amp;LEN(A119)))),1))," ",REPT(" ",LEN(A119))),LEN(A119)))</f>
        <v>28</v>
      </c>
      <c r="I120" s="46"/>
      <c r="J120" s="47"/>
    </row>
    <row r="121" spans="1:10" ht="15" customHeight="1" x14ac:dyDescent="0.2">
      <c r="A121" s="59" t="s">
        <v>136</v>
      </c>
      <c r="B121" s="58"/>
      <c r="C121" s="114" t="str">
        <f ca="1">I119</f>
        <v>Excavation work Completed. Plinth work completed, RCC upto 7 Slab Completed</v>
      </c>
      <c r="D121" s="114"/>
      <c r="E121" s="114"/>
      <c r="F121" s="114"/>
      <c r="G121" s="114"/>
      <c r="H121" s="115"/>
      <c r="I121" s="46" t="s">
        <v>137</v>
      </c>
      <c r="J121" s="47"/>
    </row>
    <row r="122" spans="1:10" ht="15" customHeight="1" x14ac:dyDescent="0.2">
      <c r="A122" s="116" t="s">
        <v>61</v>
      </c>
      <c r="B122" s="117"/>
      <c r="C122" s="118" t="s">
        <v>138</v>
      </c>
      <c r="D122" s="118"/>
      <c r="E122" s="73" t="s">
        <v>62</v>
      </c>
      <c r="F122" s="73" t="s">
        <v>63</v>
      </c>
      <c r="G122" s="119" t="s">
        <v>56</v>
      </c>
      <c r="H122" s="120"/>
      <c r="I122" s="1" t="s">
        <v>64</v>
      </c>
      <c r="J122" s="49">
        <f ca="1">H120*25%</f>
        <v>7</v>
      </c>
    </row>
    <row r="123" spans="1:10" ht="15" customHeight="1" x14ac:dyDescent="0.2">
      <c r="A123" s="116" t="s">
        <v>65</v>
      </c>
      <c r="B123" s="117"/>
      <c r="C123" s="121">
        <v>0</v>
      </c>
      <c r="D123" s="121"/>
      <c r="E123" s="81">
        <f ca="1">J124</f>
        <v>28</v>
      </c>
      <c r="F123" s="74">
        <f ca="1">((100/H120)*E123)/100</f>
        <v>1</v>
      </c>
      <c r="G123" s="122">
        <f ca="1">(((E124/H120*10)+(40/(F120+G120+H120)*E125)+(15/(H120)*E126)+(5/(H120)*E127)+(5/H120*E128)+(10/H120*E129)+(5/H120*E130)+(5/H120*E131)+(5/H120*E132))/100)</f>
        <v>0.19655172413793104</v>
      </c>
      <c r="H123" s="123"/>
      <c r="I123" s="1" t="s">
        <v>66</v>
      </c>
      <c r="J123" s="51">
        <f ca="1">H120*50%</f>
        <v>14</v>
      </c>
    </row>
    <row r="124" spans="1:10" ht="15" customHeight="1" x14ac:dyDescent="0.2">
      <c r="A124" s="116" t="s">
        <v>67</v>
      </c>
      <c r="B124" s="117"/>
      <c r="C124" s="121">
        <v>0.1</v>
      </c>
      <c r="D124" s="121"/>
      <c r="E124" s="82">
        <f ca="1">J132</f>
        <v>28</v>
      </c>
      <c r="F124" s="74">
        <f ca="1">((100/H120)*E124)/100</f>
        <v>1</v>
      </c>
      <c r="G124" s="122"/>
      <c r="H124" s="123"/>
      <c r="I124" s="1" t="s">
        <v>68</v>
      </c>
      <c r="J124" s="51">
        <f ca="1">H120</f>
        <v>28</v>
      </c>
    </row>
    <row r="125" spans="1:10" ht="15" customHeight="1" x14ac:dyDescent="0.2">
      <c r="A125" s="116" t="s">
        <v>69</v>
      </c>
      <c r="B125" s="117"/>
      <c r="C125" s="121">
        <v>0.4</v>
      </c>
      <c r="D125" s="121"/>
      <c r="E125" s="82">
        <v>7</v>
      </c>
      <c r="F125" s="74">
        <f ca="1">((100/(F120+G120+H120))*E125)/100</f>
        <v>0.24137931034482757</v>
      </c>
      <c r="G125" s="122"/>
      <c r="H125" s="123"/>
      <c r="I125" s="1" t="s">
        <v>70</v>
      </c>
      <c r="J125" s="52">
        <f ca="1">(IF(E120&gt;1,(H120/(E120+2)),H120/4))</f>
        <v>7</v>
      </c>
    </row>
    <row r="126" spans="1:10" ht="15" customHeight="1" x14ac:dyDescent="0.2">
      <c r="A126" s="116" t="s">
        <v>71</v>
      </c>
      <c r="B126" s="117"/>
      <c r="C126" s="121">
        <v>0.15</v>
      </c>
      <c r="D126" s="121"/>
      <c r="E126" s="81">
        <v>0</v>
      </c>
      <c r="F126" s="74">
        <f ca="1">((100/H120)*E126)/100</f>
        <v>0</v>
      </c>
      <c r="G126" s="122"/>
      <c r="H126" s="123"/>
      <c r="I126" s="1" t="s">
        <v>72</v>
      </c>
      <c r="J126" s="52">
        <f ca="1">(IF(E120&gt;1,(H120/(E120+2)+J125),H120/4+J125))</f>
        <v>14</v>
      </c>
    </row>
    <row r="127" spans="1:10" ht="15" customHeight="1" x14ac:dyDescent="0.2">
      <c r="A127" s="116" t="s">
        <v>73</v>
      </c>
      <c r="B127" s="117"/>
      <c r="C127" s="121">
        <v>0.05</v>
      </c>
      <c r="D127" s="121"/>
      <c r="E127" s="81">
        <v>0</v>
      </c>
      <c r="F127" s="74">
        <f ca="1">((100/H120)*E127)/100</f>
        <v>0</v>
      </c>
      <c r="G127" s="122"/>
      <c r="H127" s="123"/>
      <c r="I127" s="1" t="s">
        <v>74</v>
      </c>
      <c r="J127" s="52">
        <f>(IF(E120&gt;1,(H120/(E120+2)+J126),0))</f>
        <v>0</v>
      </c>
    </row>
    <row r="128" spans="1:10" ht="15" customHeight="1" x14ac:dyDescent="0.2">
      <c r="A128" s="116" t="s">
        <v>75</v>
      </c>
      <c r="B128" s="117"/>
      <c r="C128" s="121">
        <v>0.05</v>
      </c>
      <c r="D128" s="121"/>
      <c r="E128" s="81">
        <v>0</v>
      </c>
      <c r="F128" s="74">
        <f ca="1">((100/(H120))*E128)/100</f>
        <v>0</v>
      </c>
      <c r="G128" s="122"/>
      <c r="H128" s="123"/>
      <c r="I128" s="1" t="s">
        <v>76</v>
      </c>
      <c r="J128" s="52">
        <f>(IF(E120&gt;2,(H120/(E120+2)+J127),0))</f>
        <v>0</v>
      </c>
    </row>
    <row r="129" spans="1:10" ht="15" customHeight="1" x14ac:dyDescent="0.2">
      <c r="A129" s="116" t="s">
        <v>77</v>
      </c>
      <c r="B129" s="117"/>
      <c r="C129" s="121">
        <v>0.1</v>
      </c>
      <c r="D129" s="121"/>
      <c r="E129" s="81">
        <v>0</v>
      </c>
      <c r="F129" s="74">
        <f ca="1">((100/H120)*E129)/100</f>
        <v>0</v>
      </c>
      <c r="G129" s="122"/>
      <c r="H129" s="123"/>
      <c r="I129" s="1" t="s">
        <v>78</v>
      </c>
      <c r="J129" s="53">
        <f>(IF(E120&gt;3,(H120/(E120+2)+J128),0))</f>
        <v>0</v>
      </c>
    </row>
    <row r="130" spans="1:10" ht="15.75" customHeight="1" x14ac:dyDescent="0.2">
      <c r="A130" s="116" t="s">
        <v>79</v>
      </c>
      <c r="B130" s="117"/>
      <c r="C130" s="121">
        <v>0.05</v>
      </c>
      <c r="D130" s="121"/>
      <c r="E130" s="81">
        <v>0</v>
      </c>
      <c r="F130" s="74">
        <f ca="1">((100/H120)*E130)/100</f>
        <v>0</v>
      </c>
      <c r="G130" s="122"/>
      <c r="H130" s="123"/>
      <c r="I130" s="1" t="s">
        <v>80</v>
      </c>
      <c r="J130" s="52">
        <f>(IF(E120&gt;4,(H120/(E120+2)+J129),0))</f>
        <v>0</v>
      </c>
    </row>
    <row r="131" spans="1:10" x14ac:dyDescent="0.2">
      <c r="A131" s="116" t="s">
        <v>81</v>
      </c>
      <c r="B131" s="117"/>
      <c r="C131" s="121">
        <v>0.05</v>
      </c>
      <c r="D131" s="121"/>
      <c r="E131" s="81">
        <v>0</v>
      </c>
      <c r="F131" s="74">
        <f ca="1">((100/(H120))*E131)/100</f>
        <v>0</v>
      </c>
      <c r="G131" s="122"/>
      <c r="H131" s="123"/>
      <c r="I131" s="1" t="s">
        <v>82</v>
      </c>
      <c r="J131" s="52">
        <f ca="1">(IF(E120=1,(H120/(E120+3)+J126),IF(E120=0,(H120/4+J126),IF(E120&gt;1,0))))</f>
        <v>21</v>
      </c>
    </row>
    <row r="132" spans="1:10" ht="13.5" thickBot="1" x14ac:dyDescent="0.25">
      <c r="A132" s="161" t="s">
        <v>83</v>
      </c>
      <c r="B132" s="162"/>
      <c r="C132" s="113">
        <v>0.05</v>
      </c>
      <c r="D132" s="113"/>
      <c r="E132" s="83">
        <v>0</v>
      </c>
      <c r="F132" s="75">
        <f ca="1">((100/(H120))*E132)/100</f>
        <v>0</v>
      </c>
      <c r="G132" s="124"/>
      <c r="H132" s="125"/>
      <c r="I132" s="55" t="s">
        <v>84</v>
      </c>
      <c r="J132" s="56">
        <f ca="1">(IF(E120&gt;1.5,(H120/(E120+2)+J126+MAX(0,J127-J126)+MAX(0,J128-J127)+MAX(0,J129-J128)+MAX(0,J130-J129)+MAX(0,J131-J130)),IF(E120=1,(H120/(E120+3)+J131),IF(E120=0,H120/4+J131))))</f>
        <v>28</v>
      </c>
    </row>
    <row r="133" spans="1:10" x14ac:dyDescent="0.2">
      <c r="A133" s="211" t="s">
        <v>25</v>
      </c>
      <c r="B133" s="212"/>
      <c r="C133" s="226" t="s">
        <v>113</v>
      </c>
      <c r="D133" s="226"/>
      <c r="E133" s="226"/>
      <c r="F133" s="226"/>
      <c r="G133" s="226"/>
      <c r="H133" s="226"/>
    </row>
    <row r="134" spans="1:10" x14ac:dyDescent="0.2">
      <c r="A134" s="105" t="s">
        <v>26</v>
      </c>
      <c r="B134" s="105"/>
      <c r="C134" s="105"/>
      <c r="D134" s="105"/>
      <c r="E134" s="105"/>
      <c r="F134" s="105"/>
      <c r="G134" s="105"/>
      <c r="H134" s="105"/>
    </row>
    <row r="135" spans="1:10" x14ac:dyDescent="0.2">
      <c r="A135" s="128" t="s">
        <v>27</v>
      </c>
      <c r="B135" s="129"/>
      <c r="C135" s="224" t="s">
        <v>50</v>
      </c>
      <c r="D135" s="225"/>
      <c r="E135" s="153" t="s">
        <v>28</v>
      </c>
      <c r="F135" s="153"/>
      <c r="G135" s="15" t="s">
        <v>18</v>
      </c>
      <c r="H135" s="84" t="s">
        <v>51</v>
      </c>
    </row>
    <row r="136" spans="1:10" x14ac:dyDescent="0.2">
      <c r="A136" s="128" t="s">
        <v>29</v>
      </c>
      <c r="B136" s="129"/>
      <c r="C136" s="224" t="s">
        <v>49</v>
      </c>
      <c r="D136" s="225"/>
      <c r="E136" s="153" t="s">
        <v>30</v>
      </c>
      <c r="F136" s="153"/>
      <c r="G136" s="15" t="s">
        <v>18</v>
      </c>
      <c r="H136" s="84" t="s">
        <v>52</v>
      </c>
    </row>
    <row r="137" spans="1:10" x14ac:dyDescent="0.2">
      <c r="A137" s="128" t="s">
        <v>31</v>
      </c>
      <c r="B137" s="129"/>
      <c r="C137" s="224" t="s">
        <v>297</v>
      </c>
      <c r="D137" s="225"/>
      <c r="E137" s="153" t="s">
        <v>32</v>
      </c>
      <c r="F137" s="153"/>
      <c r="G137" s="15" t="s">
        <v>18</v>
      </c>
      <c r="H137" s="84" t="s">
        <v>52</v>
      </c>
    </row>
    <row r="138" spans="1:10" x14ac:dyDescent="0.2">
      <c r="A138" s="128" t="s">
        <v>33</v>
      </c>
      <c r="B138" s="129"/>
      <c r="C138" s="224" t="s">
        <v>121</v>
      </c>
      <c r="D138" s="225"/>
      <c r="E138" s="153" t="s">
        <v>34</v>
      </c>
      <c r="F138" s="153"/>
      <c r="G138" s="15" t="s">
        <v>18</v>
      </c>
      <c r="H138" s="84" t="s">
        <v>51</v>
      </c>
    </row>
    <row r="139" spans="1:10" x14ac:dyDescent="0.2">
      <c r="A139" s="128" t="s">
        <v>35</v>
      </c>
      <c r="B139" s="129"/>
      <c r="C139" s="224" t="s">
        <v>126</v>
      </c>
      <c r="D139" s="225"/>
      <c r="E139" s="153" t="s">
        <v>36</v>
      </c>
      <c r="F139" s="153"/>
      <c r="G139" s="15" t="s">
        <v>18</v>
      </c>
      <c r="H139" s="84" t="s">
        <v>52</v>
      </c>
    </row>
    <row r="140" spans="1:10" ht="30" customHeight="1" x14ac:dyDescent="0.2">
      <c r="A140" s="128" t="s">
        <v>37</v>
      </c>
      <c r="B140" s="129"/>
      <c r="C140" s="266" t="s">
        <v>139</v>
      </c>
      <c r="D140" s="267"/>
      <c r="E140" s="153" t="s">
        <v>38</v>
      </c>
      <c r="F140" s="153"/>
      <c r="G140" s="15" t="s">
        <v>18</v>
      </c>
      <c r="H140" s="84" t="s">
        <v>52</v>
      </c>
    </row>
    <row r="141" spans="1:10" x14ac:dyDescent="0.2">
      <c r="A141" s="128" t="s">
        <v>39</v>
      </c>
      <c r="B141" s="129"/>
      <c r="C141" s="266" t="s">
        <v>122</v>
      </c>
      <c r="D141" s="267"/>
      <c r="E141" s="153" t="s">
        <v>40</v>
      </c>
      <c r="F141" s="153"/>
      <c r="G141" s="15" t="s">
        <v>18</v>
      </c>
      <c r="H141" s="84" t="s">
        <v>52</v>
      </c>
    </row>
    <row r="142" spans="1:10" x14ac:dyDescent="0.2">
      <c r="A142" s="99" t="s">
        <v>41</v>
      </c>
      <c r="B142" s="100"/>
      <c r="C142" s="266" t="s">
        <v>125</v>
      </c>
      <c r="D142" s="267"/>
      <c r="E142" s="105" t="s">
        <v>42</v>
      </c>
      <c r="F142" s="105"/>
      <c r="G142" s="268" t="s">
        <v>52</v>
      </c>
      <c r="H142" s="268"/>
    </row>
    <row r="143" spans="1:10" ht="25.5" customHeight="1" x14ac:dyDescent="0.2">
      <c r="A143" s="99" t="s">
        <v>43</v>
      </c>
      <c r="B143" s="100"/>
      <c r="C143" s="154" t="s">
        <v>54</v>
      </c>
      <c r="D143" s="156"/>
      <c r="E143" s="105" t="s">
        <v>44</v>
      </c>
      <c r="F143" s="105"/>
      <c r="G143" s="153" t="s">
        <v>53</v>
      </c>
      <c r="H143" s="153"/>
    </row>
    <row r="144" spans="1:10" x14ac:dyDescent="0.2">
      <c r="A144" s="105" t="s">
        <v>201</v>
      </c>
      <c r="B144" s="105"/>
      <c r="C144" s="105"/>
      <c r="D144" s="105"/>
      <c r="E144" s="105"/>
      <c r="F144" s="105"/>
      <c r="G144" s="105"/>
      <c r="H144" s="105"/>
    </row>
    <row r="145" spans="1:10" x14ac:dyDescent="0.2">
      <c r="A145" s="105" t="s">
        <v>195</v>
      </c>
      <c r="B145" s="105"/>
      <c r="C145" s="99" t="s">
        <v>196</v>
      </c>
      <c r="D145" s="100"/>
      <c r="E145" s="105" t="s">
        <v>197</v>
      </c>
      <c r="F145" s="105"/>
      <c r="G145" s="105" t="s">
        <v>198</v>
      </c>
      <c r="H145" s="105"/>
    </row>
    <row r="146" spans="1:10" x14ac:dyDescent="0.2">
      <c r="A146" s="106" t="s">
        <v>255</v>
      </c>
      <c r="B146" s="106"/>
      <c r="C146" s="101">
        <f>COUNT(D162:D165)+COUNT(D168:D174)*17+COUNT(D177:D182)*3</f>
        <v>141</v>
      </c>
      <c r="D146" s="102"/>
      <c r="E146" s="101">
        <f t="shared" ref="E146" si="0">SUM(F162:F165)+SUM(F168:F174)*17+SUM(F177:F182)*3</f>
        <v>76626.800873999993</v>
      </c>
      <c r="F146" s="102"/>
      <c r="G146" s="101">
        <f t="shared" ref="G146" si="1">SUM(H162:H165)+SUM(H168:H174)*17+SUM(H177:H182)*3</f>
        <v>114940.20131099998</v>
      </c>
      <c r="H146" s="102"/>
    </row>
    <row r="147" spans="1:10" x14ac:dyDescent="0.2">
      <c r="A147" s="126" t="s">
        <v>256</v>
      </c>
      <c r="B147" s="69" t="s">
        <v>199</v>
      </c>
      <c r="C147" s="101">
        <f>COUNT(D188:D191)+COUNT(D195:D201)+COUNT(D203:D209)*16+COUNT(D212:D217)*3</f>
        <v>141</v>
      </c>
      <c r="D147" s="102"/>
      <c r="E147" s="101">
        <f t="shared" ref="E147" si="2">SUM(F188:F191)+SUM(F195:F201)+SUM(F203:F209)*16+SUM(F212:F217)*3</f>
        <v>78321.560382000011</v>
      </c>
      <c r="F147" s="102"/>
      <c r="G147" s="101">
        <f t="shared" ref="G147" si="3">SUM(H188:H191)+SUM(H195:H201)+SUM(H203:H209)*16+SUM(H212:H217)*3</f>
        <v>117482.34057299999</v>
      </c>
      <c r="H147" s="102"/>
    </row>
    <row r="148" spans="1:10" x14ac:dyDescent="0.2">
      <c r="A148" s="127"/>
      <c r="B148" s="69" t="s">
        <v>202</v>
      </c>
      <c r="C148" s="101">
        <f>COUNT(D223:D225)+COUNT(D232:D240)+COUNT(D242:D250)*16+COUNT(D252:D257,D259:D260)*3</f>
        <v>180</v>
      </c>
      <c r="D148" s="102"/>
      <c r="E148" s="101">
        <f t="shared" ref="E148" si="4">SUM(F223:F225)+SUM(F232:F240)+SUM(F242:F250)*16+SUM(F252:F257,F259:F260)*3</f>
        <v>96700.509126000004</v>
      </c>
      <c r="F148" s="102"/>
      <c r="G148" s="101">
        <f t="shared" ref="G148" si="5">SUM(H223:H225)+SUM(H232:H240)+SUM(H242:H250)*16+SUM(H252:H257,H259:H260)*3</f>
        <v>145050.76368899998</v>
      </c>
      <c r="H148" s="102"/>
    </row>
    <row r="149" spans="1:10" x14ac:dyDescent="0.2">
      <c r="A149" s="126" t="s">
        <v>257</v>
      </c>
      <c r="B149" s="69" t="s">
        <v>199</v>
      </c>
      <c r="C149" s="101">
        <f>COUNT(D266:D268)+COUNT(D274:D281)*19+COUNT(D283:D286,D288:D290)*5+COUNT(D293:D299)</f>
        <v>197</v>
      </c>
      <c r="D149" s="102"/>
      <c r="E149" s="101">
        <f t="shared" ref="E149" si="6">SUM(F266:F268)+SUM(F274:F281)*19+SUM(F283:F286,F288:F290)*5+SUM(F293:F299)</f>
        <v>110638.79657999999</v>
      </c>
      <c r="F149" s="102"/>
      <c r="G149" s="101">
        <f t="shared" ref="G149" si="7">SUM(H266:H268)+SUM(H274:H281)*19+SUM(H283:H286,H288:H290)*5+SUM(H293:H299)</f>
        <v>165958.19487000001</v>
      </c>
      <c r="H149" s="102"/>
    </row>
    <row r="150" spans="1:10" x14ac:dyDescent="0.2">
      <c r="A150" s="127"/>
      <c r="B150" s="69" t="s">
        <v>202</v>
      </c>
      <c r="C150" s="101">
        <f>COUNT(D305:D308)+COUNT(D311:D316)*19+COUNT(D319:D323)*5+COUNT(D325:D329)</f>
        <v>148</v>
      </c>
      <c r="D150" s="102"/>
      <c r="E150" s="101">
        <f t="shared" ref="E150" si="8">SUM(F305:F308)+SUM(F311:F316)*19+SUM(F319:F323)*5+SUM(F325:F329)</f>
        <v>89175.78422999999</v>
      </c>
      <c r="F150" s="102"/>
      <c r="G150" s="101">
        <f t="shared" ref="G150" si="9">SUM(H305:H308)+SUM(H311:H316)*19+SUM(H319:H323)*5+SUM(H325:H329)</f>
        <v>133763.67634500001</v>
      </c>
      <c r="H150" s="102"/>
    </row>
    <row r="151" spans="1:10" ht="15.75" customHeight="1" x14ac:dyDescent="0.2">
      <c r="A151" s="105" t="s">
        <v>200</v>
      </c>
      <c r="B151" s="105"/>
      <c r="C151" s="103">
        <f>SUM(C146:D150)</f>
        <v>807</v>
      </c>
      <c r="D151" s="104"/>
      <c r="E151" s="103">
        <f t="shared" ref="E151" si="10">SUM(E146:F150)</f>
        <v>451463.45119199995</v>
      </c>
      <c r="F151" s="104"/>
      <c r="G151" s="103">
        <f t="shared" ref="G151" si="11">SUM(G146:H150)</f>
        <v>677195.17678800004</v>
      </c>
      <c r="H151" s="104"/>
    </row>
    <row r="152" spans="1:10" x14ac:dyDescent="0.2">
      <c r="A152" s="105" t="s">
        <v>45</v>
      </c>
      <c r="B152" s="105"/>
      <c r="C152" s="105"/>
      <c r="D152" s="105"/>
      <c r="E152" s="105"/>
      <c r="F152" s="105"/>
      <c r="G152" s="105"/>
      <c r="H152" s="105"/>
    </row>
    <row r="153" spans="1:10" x14ac:dyDescent="0.2">
      <c r="A153" s="105" t="s">
        <v>258</v>
      </c>
      <c r="B153" s="105"/>
      <c r="C153" s="105"/>
      <c r="D153" s="105"/>
      <c r="E153" s="105"/>
      <c r="F153" s="105"/>
      <c r="G153" s="105"/>
      <c r="H153" s="105"/>
    </row>
    <row r="154" spans="1:10" ht="38.25" x14ac:dyDescent="0.2">
      <c r="A154" s="159" t="s">
        <v>205</v>
      </c>
      <c r="B154" s="157" t="s">
        <v>206</v>
      </c>
      <c r="C154" s="159" t="s">
        <v>128</v>
      </c>
      <c r="D154" s="157" t="s">
        <v>303</v>
      </c>
      <c r="E154" s="157" t="s">
        <v>270</v>
      </c>
      <c r="F154" s="159" t="s">
        <v>207</v>
      </c>
      <c r="G154" s="68" t="s">
        <v>208</v>
      </c>
      <c r="H154" s="66" t="s">
        <v>140</v>
      </c>
    </row>
    <row r="155" spans="1:10" x14ac:dyDescent="0.2">
      <c r="A155" s="160"/>
      <c r="B155" s="158"/>
      <c r="C155" s="160"/>
      <c r="D155" s="158"/>
      <c r="E155" s="158"/>
      <c r="F155" s="160"/>
      <c r="G155" s="67"/>
      <c r="H155" s="80">
        <v>0.5</v>
      </c>
    </row>
    <row r="156" spans="1:10" s="76" customFormat="1" ht="13.5" customHeight="1" x14ac:dyDescent="0.25">
      <c r="A156" s="105" t="s">
        <v>255</v>
      </c>
      <c r="B156" s="105"/>
      <c r="C156" s="105"/>
      <c r="D156" s="105"/>
      <c r="E156" s="105"/>
      <c r="F156" s="105"/>
      <c r="G156" s="105"/>
      <c r="H156" s="228"/>
      <c r="J156" s="77"/>
    </row>
    <row r="157" spans="1:10" s="76" customFormat="1" ht="13.5" customHeight="1" x14ac:dyDescent="0.25">
      <c r="A157" s="154" t="s">
        <v>263</v>
      </c>
      <c r="B157" s="155"/>
      <c r="C157" s="155"/>
      <c r="D157" s="155"/>
      <c r="E157" s="155"/>
      <c r="F157" s="155"/>
      <c r="G157" s="155"/>
      <c r="H157" s="156"/>
      <c r="J157" s="77"/>
    </row>
    <row r="158" spans="1:10" s="76" customFormat="1" ht="13.5" customHeight="1" x14ac:dyDescent="0.25">
      <c r="A158" s="95" t="s">
        <v>264</v>
      </c>
      <c r="B158" s="95"/>
      <c r="C158" s="95"/>
      <c r="D158" s="95"/>
      <c r="E158" s="95"/>
      <c r="F158" s="95"/>
      <c r="G158" s="95"/>
      <c r="H158" s="152"/>
      <c r="J158" s="77"/>
    </row>
    <row r="159" spans="1:10" s="76" customFormat="1" ht="13.5" customHeight="1" x14ac:dyDescent="0.25">
      <c r="A159" s="154" t="s">
        <v>265</v>
      </c>
      <c r="B159" s="155"/>
      <c r="C159" s="155"/>
      <c r="D159" s="155"/>
      <c r="E159" s="155"/>
      <c r="F159" s="155"/>
      <c r="G159" s="155"/>
      <c r="H159" s="156"/>
      <c r="I159" s="76">
        <f>1</f>
        <v>1</v>
      </c>
      <c r="J159" s="77"/>
    </row>
    <row r="160" spans="1:10" x14ac:dyDescent="0.2">
      <c r="A160" s="93">
        <v>1</v>
      </c>
      <c r="B160" s="94"/>
      <c r="C160" s="19" t="s">
        <v>260</v>
      </c>
      <c r="D160" s="96" t="s">
        <v>261</v>
      </c>
      <c r="E160" s="97"/>
      <c r="F160" s="97"/>
      <c r="G160" s="97"/>
      <c r="H160" s="98"/>
    </row>
    <row r="161" spans="1:9" x14ac:dyDescent="0.2">
      <c r="A161" s="93">
        <f>A160+1</f>
        <v>2</v>
      </c>
      <c r="B161" s="94"/>
      <c r="C161" s="19" t="s">
        <v>260</v>
      </c>
      <c r="D161" s="96" t="s">
        <v>262</v>
      </c>
      <c r="E161" s="97"/>
      <c r="F161" s="97" t="e">
        <f t="shared" ref="F161:F165" si="12">D161+E161</f>
        <v>#VALUE!</v>
      </c>
      <c r="G161" s="97">
        <v>0</v>
      </c>
      <c r="H161" s="98" t="e">
        <f t="shared" ref="H161:H165" si="13">F161*(($H$155)+1)+(IF(G161&lt;101,G161,IF(G161&lt;201,G161/2,IF(G161&lt;=301,G161/3,G161/4))))</f>
        <v>#VALUE!</v>
      </c>
    </row>
    <row r="162" spans="1:9" x14ac:dyDescent="0.2">
      <c r="A162" s="93">
        <f t="shared" ref="A162:A166" si="14">A161+1</f>
        <v>3</v>
      </c>
      <c r="B162" s="94"/>
      <c r="C162" s="19" t="s">
        <v>259</v>
      </c>
      <c r="D162" s="17">
        <f>(4.6*3.05+2.2*2.8+3.05*(2.8+3.8)+1.2*(2.1+2.05)+3.2*0.9)*(10.764)</f>
        <v>518.60951999999997</v>
      </c>
      <c r="E162" s="17">
        <f>(0.75*(2.2+3.05+3.05))*(10.764)</f>
        <v>67.005899999999997</v>
      </c>
      <c r="F162" s="17">
        <f t="shared" si="12"/>
        <v>585.61541999999997</v>
      </c>
      <c r="G162" s="17">
        <v>0</v>
      </c>
      <c r="H162" s="17">
        <f t="shared" si="13"/>
        <v>878.4231299999999</v>
      </c>
    </row>
    <row r="163" spans="1:9" x14ac:dyDescent="0.2">
      <c r="A163" s="93">
        <f t="shared" si="14"/>
        <v>4</v>
      </c>
      <c r="B163" s="94"/>
      <c r="C163" s="19" t="s">
        <v>259</v>
      </c>
      <c r="D163" s="17">
        <f>(4.6*3.05+2.2*2.8+3.05*(2.8+3.8)+1.2*(2.1+2.05)+3.2*0.9)*(10.764)</f>
        <v>518.60951999999997</v>
      </c>
      <c r="E163" s="17">
        <f>(0.75*(2.2+3.05+3.05))*(10.764)</f>
        <v>67.005899999999997</v>
      </c>
      <c r="F163" s="17">
        <f t="shared" si="12"/>
        <v>585.61541999999997</v>
      </c>
      <c r="G163" s="17">
        <v>0</v>
      </c>
      <c r="H163" s="17">
        <f t="shared" si="13"/>
        <v>878.4231299999999</v>
      </c>
    </row>
    <row r="164" spans="1:9" x14ac:dyDescent="0.2">
      <c r="A164" s="93">
        <f t="shared" si="14"/>
        <v>5</v>
      </c>
      <c r="B164" s="94"/>
      <c r="C164" s="19" t="s">
        <v>259</v>
      </c>
      <c r="D164" s="17">
        <f>(4.6*3.05+2.2*2.8+3.05*(2.8+3.8)+1.2*(2.1+2.05)+3.2*0.9)*(10.764)</f>
        <v>518.60951999999997</v>
      </c>
      <c r="E164" s="17">
        <f>(0.75*(2.2+3.05+3.05))*(10.764)</f>
        <v>67.005899999999997</v>
      </c>
      <c r="F164" s="17">
        <f t="shared" si="12"/>
        <v>585.61541999999997</v>
      </c>
      <c r="G164" s="17">
        <v>0</v>
      </c>
      <c r="H164" s="17">
        <f t="shared" si="13"/>
        <v>878.4231299999999</v>
      </c>
    </row>
    <row r="165" spans="1:9" x14ac:dyDescent="0.2">
      <c r="A165" s="93">
        <f t="shared" si="14"/>
        <v>6</v>
      </c>
      <c r="B165" s="94"/>
      <c r="C165" s="19" t="s">
        <v>259</v>
      </c>
      <c r="D165" s="17">
        <f>(4.6*3.05+2.2*2.8+3.05*(2.8+3.8)+1.2*(2.1+2.05)+3.2*0.9)*(10.764)</f>
        <v>518.60951999999997</v>
      </c>
      <c r="E165" s="17">
        <f>(0.75*(2.2+3.05+3.05))*(10.764)</f>
        <v>67.005899999999997</v>
      </c>
      <c r="F165" s="17">
        <f t="shared" si="12"/>
        <v>585.61541999999997</v>
      </c>
      <c r="G165" s="17">
        <v>0</v>
      </c>
      <c r="H165" s="17">
        <f t="shared" si="13"/>
        <v>878.4231299999999</v>
      </c>
    </row>
    <row r="166" spans="1:9" x14ac:dyDescent="0.2">
      <c r="A166" s="93">
        <f t="shared" si="14"/>
        <v>7</v>
      </c>
      <c r="B166" s="94"/>
      <c r="C166" s="19" t="s">
        <v>260</v>
      </c>
      <c r="D166" s="96" t="s">
        <v>262</v>
      </c>
      <c r="E166" s="97"/>
      <c r="F166" s="97" t="e">
        <f t="shared" ref="F166" si="15">D166+E166</f>
        <v>#VALUE!</v>
      </c>
      <c r="G166" s="97">
        <v>0</v>
      </c>
      <c r="H166" s="98" t="e">
        <f t="shared" ref="H166" si="16">F166*(($H$155)+1)+(IF(G166&lt;101,G166,IF(G166&lt;201,G166/2,IF(G166&lt;=301,G166/3,G166/4))))</f>
        <v>#VALUE!</v>
      </c>
    </row>
    <row r="167" spans="1:9" x14ac:dyDescent="0.2">
      <c r="A167" s="154" t="s">
        <v>266</v>
      </c>
      <c r="B167" s="155"/>
      <c r="C167" s="155"/>
      <c r="D167" s="155"/>
      <c r="E167" s="155"/>
      <c r="F167" s="155"/>
      <c r="G167" s="155"/>
      <c r="H167" s="156"/>
      <c r="I167" s="79">
        <v>17</v>
      </c>
    </row>
    <row r="168" spans="1:9" x14ac:dyDescent="0.2">
      <c r="A168" s="93">
        <v>1</v>
      </c>
      <c r="B168" s="94"/>
      <c r="C168" s="17" t="s">
        <v>55</v>
      </c>
      <c r="D168" s="17">
        <f>(4.3*3.05+2.1*2.4+2.85*2.4+3.18*1.1+1.2*(1.85+2.05)+1.2*0.9)*(10.764)</f>
        <v>368.69929199999996</v>
      </c>
      <c r="E168" s="17">
        <f>(2*1.35+0.75*(2.1+2.85))*(10.764)</f>
        <v>69.024150000000006</v>
      </c>
      <c r="F168" s="17">
        <f>D168+E168</f>
        <v>437.72344199999998</v>
      </c>
      <c r="G168" s="17">
        <v>0</v>
      </c>
      <c r="H168" s="17">
        <f>F168*(($H$155)+1)+(IF(G168&lt;101,G168,IF(G168&lt;201,G168/2,IF(G168&lt;=301,G168/3,G168/4))))</f>
        <v>656.58516299999997</v>
      </c>
      <c r="I168" s="85">
        <f>4.3*3.05+2.1*2.4+2.85*2.4+1.2*(2.05+1.85)+0.9*1.05+3.18*1.1</f>
        <v>34.117999999999995</v>
      </c>
    </row>
    <row r="169" spans="1:9" x14ac:dyDescent="0.2">
      <c r="A169" s="93">
        <f>A168+1</f>
        <v>2</v>
      </c>
      <c r="B169" s="94"/>
      <c r="C169" s="17" t="s">
        <v>55</v>
      </c>
      <c r="D169" s="17">
        <f>(4.3*3.05+2.1*2.4+2.85*2.4+3.18*1.1+1.2*(1.85+2.05)+1.2*0.9)*(10.764)</f>
        <v>368.69929199999996</v>
      </c>
      <c r="E169" s="17">
        <f>(2.045*1.35+0.75*(2.1+2.85))*(10.764)</f>
        <v>69.678062999999995</v>
      </c>
      <c r="F169" s="17">
        <f t="shared" ref="F169:F174" si="17">D169+E169</f>
        <v>438.37735499999997</v>
      </c>
      <c r="G169" s="17">
        <v>0</v>
      </c>
      <c r="H169" s="17">
        <f t="shared" ref="H169:H174" si="18">F169*(($H$155)+1)+(IF(G169&lt;101,G169,IF(G169&lt;201,G169/2,IF(G169&lt;=301,G169/3,G169/4))))</f>
        <v>657.56603249999989</v>
      </c>
    </row>
    <row r="170" spans="1:9" x14ac:dyDescent="0.2">
      <c r="A170" s="93">
        <f t="shared" ref="A170:A174" si="19">A169+1</f>
        <v>3</v>
      </c>
      <c r="B170" s="94"/>
      <c r="C170" s="17" t="s">
        <v>259</v>
      </c>
      <c r="D170" s="17">
        <f>(4.6*3.05+2.2*2.8+3.05*(2.8+3.8)+1.2*(2.1+2.05)+3.2*0.9)*(10.764)</f>
        <v>518.60951999999997</v>
      </c>
      <c r="E170" s="17">
        <f>(2.115*1.35+0.75*(2.2+3.05+3.05))*(10.764)</f>
        <v>97.739811000000003</v>
      </c>
      <c r="F170" s="17">
        <f t="shared" si="17"/>
        <v>616.34933100000001</v>
      </c>
      <c r="G170" s="17">
        <v>0</v>
      </c>
      <c r="H170" s="17">
        <f t="shared" si="18"/>
        <v>924.52399650000007</v>
      </c>
      <c r="I170" s="86">
        <f>4.6*3.05+2.2*2.8+3.05*(2.8+3.8)+3.45*0.9+1.2*(2.05+2.1)</f>
        <v>48.405000000000001</v>
      </c>
    </row>
    <row r="171" spans="1:9" x14ac:dyDescent="0.2">
      <c r="A171" s="93">
        <f t="shared" si="19"/>
        <v>4</v>
      </c>
      <c r="B171" s="94"/>
      <c r="C171" s="17" t="s">
        <v>259</v>
      </c>
      <c r="D171" s="17">
        <f>(4.6*3.05+2.2*2.8+3.05*(2.8+3.8)+1.2*(2.1+2.05)+3.2*0.9)*(10.764)</f>
        <v>518.60951999999997</v>
      </c>
      <c r="E171" s="17">
        <f t="shared" ref="E171:E173" si="20">(2.115*1.35+0.75*(2.2+3.05+3.05))*(10.764)</f>
        <v>97.739811000000003</v>
      </c>
      <c r="F171" s="17">
        <f t="shared" si="17"/>
        <v>616.34933100000001</v>
      </c>
      <c r="G171" s="17">
        <v>0</v>
      </c>
      <c r="H171" s="17">
        <f t="shared" si="18"/>
        <v>924.52399650000007</v>
      </c>
    </row>
    <row r="172" spans="1:9" x14ac:dyDescent="0.2">
      <c r="A172" s="93">
        <f t="shared" si="19"/>
        <v>5</v>
      </c>
      <c r="B172" s="94"/>
      <c r="C172" s="17" t="s">
        <v>259</v>
      </c>
      <c r="D172" s="17">
        <f>(4.6*3.05+2.2*2.8+3.05*(2.8+3.8)+1.2*(2.1+2.05)+3.2*0.9)*(10.764)</f>
        <v>518.60951999999997</v>
      </c>
      <c r="E172" s="17">
        <f t="shared" si="20"/>
        <v>97.739811000000003</v>
      </c>
      <c r="F172" s="17">
        <f t="shared" si="17"/>
        <v>616.34933100000001</v>
      </c>
      <c r="G172" s="17">
        <v>0</v>
      </c>
      <c r="H172" s="17">
        <f t="shared" si="18"/>
        <v>924.52399650000007</v>
      </c>
    </row>
    <row r="173" spans="1:9" x14ac:dyDescent="0.2">
      <c r="A173" s="93">
        <f t="shared" si="19"/>
        <v>6</v>
      </c>
      <c r="B173" s="94"/>
      <c r="C173" s="17" t="s">
        <v>259</v>
      </c>
      <c r="D173" s="17">
        <f>(4.6*3.05+2.2*2.8+3.05*(2.8+3.8)+1.2*(2.1+2.05)+3.2*0.9)*(10.764)</f>
        <v>518.60951999999997</v>
      </c>
      <c r="E173" s="17">
        <f t="shared" si="20"/>
        <v>97.739811000000003</v>
      </c>
      <c r="F173" s="17">
        <f t="shared" si="17"/>
        <v>616.34933100000001</v>
      </c>
      <c r="G173" s="17">
        <v>0</v>
      </c>
      <c r="H173" s="17">
        <f t="shared" si="18"/>
        <v>924.52399650000007</v>
      </c>
    </row>
    <row r="174" spans="1:9" x14ac:dyDescent="0.2">
      <c r="A174" s="93">
        <f t="shared" si="19"/>
        <v>7</v>
      </c>
      <c r="B174" s="94"/>
      <c r="C174" s="17" t="s">
        <v>55</v>
      </c>
      <c r="D174" s="17">
        <f>(4.3*3.05+2.1*2.4+2.85*2.4+3.18*1.1+1.2*(1.85+2.05)+1.2*0.9)*(10.764)</f>
        <v>368.69929199999996</v>
      </c>
      <c r="E174" s="17">
        <f>(2.045*1.35+0.75*(2.1+2.85))*(10.764)</f>
        <v>69.678062999999995</v>
      </c>
      <c r="F174" s="17">
        <f t="shared" si="17"/>
        <v>438.37735499999997</v>
      </c>
      <c r="G174" s="17">
        <v>0</v>
      </c>
      <c r="H174" s="17">
        <f t="shared" si="18"/>
        <v>657.56603249999989</v>
      </c>
    </row>
    <row r="175" spans="1:9" ht="12.75" customHeight="1" x14ac:dyDescent="0.2">
      <c r="A175" s="154" t="s">
        <v>267</v>
      </c>
      <c r="B175" s="155"/>
      <c r="C175" s="155"/>
      <c r="D175" s="155"/>
      <c r="E175" s="155"/>
      <c r="F175" s="155"/>
      <c r="G175" s="155"/>
      <c r="H175" s="156"/>
      <c r="I175" s="79">
        <v>3</v>
      </c>
    </row>
    <row r="176" spans="1:9" x14ac:dyDescent="0.2">
      <c r="A176" s="93">
        <v>1</v>
      </c>
      <c r="B176" s="94"/>
      <c r="C176" s="96" t="s">
        <v>271</v>
      </c>
      <c r="D176" s="97"/>
      <c r="E176" s="97"/>
      <c r="F176" s="97"/>
      <c r="G176" s="97"/>
      <c r="H176" s="98"/>
    </row>
    <row r="177" spans="1:10" x14ac:dyDescent="0.2">
      <c r="A177" s="93">
        <f>A176+1</f>
        <v>2</v>
      </c>
      <c r="B177" s="94"/>
      <c r="C177" s="17" t="s">
        <v>55</v>
      </c>
      <c r="D177" s="17">
        <f>(4.3*3.05+2.1*2.4+2.85*2.4+3.18*1.1+1.2*(1.85+2.05)+1.2*0.9)*(10.764)</f>
        <v>368.69929199999996</v>
      </c>
      <c r="E177" s="17">
        <f>(2.045*1.35+0.75*(2.1+2.85))*(10.764)</f>
        <v>69.678062999999995</v>
      </c>
      <c r="F177" s="17">
        <f t="shared" ref="F177:F182" si="21">D177+E177</f>
        <v>438.37735499999997</v>
      </c>
      <c r="G177" s="17">
        <v>0</v>
      </c>
      <c r="H177" s="17">
        <f t="shared" ref="H177:H182" si="22">F177*(($H$155)+1)+(IF(G177&lt;101,G177,IF(G177&lt;201,G177/2,IF(G177&lt;=301,G177/3,G177/4))))</f>
        <v>657.56603249999989</v>
      </c>
    </row>
    <row r="178" spans="1:10" x14ac:dyDescent="0.2">
      <c r="A178" s="93">
        <f t="shared" ref="A178:A182" si="23">A177+1</f>
        <v>3</v>
      </c>
      <c r="B178" s="94"/>
      <c r="C178" s="17" t="s">
        <v>259</v>
      </c>
      <c r="D178" s="17">
        <f>(4.6*3.05+2.2*2.8+3.05*(2.8+3.8)+1.2*(2.1+2.05)+3.2*0.9)*(10.764)</f>
        <v>518.60951999999997</v>
      </c>
      <c r="E178" s="17">
        <f>(2.115*1.35+0.75*(2.2+3.05+3.05))*(10.764)</f>
        <v>97.739811000000003</v>
      </c>
      <c r="F178" s="17">
        <f t="shared" si="21"/>
        <v>616.34933100000001</v>
      </c>
      <c r="G178" s="17">
        <v>0</v>
      </c>
      <c r="H178" s="17">
        <f t="shared" si="22"/>
        <v>924.52399650000007</v>
      </c>
    </row>
    <row r="179" spans="1:10" x14ac:dyDescent="0.2">
      <c r="A179" s="93">
        <f t="shared" si="23"/>
        <v>4</v>
      </c>
      <c r="B179" s="94"/>
      <c r="C179" s="17" t="s">
        <v>259</v>
      </c>
      <c r="D179" s="17">
        <f>(4.6*3.05+2.2*2.8+3.05*(2.8+3.8)+1.2*(2.1+2.05)+3.2*0.9)*(10.764)</f>
        <v>518.60951999999997</v>
      </c>
      <c r="E179" s="17">
        <f t="shared" ref="E179:E181" si="24">(2.115*1.35+0.75*(2.2+3.05+3.05))*(10.764)</f>
        <v>97.739811000000003</v>
      </c>
      <c r="F179" s="17">
        <f t="shared" si="21"/>
        <v>616.34933100000001</v>
      </c>
      <c r="G179" s="17">
        <v>0</v>
      </c>
      <c r="H179" s="17">
        <f t="shared" si="22"/>
        <v>924.52399650000007</v>
      </c>
    </row>
    <row r="180" spans="1:10" x14ac:dyDescent="0.2">
      <c r="A180" s="93">
        <f t="shared" si="23"/>
        <v>5</v>
      </c>
      <c r="B180" s="94"/>
      <c r="C180" s="17" t="s">
        <v>259</v>
      </c>
      <c r="D180" s="17">
        <f>(4.6*3.05+2.2*2.8+3.05*(2.8+3.8)+1.2*(2.1+2.05)+3.2*0.9)*(10.764)</f>
        <v>518.60951999999997</v>
      </c>
      <c r="E180" s="17">
        <f t="shared" si="24"/>
        <v>97.739811000000003</v>
      </c>
      <c r="F180" s="17">
        <f t="shared" si="21"/>
        <v>616.34933100000001</v>
      </c>
      <c r="G180" s="17">
        <v>0</v>
      </c>
      <c r="H180" s="17">
        <f t="shared" si="22"/>
        <v>924.52399650000007</v>
      </c>
    </row>
    <row r="181" spans="1:10" x14ac:dyDescent="0.2">
      <c r="A181" s="93">
        <f t="shared" si="23"/>
        <v>6</v>
      </c>
      <c r="B181" s="94"/>
      <c r="C181" s="17" t="s">
        <v>259</v>
      </c>
      <c r="D181" s="17">
        <f>(4.6*3.05+2.2*2.8+3.05*(2.8+3.8)+1.2*(2.1+2.05)+3.2*0.9)*(10.764)</f>
        <v>518.60951999999997</v>
      </c>
      <c r="E181" s="17">
        <f t="shared" si="24"/>
        <v>97.739811000000003</v>
      </c>
      <c r="F181" s="17">
        <f t="shared" si="21"/>
        <v>616.34933100000001</v>
      </c>
      <c r="G181" s="17">
        <v>0</v>
      </c>
      <c r="H181" s="17">
        <f t="shared" si="22"/>
        <v>924.52399650000007</v>
      </c>
    </row>
    <row r="182" spans="1:10" x14ac:dyDescent="0.2">
      <c r="A182" s="93">
        <f t="shared" si="23"/>
        <v>7</v>
      </c>
      <c r="B182" s="94"/>
      <c r="C182" s="17" t="s">
        <v>55</v>
      </c>
      <c r="D182" s="17">
        <f>(4.3*3.05+2.1*2.4+2.85*2.4+3.18*1.1+1.2*(1.85+2.05)+1.2*0.9)*(10.764)</f>
        <v>368.69929199999996</v>
      </c>
      <c r="E182" s="17">
        <f>(2.045*1.35+0.75*(2.1+2.85))*(10.764)</f>
        <v>69.678062999999995</v>
      </c>
      <c r="F182" s="17">
        <f t="shared" si="21"/>
        <v>438.37735499999997</v>
      </c>
      <c r="G182" s="17">
        <v>0</v>
      </c>
      <c r="H182" s="17">
        <f t="shared" si="22"/>
        <v>657.56603249999989</v>
      </c>
    </row>
    <row r="183" spans="1:10" s="76" customFormat="1" ht="12" customHeight="1" x14ac:dyDescent="0.25">
      <c r="A183" s="105" t="s">
        <v>298</v>
      </c>
      <c r="B183" s="105"/>
      <c r="C183" s="105"/>
      <c r="D183" s="105"/>
      <c r="E183" s="105"/>
      <c r="F183" s="105"/>
      <c r="G183" s="105"/>
      <c r="H183" s="105"/>
      <c r="J183" s="77"/>
    </row>
    <row r="184" spans="1:10" s="76" customFormat="1" ht="24.75" customHeight="1" x14ac:dyDescent="0.25">
      <c r="A184" s="95" t="s">
        <v>268</v>
      </c>
      <c r="B184" s="95"/>
      <c r="C184" s="95"/>
      <c r="D184" s="95"/>
      <c r="E184" s="95"/>
      <c r="F184" s="95"/>
      <c r="G184" s="95"/>
      <c r="H184" s="95"/>
      <c r="J184" s="77"/>
    </row>
    <row r="185" spans="1:10" s="76" customFormat="1" ht="12" customHeight="1" x14ac:dyDescent="0.25">
      <c r="A185" s="95" t="s">
        <v>264</v>
      </c>
      <c r="B185" s="95"/>
      <c r="C185" s="95"/>
      <c r="D185" s="95"/>
      <c r="E185" s="95"/>
      <c r="F185" s="95"/>
      <c r="G185" s="95"/>
      <c r="H185" s="152"/>
      <c r="I185" s="77"/>
    </row>
    <row r="186" spans="1:10" s="76" customFormat="1" ht="12" customHeight="1" x14ac:dyDescent="0.25">
      <c r="A186" s="95" t="s">
        <v>269</v>
      </c>
      <c r="B186" s="95"/>
      <c r="C186" s="95"/>
      <c r="D186" s="95"/>
      <c r="E186" s="95"/>
      <c r="F186" s="95"/>
      <c r="G186" s="95"/>
      <c r="H186" s="95"/>
      <c r="I186" s="77">
        <f>1</f>
        <v>1</v>
      </c>
    </row>
    <row r="187" spans="1:10" x14ac:dyDescent="0.2">
      <c r="A187" s="93" t="s">
        <v>260</v>
      </c>
      <c r="B187" s="94"/>
      <c r="C187" s="19" t="s">
        <v>260</v>
      </c>
      <c r="D187" s="96" t="s">
        <v>262</v>
      </c>
      <c r="E187" s="97"/>
      <c r="F187" s="97" t="e">
        <f t="shared" ref="F187" si="25">D187+E187</f>
        <v>#VALUE!</v>
      </c>
      <c r="G187" s="97">
        <v>0</v>
      </c>
      <c r="H187" s="98" t="e">
        <f t="shared" ref="H187" si="26">F187*(($H$155)+1)+(IF(G187&lt;101,G187,IF(G187&lt;201,G187/2,IF(G187&lt;=301,G187/3,G187/4))))</f>
        <v>#VALUE!</v>
      </c>
    </row>
    <row r="188" spans="1:10" x14ac:dyDescent="0.2">
      <c r="A188" s="93">
        <v>2</v>
      </c>
      <c r="B188" s="94"/>
      <c r="C188" s="19" t="s">
        <v>55</v>
      </c>
      <c r="D188" s="17">
        <f>(4.6*3.05+2.2*2.8+3.05*(2.8)+1.2*1.25+1.62*2.2+1.2*1.5)*(10.764)</f>
        <v>383.13381599999991</v>
      </c>
      <c r="E188" s="17">
        <f>(2.115*1.35+0.75*(2.2+3.05))*(10.764)</f>
        <v>73.117160999999996</v>
      </c>
      <c r="F188" s="17">
        <f t="shared" ref="F188:F199" si="27">D188+E188</f>
        <v>456.25097699999992</v>
      </c>
      <c r="G188" s="17">
        <v>0</v>
      </c>
      <c r="H188" s="17">
        <f t="shared" ref="H188:H199" si="28">F188*(($H$155)+1)+(IF(G188&lt;101,G188,IF(G188&lt;201,G188/2,IF(G188&lt;=301,G188/3,G188/4))))</f>
        <v>684.37646549999988</v>
      </c>
    </row>
    <row r="189" spans="1:10" x14ac:dyDescent="0.2">
      <c r="A189" s="93">
        <f t="shared" ref="A189:A201" si="29">A188+1</f>
        <v>3</v>
      </c>
      <c r="B189" s="94"/>
      <c r="C189" s="19" t="s">
        <v>55</v>
      </c>
      <c r="D189" s="17">
        <f>(4.3*3.05+2.1*2.4+2.85*3.35+1.2*(1.85+2.05)+1.3*1)*(10.764)</f>
        <v>362.55842999999993</v>
      </c>
      <c r="E189" s="17">
        <f>(1.965*1.35+0.75*(2.1+2.85))*(10.764)</f>
        <v>68.515551000000002</v>
      </c>
      <c r="F189" s="17">
        <f t="shared" si="27"/>
        <v>431.07398099999995</v>
      </c>
      <c r="G189" s="17">
        <v>0</v>
      </c>
      <c r="H189" s="17">
        <f t="shared" si="28"/>
        <v>646.61097149999989</v>
      </c>
    </row>
    <row r="190" spans="1:10" x14ac:dyDescent="0.2">
      <c r="A190" s="93">
        <f t="shared" si="29"/>
        <v>4</v>
      </c>
      <c r="B190" s="94"/>
      <c r="C190" s="19" t="s">
        <v>259</v>
      </c>
      <c r="D190" s="17">
        <f>(4.9*3.05+2.2*2.5+2.75*3.25+3.05*3.8+2*(1.2*2.05)+3*0.9+2.2*0.65)*(10.764)</f>
        <v>538.44218999999998</v>
      </c>
      <c r="E190" s="17">
        <f>(2.415*1.35+3.05*1.05+0.75*(2.2+2.75))*(10.764)</f>
        <v>109.52639099999999</v>
      </c>
      <c r="F190" s="17">
        <f t="shared" si="27"/>
        <v>647.96858099999997</v>
      </c>
      <c r="G190" s="17">
        <v>0</v>
      </c>
      <c r="H190" s="17">
        <f t="shared" si="28"/>
        <v>971.9528714999999</v>
      </c>
    </row>
    <row r="191" spans="1:10" x14ac:dyDescent="0.2">
      <c r="A191" s="93">
        <v>5</v>
      </c>
      <c r="B191" s="94"/>
      <c r="C191" s="19" t="s">
        <v>259</v>
      </c>
      <c r="D191" s="17">
        <f>(4.9*3.05+2.2*2.5+2.75*3.25+3.05*3.8+2*(1.2*2.05)+3*0.9+2.2*0.65)*(10.764)</f>
        <v>538.44218999999998</v>
      </c>
      <c r="E191" s="17">
        <f>(2.495*1.35+3.2*1.05+0.75*(2.2+2.75))*(10.764)</f>
        <v>112.38423300000001</v>
      </c>
      <c r="F191" s="17">
        <f t="shared" si="27"/>
        <v>650.82642299999998</v>
      </c>
      <c r="G191" s="17">
        <v>0</v>
      </c>
      <c r="H191" s="17">
        <f t="shared" si="28"/>
        <v>976.23963449999997</v>
      </c>
    </row>
    <row r="192" spans="1:10" x14ac:dyDescent="0.2">
      <c r="A192" s="93" t="s">
        <v>260</v>
      </c>
      <c r="B192" s="94"/>
      <c r="C192" s="19" t="s">
        <v>260</v>
      </c>
      <c r="D192" s="96" t="s">
        <v>262</v>
      </c>
      <c r="E192" s="97"/>
      <c r="F192" s="97" t="e">
        <f t="shared" si="27"/>
        <v>#VALUE!</v>
      </c>
      <c r="G192" s="97">
        <v>0</v>
      </c>
      <c r="H192" s="98" t="e">
        <f t="shared" si="28"/>
        <v>#VALUE!</v>
      </c>
    </row>
    <row r="193" spans="1:10" x14ac:dyDescent="0.2">
      <c r="A193" s="93" t="s">
        <v>260</v>
      </c>
      <c r="B193" s="94"/>
      <c r="C193" s="19" t="s">
        <v>260</v>
      </c>
      <c r="D193" s="96" t="s">
        <v>262</v>
      </c>
      <c r="E193" s="97"/>
      <c r="F193" s="97" t="e">
        <f t="shared" si="27"/>
        <v>#VALUE!</v>
      </c>
      <c r="G193" s="97">
        <v>0</v>
      </c>
      <c r="H193" s="98" t="e">
        <f t="shared" si="28"/>
        <v>#VALUE!</v>
      </c>
    </row>
    <row r="194" spans="1:10" s="76" customFormat="1" ht="12" customHeight="1" x14ac:dyDescent="0.25">
      <c r="A194" s="95" t="s">
        <v>272</v>
      </c>
      <c r="B194" s="95"/>
      <c r="C194" s="95"/>
      <c r="D194" s="95"/>
      <c r="E194" s="95"/>
      <c r="F194" s="95"/>
      <c r="G194" s="95"/>
      <c r="H194" s="95"/>
      <c r="I194" s="77">
        <f>1</f>
        <v>1</v>
      </c>
    </row>
    <row r="195" spans="1:10" x14ac:dyDescent="0.2">
      <c r="A195" s="93">
        <v>1</v>
      </c>
      <c r="B195" s="94"/>
      <c r="C195" s="17" t="s">
        <v>55</v>
      </c>
      <c r="D195" s="17">
        <f>(4.3*3.05+2.1*2.4+2.85*3.35+1.2*(1.85+2.05)+1.3*1)*(10.764)</f>
        <v>362.55842999999993</v>
      </c>
      <c r="E195" s="17">
        <f>(2.2*1.35+0.75*(2.1+2.85))*(10.764)</f>
        <v>71.930430000000001</v>
      </c>
      <c r="F195" s="17">
        <f t="shared" si="27"/>
        <v>434.48885999999993</v>
      </c>
      <c r="G195" s="17">
        <v>0</v>
      </c>
      <c r="H195" s="17">
        <f t="shared" si="28"/>
        <v>651.7332899999999</v>
      </c>
      <c r="I195" s="85">
        <f>4.3*3.05+2.1*2.4+2.85*3.35+1.2*(1.85+2.05)+1.05*0.9</f>
        <v>33.327500000000001</v>
      </c>
    </row>
    <row r="196" spans="1:10" x14ac:dyDescent="0.2">
      <c r="A196" s="93">
        <f t="shared" si="29"/>
        <v>2</v>
      </c>
      <c r="B196" s="94"/>
      <c r="C196" s="17" t="s">
        <v>259</v>
      </c>
      <c r="D196" s="17">
        <f>(4.6*3.05+2.2*2.8+3.05*(2.8+2.95)+3.28*1+1.2*(2.1+2.05)+3.4*0.9)*(10.764)</f>
        <v>527.94728999999995</v>
      </c>
      <c r="E196" s="17">
        <f>(2.115*1.35+0.75*(2.2+3.05+3.05))*(10.764)</f>
        <v>97.739811000000003</v>
      </c>
      <c r="F196" s="17">
        <f t="shared" si="27"/>
        <v>625.68710099999998</v>
      </c>
      <c r="G196" s="17">
        <v>0</v>
      </c>
      <c r="H196" s="17">
        <f t="shared" si="28"/>
        <v>938.53065149999998</v>
      </c>
    </row>
    <row r="197" spans="1:10" x14ac:dyDescent="0.2">
      <c r="A197" s="93">
        <f t="shared" si="29"/>
        <v>3</v>
      </c>
      <c r="B197" s="94"/>
      <c r="C197" s="17" t="s">
        <v>55</v>
      </c>
      <c r="D197" s="17">
        <f>(4.3*3.05+2.1*2.4+2.85*3.35+1.2*(1.85+2.05)+1.3*1)*(10.764)</f>
        <v>362.55842999999993</v>
      </c>
      <c r="E197" s="17">
        <f>(1.965*1.35+0.75*(2.1+2.85))*(10.764)</f>
        <v>68.515551000000002</v>
      </c>
      <c r="F197" s="17">
        <f t="shared" si="27"/>
        <v>431.07398099999995</v>
      </c>
      <c r="G197" s="17">
        <v>0</v>
      </c>
      <c r="H197" s="17">
        <f t="shared" si="28"/>
        <v>646.61097149999989</v>
      </c>
    </row>
    <row r="198" spans="1:10" ht="12.75" customHeight="1" x14ac:dyDescent="0.2">
      <c r="A198" s="93">
        <f t="shared" si="29"/>
        <v>4</v>
      </c>
      <c r="B198" s="94"/>
      <c r="C198" s="17" t="s">
        <v>259</v>
      </c>
      <c r="D198" s="17">
        <f>(4.9*3.05+2.2*2.5+2.75*3.25+3.05*3.8+2*(1.2*2.05)+3*0.9+2.2*0.65)*(10.764)</f>
        <v>538.44218999999998</v>
      </c>
      <c r="E198" s="17">
        <f>(2.415*1.35+3.05*1.05+0.75*(2.2+2.75))*(10.764)</f>
        <v>109.52639099999999</v>
      </c>
      <c r="F198" s="17">
        <f t="shared" si="27"/>
        <v>647.96858099999997</v>
      </c>
      <c r="G198" s="17">
        <v>0</v>
      </c>
      <c r="H198" s="17">
        <f t="shared" si="28"/>
        <v>971.9528714999999</v>
      </c>
      <c r="I198" s="85">
        <f>4.9*3.05+2.2*2.5+2.75*3.25+3.05*3.8+1.2*(2.05+2.05)+3.05*0.9+0.7*2.2</f>
        <v>50.177499999999995</v>
      </c>
    </row>
    <row r="199" spans="1:10" x14ac:dyDescent="0.2">
      <c r="A199" s="93">
        <f t="shared" si="29"/>
        <v>5</v>
      </c>
      <c r="B199" s="94"/>
      <c r="C199" s="17" t="s">
        <v>259</v>
      </c>
      <c r="D199" s="17">
        <f>(4.9*3.05+2.2*2.5+2.75*3.25+3.05*3.8+2*(1.2*2.05)+3*0.9+2.2*0.65)*(10.764)</f>
        <v>538.44218999999998</v>
      </c>
      <c r="E199" s="17">
        <f>(2.495*1.35+3.2*1.05+0.75*(2.2+2.75))*(10.764)</f>
        <v>112.38423300000001</v>
      </c>
      <c r="F199" s="17">
        <f t="shared" si="27"/>
        <v>650.82642299999998</v>
      </c>
      <c r="G199" s="17">
        <v>0</v>
      </c>
      <c r="H199" s="17">
        <f t="shared" si="28"/>
        <v>976.23963449999997</v>
      </c>
    </row>
    <row r="200" spans="1:10" ht="12.75" customHeight="1" x14ac:dyDescent="0.2">
      <c r="A200" s="93">
        <f t="shared" si="29"/>
        <v>6</v>
      </c>
      <c r="B200" s="94"/>
      <c r="C200" s="17" t="s">
        <v>259</v>
      </c>
      <c r="D200" s="17">
        <f>(4.9*3.05+2.2*2.5+2.75*3.25+3.05*3.8+2*(1.2*2.05)+3*0.9+2.2*0.65)*(10.764)</f>
        <v>538.44218999999998</v>
      </c>
      <c r="E200" s="17">
        <f>(2.495*1.35+3.2*1.05+0.75*(2.2+2.75))*(10.764)</f>
        <v>112.38423300000001</v>
      </c>
      <c r="F200" s="17">
        <f t="shared" ref="F200:F201" si="30">D200+E200</f>
        <v>650.82642299999998</v>
      </c>
      <c r="G200" s="17">
        <v>0</v>
      </c>
      <c r="H200" s="17">
        <f t="shared" ref="H200:H201" si="31">F200*(($H$155)+1)+(IF(G200&lt;101,G200,IF(G200&lt;201,G200/2,IF(G200&lt;=301,G200/3,G200/4))))</f>
        <v>976.23963449999997</v>
      </c>
      <c r="J200" s="6">
        <f>750000-(750000*0.12)</f>
        <v>660000</v>
      </c>
    </row>
    <row r="201" spans="1:10" ht="14.25" customHeight="1" x14ac:dyDescent="0.2">
      <c r="A201" s="93">
        <f t="shared" si="29"/>
        <v>7</v>
      </c>
      <c r="B201" s="94"/>
      <c r="C201" s="17" t="s">
        <v>55</v>
      </c>
      <c r="D201" s="17">
        <f>(4.3*3.05+2.1*2.4+2.85*3.35+1.2*(1.85+2.05)+1.3*1)*(10.764)</f>
        <v>362.55842999999993</v>
      </c>
      <c r="E201" s="17">
        <f>(1.965*1.35+0.75*(2.1+2.85))*(10.764)</f>
        <v>68.515551000000002</v>
      </c>
      <c r="F201" s="17">
        <f t="shared" si="30"/>
        <v>431.07398099999995</v>
      </c>
      <c r="G201" s="17">
        <v>0</v>
      </c>
      <c r="H201" s="17">
        <f t="shared" si="31"/>
        <v>646.61097149999989</v>
      </c>
    </row>
    <row r="202" spans="1:10" s="76" customFormat="1" ht="12" customHeight="1" x14ac:dyDescent="0.25">
      <c r="A202" s="95" t="s">
        <v>273</v>
      </c>
      <c r="B202" s="95"/>
      <c r="C202" s="95"/>
      <c r="D202" s="95"/>
      <c r="E202" s="95"/>
      <c r="F202" s="95"/>
      <c r="G202" s="95"/>
      <c r="H202" s="95"/>
      <c r="I202" s="77">
        <f>16</f>
        <v>16</v>
      </c>
      <c r="J202" s="90">
        <v>9000</v>
      </c>
    </row>
    <row r="203" spans="1:10" x14ac:dyDescent="0.2">
      <c r="A203" s="93">
        <v>1</v>
      </c>
      <c r="B203" s="94"/>
      <c r="C203" s="17" t="s">
        <v>55</v>
      </c>
      <c r="D203" s="17">
        <f>(4.3*3.05+2.1*2.4+2.85*3.35+1.2*(1.85+2.05)+1.3*1)*(10.764)</f>
        <v>362.55842999999993</v>
      </c>
      <c r="E203" s="17">
        <f>(2.2*1.35+0.75*(2.1+2.85))*(10.764)</f>
        <v>71.930430000000001</v>
      </c>
      <c r="F203" s="17">
        <f t="shared" ref="F203:F209" si="32">D203+E203</f>
        <v>434.48885999999993</v>
      </c>
      <c r="G203" s="17">
        <v>0</v>
      </c>
      <c r="H203" s="17">
        <f t="shared" ref="H203:H209" si="33">F203*(($H$155)+1)+(IF(G203&lt;101,G203,IF(G203&lt;201,G203/2,IF(G203&lt;=301,G203/3,G203/4))))</f>
        <v>651.7332899999999</v>
      </c>
      <c r="J203" s="91">
        <f>H203*$J$202</f>
        <v>5865599.6099999994</v>
      </c>
    </row>
    <row r="204" spans="1:10" x14ac:dyDescent="0.2">
      <c r="A204" s="93">
        <f t="shared" ref="A204:A209" si="34">A203+1</f>
        <v>2</v>
      </c>
      <c r="B204" s="94"/>
      <c r="C204" s="17" t="s">
        <v>259</v>
      </c>
      <c r="D204" s="17">
        <f>(4.6*3.05+2.2*2.8+3.05*(2.8+2.95)+3.28*1+1.2*(2.1+2.05)+3.4*0.9)*(10.764)</f>
        <v>527.94728999999995</v>
      </c>
      <c r="E204" s="17">
        <f>(2.115*1.35+0.75*(2.2+3.05+3.05))*(10.764)</f>
        <v>97.739811000000003</v>
      </c>
      <c r="F204" s="17">
        <f t="shared" si="32"/>
        <v>625.68710099999998</v>
      </c>
      <c r="G204" s="17">
        <v>0</v>
      </c>
      <c r="H204" s="17">
        <f t="shared" si="33"/>
        <v>938.53065149999998</v>
      </c>
      <c r="I204" s="6">
        <f>6600000/H205</f>
        <v>10207.064666238812</v>
      </c>
      <c r="J204" s="91">
        <f t="shared" ref="J204:J209" si="35">H204*$J$202</f>
        <v>8446775.863499999</v>
      </c>
    </row>
    <row r="205" spans="1:10" x14ac:dyDescent="0.2">
      <c r="A205" s="93">
        <f t="shared" si="34"/>
        <v>3</v>
      </c>
      <c r="B205" s="94"/>
      <c r="C205" s="17" t="s">
        <v>55</v>
      </c>
      <c r="D205" s="17">
        <f>(4.3*3.05+2.1*2.4+2.85*3.35+1.2*(1.85+2.05)+1.3*1)*(10.764)</f>
        <v>362.55842999999993</v>
      </c>
      <c r="E205" s="17">
        <f>(1.965*1.35+0.75*(2.1+2.85))*(10.764)</f>
        <v>68.515551000000002</v>
      </c>
      <c r="F205" s="17">
        <f t="shared" si="32"/>
        <v>431.07398099999995</v>
      </c>
      <c r="G205" s="17">
        <v>0</v>
      </c>
      <c r="H205" s="17">
        <f t="shared" si="33"/>
        <v>646.61097149999989</v>
      </c>
      <c r="I205" s="89">
        <f>6000000/H205</f>
        <v>9279.1496965807382</v>
      </c>
      <c r="J205" s="92">
        <f t="shared" si="35"/>
        <v>5819498.7434999989</v>
      </c>
    </row>
    <row r="206" spans="1:10" ht="12.75" customHeight="1" x14ac:dyDescent="0.2">
      <c r="A206" s="93">
        <f t="shared" si="34"/>
        <v>4</v>
      </c>
      <c r="B206" s="94"/>
      <c r="C206" s="17" t="s">
        <v>259</v>
      </c>
      <c r="D206" s="17">
        <f>(4.9*3.05+2.2*2.5+2.75*3.25+3.05*3.8+2*(1.2*2.05)+3*0.9+2.2*0.65)*(10.764)</f>
        <v>538.44218999999998</v>
      </c>
      <c r="E206" s="17">
        <f>(2.415*1.35+3.05*1.05+0.75*(2.2+2.75))*(10.764)</f>
        <v>109.52639099999999</v>
      </c>
      <c r="F206" s="17">
        <f t="shared" si="32"/>
        <v>647.96858099999997</v>
      </c>
      <c r="G206" s="17">
        <v>0</v>
      </c>
      <c r="H206" s="17">
        <f t="shared" si="33"/>
        <v>971.9528714999999</v>
      </c>
      <c r="J206" s="91">
        <f t="shared" si="35"/>
        <v>8747575.8434999995</v>
      </c>
    </row>
    <row r="207" spans="1:10" x14ac:dyDescent="0.2">
      <c r="A207" s="93">
        <f t="shared" si="34"/>
        <v>5</v>
      </c>
      <c r="B207" s="94"/>
      <c r="C207" s="17" t="s">
        <v>259</v>
      </c>
      <c r="D207" s="17">
        <f>(4.9*3.05+2.2*2.5+2.75*3.25+3.05*3.8+2*(1.2*2.05)+3*0.9+2.2*0.65)*(10.764)</f>
        <v>538.44218999999998</v>
      </c>
      <c r="E207" s="17">
        <f>(2.495*1.35+3.2*1.05+0.75*(2.2+2.75))*(10.764)</f>
        <v>112.38423300000001</v>
      </c>
      <c r="F207" s="17">
        <f t="shared" si="32"/>
        <v>650.82642299999998</v>
      </c>
      <c r="G207" s="17">
        <v>0</v>
      </c>
      <c r="H207" s="17">
        <f t="shared" si="33"/>
        <v>976.23963449999997</v>
      </c>
      <c r="J207" s="91">
        <f t="shared" si="35"/>
        <v>8786156.7105</v>
      </c>
    </row>
    <row r="208" spans="1:10" ht="12.75" customHeight="1" x14ac:dyDescent="0.2">
      <c r="A208" s="93">
        <f t="shared" si="34"/>
        <v>6</v>
      </c>
      <c r="B208" s="94"/>
      <c r="C208" s="17" t="s">
        <v>259</v>
      </c>
      <c r="D208" s="17">
        <f>(4.9*3.05+2.2*2.5+2.75*3.25+3.05*3.8+2*(1.2*2.05)+3*0.9+2.2*0.65)*(10.764)</f>
        <v>538.44218999999998</v>
      </c>
      <c r="E208" s="17">
        <f>(2.495*1.35+3.2*1.05+0.75*(2.2+2.75))*(10.764)</f>
        <v>112.38423300000001</v>
      </c>
      <c r="F208" s="17">
        <f t="shared" si="32"/>
        <v>650.82642299999998</v>
      </c>
      <c r="G208" s="17">
        <v>0</v>
      </c>
      <c r="H208" s="17">
        <f t="shared" si="33"/>
        <v>976.23963449999997</v>
      </c>
      <c r="J208" s="91">
        <f t="shared" si="35"/>
        <v>8786156.7105</v>
      </c>
    </row>
    <row r="209" spans="1:10" ht="14.25" customHeight="1" x14ac:dyDescent="0.2">
      <c r="A209" s="93">
        <f t="shared" si="34"/>
        <v>7</v>
      </c>
      <c r="B209" s="94"/>
      <c r="C209" s="17" t="s">
        <v>55</v>
      </c>
      <c r="D209" s="17">
        <f>(4.3*3.05+2.1*2.4+2.85*3.35+1.2*(1.85+2.05)+1.3*1)*(10.764)</f>
        <v>362.55842999999993</v>
      </c>
      <c r="E209" s="17">
        <f>(1.965*1.35+0.75*(2.1+2.85))*(10.764)</f>
        <v>68.515551000000002</v>
      </c>
      <c r="F209" s="17">
        <f t="shared" si="32"/>
        <v>431.07398099999995</v>
      </c>
      <c r="G209" s="17">
        <v>0</v>
      </c>
      <c r="H209" s="17">
        <f t="shared" si="33"/>
        <v>646.61097149999989</v>
      </c>
      <c r="J209" s="91">
        <f t="shared" si="35"/>
        <v>5819498.7434999989</v>
      </c>
    </row>
    <row r="210" spans="1:10" s="76" customFormat="1" ht="12" customHeight="1" x14ac:dyDescent="0.25">
      <c r="A210" s="95" t="s">
        <v>267</v>
      </c>
      <c r="B210" s="95"/>
      <c r="C210" s="95"/>
      <c r="D210" s="95"/>
      <c r="E210" s="95"/>
      <c r="F210" s="95"/>
      <c r="G210" s="95"/>
      <c r="H210" s="95"/>
      <c r="I210" s="77">
        <f>1</f>
        <v>1</v>
      </c>
    </row>
    <row r="211" spans="1:10" ht="15" customHeight="1" x14ac:dyDescent="0.2">
      <c r="A211" s="93">
        <v>1</v>
      </c>
      <c r="B211" s="94"/>
      <c r="C211" s="96" t="s">
        <v>271</v>
      </c>
      <c r="D211" s="97"/>
      <c r="E211" s="97"/>
      <c r="F211" s="97"/>
      <c r="G211" s="97"/>
      <c r="H211" s="98"/>
    </row>
    <row r="212" spans="1:10" x14ac:dyDescent="0.2">
      <c r="A212" s="93">
        <f t="shared" ref="A212:A217" si="36">A211+1</f>
        <v>2</v>
      </c>
      <c r="B212" s="94"/>
      <c r="C212" s="17" t="s">
        <v>259</v>
      </c>
      <c r="D212" s="17">
        <f>(4.6*3.05+2.2*2.8+3.05*(2.8+2.95)+3.28*1+1.2*(2.1+2.05)+3.4*0.9)*(10.764)</f>
        <v>527.94728999999995</v>
      </c>
      <c r="E212" s="17">
        <f>(2.115*1.35+0.75*(2.2+3.05+3.05))*(10.764)</f>
        <v>97.739811000000003</v>
      </c>
      <c r="F212" s="17">
        <f t="shared" ref="F212:F217" si="37">D212+E212</f>
        <v>625.68710099999998</v>
      </c>
      <c r="G212" s="17">
        <v>0</v>
      </c>
      <c r="H212" s="17">
        <f t="shared" ref="H212:H217" si="38">F212*(($H$155)+1)+(IF(G212&lt;101,G212,IF(G212&lt;201,G212/2,IF(G212&lt;=301,G212/3,G212/4))))</f>
        <v>938.53065149999998</v>
      </c>
    </row>
    <row r="213" spans="1:10" x14ac:dyDescent="0.2">
      <c r="A213" s="93">
        <f t="shared" si="36"/>
        <v>3</v>
      </c>
      <c r="B213" s="94"/>
      <c r="C213" s="17" t="s">
        <v>55</v>
      </c>
      <c r="D213" s="17">
        <f>(4.3*3.05+2.1*2.4+2.85*3.35+1.2*(1.85+2.05)+1.3*1)*(10.764)</f>
        <v>362.55842999999993</v>
      </c>
      <c r="E213" s="17">
        <f>(1.965*1.35+0.75*(2.1+2.85))*(10.764)</f>
        <v>68.515551000000002</v>
      </c>
      <c r="F213" s="17">
        <f t="shared" si="37"/>
        <v>431.07398099999995</v>
      </c>
      <c r="G213" s="17">
        <v>0</v>
      </c>
      <c r="H213" s="17">
        <f t="shared" si="38"/>
        <v>646.61097149999989</v>
      </c>
    </row>
    <row r="214" spans="1:10" ht="12.75" customHeight="1" x14ac:dyDescent="0.2">
      <c r="A214" s="93">
        <f t="shared" si="36"/>
        <v>4</v>
      </c>
      <c r="B214" s="94"/>
      <c r="C214" s="17" t="s">
        <v>259</v>
      </c>
      <c r="D214" s="17">
        <f>(4.9*3.05+2.2*2.5+2.75*3.25+3.05*3.8+2*(1.2*2.05)+3*0.9+2.2*0.65)*(10.764)</f>
        <v>538.44218999999998</v>
      </c>
      <c r="E214" s="17">
        <f>(2.415*1.35+3.05*1.05+0.75*(2.2+2.75))*(10.764)</f>
        <v>109.52639099999999</v>
      </c>
      <c r="F214" s="17">
        <f t="shared" si="37"/>
        <v>647.96858099999997</v>
      </c>
      <c r="G214" s="17">
        <v>0</v>
      </c>
      <c r="H214" s="17">
        <f t="shared" si="38"/>
        <v>971.9528714999999</v>
      </c>
    </row>
    <row r="215" spans="1:10" x14ac:dyDescent="0.2">
      <c r="A215" s="93">
        <f t="shared" si="36"/>
        <v>5</v>
      </c>
      <c r="B215" s="94"/>
      <c r="C215" s="17" t="s">
        <v>259</v>
      </c>
      <c r="D215" s="17">
        <f>(4.9*3.05+2.2*2.5+2.75*3.25+3.05*3.8+2*(1.2*2.05)+3*0.9+2.2*0.65)*(10.764)</f>
        <v>538.44218999999998</v>
      </c>
      <c r="E215" s="17">
        <f>(2.495*1.35+3.2*1.05+0.75*(2.2+2.75))*(10.764)</f>
        <v>112.38423300000001</v>
      </c>
      <c r="F215" s="17">
        <f t="shared" si="37"/>
        <v>650.82642299999998</v>
      </c>
      <c r="G215" s="17">
        <v>0</v>
      </c>
      <c r="H215" s="17">
        <f t="shared" si="38"/>
        <v>976.23963449999997</v>
      </c>
    </row>
    <row r="216" spans="1:10" ht="12.75" customHeight="1" x14ac:dyDescent="0.2">
      <c r="A216" s="93">
        <f t="shared" si="36"/>
        <v>6</v>
      </c>
      <c r="B216" s="94"/>
      <c r="C216" s="17" t="s">
        <v>259</v>
      </c>
      <c r="D216" s="17">
        <f>(4.9*3.05+2.2*2.5+2.75*3.25+3.05*3.8+2*(1.2*2.05)+3*0.9+2.2*0.65)*(10.764)</f>
        <v>538.44218999999998</v>
      </c>
      <c r="E216" s="17">
        <f>(2.495*1.35+3.2*1.05+0.75*(2.2+2.75))*(10.764)</f>
        <v>112.38423300000001</v>
      </c>
      <c r="F216" s="17">
        <f t="shared" si="37"/>
        <v>650.82642299999998</v>
      </c>
      <c r="G216" s="17">
        <v>0</v>
      </c>
      <c r="H216" s="17">
        <f t="shared" si="38"/>
        <v>976.23963449999997</v>
      </c>
    </row>
    <row r="217" spans="1:10" ht="14.25" customHeight="1" x14ac:dyDescent="0.2">
      <c r="A217" s="93">
        <f t="shared" si="36"/>
        <v>7</v>
      </c>
      <c r="B217" s="94"/>
      <c r="C217" s="17" t="s">
        <v>55</v>
      </c>
      <c r="D217" s="17">
        <f>(4.3*3.05+2.1*2.4+2.85*3.35+1.2*(1.85+2.05)+1.3*1)*(10.764)</f>
        <v>362.55842999999993</v>
      </c>
      <c r="E217" s="17">
        <f>(1.965*1.35+0.75*(2.1+2.85))*(10.764)</f>
        <v>68.515551000000002</v>
      </c>
      <c r="F217" s="17">
        <f t="shared" si="37"/>
        <v>431.07398099999995</v>
      </c>
      <c r="G217" s="17">
        <v>0</v>
      </c>
      <c r="H217" s="17">
        <f t="shared" si="38"/>
        <v>646.61097149999989</v>
      </c>
    </row>
    <row r="218" spans="1:10" s="76" customFormat="1" ht="12" customHeight="1" x14ac:dyDescent="0.25">
      <c r="A218" s="105" t="s">
        <v>299</v>
      </c>
      <c r="B218" s="105"/>
      <c r="C218" s="105"/>
      <c r="D218" s="105"/>
      <c r="E218" s="105"/>
      <c r="F218" s="105"/>
      <c r="G218" s="105"/>
      <c r="H218" s="105"/>
      <c r="J218" s="77"/>
    </row>
    <row r="219" spans="1:10" s="76" customFormat="1" ht="12" customHeight="1" x14ac:dyDescent="0.25">
      <c r="A219" s="95" t="s">
        <v>268</v>
      </c>
      <c r="B219" s="95"/>
      <c r="C219" s="95"/>
      <c r="D219" s="95"/>
      <c r="E219" s="95"/>
      <c r="F219" s="95"/>
      <c r="G219" s="95"/>
      <c r="H219" s="95"/>
      <c r="J219" s="77"/>
    </row>
    <row r="220" spans="1:10" s="76" customFormat="1" ht="12" customHeight="1" x14ac:dyDescent="0.25">
      <c r="A220" s="95" t="s">
        <v>264</v>
      </c>
      <c r="B220" s="95"/>
      <c r="C220" s="95"/>
      <c r="D220" s="95"/>
      <c r="E220" s="95"/>
      <c r="F220" s="95"/>
      <c r="G220" s="95"/>
      <c r="H220" s="152"/>
      <c r="I220" s="76">
        <v>1</v>
      </c>
      <c r="J220" s="77"/>
    </row>
    <row r="221" spans="1:10" s="76" customFormat="1" ht="12" customHeight="1" x14ac:dyDescent="0.25">
      <c r="A221" s="95" t="s">
        <v>265</v>
      </c>
      <c r="B221" s="95"/>
      <c r="C221" s="95"/>
      <c r="D221" s="95"/>
      <c r="E221" s="95"/>
      <c r="F221" s="95"/>
      <c r="G221" s="95"/>
      <c r="H221" s="95"/>
      <c r="I221" s="76">
        <v>1</v>
      </c>
      <c r="J221" s="77"/>
    </row>
    <row r="222" spans="1:10" ht="15.75" customHeight="1" x14ac:dyDescent="0.2">
      <c r="A222" s="93" t="s">
        <v>260</v>
      </c>
      <c r="B222" s="94"/>
      <c r="C222" s="96" t="s">
        <v>261</v>
      </c>
      <c r="D222" s="97"/>
      <c r="E222" s="97"/>
      <c r="F222" s="97"/>
      <c r="G222" s="97"/>
      <c r="H222" s="98"/>
    </row>
    <row r="223" spans="1:10" x14ac:dyDescent="0.2">
      <c r="A223" s="93">
        <v>2</v>
      </c>
      <c r="B223" s="94"/>
      <c r="C223" s="19" t="s">
        <v>259</v>
      </c>
      <c r="D223" s="17">
        <f>(4.6*3.05+2.2*2.8+3.05*(3.8+2.8)+1.2*(2.1+2.05)+3.3*0.9)*(10.764)</f>
        <v>519.57827999999995</v>
      </c>
      <c r="E223" s="17">
        <f>(2.115*1.35+0.75*(2.2+3.05+3.05))*(10.764)</f>
        <v>97.739811000000003</v>
      </c>
      <c r="F223" s="17">
        <f t="shared" ref="F223:F225" si="39">D223+E223</f>
        <v>617.31809099999998</v>
      </c>
      <c r="G223" s="17">
        <v>0</v>
      </c>
      <c r="H223" s="17">
        <f t="shared" ref="H223:H225" si="40">F223*(($H$155)+1)+(IF(G223&lt;101,G223,IF(G223&lt;201,G223/2,IF(G223&lt;=301,G223/3,G223/4))))</f>
        <v>925.97713649999992</v>
      </c>
    </row>
    <row r="224" spans="1:10" x14ac:dyDescent="0.2">
      <c r="A224" s="93">
        <f t="shared" ref="A224:A225" si="41">A223+1</f>
        <v>3</v>
      </c>
      <c r="B224" s="94"/>
      <c r="C224" s="19" t="s">
        <v>259</v>
      </c>
      <c r="D224" s="17">
        <f>(4.6*3.05+2.2*2.8+3.05*(3.8+2.8)+1.2*(2.1+2.05)+3.3*0.9)*(10.764)</f>
        <v>519.57827999999995</v>
      </c>
      <c r="E224" s="17">
        <f>(2.115*1.35+0.75*(2.2+3.05+3.05))*(10.764)</f>
        <v>97.739811000000003</v>
      </c>
      <c r="F224" s="17">
        <f t="shared" si="39"/>
        <v>617.31809099999998</v>
      </c>
      <c r="G224" s="17">
        <v>0</v>
      </c>
      <c r="H224" s="17">
        <f t="shared" si="40"/>
        <v>925.97713649999992</v>
      </c>
    </row>
    <row r="225" spans="1:9" x14ac:dyDescent="0.2">
      <c r="A225" s="93">
        <f t="shared" si="41"/>
        <v>4</v>
      </c>
      <c r="B225" s="94"/>
      <c r="C225" s="19" t="s">
        <v>55</v>
      </c>
      <c r="D225" s="17">
        <f>(4.3*3.05+2.1*2.4+2.85*3.35+1.2*(1.85+2.05)+1.3*1)*(10.764)</f>
        <v>362.55842999999993</v>
      </c>
      <c r="E225" s="17">
        <f>(2.12*1.35+0.75*(2.1+2.85))*(10.764)</f>
        <v>70.767917999999995</v>
      </c>
      <c r="F225" s="17">
        <f t="shared" si="39"/>
        <v>433.32634799999994</v>
      </c>
      <c r="G225" s="17">
        <v>0</v>
      </c>
      <c r="H225" s="17">
        <f t="shared" si="40"/>
        <v>649.98952199999985</v>
      </c>
    </row>
    <row r="226" spans="1:9" ht="15" customHeight="1" x14ac:dyDescent="0.2">
      <c r="A226" s="93" t="s">
        <v>260</v>
      </c>
      <c r="B226" s="94"/>
      <c r="C226" s="269" t="s">
        <v>262</v>
      </c>
      <c r="D226" s="270"/>
      <c r="E226" s="270"/>
      <c r="F226" s="270"/>
      <c r="G226" s="270"/>
      <c r="H226" s="271"/>
    </row>
    <row r="227" spans="1:9" x14ac:dyDescent="0.2">
      <c r="A227" s="93" t="s">
        <v>260</v>
      </c>
      <c r="B227" s="94"/>
      <c r="C227" s="272"/>
      <c r="D227" s="273"/>
      <c r="E227" s="273"/>
      <c r="F227" s="273"/>
      <c r="G227" s="273"/>
      <c r="H227" s="274"/>
    </row>
    <row r="228" spans="1:9" x14ac:dyDescent="0.2">
      <c r="A228" s="93" t="s">
        <v>260</v>
      </c>
      <c r="B228" s="94"/>
      <c r="C228" s="272"/>
      <c r="D228" s="273"/>
      <c r="E228" s="273"/>
      <c r="F228" s="273"/>
      <c r="G228" s="273"/>
      <c r="H228" s="274"/>
    </row>
    <row r="229" spans="1:9" x14ac:dyDescent="0.2">
      <c r="A229" s="93" t="s">
        <v>260</v>
      </c>
      <c r="B229" s="94"/>
      <c r="C229" s="272"/>
      <c r="D229" s="273"/>
      <c r="E229" s="273"/>
      <c r="F229" s="273"/>
      <c r="G229" s="273"/>
      <c r="H229" s="274"/>
    </row>
    <row r="230" spans="1:9" x14ac:dyDescent="0.2">
      <c r="A230" s="93" t="s">
        <v>260</v>
      </c>
      <c r="B230" s="94"/>
      <c r="C230" s="275"/>
      <c r="D230" s="276"/>
      <c r="E230" s="276"/>
      <c r="F230" s="276"/>
      <c r="G230" s="276"/>
      <c r="H230" s="277"/>
    </row>
    <row r="231" spans="1:9" s="76" customFormat="1" ht="12" customHeight="1" x14ac:dyDescent="0.25">
      <c r="A231" s="95" t="s">
        <v>272</v>
      </c>
      <c r="B231" s="95"/>
      <c r="C231" s="95"/>
      <c r="D231" s="95"/>
      <c r="E231" s="95"/>
      <c r="F231" s="95"/>
      <c r="G231" s="95"/>
      <c r="H231" s="95"/>
      <c r="I231" s="77">
        <v>1</v>
      </c>
    </row>
    <row r="232" spans="1:9" x14ac:dyDescent="0.2">
      <c r="A232" s="93">
        <v>1</v>
      </c>
      <c r="B232" s="94"/>
      <c r="C232" s="17" t="s">
        <v>259</v>
      </c>
      <c r="D232" s="17">
        <f>(4.6*3.05+2.2*2.8+3.05*(3.8+2.8)+1.2*(2.1+2.05)+3.3*0.9)*(10.764)</f>
        <v>519.57827999999995</v>
      </c>
      <c r="E232" s="17">
        <f>(2.19*1.35+0.75*(2.2+3.05+3.05))*(10.764)</f>
        <v>98.829665999999989</v>
      </c>
      <c r="F232" s="17">
        <f t="shared" ref="F232:F240" si="42">D232+E232</f>
        <v>618.40794599999992</v>
      </c>
      <c r="G232" s="17">
        <v>0</v>
      </c>
      <c r="H232" s="17">
        <f t="shared" ref="H232:H240" si="43">F232*(($H$155)+1)+(IF(G232&lt;101,G232,IF(G232&lt;201,G232/2,IF(G232&lt;=301,G232/3,G232/4))))</f>
        <v>927.61191899999994</v>
      </c>
    </row>
    <row r="233" spans="1:9" x14ac:dyDescent="0.2">
      <c r="A233" s="93">
        <f t="shared" ref="A233:A240" si="44">A232+1</f>
        <v>2</v>
      </c>
      <c r="B233" s="94"/>
      <c r="C233" s="17" t="s">
        <v>259</v>
      </c>
      <c r="D233" s="17">
        <f>(4.6*3.05+2.2*2.8+3.05*(3.8+2.8)+1.2*(2.1+2.05)+3.3*0.9)*(10.764)</f>
        <v>519.57827999999995</v>
      </c>
      <c r="E233" s="17">
        <f>(2.115*1.35+0.75*(2.2+3.05+3.05))*(10.764)</f>
        <v>97.739811000000003</v>
      </c>
      <c r="F233" s="17">
        <f t="shared" si="42"/>
        <v>617.31809099999998</v>
      </c>
      <c r="G233" s="17">
        <v>0</v>
      </c>
      <c r="H233" s="17">
        <f t="shared" si="43"/>
        <v>925.97713649999992</v>
      </c>
    </row>
    <row r="234" spans="1:9" x14ac:dyDescent="0.2">
      <c r="A234" s="93">
        <f t="shared" si="44"/>
        <v>3</v>
      </c>
      <c r="B234" s="94"/>
      <c r="C234" s="17" t="s">
        <v>259</v>
      </c>
      <c r="D234" s="17">
        <f>(4.6*3.05+2.2*2.8+3.05*(3.8+2.8)+1.2*(2.1+2.05)+3.3*0.9)*(10.764)</f>
        <v>519.57827999999995</v>
      </c>
      <c r="E234" s="17">
        <f>(2.115*1.35+0.75*(2.2+3.05+3.05))*(10.764)</f>
        <v>97.739811000000003</v>
      </c>
      <c r="F234" s="17">
        <f t="shared" si="42"/>
        <v>617.31809099999998</v>
      </c>
      <c r="G234" s="17">
        <v>0</v>
      </c>
      <c r="H234" s="17">
        <f t="shared" si="43"/>
        <v>925.97713649999992</v>
      </c>
    </row>
    <row r="235" spans="1:9" ht="12.75" customHeight="1" x14ac:dyDescent="0.2">
      <c r="A235" s="93">
        <f t="shared" si="44"/>
        <v>4</v>
      </c>
      <c r="B235" s="94"/>
      <c r="C235" s="17" t="s">
        <v>55</v>
      </c>
      <c r="D235" s="17">
        <f>(4.3*3.05+2.1*2.4+2.85*3.35+1.2*(1.85+2.05)+1.3*1)*(10.764)</f>
        <v>362.55842999999993</v>
      </c>
      <c r="E235" s="17">
        <f>(2.12*1.35+0.75*(2.1+2.85))*(10.764)</f>
        <v>70.767917999999995</v>
      </c>
      <c r="F235" s="17">
        <f t="shared" si="42"/>
        <v>433.32634799999994</v>
      </c>
      <c r="G235" s="17">
        <v>0</v>
      </c>
      <c r="H235" s="17">
        <f t="shared" si="43"/>
        <v>649.98952199999985</v>
      </c>
    </row>
    <row r="236" spans="1:9" x14ac:dyDescent="0.2">
      <c r="A236" s="93">
        <f t="shared" si="44"/>
        <v>5</v>
      </c>
      <c r="B236" s="94"/>
      <c r="C236" s="17" t="s">
        <v>259</v>
      </c>
      <c r="D236" s="17">
        <f>(4.6*3.05+2.2*2.8+3.05*(3.8+2.8)+1.2*(2.1+2.05)+3.3*0.9)*(10.764)</f>
        <v>519.57827999999995</v>
      </c>
      <c r="E236" s="17">
        <f>(2.04*1.35+0.75*(2.2+3.05+3.05))*(10.764)</f>
        <v>96.649956000000003</v>
      </c>
      <c r="F236" s="17">
        <f t="shared" si="42"/>
        <v>616.22823599999992</v>
      </c>
      <c r="G236" s="17">
        <v>0</v>
      </c>
      <c r="H236" s="17">
        <f t="shared" si="43"/>
        <v>924.34235399999989</v>
      </c>
    </row>
    <row r="237" spans="1:9" ht="12.75" customHeight="1" x14ac:dyDescent="0.2">
      <c r="A237" s="93">
        <f t="shared" si="44"/>
        <v>6</v>
      </c>
      <c r="B237" s="94"/>
      <c r="C237" s="17" t="s">
        <v>55</v>
      </c>
      <c r="D237" s="17">
        <f>(4.3*3.05+2.1*2.4+2.85*3.35+1.2*(1.85+2.05)+1.3*1)*(10.764)</f>
        <v>362.55842999999993</v>
      </c>
      <c r="E237" s="17">
        <f>(1.895*1.35+0.75*(2.1+2.85))*(10.764)</f>
        <v>67.498352999999994</v>
      </c>
      <c r="F237" s="17">
        <f t="shared" si="42"/>
        <v>430.05678299999994</v>
      </c>
      <c r="G237" s="17">
        <v>0</v>
      </c>
      <c r="H237" s="17">
        <f t="shared" si="43"/>
        <v>645.08517449999988</v>
      </c>
    </row>
    <row r="238" spans="1:9" ht="14.25" customHeight="1" x14ac:dyDescent="0.2">
      <c r="A238" s="93">
        <f t="shared" si="44"/>
        <v>7</v>
      </c>
      <c r="B238" s="94"/>
      <c r="C238" s="17" t="s">
        <v>55</v>
      </c>
      <c r="D238" s="17">
        <f>(4.3*3.05+2.1*2.4+2.85*3.35+1.2*(1.85+2.05)+1.3*1)*(10.764)</f>
        <v>362.55842999999993</v>
      </c>
      <c r="E238" s="17">
        <f>(2.195*1.35+0.75*(2.1+2.85))*(10.764)</f>
        <v>71.857773000000009</v>
      </c>
      <c r="F238" s="17">
        <f t="shared" si="42"/>
        <v>434.41620299999994</v>
      </c>
      <c r="G238" s="17">
        <v>0</v>
      </c>
      <c r="H238" s="17">
        <f t="shared" si="43"/>
        <v>651.62430449999988</v>
      </c>
    </row>
    <row r="239" spans="1:9" ht="14.25" customHeight="1" x14ac:dyDescent="0.2">
      <c r="A239" s="93">
        <f t="shared" si="44"/>
        <v>8</v>
      </c>
      <c r="B239" s="94"/>
      <c r="C239" s="17" t="s">
        <v>259</v>
      </c>
      <c r="D239" s="17">
        <f>(4.6*3.05+2.2*2.8+3.05*(3.8+2.8)+1.2*(2.1+2.05)+3.3*0.9)*(10.764)</f>
        <v>519.57827999999995</v>
      </c>
      <c r="E239" s="17">
        <f>(2.115*1.35+0.75*(2.2+3.05+3.05))*(10.764)</f>
        <v>97.739811000000003</v>
      </c>
      <c r="F239" s="17">
        <f t="shared" si="42"/>
        <v>617.31809099999998</v>
      </c>
      <c r="G239" s="17">
        <v>0</v>
      </c>
      <c r="H239" s="17">
        <f t="shared" si="43"/>
        <v>925.97713649999992</v>
      </c>
    </row>
    <row r="240" spans="1:9" ht="14.25" customHeight="1" x14ac:dyDescent="0.2">
      <c r="A240" s="93">
        <f t="shared" si="44"/>
        <v>9</v>
      </c>
      <c r="B240" s="94"/>
      <c r="C240" s="17" t="s">
        <v>55</v>
      </c>
      <c r="D240" s="17">
        <f>(4.3*3.05+2.1*2.4+2.85*3.35+1.2*(1.85+2.05)+1.3*1)*(10.764)</f>
        <v>362.55842999999993</v>
      </c>
      <c r="E240" s="17">
        <f>(2.045*1.35+0.75*(2.1+2.85))*(10.764)</f>
        <v>69.678062999999995</v>
      </c>
      <c r="F240" s="17">
        <f t="shared" si="42"/>
        <v>432.23649299999994</v>
      </c>
      <c r="G240" s="17">
        <v>0</v>
      </c>
      <c r="H240" s="17">
        <f t="shared" si="43"/>
        <v>648.35473949999994</v>
      </c>
    </row>
    <row r="241" spans="1:9" s="76" customFormat="1" ht="12" customHeight="1" x14ac:dyDescent="0.25">
      <c r="A241" s="95" t="s">
        <v>273</v>
      </c>
      <c r="B241" s="95"/>
      <c r="C241" s="95"/>
      <c r="D241" s="95"/>
      <c r="E241" s="95"/>
      <c r="F241" s="95"/>
      <c r="G241" s="95"/>
      <c r="H241" s="95"/>
      <c r="I241" s="77">
        <f>4+4+4+4</f>
        <v>16</v>
      </c>
    </row>
    <row r="242" spans="1:9" x14ac:dyDescent="0.2">
      <c r="A242" s="93">
        <v>1</v>
      </c>
      <c r="B242" s="94"/>
      <c r="C242" s="17" t="s">
        <v>259</v>
      </c>
      <c r="D242" s="17">
        <f>(4.6*3.05+2.2*2.8+3.05*(3.8+2.8)+1.2*(2.1+2.05)+3.3*0.9)*(10.764)</f>
        <v>519.57827999999995</v>
      </c>
      <c r="E242" s="17">
        <f>(2.19*1.35+0.75*(2.2+3.05+3.05))*(10.764)</f>
        <v>98.829665999999989</v>
      </c>
      <c r="F242" s="17">
        <f t="shared" ref="F242:F250" si="45">D242+E242</f>
        <v>618.40794599999992</v>
      </c>
      <c r="G242" s="17">
        <v>0</v>
      </c>
      <c r="H242" s="17">
        <f t="shared" ref="H242:H250" si="46">F242*(($H$155)+1)+(IF(G242&lt;101,G242,IF(G242&lt;201,G242/2,IF(G242&lt;=301,G242/3,G242/4))))</f>
        <v>927.61191899999994</v>
      </c>
    </row>
    <row r="243" spans="1:9" x14ac:dyDescent="0.2">
      <c r="A243" s="93">
        <f t="shared" ref="A243:A250" si="47">A242+1</f>
        <v>2</v>
      </c>
      <c r="B243" s="94"/>
      <c r="C243" s="17" t="s">
        <v>259</v>
      </c>
      <c r="D243" s="17">
        <f>(4.6*3.05+2.2*2.8+3.05*(3.8+2.8)+1.2*(2.1+2.05)+3.3*0.9)*(10.764)</f>
        <v>519.57827999999995</v>
      </c>
      <c r="E243" s="17">
        <f>(2.115*1.35+0.75*(2.2+3.05+3.05))*(10.764)</f>
        <v>97.739811000000003</v>
      </c>
      <c r="F243" s="17">
        <f t="shared" si="45"/>
        <v>617.31809099999998</v>
      </c>
      <c r="G243" s="17">
        <v>0</v>
      </c>
      <c r="H243" s="17">
        <f t="shared" si="46"/>
        <v>925.97713649999992</v>
      </c>
    </row>
    <row r="244" spans="1:9" x14ac:dyDescent="0.2">
      <c r="A244" s="93">
        <f t="shared" si="47"/>
        <v>3</v>
      </c>
      <c r="B244" s="94"/>
      <c r="C244" s="17" t="s">
        <v>259</v>
      </c>
      <c r="D244" s="17">
        <f>(4.6*3.05+2.2*2.8+3.05*(3.8+2.8)+1.2*(2.1+2.05)+3.3*0.9)*(10.764)</f>
        <v>519.57827999999995</v>
      </c>
      <c r="E244" s="17">
        <f>(2.115*1.35+0.75*(2.2+3.05+3.05))*(10.764)</f>
        <v>97.739811000000003</v>
      </c>
      <c r="F244" s="17">
        <f t="shared" si="45"/>
        <v>617.31809099999998</v>
      </c>
      <c r="G244" s="17">
        <v>0</v>
      </c>
      <c r="H244" s="17">
        <f t="shared" si="46"/>
        <v>925.97713649999992</v>
      </c>
    </row>
    <row r="245" spans="1:9" ht="12.75" customHeight="1" x14ac:dyDescent="0.2">
      <c r="A245" s="93">
        <f t="shared" si="47"/>
        <v>4</v>
      </c>
      <c r="B245" s="94"/>
      <c r="C245" s="17" t="s">
        <v>55</v>
      </c>
      <c r="D245" s="17">
        <f>(4.3*3.05+2.1*2.4+2.85*3.35+1.2*(1.85+2.05)+1.3*1)*(10.764)</f>
        <v>362.55842999999993</v>
      </c>
      <c r="E245" s="17">
        <f>(2.12*1.35+0.75*(2.1+2.85))*(10.764)</f>
        <v>70.767917999999995</v>
      </c>
      <c r="F245" s="17">
        <f t="shared" si="45"/>
        <v>433.32634799999994</v>
      </c>
      <c r="G245" s="17">
        <v>0</v>
      </c>
      <c r="H245" s="17">
        <f t="shared" si="46"/>
        <v>649.98952199999985</v>
      </c>
    </row>
    <row r="246" spans="1:9" x14ac:dyDescent="0.2">
      <c r="A246" s="93">
        <f t="shared" si="47"/>
        <v>5</v>
      </c>
      <c r="B246" s="94"/>
      <c r="C246" s="17" t="s">
        <v>259</v>
      </c>
      <c r="D246" s="17">
        <f>(4.6*3.05+2.2*2.8+3.05*(3.8+2.8)+1.2*(2.1+2.05)+3.3*0.9)*(10.764)</f>
        <v>519.57827999999995</v>
      </c>
      <c r="E246" s="17">
        <f>(2.04*1.35+0.75*(2.2+3.05+3.05))*(10.764)</f>
        <v>96.649956000000003</v>
      </c>
      <c r="F246" s="17">
        <f t="shared" si="45"/>
        <v>616.22823599999992</v>
      </c>
      <c r="G246" s="17">
        <v>0</v>
      </c>
      <c r="H246" s="17">
        <f t="shared" si="46"/>
        <v>924.34235399999989</v>
      </c>
    </row>
    <row r="247" spans="1:9" ht="12.75" customHeight="1" x14ac:dyDescent="0.2">
      <c r="A247" s="93">
        <f t="shared" si="47"/>
        <v>6</v>
      </c>
      <c r="B247" s="94"/>
      <c r="C247" s="17" t="s">
        <v>55</v>
      </c>
      <c r="D247" s="17">
        <f>(4.3*3.05+2.1*2.4+2.85*3.35+1.2*(1.85+2.05)+1.3*1)*(10.764)</f>
        <v>362.55842999999993</v>
      </c>
      <c r="E247" s="17">
        <f>(1.895*1.35+0.75*(2.1+2.85))*(10.764)</f>
        <v>67.498352999999994</v>
      </c>
      <c r="F247" s="17">
        <f t="shared" si="45"/>
        <v>430.05678299999994</v>
      </c>
      <c r="G247" s="17">
        <v>0</v>
      </c>
      <c r="H247" s="17">
        <f t="shared" si="46"/>
        <v>645.08517449999988</v>
      </c>
    </row>
    <row r="248" spans="1:9" ht="14.25" customHeight="1" x14ac:dyDescent="0.2">
      <c r="A248" s="93">
        <f t="shared" si="47"/>
        <v>7</v>
      </c>
      <c r="B248" s="94"/>
      <c r="C248" s="17" t="s">
        <v>55</v>
      </c>
      <c r="D248" s="17">
        <f>(4.3*3.05+2.1*2.4+2.85*3.35+1.2*(1.85+2.05)+1.3*1)*(10.764)</f>
        <v>362.55842999999993</v>
      </c>
      <c r="E248" s="17">
        <f>(2.195*1.35+0.75*(2.1+2.85))*(10.764)</f>
        <v>71.857773000000009</v>
      </c>
      <c r="F248" s="17">
        <f t="shared" si="45"/>
        <v>434.41620299999994</v>
      </c>
      <c r="G248" s="17">
        <v>0</v>
      </c>
      <c r="H248" s="17">
        <f t="shared" si="46"/>
        <v>651.62430449999988</v>
      </c>
    </row>
    <row r="249" spans="1:9" ht="14.25" customHeight="1" x14ac:dyDescent="0.2">
      <c r="A249" s="93">
        <f t="shared" si="47"/>
        <v>8</v>
      </c>
      <c r="B249" s="94"/>
      <c r="C249" s="17" t="s">
        <v>259</v>
      </c>
      <c r="D249" s="17">
        <f>(4.6*3.05+2.2*2.8+3.05*(3.8+2.8)+1.2*(2.1+2.05)+3.3*0.9)*(10.764)</f>
        <v>519.57827999999995</v>
      </c>
      <c r="E249" s="17">
        <f>(2.115*1.35+0.75*(2.2+3.05+3.05))*(10.764)</f>
        <v>97.739811000000003</v>
      </c>
      <c r="F249" s="17">
        <f t="shared" si="45"/>
        <v>617.31809099999998</v>
      </c>
      <c r="G249" s="17">
        <v>0</v>
      </c>
      <c r="H249" s="17">
        <f t="shared" si="46"/>
        <v>925.97713649999992</v>
      </c>
    </row>
    <row r="250" spans="1:9" ht="14.25" customHeight="1" x14ac:dyDescent="0.2">
      <c r="A250" s="93">
        <f t="shared" si="47"/>
        <v>9</v>
      </c>
      <c r="B250" s="94"/>
      <c r="C250" s="17" t="s">
        <v>55</v>
      </c>
      <c r="D250" s="17">
        <f>(4.3*3.05+2.1*2.4+2.85*3.35+1.2*(1.85+2.05)+1.3*1)*(10.764)</f>
        <v>362.55842999999993</v>
      </c>
      <c r="E250" s="17">
        <f>(2.045*1.35+0.75*(2.1+2.85))*(10.764)</f>
        <v>69.678062999999995</v>
      </c>
      <c r="F250" s="17">
        <f t="shared" si="45"/>
        <v>432.23649299999994</v>
      </c>
      <c r="G250" s="17">
        <v>0</v>
      </c>
      <c r="H250" s="17">
        <f t="shared" si="46"/>
        <v>648.35473949999994</v>
      </c>
    </row>
    <row r="251" spans="1:9" s="76" customFormat="1" ht="12" customHeight="1" x14ac:dyDescent="0.25">
      <c r="A251" s="95" t="s">
        <v>267</v>
      </c>
      <c r="B251" s="95"/>
      <c r="C251" s="95"/>
      <c r="D251" s="95"/>
      <c r="E251" s="95"/>
      <c r="F251" s="95"/>
      <c r="G251" s="95"/>
      <c r="H251" s="95"/>
      <c r="I251" s="77">
        <v>3</v>
      </c>
    </row>
    <row r="252" spans="1:9" x14ac:dyDescent="0.2">
      <c r="A252" s="93">
        <v>1</v>
      </c>
      <c r="B252" s="94"/>
      <c r="C252" s="17" t="s">
        <v>259</v>
      </c>
      <c r="D252" s="17">
        <f>(4.6*3.05+2.2*2.8+3.05*(3.8+2.8)+1.2*(2.1+2.05)+3.3*0.9)*(10.764)</f>
        <v>519.57827999999995</v>
      </c>
      <c r="E252" s="17">
        <f>(2.19*1.35+0.75*(2.2+3.05+3.05))*(10.764)</f>
        <v>98.829665999999989</v>
      </c>
      <c r="F252" s="17">
        <f t="shared" ref="F252:F257" si="48">D252+E252</f>
        <v>618.40794599999992</v>
      </c>
      <c r="G252" s="17">
        <v>0</v>
      </c>
      <c r="H252" s="17">
        <f t="shared" ref="H252:H257" si="49">F252*(($H$155)+1)+(IF(G252&lt;101,G252,IF(G252&lt;201,G252/2,IF(G252&lt;=301,G252/3,G252/4))))</f>
        <v>927.61191899999994</v>
      </c>
    </row>
    <row r="253" spans="1:9" x14ac:dyDescent="0.2">
      <c r="A253" s="93">
        <f t="shared" ref="A253:A260" si="50">A252+1</f>
        <v>2</v>
      </c>
      <c r="B253" s="94"/>
      <c r="C253" s="17" t="s">
        <v>259</v>
      </c>
      <c r="D253" s="17">
        <f>(4.6*3.05+2.2*2.8+3.05*(3.8+2.8)+1.2*(2.1+2.05)+3.3*0.9)*(10.764)</f>
        <v>519.57827999999995</v>
      </c>
      <c r="E253" s="17">
        <f>(2.115*1.35+0.75*(2.2+3.05+3.05))*(10.764)</f>
        <v>97.739811000000003</v>
      </c>
      <c r="F253" s="17">
        <f t="shared" si="48"/>
        <v>617.31809099999998</v>
      </c>
      <c r="G253" s="17">
        <v>0</v>
      </c>
      <c r="H253" s="17">
        <f t="shared" si="49"/>
        <v>925.97713649999992</v>
      </c>
    </row>
    <row r="254" spans="1:9" x14ac:dyDescent="0.2">
      <c r="A254" s="93">
        <f t="shared" si="50"/>
        <v>3</v>
      </c>
      <c r="B254" s="94"/>
      <c r="C254" s="17" t="s">
        <v>259</v>
      </c>
      <c r="D254" s="17">
        <f>(4.6*3.05+2.2*2.8+3.05*(3.8+2.8)+1.2*(2.1+2.05)+3.3*0.9)*(10.764)</f>
        <v>519.57827999999995</v>
      </c>
      <c r="E254" s="17">
        <f>(2.115*1.35+0.75*(2.2+3.05+3.05))*(10.764)</f>
        <v>97.739811000000003</v>
      </c>
      <c r="F254" s="17">
        <f t="shared" si="48"/>
        <v>617.31809099999998</v>
      </c>
      <c r="G254" s="17">
        <v>0</v>
      </c>
      <c r="H254" s="17">
        <f t="shared" si="49"/>
        <v>925.97713649999992</v>
      </c>
    </row>
    <row r="255" spans="1:9" ht="12.75" customHeight="1" x14ac:dyDescent="0.2">
      <c r="A255" s="93">
        <f t="shared" si="50"/>
        <v>4</v>
      </c>
      <c r="B255" s="94"/>
      <c r="C255" s="17" t="s">
        <v>55</v>
      </c>
      <c r="D255" s="17">
        <f>(4.3*3.05+2.1*2.4+2.85*3.35+1.2*(1.85+2.05)+1.3*1)*(10.764)</f>
        <v>362.55842999999993</v>
      </c>
      <c r="E255" s="17">
        <f>(2.12*1.35+0.75*(2.1+2.85))*(10.764)</f>
        <v>70.767917999999995</v>
      </c>
      <c r="F255" s="17">
        <f t="shared" si="48"/>
        <v>433.32634799999994</v>
      </c>
      <c r="G255" s="17">
        <v>0</v>
      </c>
      <c r="H255" s="17">
        <f t="shared" si="49"/>
        <v>649.98952199999985</v>
      </c>
    </row>
    <row r="256" spans="1:9" x14ac:dyDescent="0.2">
      <c r="A256" s="93">
        <f t="shared" si="50"/>
        <v>5</v>
      </c>
      <c r="B256" s="94"/>
      <c r="C256" s="17" t="s">
        <v>259</v>
      </c>
      <c r="D256" s="17">
        <f>(4.6*3.05+2.2*2.8+3.05*(3.8+2.8)+1.2*(2.1+2.05)+3.3*0.9)*(10.764)</f>
        <v>519.57827999999995</v>
      </c>
      <c r="E256" s="17">
        <f>(2.04*1.35+0.75*(2.2+3.05+3.05))*(10.764)</f>
        <v>96.649956000000003</v>
      </c>
      <c r="F256" s="17">
        <f t="shared" si="48"/>
        <v>616.22823599999992</v>
      </c>
      <c r="G256" s="17">
        <v>0</v>
      </c>
      <c r="H256" s="17">
        <f t="shared" si="49"/>
        <v>924.34235399999989</v>
      </c>
    </row>
    <row r="257" spans="1:10" ht="12.75" customHeight="1" x14ac:dyDescent="0.2">
      <c r="A257" s="93">
        <f t="shared" si="50"/>
        <v>6</v>
      </c>
      <c r="B257" s="94"/>
      <c r="C257" s="17" t="s">
        <v>55</v>
      </c>
      <c r="D257" s="17">
        <f>(4.3*3.05+2.1*2.4+2.85*3.35+1.2*(1.85+2.05)+1.3*1)*(10.764)</f>
        <v>362.55842999999993</v>
      </c>
      <c r="E257" s="17">
        <f>(1.97*1.35+0.75*(2.1+2.85))*(10.764)</f>
        <v>68.588207999999995</v>
      </c>
      <c r="F257" s="17">
        <f t="shared" si="48"/>
        <v>431.14663799999994</v>
      </c>
      <c r="G257" s="17">
        <v>0</v>
      </c>
      <c r="H257" s="17">
        <f t="shared" si="49"/>
        <v>646.71995699999991</v>
      </c>
    </row>
    <row r="258" spans="1:10" ht="14.25" customHeight="1" x14ac:dyDescent="0.2">
      <c r="A258" s="93">
        <f t="shared" si="50"/>
        <v>7</v>
      </c>
      <c r="B258" s="94"/>
      <c r="C258" s="96" t="s">
        <v>271</v>
      </c>
      <c r="D258" s="97"/>
      <c r="E258" s="97"/>
      <c r="F258" s="97"/>
      <c r="G258" s="97"/>
      <c r="H258" s="98"/>
    </row>
    <row r="259" spans="1:10" ht="14.25" customHeight="1" x14ac:dyDescent="0.2">
      <c r="A259" s="93">
        <f t="shared" si="50"/>
        <v>8</v>
      </c>
      <c r="B259" s="94"/>
      <c r="C259" s="17" t="s">
        <v>259</v>
      </c>
      <c r="D259" s="17">
        <f>(4.6*3.05+2.2*2.8+3.05*(3.8+2.8)+1.2*(2.1+2.05)+3.3*0.9)*(10.764)</f>
        <v>519.57827999999995</v>
      </c>
      <c r="E259" s="17">
        <f>(2.115*1.35+0.75*(2.2+3.05+3.05))*(10.764)</f>
        <v>97.739811000000003</v>
      </c>
      <c r="F259" s="17">
        <f t="shared" ref="F259" si="51">D259+E259</f>
        <v>617.31809099999998</v>
      </c>
      <c r="G259" s="17">
        <v>0</v>
      </c>
      <c r="H259" s="17">
        <f t="shared" ref="H259" si="52">F259*(($H$155)+1)+(IF(G259&lt;101,G259,IF(G259&lt;201,G259/2,IF(G259&lt;=301,G259/3,G259/4))))</f>
        <v>925.97713649999992</v>
      </c>
    </row>
    <row r="260" spans="1:10" ht="14.25" customHeight="1" x14ac:dyDescent="0.2">
      <c r="A260" s="93">
        <f t="shared" si="50"/>
        <v>9</v>
      </c>
      <c r="B260" s="94"/>
      <c r="C260" s="17" t="s">
        <v>55</v>
      </c>
      <c r="D260" s="17">
        <f>(4.3*3.05+2.1*2.4+2.85*3.35+1.2*(1.85+2.05)+1.3*1)*(10.764)</f>
        <v>362.55842999999993</v>
      </c>
      <c r="E260" s="17">
        <f>(2.045*1.35+0.75*(2.1+2.85))*(10.764)</f>
        <v>69.678062999999995</v>
      </c>
      <c r="F260" s="17">
        <f t="shared" ref="F260" si="53">D260+E260</f>
        <v>432.23649299999994</v>
      </c>
      <c r="G260" s="17">
        <v>0</v>
      </c>
      <c r="H260" s="17">
        <f t="shared" ref="H260" si="54">F260*(($H$155)+1)+(IF(G260&lt;101,G260,IF(G260&lt;201,G260/2,IF(G260&lt;=301,G260/3,G260/4))))</f>
        <v>648.35473949999994</v>
      </c>
    </row>
    <row r="261" spans="1:10" s="76" customFormat="1" ht="12" customHeight="1" x14ac:dyDescent="0.25">
      <c r="A261" s="105" t="s">
        <v>300</v>
      </c>
      <c r="B261" s="105"/>
      <c r="C261" s="105"/>
      <c r="D261" s="105"/>
      <c r="E261" s="105"/>
      <c r="F261" s="105"/>
      <c r="G261" s="105"/>
      <c r="H261" s="105"/>
      <c r="J261" s="77"/>
    </row>
    <row r="262" spans="1:10" s="76" customFormat="1" ht="24.75" customHeight="1" x14ac:dyDescent="0.25">
      <c r="A262" s="95" t="s">
        <v>268</v>
      </c>
      <c r="B262" s="95"/>
      <c r="C262" s="95"/>
      <c r="D262" s="95"/>
      <c r="E262" s="95"/>
      <c r="F262" s="95"/>
      <c r="G262" s="95"/>
      <c r="H262" s="95"/>
      <c r="J262" s="77"/>
    </row>
    <row r="263" spans="1:10" s="76" customFormat="1" ht="12" customHeight="1" x14ac:dyDescent="0.25">
      <c r="A263" s="95" t="s">
        <v>274</v>
      </c>
      <c r="B263" s="95"/>
      <c r="C263" s="95"/>
      <c r="D263" s="95"/>
      <c r="E263" s="95"/>
      <c r="F263" s="95"/>
      <c r="G263" s="95"/>
      <c r="H263" s="95"/>
      <c r="I263" s="77">
        <v>2</v>
      </c>
    </row>
    <row r="264" spans="1:10" s="76" customFormat="1" ht="12" customHeight="1" x14ac:dyDescent="0.25">
      <c r="A264" s="95" t="s">
        <v>275</v>
      </c>
      <c r="B264" s="95"/>
      <c r="C264" s="95"/>
      <c r="D264" s="95"/>
      <c r="E264" s="95"/>
      <c r="F264" s="95"/>
      <c r="G264" s="95"/>
      <c r="H264" s="95"/>
      <c r="I264" s="77">
        <f>1</f>
        <v>1</v>
      </c>
    </row>
    <row r="265" spans="1:10" x14ac:dyDescent="0.2">
      <c r="A265" s="93" t="s">
        <v>260</v>
      </c>
      <c r="B265" s="94"/>
      <c r="C265" s="96" t="s">
        <v>276</v>
      </c>
      <c r="D265" s="97"/>
      <c r="E265" s="97"/>
      <c r="F265" s="97"/>
      <c r="G265" s="97"/>
      <c r="H265" s="98"/>
    </row>
    <row r="266" spans="1:10" x14ac:dyDescent="0.2">
      <c r="A266" s="93">
        <v>2</v>
      </c>
      <c r="B266" s="94"/>
      <c r="C266" s="19" t="s">
        <v>259</v>
      </c>
      <c r="D266" s="17">
        <f>(4.6*3.05+2.2*2.8+3.05*(3.8+2.8)+1.2*(2.1+2.05)+3.3*0.9)*(10.764)</f>
        <v>519.57827999999995</v>
      </c>
      <c r="E266" s="17">
        <f>(0.75*(2.2+3.05+3.05))*(10.764)</f>
        <v>67.005899999999997</v>
      </c>
      <c r="F266" s="17">
        <f t="shared" ref="F266:F268" si="55">D266+E266</f>
        <v>586.58417999999995</v>
      </c>
      <c r="G266" s="17">
        <v>0</v>
      </c>
      <c r="H266" s="17">
        <f t="shared" ref="H266:H268" si="56">F266*(($H$155)+1)+(IF(G266&lt;101,G266,IF(G266&lt;201,G266/2,IF(G266&lt;=301,G266/3,G266/4))))</f>
        <v>879.87626999999998</v>
      </c>
    </row>
    <row r="267" spans="1:10" x14ac:dyDescent="0.2">
      <c r="A267" s="93">
        <f t="shared" ref="A267:A268" si="57">A266+1</f>
        <v>3</v>
      </c>
      <c r="B267" s="94"/>
      <c r="C267" s="19" t="s">
        <v>55</v>
      </c>
      <c r="D267" s="17">
        <f>(4.3*3.05+2.1*2.4+2.85*3.35+1.2*(1.85+2.05)+1.2*1)*(10.764)</f>
        <v>361.48203000000001</v>
      </c>
      <c r="E267" s="17">
        <f>(0.75*(2.1+2.85))*(10.764)</f>
        <v>39.961350000000003</v>
      </c>
      <c r="F267" s="17">
        <f t="shared" si="55"/>
        <v>401.44337999999999</v>
      </c>
      <c r="G267" s="17">
        <v>0</v>
      </c>
      <c r="H267" s="17">
        <f t="shared" si="56"/>
        <v>602.16507000000001</v>
      </c>
    </row>
    <row r="268" spans="1:10" x14ac:dyDescent="0.2">
      <c r="A268" s="93">
        <f t="shared" si="57"/>
        <v>4</v>
      </c>
      <c r="B268" s="94"/>
      <c r="C268" s="19" t="s">
        <v>259</v>
      </c>
      <c r="D268" s="17">
        <f>(4.6*3.05+2.2*2.8+3.05*(3.8+2.8)+1.2*(2.1+2.05)+3.3*0.9)*(10.764)</f>
        <v>519.57827999999995</v>
      </c>
      <c r="E268" s="17">
        <f>(0.75*(2.2+3.05+3.05))*(10.764)</f>
        <v>67.005899999999997</v>
      </c>
      <c r="F268" s="17">
        <f t="shared" si="55"/>
        <v>586.58417999999995</v>
      </c>
      <c r="G268" s="17">
        <v>0</v>
      </c>
      <c r="H268" s="17">
        <f t="shared" si="56"/>
        <v>879.87626999999998</v>
      </c>
    </row>
    <row r="269" spans="1:10" ht="15" customHeight="1" x14ac:dyDescent="0.2">
      <c r="A269" s="93" t="s">
        <v>260</v>
      </c>
      <c r="B269" s="94"/>
      <c r="C269" s="269" t="s">
        <v>277</v>
      </c>
      <c r="D269" s="270"/>
      <c r="E269" s="270"/>
      <c r="F269" s="270"/>
      <c r="G269" s="270"/>
      <c r="H269" s="271"/>
    </row>
    <row r="270" spans="1:10" x14ac:dyDescent="0.2">
      <c r="A270" s="93" t="s">
        <v>260</v>
      </c>
      <c r="B270" s="94"/>
      <c r="C270" s="272"/>
      <c r="D270" s="273"/>
      <c r="E270" s="273"/>
      <c r="F270" s="273"/>
      <c r="G270" s="273"/>
      <c r="H270" s="274"/>
    </row>
    <row r="271" spans="1:10" x14ac:dyDescent="0.2">
      <c r="A271" s="93" t="s">
        <v>260</v>
      </c>
      <c r="B271" s="94"/>
      <c r="C271" s="272"/>
      <c r="D271" s="273"/>
      <c r="E271" s="273"/>
      <c r="F271" s="273"/>
      <c r="G271" s="273"/>
      <c r="H271" s="274"/>
    </row>
    <row r="272" spans="1:10" x14ac:dyDescent="0.2">
      <c r="A272" s="93" t="s">
        <v>260</v>
      </c>
      <c r="B272" s="94"/>
      <c r="C272" s="275"/>
      <c r="D272" s="276"/>
      <c r="E272" s="276"/>
      <c r="F272" s="276"/>
      <c r="G272" s="276"/>
      <c r="H272" s="277"/>
    </row>
    <row r="273" spans="1:9" s="76" customFormat="1" ht="12" customHeight="1" x14ac:dyDescent="0.25">
      <c r="A273" s="95" t="s">
        <v>278</v>
      </c>
      <c r="B273" s="95"/>
      <c r="C273" s="95"/>
      <c r="D273" s="95"/>
      <c r="E273" s="95"/>
      <c r="F273" s="95"/>
      <c r="G273" s="95"/>
      <c r="H273" s="95"/>
      <c r="I273" s="77">
        <f>3+4+4+4+4</f>
        <v>19</v>
      </c>
    </row>
    <row r="274" spans="1:9" x14ac:dyDescent="0.2">
      <c r="A274" s="93">
        <v>1</v>
      </c>
      <c r="B274" s="94"/>
      <c r="C274" s="17" t="s">
        <v>259</v>
      </c>
      <c r="D274" s="17">
        <f>(4.6*3.05+2.2*2.8+3.05*(3.8+2.8)+1.2*(2.1+2.05)+3.3*0.9)*(10.764)</f>
        <v>519.57827999999995</v>
      </c>
      <c r="E274" s="17">
        <f>(2.05*1.35+3.05*1.05+0.75*(2.2+3.05))*(10.764)</f>
        <v>106.64433</v>
      </c>
      <c r="F274" s="17">
        <f t="shared" ref="F274:F281" si="58">D274+E274</f>
        <v>626.22260999999992</v>
      </c>
      <c r="G274" s="17">
        <v>0</v>
      </c>
      <c r="H274" s="17">
        <f t="shared" ref="H274:H281" si="59">F274*(($H$155)+1)+(IF(G274&lt;101,G274,IF(G274&lt;201,G274/2,IF(G274&lt;=301,G274/3,G274/4))))</f>
        <v>939.33391499999993</v>
      </c>
    </row>
    <row r="275" spans="1:9" x14ac:dyDescent="0.2">
      <c r="A275" s="93">
        <f t="shared" ref="A275:A281" si="60">A274+1</f>
        <v>2</v>
      </c>
      <c r="B275" s="94"/>
      <c r="C275" s="17" t="s">
        <v>259</v>
      </c>
      <c r="D275" s="17">
        <f>(4.6*3.05+2.2*2.8+3.05*(3.8+2.8)+1.2*(2.1+2.05)+3.3*0.9)*(10.764)</f>
        <v>519.57827999999995</v>
      </c>
      <c r="E275" s="17">
        <f>(2.05*1.35+3.05*1.05+0.75*(2.2+3.05))*(10.764)</f>
        <v>106.64433</v>
      </c>
      <c r="F275" s="17">
        <f t="shared" si="58"/>
        <v>626.22260999999992</v>
      </c>
      <c r="G275" s="17">
        <v>0</v>
      </c>
      <c r="H275" s="17">
        <f t="shared" si="59"/>
        <v>939.33391499999993</v>
      </c>
    </row>
    <row r="276" spans="1:9" x14ac:dyDescent="0.2">
      <c r="A276" s="93">
        <f t="shared" si="60"/>
        <v>3</v>
      </c>
      <c r="B276" s="94"/>
      <c r="C276" s="17" t="s">
        <v>55</v>
      </c>
      <c r="D276" s="17">
        <f>(4.3*3.05+2.1*2.4+2.85*3.35+1.2*(1.85+2.05)+1.2*1)*(10.764)</f>
        <v>361.48203000000001</v>
      </c>
      <c r="E276" s="17">
        <f>(1.95*1.35+0.75*(2.1+2.85))*(10.764)</f>
        <v>68.297579999999996</v>
      </c>
      <c r="F276" s="17">
        <f t="shared" si="58"/>
        <v>429.77960999999999</v>
      </c>
      <c r="G276" s="17">
        <v>0</v>
      </c>
      <c r="H276" s="17">
        <f t="shared" si="59"/>
        <v>644.66941499999996</v>
      </c>
    </row>
    <row r="277" spans="1:9" ht="12.75" customHeight="1" x14ac:dyDescent="0.2">
      <c r="A277" s="93">
        <f t="shared" si="60"/>
        <v>4</v>
      </c>
      <c r="B277" s="94"/>
      <c r="C277" s="17" t="s">
        <v>259</v>
      </c>
      <c r="D277" s="17">
        <f>(4.6*3.05+2.2*2.8+3.05*(3.8+2.8)+1.2*(2.1+2.05)+3.3*0.9)*(10.764)</f>
        <v>519.57827999999995</v>
      </c>
      <c r="E277" s="17">
        <f>(2.05*1.35+3.05*1.05+0.75*(2.2+3.05))*(10.764)</f>
        <v>106.64433</v>
      </c>
      <c r="F277" s="17">
        <f t="shared" si="58"/>
        <v>626.22260999999992</v>
      </c>
      <c r="G277" s="17">
        <v>0</v>
      </c>
      <c r="H277" s="17">
        <f t="shared" si="59"/>
        <v>939.33391499999993</v>
      </c>
    </row>
    <row r="278" spans="1:9" x14ac:dyDescent="0.2">
      <c r="A278" s="93">
        <f t="shared" si="60"/>
        <v>5</v>
      </c>
      <c r="B278" s="94"/>
      <c r="C278" s="17" t="s">
        <v>55</v>
      </c>
      <c r="D278" s="17">
        <f>(4.3*3.05+2.1*2.4+2.85*3.35+1.2*(1.85+2.05)+1.2*1)*(10.764)</f>
        <v>361.48203000000001</v>
      </c>
      <c r="E278" s="17">
        <f>(1.95*1.35+0.75*(2.1+2.85))*(10.764)</f>
        <v>68.297579999999996</v>
      </c>
      <c r="F278" s="17">
        <f t="shared" si="58"/>
        <v>429.77960999999999</v>
      </c>
      <c r="G278" s="17">
        <v>0</v>
      </c>
      <c r="H278" s="17">
        <f t="shared" si="59"/>
        <v>644.66941499999996</v>
      </c>
    </row>
    <row r="279" spans="1:9" ht="12.75" customHeight="1" x14ac:dyDescent="0.2">
      <c r="A279" s="93">
        <f t="shared" si="60"/>
        <v>6</v>
      </c>
      <c r="B279" s="94"/>
      <c r="C279" s="17" t="s">
        <v>55</v>
      </c>
      <c r="D279" s="17">
        <f>(4.3*3.05+2.1*2.4+2.85*3.35+1.2*(1.85+2.05)+1.2*1)*(10.764)</f>
        <v>361.48203000000001</v>
      </c>
      <c r="E279" s="17">
        <f>(1.95*1.35+0.75*(2.1+2.85))*(10.764)</f>
        <v>68.297579999999996</v>
      </c>
      <c r="F279" s="17">
        <f t="shared" si="58"/>
        <v>429.77960999999999</v>
      </c>
      <c r="G279" s="17">
        <v>0</v>
      </c>
      <c r="H279" s="17">
        <f t="shared" si="59"/>
        <v>644.66941499999996</v>
      </c>
    </row>
    <row r="280" spans="1:9" ht="14.25" customHeight="1" x14ac:dyDescent="0.2">
      <c r="A280" s="93">
        <f t="shared" si="60"/>
        <v>7</v>
      </c>
      <c r="B280" s="94"/>
      <c r="C280" s="17" t="s">
        <v>259</v>
      </c>
      <c r="D280" s="17">
        <f>(4.9*3.05+2.2*3.25+3.25*2.75+3.8*3.05+2*(1.2*2.05)+3.1*0.9)*(10.764)</f>
        <v>541.77902999999992</v>
      </c>
      <c r="E280" s="17">
        <f>(2.4*1.35+3.2*1.05+0.75*(2.2+2.75))*(10.764)</f>
        <v>111.00375</v>
      </c>
      <c r="F280" s="17">
        <f t="shared" si="58"/>
        <v>652.78277999999989</v>
      </c>
      <c r="G280" s="17">
        <v>0</v>
      </c>
      <c r="H280" s="17">
        <f t="shared" si="59"/>
        <v>979.17416999999978</v>
      </c>
    </row>
    <row r="281" spans="1:9" ht="14.25" customHeight="1" x14ac:dyDescent="0.2">
      <c r="A281" s="93">
        <f t="shared" si="60"/>
        <v>8</v>
      </c>
      <c r="B281" s="94"/>
      <c r="C281" s="17" t="s">
        <v>259</v>
      </c>
      <c r="D281" s="17">
        <f>(4.9*3.05+2.2*3.25+3.25*2.75+3.8*3.05+2*(1.2*2.05)+3.1*0.9)*(10.764)</f>
        <v>541.77902999999992</v>
      </c>
      <c r="E281" s="17">
        <f>(2.4*1.35+3.2*1.05+0.75*(2.2+2.75))*(10.764)</f>
        <v>111.00375</v>
      </c>
      <c r="F281" s="17">
        <f t="shared" si="58"/>
        <v>652.78277999999989</v>
      </c>
      <c r="G281" s="17">
        <v>0</v>
      </c>
      <c r="H281" s="17">
        <f t="shared" si="59"/>
        <v>979.17416999999978</v>
      </c>
    </row>
    <row r="282" spans="1:9" s="76" customFormat="1" ht="12" customHeight="1" x14ac:dyDescent="0.25">
      <c r="A282" s="95" t="s">
        <v>279</v>
      </c>
      <c r="B282" s="95"/>
      <c r="C282" s="95"/>
      <c r="D282" s="95"/>
      <c r="E282" s="95"/>
      <c r="F282" s="95"/>
      <c r="G282" s="95"/>
      <c r="H282" s="95"/>
      <c r="I282" s="77">
        <v>5</v>
      </c>
    </row>
    <row r="283" spans="1:9" x14ac:dyDescent="0.2">
      <c r="A283" s="93">
        <v>1</v>
      </c>
      <c r="B283" s="94"/>
      <c r="C283" s="17" t="s">
        <v>259</v>
      </c>
      <c r="D283" s="17">
        <f>(4.6*3.05+2.2*2.8+3.05*(3.8+2.8)+1.2*(2.1+2.05)+3.3*0.9)*(10.764)</f>
        <v>519.57827999999995</v>
      </c>
      <c r="E283" s="17">
        <f>(2.05*1.35+3.05*1.05+0.75*(2.2+3.05))*(10.764)</f>
        <v>106.64433</v>
      </c>
      <c r="F283" s="17">
        <f t="shared" ref="F283:F290" si="61">D283+E283</f>
        <v>626.22260999999992</v>
      </c>
      <c r="G283" s="17">
        <v>0</v>
      </c>
      <c r="H283" s="17">
        <f t="shared" ref="H283:H290" si="62">F283*(($H$155)+1)+(IF(G283&lt;101,G283,IF(G283&lt;201,G283/2,IF(G283&lt;=301,G283/3,G283/4))))</f>
        <v>939.33391499999993</v>
      </c>
    </row>
    <row r="284" spans="1:9" x14ac:dyDescent="0.2">
      <c r="A284" s="93">
        <f t="shared" ref="A284:A290" si="63">A283+1</f>
        <v>2</v>
      </c>
      <c r="B284" s="94"/>
      <c r="C284" s="17" t="s">
        <v>259</v>
      </c>
      <c r="D284" s="17">
        <f>(4.6*3.05+2.2*2.8+3.05*(3.8+2.8)+1.2*(2.1+2.05)+3.3*0.9)*(10.764)</f>
        <v>519.57827999999995</v>
      </c>
      <c r="E284" s="17">
        <f>(2.05*1.35+3.05*1.05+0.75*(2.2+3.05))*(10.764)</f>
        <v>106.64433</v>
      </c>
      <c r="F284" s="17">
        <f t="shared" si="61"/>
        <v>626.22260999999992</v>
      </c>
      <c r="G284" s="17">
        <v>0</v>
      </c>
      <c r="H284" s="17">
        <f t="shared" si="62"/>
        <v>939.33391499999993</v>
      </c>
    </row>
    <row r="285" spans="1:9" x14ac:dyDescent="0.2">
      <c r="A285" s="93">
        <f t="shared" si="63"/>
        <v>3</v>
      </c>
      <c r="B285" s="94"/>
      <c r="C285" s="17" t="s">
        <v>55</v>
      </c>
      <c r="D285" s="17">
        <f>(4.3*3.05+2.1*2.4+2.85*3.35+1.2*(1.85+2.05)+1.2*1)*(10.764)</f>
        <v>361.48203000000001</v>
      </c>
      <c r="E285" s="17">
        <f>(1.95*1.35+0.75*(2.1+2.85))*(10.764)</f>
        <v>68.297579999999996</v>
      </c>
      <c r="F285" s="17">
        <f t="shared" si="61"/>
        <v>429.77960999999999</v>
      </c>
      <c r="G285" s="17">
        <v>0</v>
      </c>
      <c r="H285" s="17">
        <f t="shared" si="62"/>
        <v>644.66941499999996</v>
      </c>
    </row>
    <row r="286" spans="1:9" ht="12.75" customHeight="1" x14ac:dyDescent="0.2">
      <c r="A286" s="93">
        <f t="shared" si="63"/>
        <v>4</v>
      </c>
      <c r="B286" s="94"/>
      <c r="C286" s="17" t="s">
        <v>259</v>
      </c>
      <c r="D286" s="17">
        <f>(4.6*3.05+2.2*2.8+3.05*(3.8+2.8)+1.2*(2.1+2.05)+3.3*0.9)*(10.764)</f>
        <v>519.57827999999995</v>
      </c>
      <c r="E286" s="17">
        <f>(2.05*1.35+3.05*1.05+0.75*(2.2+3.05))*(10.764)</f>
        <v>106.64433</v>
      </c>
      <c r="F286" s="17">
        <f t="shared" si="61"/>
        <v>626.22260999999992</v>
      </c>
      <c r="G286" s="17">
        <v>0</v>
      </c>
      <c r="H286" s="17">
        <f t="shared" si="62"/>
        <v>939.33391499999993</v>
      </c>
    </row>
    <row r="287" spans="1:9" x14ac:dyDescent="0.2">
      <c r="A287" s="93">
        <f t="shared" si="63"/>
        <v>5</v>
      </c>
      <c r="B287" s="94"/>
      <c r="C287" s="96" t="s">
        <v>271</v>
      </c>
      <c r="D287" s="97"/>
      <c r="E287" s="97"/>
      <c r="F287" s="97"/>
      <c r="G287" s="97"/>
      <c r="H287" s="98"/>
    </row>
    <row r="288" spans="1:9" ht="12.75" customHeight="1" x14ac:dyDescent="0.2">
      <c r="A288" s="93">
        <f t="shared" si="63"/>
        <v>6</v>
      </c>
      <c r="B288" s="94"/>
      <c r="C288" s="17" t="s">
        <v>55</v>
      </c>
      <c r="D288" s="17">
        <f>(4.3*3.05+2.1*2.4+2.85*3.35+1.2*(1.85+2.05)+1.2*1)*(10.764)</f>
        <v>361.48203000000001</v>
      </c>
      <c r="E288" s="17">
        <f>(1.95*1.35+0.75*(2.1+2.85))*(10.764)</f>
        <v>68.297579999999996</v>
      </c>
      <c r="F288" s="17">
        <f t="shared" si="61"/>
        <v>429.77960999999999</v>
      </c>
      <c r="G288" s="17">
        <v>0</v>
      </c>
      <c r="H288" s="17">
        <f t="shared" si="62"/>
        <v>644.66941499999996</v>
      </c>
    </row>
    <row r="289" spans="1:9" ht="14.25" customHeight="1" x14ac:dyDescent="0.2">
      <c r="A289" s="93">
        <f t="shared" si="63"/>
        <v>7</v>
      </c>
      <c r="B289" s="94"/>
      <c r="C289" s="17" t="s">
        <v>259</v>
      </c>
      <c r="D289" s="17">
        <f>(4.9*3.05+2.2*3.25+3.25*2.75+3.8*3.05+2*(1.2*2.05)+3.1*0.9)*(10.764)</f>
        <v>541.77902999999992</v>
      </c>
      <c r="E289" s="17">
        <f>(2.4*1.35+3.2*1.05+0.75*(2.2+2.75))*(10.764)</f>
        <v>111.00375</v>
      </c>
      <c r="F289" s="17">
        <f t="shared" si="61"/>
        <v>652.78277999999989</v>
      </c>
      <c r="G289" s="17">
        <v>0</v>
      </c>
      <c r="H289" s="17">
        <f t="shared" si="62"/>
        <v>979.17416999999978</v>
      </c>
    </row>
    <row r="290" spans="1:9" ht="14.25" customHeight="1" x14ac:dyDescent="0.2">
      <c r="A290" s="93">
        <f t="shared" si="63"/>
        <v>8</v>
      </c>
      <c r="B290" s="94"/>
      <c r="C290" s="17" t="s">
        <v>259</v>
      </c>
      <c r="D290" s="17">
        <f>(4.9*3.05+2.2*3.25+3.25*2.75+3.8*3.05+2*(1.2*2.05)+3.1*0.9)*(10.764)</f>
        <v>541.77902999999992</v>
      </c>
      <c r="E290" s="17">
        <f>(2.4*1.35+3.2*1.05+0.75*(2.2+2.75))*(10.764)</f>
        <v>111.00375</v>
      </c>
      <c r="F290" s="17">
        <f t="shared" si="61"/>
        <v>652.78277999999989</v>
      </c>
      <c r="G290" s="17">
        <v>0</v>
      </c>
      <c r="H290" s="17">
        <f t="shared" si="62"/>
        <v>979.17416999999978</v>
      </c>
    </row>
    <row r="291" spans="1:9" s="76" customFormat="1" ht="12" customHeight="1" x14ac:dyDescent="0.25">
      <c r="A291" s="95" t="s">
        <v>280</v>
      </c>
      <c r="B291" s="95"/>
      <c r="C291" s="95"/>
      <c r="D291" s="95"/>
      <c r="E291" s="95"/>
      <c r="F291" s="95"/>
      <c r="G291" s="95"/>
      <c r="H291" s="95"/>
      <c r="I291" s="77">
        <v>1</v>
      </c>
    </row>
    <row r="292" spans="1:9" x14ac:dyDescent="0.2">
      <c r="A292" s="93">
        <v>1</v>
      </c>
      <c r="B292" s="94"/>
      <c r="C292" s="96" t="s">
        <v>281</v>
      </c>
      <c r="D292" s="97"/>
      <c r="E292" s="97"/>
      <c r="F292" s="97"/>
      <c r="G292" s="97"/>
      <c r="H292" s="98"/>
    </row>
    <row r="293" spans="1:9" x14ac:dyDescent="0.2">
      <c r="A293" s="93">
        <f t="shared" ref="A293:A299" si="64">A292+1</f>
        <v>2</v>
      </c>
      <c r="B293" s="94"/>
      <c r="C293" s="17" t="s">
        <v>259</v>
      </c>
      <c r="D293" s="17">
        <f>(4.6*3.05+2.2*2.8+3.05*(3.8+2.8)+1.2*(2.1+2.05)+3.3*0.9)*(10.764)</f>
        <v>519.57827999999995</v>
      </c>
      <c r="E293" s="17">
        <f>(2.05*1.35+3.05*1.05+0.75*(2.2+3.05))*(10.764)</f>
        <v>106.64433</v>
      </c>
      <c r="F293" s="17">
        <f t="shared" ref="F293:F299" si="65">D293+E293</f>
        <v>626.22260999999992</v>
      </c>
      <c r="G293" s="17">
        <v>0</v>
      </c>
      <c r="H293" s="17">
        <f t="shared" ref="H293:H299" si="66">F293*(($H$155)+1)+(IF(G293&lt;101,G293,IF(G293&lt;201,G293/2,IF(G293&lt;=301,G293/3,G293/4))))</f>
        <v>939.33391499999993</v>
      </c>
    </row>
    <row r="294" spans="1:9" x14ac:dyDescent="0.2">
      <c r="A294" s="93">
        <f t="shared" si="64"/>
        <v>3</v>
      </c>
      <c r="B294" s="94"/>
      <c r="C294" s="17" t="s">
        <v>55</v>
      </c>
      <c r="D294" s="17">
        <f>(4.3*3.05+2.1*2.4+2.85*3.35+1.2*(1.85+2.05)+1.2*1)*(10.764)</f>
        <v>361.48203000000001</v>
      </c>
      <c r="E294" s="17">
        <f>(1.95*1.35+0.75*(2.1+2.85))*(10.764)</f>
        <v>68.297579999999996</v>
      </c>
      <c r="F294" s="17">
        <f t="shared" si="65"/>
        <v>429.77960999999999</v>
      </c>
      <c r="G294" s="17">
        <v>0</v>
      </c>
      <c r="H294" s="17">
        <f t="shared" si="66"/>
        <v>644.66941499999996</v>
      </c>
    </row>
    <row r="295" spans="1:9" ht="12.75" customHeight="1" x14ac:dyDescent="0.2">
      <c r="A295" s="93">
        <f t="shared" si="64"/>
        <v>4</v>
      </c>
      <c r="B295" s="94"/>
      <c r="C295" s="17" t="s">
        <v>259</v>
      </c>
      <c r="D295" s="17">
        <f>(4.6*3.05+2.2*2.8+3.05*(3.8+2.8)+1.2*(2.1+2.05)+3.3*0.9)*(10.764)</f>
        <v>519.57827999999995</v>
      </c>
      <c r="E295" s="17">
        <f>(2.05*1.35+3.05*1.05+0.75*(2.2+3.05))*(10.764)</f>
        <v>106.64433</v>
      </c>
      <c r="F295" s="17">
        <f t="shared" si="65"/>
        <v>626.22260999999992</v>
      </c>
      <c r="G295" s="17">
        <v>0</v>
      </c>
      <c r="H295" s="17">
        <f t="shared" si="66"/>
        <v>939.33391499999993</v>
      </c>
    </row>
    <row r="296" spans="1:9" x14ac:dyDescent="0.2">
      <c r="A296" s="93">
        <f t="shared" si="64"/>
        <v>5</v>
      </c>
      <c r="B296" s="94"/>
      <c r="C296" s="17" t="s">
        <v>55</v>
      </c>
      <c r="D296" s="17">
        <f>(4.3*3.05+2.1*2.4+2.85*3.35+1.2*(1.85+2.05)+1.2*1)*(10.764)</f>
        <v>361.48203000000001</v>
      </c>
      <c r="E296" s="17">
        <f>(1.95*1.35+0.75*(2.1+2.85))*(10.764)</f>
        <v>68.297579999999996</v>
      </c>
      <c r="F296" s="17">
        <f t="shared" si="65"/>
        <v>429.77960999999999</v>
      </c>
      <c r="G296" s="17">
        <v>0</v>
      </c>
      <c r="H296" s="17">
        <f t="shared" si="66"/>
        <v>644.66941499999996</v>
      </c>
    </row>
    <row r="297" spans="1:9" ht="12.75" customHeight="1" x14ac:dyDescent="0.2">
      <c r="A297" s="93">
        <f t="shared" si="64"/>
        <v>6</v>
      </c>
      <c r="B297" s="94"/>
      <c r="C297" s="17" t="s">
        <v>55</v>
      </c>
      <c r="D297" s="17">
        <f>(4.3*3.05+2.1*2.4+2.85*3.35+1.2*(1.85+2.05)+1.2*1)*(10.764)</f>
        <v>361.48203000000001</v>
      </c>
      <c r="E297" s="17">
        <f>(1.95*1.35+0.75*(2.1+2.85))*(10.764)</f>
        <v>68.297579999999996</v>
      </c>
      <c r="F297" s="17">
        <f t="shared" si="65"/>
        <v>429.77960999999999</v>
      </c>
      <c r="G297" s="17">
        <v>0</v>
      </c>
      <c r="H297" s="17">
        <f t="shared" si="66"/>
        <v>644.66941499999996</v>
      </c>
    </row>
    <row r="298" spans="1:9" ht="14.25" customHeight="1" x14ac:dyDescent="0.2">
      <c r="A298" s="93">
        <f t="shared" si="64"/>
        <v>7</v>
      </c>
      <c r="B298" s="94"/>
      <c r="C298" s="17" t="s">
        <v>259</v>
      </c>
      <c r="D298" s="17">
        <f>(4.9*3.05+2.2*3.25+3.25*2.75+3.8*3.05+2*(1.2*2.05)+3.1*0.9)*(10.764)</f>
        <v>541.77902999999992</v>
      </c>
      <c r="E298" s="17">
        <f>(2.4*1.35+3.2*1.05+0.75*(2.2+2.75))*(10.764)</f>
        <v>111.00375</v>
      </c>
      <c r="F298" s="17">
        <f t="shared" si="65"/>
        <v>652.78277999999989</v>
      </c>
      <c r="G298" s="17">
        <v>0</v>
      </c>
      <c r="H298" s="17">
        <f t="shared" si="66"/>
        <v>979.17416999999978</v>
      </c>
    </row>
    <row r="299" spans="1:9" ht="14.25" customHeight="1" x14ac:dyDescent="0.2">
      <c r="A299" s="93">
        <f t="shared" si="64"/>
        <v>8</v>
      </c>
      <c r="B299" s="94"/>
      <c r="C299" s="17" t="s">
        <v>259</v>
      </c>
      <c r="D299" s="17">
        <f>(4.9*3.05+2.2*3.25+3.25*2.75+3.8*3.05+2*(1.2*2.05)+3.1*0.9)*(10.764)</f>
        <v>541.77902999999992</v>
      </c>
      <c r="E299" s="17">
        <f>(2.4*1.35+3.2*1.05+0.75*(2.2+2.75))*(10.764)</f>
        <v>111.00375</v>
      </c>
      <c r="F299" s="17">
        <f t="shared" si="65"/>
        <v>652.78277999999989</v>
      </c>
      <c r="G299" s="17">
        <v>0</v>
      </c>
      <c r="H299" s="17">
        <f t="shared" si="66"/>
        <v>979.17416999999978</v>
      </c>
    </row>
    <row r="300" spans="1:9" s="76" customFormat="1" ht="12" customHeight="1" x14ac:dyDescent="0.25">
      <c r="A300" s="105" t="s">
        <v>301</v>
      </c>
      <c r="B300" s="105"/>
      <c r="C300" s="105"/>
      <c r="D300" s="105"/>
      <c r="E300" s="105"/>
      <c r="F300" s="105"/>
      <c r="G300" s="105"/>
      <c r="H300" s="105"/>
      <c r="I300" s="77"/>
    </row>
    <row r="301" spans="1:9" s="76" customFormat="1" ht="12" customHeight="1" x14ac:dyDescent="0.25">
      <c r="A301" s="95" t="s">
        <v>268</v>
      </c>
      <c r="B301" s="95"/>
      <c r="C301" s="95"/>
      <c r="D301" s="95"/>
      <c r="E301" s="95"/>
      <c r="F301" s="95"/>
      <c r="G301" s="95"/>
      <c r="H301" s="95"/>
      <c r="I301" s="77"/>
    </row>
    <row r="302" spans="1:9" s="76" customFormat="1" ht="12" customHeight="1" x14ac:dyDescent="0.25">
      <c r="A302" s="95" t="s">
        <v>274</v>
      </c>
      <c r="B302" s="95"/>
      <c r="C302" s="95"/>
      <c r="D302" s="95"/>
      <c r="E302" s="95"/>
      <c r="F302" s="95"/>
      <c r="G302" s="95"/>
      <c r="H302" s="95"/>
      <c r="I302" s="77">
        <v>2</v>
      </c>
    </row>
    <row r="303" spans="1:9" s="76" customFormat="1" ht="12" customHeight="1" x14ac:dyDescent="0.25">
      <c r="A303" s="95" t="s">
        <v>282</v>
      </c>
      <c r="B303" s="95"/>
      <c r="C303" s="95"/>
      <c r="D303" s="95"/>
      <c r="E303" s="95"/>
      <c r="F303" s="95"/>
      <c r="G303" s="95"/>
      <c r="H303" s="95"/>
      <c r="I303" s="77">
        <v>1</v>
      </c>
    </row>
    <row r="304" spans="1:9" ht="15" customHeight="1" x14ac:dyDescent="0.2">
      <c r="A304" s="93">
        <v>1</v>
      </c>
      <c r="B304" s="94"/>
      <c r="C304" s="96" t="s">
        <v>276</v>
      </c>
      <c r="D304" s="97"/>
      <c r="E304" s="97"/>
      <c r="F304" s="97"/>
      <c r="G304" s="97"/>
      <c r="H304" s="98"/>
    </row>
    <row r="305" spans="1:9" x14ac:dyDescent="0.2">
      <c r="A305" s="93">
        <f t="shared" ref="A305:A309" si="67">A304+1</f>
        <v>2</v>
      </c>
      <c r="B305" s="94"/>
      <c r="C305" s="17" t="s">
        <v>259</v>
      </c>
      <c r="D305" s="17">
        <f>(4.9*3.05+2.2*3.25+3.25*2.75+3.8*3.05+2*(1.2*2.05)+3.1*0.9)*(10.764)</f>
        <v>541.77902999999992</v>
      </c>
      <c r="E305" s="17">
        <f>(3.2*1.05+0.75*(2.5+3.25))*(10.764)</f>
        <v>82.586789999999993</v>
      </c>
      <c r="F305" s="17">
        <f t="shared" ref="F305:F308" si="68">D305+E305</f>
        <v>624.36581999999987</v>
      </c>
      <c r="G305" s="17">
        <v>0</v>
      </c>
      <c r="H305" s="17">
        <f t="shared" ref="H305:H308" si="69">F305*(($H$155)+1)+(IF(G305&lt;101,G305,IF(G305&lt;201,G305/2,IF(G305&lt;=301,G305/3,G305/4))))</f>
        <v>936.54872999999975</v>
      </c>
    </row>
    <row r="306" spans="1:9" x14ac:dyDescent="0.2">
      <c r="A306" s="93">
        <f t="shared" si="67"/>
        <v>3</v>
      </c>
      <c r="B306" s="94"/>
      <c r="C306" s="17" t="s">
        <v>55</v>
      </c>
      <c r="D306" s="17">
        <f>(4.3*3.05+2.1*2.4+2.85*2.5+3.23+1.2*(1.85+2.05)+1.2*1)*(10.764)</f>
        <v>370.17395999999997</v>
      </c>
      <c r="E306" s="17">
        <f>(0.75*(2.1+2.85))*(10.764)</f>
        <v>39.961350000000003</v>
      </c>
      <c r="F306" s="17">
        <f t="shared" si="68"/>
        <v>410.13530999999995</v>
      </c>
      <c r="G306" s="17">
        <v>0</v>
      </c>
      <c r="H306" s="17">
        <f t="shared" si="69"/>
        <v>615.20296499999995</v>
      </c>
    </row>
    <row r="307" spans="1:9" ht="12.75" customHeight="1" x14ac:dyDescent="0.2">
      <c r="A307" s="93">
        <f t="shared" si="67"/>
        <v>4</v>
      </c>
      <c r="B307" s="94"/>
      <c r="C307" s="17" t="s">
        <v>259</v>
      </c>
      <c r="D307" s="17">
        <f>(4.6*3.05+2.2*2.8+3.05*(3.8+2.8)+1.2*(2.1+2.05)+3.3*0.9)*(10.764)</f>
        <v>519.57827999999995</v>
      </c>
      <c r="E307" s="17">
        <f>(0.75*(2.2+3.05+3.05))*(10.764)</f>
        <v>67.005899999999997</v>
      </c>
      <c r="F307" s="17">
        <f t="shared" si="68"/>
        <v>586.58417999999995</v>
      </c>
      <c r="G307" s="17">
        <v>0</v>
      </c>
      <c r="H307" s="17">
        <f t="shared" si="69"/>
        <v>879.87626999999998</v>
      </c>
    </row>
    <row r="308" spans="1:9" x14ac:dyDescent="0.2">
      <c r="A308" s="93">
        <f t="shared" si="67"/>
        <v>5</v>
      </c>
      <c r="B308" s="94"/>
      <c r="C308" s="17" t="s">
        <v>259</v>
      </c>
      <c r="D308" s="17">
        <f>(4.6*3.05+2.2*2.8+3.05*(3.8+2.8)+1.2*(2.1+2.05)+3.3*0.9)*(10.764)</f>
        <v>519.57827999999995</v>
      </c>
      <c r="E308" s="17">
        <f>(0.75*(2.2+3.05+3.05))*(10.764)</f>
        <v>67.005899999999997</v>
      </c>
      <c r="F308" s="17">
        <f t="shared" si="68"/>
        <v>586.58417999999995</v>
      </c>
      <c r="G308" s="17">
        <v>0</v>
      </c>
      <c r="H308" s="17">
        <f t="shared" si="69"/>
        <v>879.87626999999998</v>
      </c>
    </row>
    <row r="309" spans="1:9" ht="12.75" customHeight="1" x14ac:dyDescent="0.2">
      <c r="A309" s="93">
        <f t="shared" si="67"/>
        <v>6</v>
      </c>
      <c r="B309" s="94"/>
      <c r="C309" s="96" t="s">
        <v>276</v>
      </c>
      <c r="D309" s="97"/>
      <c r="E309" s="97"/>
      <c r="F309" s="97"/>
      <c r="G309" s="97"/>
      <c r="H309" s="98"/>
    </row>
    <row r="310" spans="1:9" s="76" customFormat="1" ht="12" customHeight="1" x14ac:dyDescent="0.25">
      <c r="A310" s="95" t="s">
        <v>278</v>
      </c>
      <c r="B310" s="95"/>
      <c r="C310" s="95"/>
      <c r="D310" s="95"/>
      <c r="E310" s="95"/>
      <c r="F310" s="95"/>
      <c r="G310" s="95"/>
      <c r="H310" s="95"/>
      <c r="I310" s="77">
        <v>19</v>
      </c>
    </row>
    <row r="311" spans="1:9" x14ac:dyDescent="0.2">
      <c r="A311" s="93">
        <v>1</v>
      </c>
      <c r="B311" s="94"/>
      <c r="C311" s="17" t="s">
        <v>259</v>
      </c>
      <c r="D311" s="17">
        <f>(4.9*3.05+2.2*3.25+3.25*2.75+3.8*3.05+2*(1.2*2.05)+3.1*0.9)*(10.764)</f>
        <v>541.77902999999992</v>
      </c>
      <c r="E311" s="17">
        <f>(2.4*1.35+3.2*1.05+0.75*(2.5+3.25))*(10.764)</f>
        <v>117.46215000000001</v>
      </c>
      <c r="F311" s="17">
        <f t="shared" ref="F311:F316" si="70">D311+E311</f>
        <v>659.24117999999999</v>
      </c>
      <c r="G311" s="17">
        <v>0</v>
      </c>
      <c r="H311" s="17">
        <f t="shared" ref="H311:H316" si="71">F311*(($H$155)+1)+(IF(G311&lt;101,G311,IF(G311&lt;201,G311/2,IF(G311&lt;=301,G311/3,G311/4))))</f>
        <v>988.86176999999998</v>
      </c>
    </row>
    <row r="312" spans="1:9" x14ac:dyDescent="0.2">
      <c r="A312" s="93">
        <f t="shared" ref="A312:A316" si="72">A311+1</f>
        <v>2</v>
      </c>
      <c r="B312" s="94"/>
      <c r="C312" s="17" t="s">
        <v>259</v>
      </c>
      <c r="D312" s="17">
        <f>(4.9*3.05+2.2*3.25+3.25*2.75+3.8*3.05+2*(1.2*2.05)+3.1*0.9)*(10.764)</f>
        <v>541.77902999999992</v>
      </c>
      <c r="E312" s="17">
        <f>(2.4*1.35+3.2*1.05+0.75*(2.5+3.25))*(10.764)</f>
        <v>117.46215000000001</v>
      </c>
      <c r="F312" s="17">
        <f t="shared" si="70"/>
        <v>659.24117999999999</v>
      </c>
      <c r="G312" s="17">
        <v>0</v>
      </c>
      <c r="H312" s="17">
        <f t="shared" si="71"/>
        <v>988.86176999999998</v>
      </c>
    </row>
    <row r="313" spans="1:9" x14ac:dyDescent="0.2">
      <c r="A313" s="93">
        <f t="shared" si="72"/>
        <v>3</v>
      </c>
      <c r="B313" s="94"/>
      <c r="C313" s="17" t="s">
        <v>55</v>
      </c>
      <c r="D313" s="17">
        <f>(4.3*3.05+2.1*2.4+2.85*2.5+3.23*1+1.2*(1.85+2.05)+1.2*1)*(10.764)</f>
        <v>370.17395999999997</v>
      </c>
      <c r="E313" s="17">
        <f>(1.95*1.35+0.75*(2.1+2.85))*(10.764)</f>
        <v>68.297579999999996</v>
      </c>
      <c r="F313" s="17">
        <f t="shared" si="70"/>
        <v>438.47153999999995</v>
      </c>
      <c r="G313" s="17">
        <v>0</v>
      </c>
      <c r="H313" s="17">
        <f t="shared" si="71"/>
        <v>657.70730999999989</v>
      </c>
    </row>
    <row r="314" spans="1:9" ht="12.75" customHeight="1" x14ac:dyDescent="0.2">
      <c r="A314" s="93">
        <f t="shared" si="72"/>
        <v>4</v>
      </c>
      <c r="B314" s="94"/>
      <c r="C314" s="17" t="s">
        <v>259</v>
      </c>
      <c r="D314" s="17">
        <f>(4.6*3.05+2.2*2.8+3.05*(3.8+2.8)+1.2*(2.1+2.05)+3.3*0.9)*(10.764)</f>
        <v>519.57827999999995</v>
      </c>
      <c r="E314" s="17">
        <f>(2.05*1.35+3.05*1.05+0.75*(2.2+3.05))*(10.764)</f>
        <v>106.64433</v>
      </c>
      <c r="F314" s="17">
        <f t="shared" si="70"/>
        <v>626.22260999999992</v>
      </c>
      <c r="G314" s="17">
        <v>0</v>
      </c>
      <c r="H314" s="17">
        <f t="shared" si="71"/>
        <v>939.33391499999993</v>
      </c>
    </row>
    <row r="315" spans="1:9" x14ac:dyDescent="0.2">
      <c r="A315" s="93">
        <f t="shared" si="72"/>
        <v>5</v>
      </c>
      <c r="B315" s="94"/>
      <c r="C315" s="17" t="s">
        <v>259</v>
      </c>
      <c r="D315" s="17">
        <f>(4.6*3.05+2.2*2.8+3.05*(3.8+2.8)+1.2*(2.1+2.05)+3.3*0.9)*(10.764)</f>
        <v>519.57827999999995</v>
      </c>
      <c r="E315" s="17">
        <f>(2.05*1.35+3.05*1.05+0.75*(2.2+3.05))*(10.764)</f>
        <v>106.64433</v>
      </c>
      <c r="F315" s="17">
        <f t="shared" si="70"/>
        <v>626.22260999999992</v>
      </c>
      <c r="G315" s="17">
        <v>0</v>
      </c>
      <c r="H315" s="17">
        <f t="shared" si="71"/>
        <v>939.33391499999993</v>
      </c>
    </row>
    <row r="316" spans="1:9" ht="12.75" customHeight="1" x14ac:dyDescent="0.2">
      <c r="A316" s="93">
        <f t="shared" si="72"/>
        <v>6</v>
      </c>
      <c r="B316" s="94"/>
      <c r="C316" s="17" t="s">
        <v>259</v>
      </c>
      <c r="D316" s="17">
        <f>(4.6*3.05+2.2*2.8+3.05*(3.8+2.8)+1.2*(2.1+2.05)+3.3*0.9)*(10.764)</f>
        <v>519.57827999999995</v>
      </c>
      <c r="E316" s="17">
        <f>(2.05*1.35+3.05*1.05+0.75*(2.2+3.05))*(10.764)</f>
        <v>106.64433</v>
      </c>
      <c r="F316" s="17">
        <f t="shared" si="70"/>
        <v>626.22260999999992</v>
      </c>
      <c r="G316" s="17">
        <v>0</v>
      </c>
      <c r="H316" s="17">
        <f t="shared" si="71"/>
        <v>939.33391499999993</v>
      </c>
    </row>
    <row r="317" spans="1:9" s="76" customFormat="1" ht="12" customHeight="1" x14ac:dyDescent="0.25">
      <c r="A317" s="95" t="s">
        <v>279</v>
      </c>
      <c r="B317" s="95"/>
      <c r="C317" s="95"/>
      <c r="D317" s="95"/>
      <c r="E317" s="95"/>
      <c r="F317" s="95"/>
      <c r="G317" s="95"/>
      <c r="H317" s="95"/>
      <c r="I317" s="77">
        <v>5</v>
      </c>
    </row>
    <row r="318" spans="1:9" x14ac:dyDescent="0.2">
      <c r="A318" s="93">
        <v>1</v>
      </c>
      <c r="B318" s="94"/>
      <c r="C318" s="96" t="s">
        <v>271</v>
      </c>
      <c r="D318" s="97"/>
      <c r="E318" s="97"/>
      <c r="F318" s="97"/>
      <c r="G318" s="97"/>
      <c r="H318" s="98"/>
    </row>
    <row r="319" spans="1:9" x14ac:dyDescent="0.2">
      <c r="A319" s="93">
        <f t="shared" ref="A319:A323" si="73">A318+1</f>
        <v>2</v>
      </c>
      <c r="B319" s="94"/>
      <c r="C319" s="17" t="s">
        <v>259</v>
      </c>
      <c r="D319" s="17">
        <f>(4.9*3.05+2.2*3.25+3.25*2.75+3.8*3.05+2*(1.2*2.05)+3.1*0.9)*(10.764)</f>
        <v>541.77902999999992</v>
      </c>
      <c r="E319" s="17">
        <f>(2.4*1.35+3.2*1.05+0.75*(2.5+3.25))*(10.764)</f>
        <v>117.46215000000001</v>
      </c>
      <c r="F319" s="17">
        <f t="shared" ref="F319:F323" si="74">D319+E319</f>
        <v>659.24117999999999</v>
      </c>
      <c r="G319" s="17">
        <v>0</v>
      </c>
      <c r="H319" s="17">
        <f t="shared" ref="H319:H323" si="75">F319*(($H$155)+1)+(IF(G319&lt;101,G319,IF(G319&lt;201,G319/2,IF(G319&lt;=301,G319/3,G319/4))))</f>
        <v>988.86176999999998</v>
      </c>
    </row>
    <row r="320" spans="1:9" x14ac:dyDescent="0.2">
      <c r="A320" s="93">
        <f t="shared" si="73"/>
        <v>3</v>
      </c>
      <c r="B320" s="94"/>
      <c r="C320" s="17" t="s">
        <v>55</v>
      </c>
      <c r="D320" s="17">
        <f>(4.3*3.05+2.1*2.4+2.85*2.5+3.23*1+1.2*(1.85+2.05)+1.2*1)*(10.764)</f>
        <v>370.17395999999997</v>
      </c>
      <c r="E320" s="17">
        <f>(1.95*1.35+0.75*(2.1+2.85))*(10.764)</f>
        <v>68.297579999999996</v>
      </c>
      <c r="F320" s="17">
        <f t="shared" si="74"/>
        <v>438.47153999999995</v>
      </c>
      <c r="G320" s="17">
        <v>0</v>
      </c>
      <c r="H320" s="17">
        <f t="shared" si="75"/>
        <v>657.70730999999989</v>
      </c>
    </row>
    <row r="321" spans="1:9" ht="12.75" customHeight="1" x14ac:dyDescent="0.2">
      <c r="A321" s="93">
        <f t="shared" si="73"/>
        <v>4</v>
      </c>
      <c r="B321" s="94"/>
      <c r="C321" s="17" t="s">
        <v>259</v>
      </c>
      <c r="D321" s="17">
        <f>(4.6*3.05+2.2*2.8+3.05*(3.8+2.8)+1.2*(2.1+2.05)+3.3*0.9)*(10.764)</f>
        <v>519.57827999999995</v>
      </c>
      <c r="E321" s="17">
        <f>(2.05*1.35+3.05*1.05+0.75*(2.2+3.05))*(10.764)</f>
        <v>106.64433</v>
      </c>
      <c r="F321" s="17">
        <f t="shared" si="74"/>
        <v>626.22260999999992</v>
      </c>
      <c r="G321" s="17">
        <v>0</v>
      </c>
      <c r="H321" s="17">
        <f t="shared" si="75"/>
        <v>939.33391499999993</v>
      </c>
    </row>
    <row r="322" spans="1:9" x14ac:dyDescent="0.2">
      <c r="A322" s="93">
        <f t="shared" si="73"/>
        <v>5</v>
      </c>
      <c r="B322" s="94"/>
      <c r="C322" s="17" t="s">
        <v>259</v>
      </c>
      <c r="D322" s="17">
        <f>(4.6*3.05+2.2*2.8+3.05*(3.8+2.8)+1.2*(2.1+2.05)+3.3*0.9)*(10.764)</f>
        <v>519.57827999999995</v>
      </c>
      <c r="E322" s="17">
        <f>(2.05*1.35+3.05*1.05+0.75*(2.2+3.05))*(10.764)</f>
        <v>106.64433</v>
      </c>
      <c r="F322" s="17">
        <f t="shared" si="74"/>
        <v>626.22260999999992</v>
      </c>
      <c r="G322" s="17">
        <v>0</v>
      </c>
      <c r="H322" s="17">
        <f t="shared" si="75"/>
        <v>939.33391499999993</v>
      </c>
    </row>
    <row r="323" spans="1:9" ht="12.75" customHeight="1" x14ac:dyDescent="0.2">
      <c r="A323" s="93">
        <f t="shared" si="73"/>
        <v>6</v>
      </c>
      <c r="B323" s="94"/>
      <c r="C323" s="17" t="s">
        <v>259</v>
      </c>
      <c r="D323" s="17">
        <f>(4.6*3.05+2.2*2.8+3.05*(3.8+2.8)+1.2*(2.1+2.05)+3.3*0.9)*(10.764)</f>
        <v>519.57827999999995</v>
      </c>
      <c r="E323" s="17">
        <f>(2.05*1.35+3.05*1.05+0.75*(2.2+3.05))*(10.764)</f>
        <v>106.64433</v>
      </c>
      <c r="F323" s="17">
        <f t="shared" si="74"/>
        <v>626.22260999999992</v>
      </c>
      <c r="G323" s="17">
        <v>0</v>
      </c>
      <c r="H323" s="17">
        <f t="shared" si="75"/>
        <v>939.33391499999993</v>
      </c>
    </row>
    <row r="324" spans="1:9" s="76" customFormat="1" ht="12" customHeight="1" x14ac:dyDescent="0.25">
      <c r="A324" s="95" t="s">
        <v>283</v>
      </c>
      <c r="B324" s="95"/>
      <c r="C324" s="95"/>
      <c r="D324" s="95"/>
      <c r="E324" s="95"/>
      <c r="F324" s="95"/>
      <c r="G324" s="95"/>
      <c r="H324" s="95"/>
      <c r="I324" s="77">
        <v>1</v>
      </c>
    </row>
    <row r="325" spans="1:9" x14ac:dyDescent="0.2">
      <c r="A325" s="93">
        <v>1</v>
      </c>
      <c r="B325" s="94"/>
      <c r="C325" s="17" t="s">
        <v>259</v>
      </c>
      <c r="D325" s="17">
        <f>(4.9*3.05+2.2*3.25+3.25*2.75+3.8*3.05+2*(1.2*2.05)+3.1*0.9)*(10.764)</f>
        <v>541.77902999999992</v>
      </c>
      <c r="E325" s="17">
        <f>(2.4*1.35+3.2*1.05+0.75*(2.5+3.25))*(10.764)</f>
        <v>117.46215000000001</v>
      </c>
      <c r="F325" s="17">
        <f t="shared" ref="F325:F329" si="76">D325+E325</f>
        <v>659.24117999999999</v>
      </c>
      <c r="G325" s="17">
        <v>0</v>
      </c>
      <c r="H325" s="17">
        <f t="shared" ref="H325:H329" si="77">F325*(($H$155)+1)+(IF(G325&lt;101,G325,IF(G325&lt;201,G325/2,IF(G325&lt;=301,G325/3,G325/4))))</f>
        <v>988.86176999999998</v>
      </c>
    </row>
    <row r="326" spans="1:9" x14ac:dyDescent="0.2">
      <c r="A326" s="93">
        <f t="shared" ref="A326:A330" si="78">A325+1</f>
        <v>2</v>
      </c>
      <c r="B326" s="94"/>
      <c r="C326" s="17" t="s">
        <v>259</v>
      </c>
      <c r="D326" s="17">
        <f>(4.9*3.05+2.2*3.25+3.25*2.75+3.8*3.05+2*(1.2*2.05)+3.1*0.9)*(10.764)</f>
        <v>541.77902999999992</v>
      </c>
      <c r="E326" s="17">
        <f>(2.4*1.35+3.2*1.05+0.75*(2.5+3.25))*(10.764)</f>
        <v>117.46215000000001</v>
      </c>
      <c r="F326" s="17">
        <f t="shared" si="76"/>
        <v>659.24117999999999</v>
      </c>
      <c r="G326" s="17">
        <v>0</v>
      </c>
      <c r="H326" s="17">
        <f t="shared" si="77"/>
        <v>988.86176999999998</v>
      </c>
    </row>
    <row r="327" spans="1:9" x14ac:dyDescent="0.2">
      <c r="A327" s="93">
        <f t="shared" si="78"/>
        <v>3</v>
      </c>
      <c r="B327" s="94"/>
      <c r="C327" s="17" t="s">
        <v>55</v>
      </c>
      <c r="D327" s="17">
        <f>(4.3*3.05+2.1*2.4+2.85*2.5+3.23*1+1.2*(1.85+2.05)+1.2*1)*(10.764)</f>
        <v>370.17395999999997</v>
      </c>
      <c r="E327" s="17">
        <f>(1.95*1.35+0.75*(2.1+2.85))*(10.764)</f>
        <v>68.297579999999996</v>
      </c>
      <c r="F327" s="17">
        <f t="shared" si="76"/>
        <v>438.47153999999995</v>
      </c>
      <c r="G327" s="17">
        <v>0</v>
      </c>
      <c r="H327" s="17">
        <f t="shared" si="77"/>
        <v>657.70730999999989</v>
      </c>
    </row>
    <row r="328" spans="1:9" ht="12.75" customHeight="1" x14ac:dyDescent="0.2">
      <c r="A328" s="93">
        <f t="shared" si="78"/>
        <v>4</v>
      </c>
      <c r="B328" s="94"/>
      <c r="C328" s="17" t="s">
        <v>259</v>
      </c>
      <c r="D328" s="17">
        <f>(4.6*3.05+2.2*2.8+3.05*(3.8+2.8)+1.2*(2.1+2.05)+3.3*0.9)*(10.764)</f>
        <v>519.57827999999995</v>
      </c>
      <c r="E328" s="17">
        <f>(2.05*1.35+3.05*1.05+0.75*(2.2+3.05))*(10.764)</f>
        <v>106.64433</v>
      </c>
      <c r="F328" s="17">
        <f t="shared" si="76"/>
        <v>626.22260999999992</v>
      </c>
      <c r="G328" s="17">
        <v>0</v>
      </c>
      <c r="H328" s="17">
        <f t="shared" si="77"/>
        <v>939.33391499999993</v>
      </c>
    </row>
    <row r="329" spans="1:9" x14ac:dyDescent="0.2">
      <c r="A329" s="93">
        <f t="shared" si="78"/>
        <v>5</v>
      </c>
      <c r="B329" s="94"/>
      <c r="C329" s="17" t="s">
        <v>259</v>
      </c>
      <c r="D329" s="17">
        <f>(4.6*3.05+2.2*2.8+3.05*(3.8+2.8)+1.2*(2.1+2.05)+3.3*0.9)*(10.764)</f>
        <v>519.57827999999995</v>
      </c>
      <c r="E329" s="17">
        <f>(2.05*1.35+3.05*1.05+0.75*(2.2+3.05))*(10.764)</f>
        <v>106.64433</v>
      </c>
      <c r="F329" s="17">
        <f t="shared" si="76"/>
        <v>626.22260999999992</v>
      </c>
      <c r="G329" s="17">
        <v>0</v>
      </c>
      <c r="H329" s="17">
        <f t="shared" si="77"/>
        <v>939.33391499999993</v>
      </c>
    </row>
    <row r="330" spans="1:9" ht="12.75" customHeight="1" x14ac:dyDescent="0.2">
      <c r="A330" s="279">
        <f t="shared" si="78"/>
        <v>6</v>
      </c>
      <c r="B330" s="173"/>
      <c r="C330" s="280" t="s">
        <v>281</v>
      </c>
      <c r="D330" s="281"/>
      <c r="E330" s="281"/>
      <c r="F330" s="281"/>
      <c r="G330" s="281"/>
      <c r="H330" s="282"/>
    </row>
    <row r="331" spans="1:9" ht="14.25" customHeight="1" x14ac:dyDescent="0.2">
      <c r="A331" s="227" t="s">
        <v>114</v>
      </c>
      <c r="B331" s="227"/>
      <c r="C331" s="227"/>
      <c r="D331" s="227"/>
      <c r="E331" s="227"/>
      <c r="F331" s="227"/>
      <c r="G331" s="227"/>
      <c r="H331" s="227"/>
    </row>
    <row r="332" spans="1:9" x14ac:dyDescent="0.2">
      <c r="A332" s="146" t="s">
        <v>115</v>
      </c>
      <c r="B332" s="147"/>
      <c r="C332" s="147"/>
      <c r="D332" s="147"/>
      <c r="E332" s="148"/>
      <c r="F332" s="146">
        <v>9500</v>
      </c>
      <c r="G332" s="147"/>
      <c r="H332" s="148"/>
    </row>
    <row r="333" spans="1:9" x14ac:dyDescent="0.2">
      <c r="A333" s="146" t="s">
        <v>116</v>
      </c>
      <c r="B333" s="147"/>
      <c r="C333" s="147"/>
      <c r="D333" s="147"/>
      <c r="E333" s="148"/>
      <c r="F333" s="146" t="s">
        <v>292</v>
      </c>
      <c r="G333" s="147"/>
      <c r="H333" s="148"/>
    </row>
    <row r="334" spans="1:9" x14ac:dyDescent="0.2">
      <c r="A334" s="227" t="s">
        <v>47</v>
      </c>
      <c r="B334" s="227"/>
      <c r="C334" s="227"/>
      <c r="D334" s="227"/>
      <c r="E334" s="227"/>
      <c r="F334" s="227"/>
      <c r="G334" s="227"/>
      <c r="H334" s="227"/>
    </row>
    <row r="335" spans="1:9" x14ac:dyDescent="0.2">
      <c r="A335" s="21">
        <v>1</v>
      </c>
      <c r="B335" s="137" t="s">
        <v>209</v>
      </c>
      <c r="C335" s="138"/>
      <c r="D335" s="138"/>
      <c r="E335" s="138"/>
      <c r="F335" s="138"/>
      <c r="G335" s="138"/>
      <c r="H335" s="139"/>
    </row>
    <row r="336" spans="1:9" x14ac:dyDescent="0.2">
      <c r="A336" s="21">
        <f t="shared" ref="A336:A345" si="79">A335+1</f>
        <v>2</v>
      </c>
      <c r="B336" s="137" t="s">
        <v>210</v>
      </c>
      <c r="C336" s="138"/>
      <c r="D336" s="138"/>
      <c r="E336" s="138"/>
      <c r="F336" s="138"/>
      <c r="G336" s="138"/>
      <c r="H336" s="139"/>
    </row>
    <row r="337" spans="1:8" x14ac:dyDescent="0.2">
      <c r="A337" s="21">
        <f t="shared" si="79"/>
        <v>3</v>
      </c>
      <c r="B337" s="137" t="s">
        <v>302</v>
      </c>
      <c r="C337" s="138"/>
      <c r="D337" s="138"/>
      <c r="E337" s="138"/>
      <c r="F337" s="138"/>
      <c r="G337" s="138"/>
      <c r="H337" s="139"/>
    </row>
    <row r="338" spans="1:8" ht="12.75" customHeight="1" x14ac:dyDescent="0.2">
      <c r="A338" s="21">
        <f t="shared" si="79"/>
        <v>4</v>
      </c>
      <c r="B338" s="137" t="s">
        <v>211</v>
      </c>
      <c r="C338" s="138"/>
      <c r="D338" s="138"/>
      <c r="E338" s="138"/>
      <c r="F338" s="138"/>
      <c r="G338" s="138"/>
      <c r="H338" s="139"/>
    </row>
    <row r="339" spans="1:8" x14ac:dyDescent="0.2">
      <c r="A339" s="21">
        <f t="shared" si="79"/>
        <v>5</v>
      </c>
      <c r="B339" s="137" t="s">
        <v>291</v>
      </c>
      <c r="C339" s="138"/>
      <c r="D339" s="138"/>
      <c r="E339" s="138"/>
      <c r="F339" s="138"/>
      <c r="G339" s="138"/>
      <c r="H339" s="139"/>
    </row>
    <row r="340" spans="1:8" x14ac:dyDescent="0.2">
      <c r="A340" s="21">
        <f t="shared" si="79"/>
        <v>6</v>
      </c>
      <c r="B340" s="137" t="s">
        <v>215</v>
      </c>
      <c r="C340" s="138"/>
      <c r="D340" s="138"/>
      <c r="E340" s="138"/>
      <c r="F340" s="87">
        <f>H155</f>
        <v>0.5</v>
      </c>
      <c r="G340" s="60"/>
      <c r="H340" s="61"/>
    </row>
    <row r="341" spans="1:8" x14ac:dyDescent="0.2">
      <c r="A341" s="21">
        <f t="shared" si="79"/>
        <v>7</v>
      </c>
      <c r="B341" s="137" t="s">
        <v>212</v>
      </c>
      <c r="C341" s="138"/>
      <c r="D341" s="138"/>
      <c r="E341" s="138"/>
      <c r="F341" s="138"/>
      <c r="G341" s="138"/>
      <c r="H341" s="139"/>
    </row>
    <row r="342" spans="1:8" ht="29.25" customHeight="1" x14ac:dyDescent="0.2">
      <c r="A342" s="21">
        <f t="shared" si="79"/>
        <v>8</v>
      </c>
      <c r="B342" s="137" t="s">
        <v>213</v>
      </c>
      <c r="C342" s="138"/>
      <c r="D342" s="138"/>
      <c r="E342" s="138"/>
      <c r="F342" s="138"/>
      <c r="G342" s="138"/>
      <c r="H342" s="139"/>
    </row>
    <row r="343" spans="1:8" x14ac:dyDescent="0.2">
      <c r="A343" s="21">
        <f t="shared" si="79"/>
        <v>9</v>
      </c>
      <c r="B343" s="137" t="s">
        <v>214</v>
      </c>
      <c r="C343" s="138"/>
      <c r="D343" s="138"/>
      <c r="E343" s="138"/>
      <c r="F343" s="138"/>
      <c r="G343" s="138"/>
      <c r="H343" s="139"/>
    </row>
    <row r="344" spans="1:8" x14ac:dyDescent="0.2">
      <c r="A344" s="21">
        <f t="shared" si="79"/>
        <v>10</v>
      </c>
      <c r="B344" s="137" t="s">
        <v>310</v>
      </c>
      <c r="C344" s="138"/>
      <c r="D344" s="138"/>
      <c r="E344" s="138"/>
      <c r="F344" s="138"/>
      <c r="G344" s="138"/>
      <c r="H344" s="139"/>
    </row>
    <row r="345" spans="1:8" ht="12.75" customHeight="1" x14ac:dyDescent="0.2">
      <c r="A345" s="21">
        <f t="shared" si="79"/>
        <v>11</v>
      </c>
      <c r="B345" s="137" t="s">
        <v>307</v>
      </c>
      <c r="C345" s="138"/>
      <c r="D345" s="138"/>
      <c r="E345" s="138"/>
      <c r="F345" s="138"/>
      <c r="G345" s="138"/>
      <c r="H345" s="139"/>
    </row>
    <row r="346" spans="1:8" x14ac:dyDescent="0.2">
      <c r="A346" s="132" t="s">
        <v>119</v>
      </c>
      <c r="B346" s="134"/>
      <c r="C346" s="132" t="str">
        <f>C7</f>
        <v>Anandam - II</v>
      </c>
      <c r="D346" s="133"/>
      <c r="E346" s="133"/>
      <c r="F346" s="133"/>
      <c r="G346" s="133"/>
      <c r="H346" s="134"/>
    </row>
    <row r="347" spans="1:8" x14ac:dyDescent="0.2">
      <c r="A347" s="149"/>
      <c r="B347" s="150"/>
      <c r="C347" s="150"/>
      <c r="D347" s="150"/>
      <c r="E347" s="150"/>
      <c r="F347" s="150"/>
      <c r="G347" s="150"/>
      <c r="H347" s="151"/>
    </row>
    <row r="348" spans="1:8" x14ac:dyDescent="0.2">
      <c r="A348" s="140"/>
      <c r="B348" s="141"/>
      <c r="C348" s="141"/>
      <c r="D348" s="141"/>
      <c r="E348" s="141"/>
      <c r="F348" s="141"/>
      <c r="G348" s="141"/>
      <c r="H348" s="142"/>
    </row>
    <row r="349" spans="1:8" x14ac:dyDescent="0.2">
      <c r="A349" s="140"/>
      <c r="B349" s="141"/>
      <c r="C349" s="141"/>
      <c r="D349" s="141"/>
      <c r="E349" s="141"/>
      <c r="F349" s="141"/>
      <c r="G349" s="141"/>
      <c r="H349" s="142"/>
    </row>
    <row r="350" spans="1:8" x14ac:dyDescent="0.2">
      <c r="A350" s="140"/>
      <c r="B350" s="141"/>
      <c r="C350" s="141"/>
      <c r="D350" s="141"/>
      <c r="E350" s="141"/>
      <c r="F350" s="141"/>
      <c r="G350" s="141"/>
      <c r="H350" s="142"/>
    </row>
    <row r="351" spans="1:8" x14ac:dyDescent="0.2">
      <c r="A351" s="140"/>
      <c r="B351" s="141"/>
      <c r="C351" s="141"/>
      <c r="D351" s="141"/>
      <c r="E351" s="141"/>
      <c r="F351" s="141"/>
      <c r="G351" s="141"/>
      <c r="H351" s="142"/>
    </row>
    <row r="352" spans="1:8" x14ac:dyDescent="0.2">
      <c r="A352" s="140"/>
      <c r="B352" s="141"/>
      <c r="C352" s="141"/>
      <c r="D352" s="141"/>
      <c r="E352" s="141"/>
      <c r="F352" s="141"/>
      <c r="G352" s="141"/>
      <c r="H352" s="142"/>
    </row>
    <row r="353" spans="1:8" x14ac:dyDescent="0.2">
      <c r="A353" s="140"/>
      <c r="B353" s="141"/>
      <c r="C353" s="141"/>
      <c r="D353" s="141"/>
      <c r="E353" s="141"/>
      <c r="F353" s="141"/>
      <c r="G353" s="141"/>
      <c r="H353" s="142"/>
    </row>
    <row r="354" spans="1:8" x14ac:dyDescent="0.2">
      <c r="A354" s="140"/>
      <c r="B354" s="141"/>
      <c r="C354" s="141"/>
      <c r="D354" s="141"/>
      <c r="E354" s="141"/>
      <c r="F354" s="141"/>
      <c r="G354" s="141"/>
      <c r="H354" s="142"/>
    </row>
    <row r="355" spans="1:8" x14ac:dyDescent="0.2">
      <c r="A355" s="140"/>
      <c r="B355" s="141"/>
      <c r="C355" s="141"/>
      <c r="D355" s="141"/>
      <c r="E355" s="141"/>
      <c r="F355" s="141"/>
      <c r="G355" s="141"/>
      <c r="H355" s="142"/>
    </row>
    <row r="356" spans="1:8" x14ac:dyDescent="0.2">
      <c r="A356" s="140"/>
      <c r="B356" s="141"/>
      <c r="C356" s="141"/>
      <c r="D356" s="141"/>
      <c r="E356" s="141"/>
      <c r="F356" s="141"/>
      <c r="G356" s="141"/>
      <c r="H356" s="142"/>
    </row>
    <row r="357" spans="1:8" x14ac:dyDescent="0.2">
      <c r="A357" s="140"/>
      <c r="B357" s="141"/>
      <c r="C357" s="141"/>
      <c r="D357" s="141"/>
      <c r="E357" s="141"/>
      <c r="F357" s="141"/>
      <c r="G357" s="141"/>
      <c r="H357" s="142"/>
    </row>
    <row r="358" spans="1:8" x14ac:dyDescent="0.2">
      <c r="A358" s="140"/>
      <c r="B358" s="141"/>
      <c r="C358" s="141"/>
      <c r="D358" s="141"/>
      <c r="E358" s="141"/>
      <c r="F358" s="141"/>
      <c r="G358" s="141"/>
      <c r="H358" s="142"/>
    </row>
    <row r="359" spans="1:8" x14ac:dyDescent="0.2">
      <c r="A359" s="140"/>
      <c r="B359" s="141"/>
      <c r="C359" s="141"/>
      <c r="D359" s="141"/>
      <c r="E359" s="141"/>
      <c r="F359" s="141"/>
      <c r="G359" s="141"/>
      <c r="H359" s="142"/>
    </row>
    <row r="360" spans="1:8" x14ac:dyDescent="0.2">
      <c r="A360" s="140"/>
      <c r="B360" s="141"/>
      <c r="C360" s="141"/>
      <c r="D360" s="141"/>
      <c r="E360" s="141"/>
      <c r="F360" s="141"/>
      <c r="G360" s="141"/>
      <c r="H360" s="142"/>
    </row>
    <row r="361" spans="1:8" x14ac:dyDescent="0.2">
      <c r="A361" s="140"/>
      <c r="B361" s="141"/>
      <c r="C361" s="141"/>
      <c r="D361" s="141"/>
      <c r="E361" s="141"/>
      <c r="F361" s="141"/>
      <c r="G361" s="141"/>
      <c r="H361" s="142"/>
    </row>
    <row r="362" spans="1:8" x14ac:dyDescent="0.2">
      <c r="A362" s="140"/>
      <c r="B362" s="141"/>
      <c r="C362" s="141"/>
      <c r="D362" s="141"/>
      <c r="E362" s="141"/>
      <c r="F362" s="141"/>
      <c r="G362" s="141"/>
      <c r="H362" s="142"/>
    </row>
    <row r="363" spans="1:8" x14ac:dyDescent="0.2">
      <c r="A363" s="140"/>
      <c r="B363" s="141"/>
      <c r="C363" s="141"/>
      <c r="D363" s="141"/>
      <c r="E363" s="141"/>
      <c r="F363" s="141"/>
      <c r="G363" s="141"/>
      <c r="H363" s="142"/>
    </row>
    <row r="364" spans="1:8" x14ac:dyDescent="0.2">
      <c r="A364" s="140"/>
      <c r="B364" s="141"/>
      <c r="C364" s="141"/>
      <c r="D364" s="141"/>
      <c r="E364" s="141"/>
      <c r="F364" s="141"/>
      <c r="G364" s="141"/>
      <c r="H364" s="142"/>
    </row>
    <row r="365" spans="1:8" x14ac:dyDescent="0.2">
      <c r="A365" s="140"/>
      <c r="B365" s="141"/>
      <c r="C365" s="141"/>
      <c r="D365" s="141"/>
      <c r="E365" s="141"/>
      <c r="F365" s="141"/>
      <c r="G365" s="141"/>
      <c r="H365" s="142"/>
    </row>
    <row r="366" spans="1:8" x14ac:dyDescent="0.2">
      <c r="A366" s="140"/>
      <c r="B366" s="141"/>
      <c r="C366" s="141"/>
      <c r="D366" s="141"/>
      <c r="E366" s="141"/>
      <c r="F366" s="141"/>
      <c r="G366" s="141"/>
      <c r="H366" s="142"/>
    </row>
    <row r="367" spans="1:8" x14ac:dyDescent="0.2">
      <c r="A367" s="140"/>
      <c r="B367" s="141"/>
      <c r="C367" s="141"/>
      <c r="D367" s="141"/>
      <c r="E367" s="141"/>
      <c r="F367" s="141"/>
      <c r="G367" s="141"/>
      <c r="H367" s="142"/>
    </row>
    <row r="368" spans="1:8" x14ac:dyDescent="0.2">
      <c r="A368" s="140"/>
      <c r="B368" s="141"/>
      <c r="C368" s="141"/>
      <c r="D368" s="141"/>
      <c r="E368" s="141"/>
      <c r="F368" s="141"/>
      <c r="G368" s="141"/>
      <c r="H368" s="142"/>
    </row>
    <row r="369" spans="1:8" x14ac:dyDescent="0.2">
      <c r="A369" s="140"/>
      <c r="B369" s="141"/>
      <c r="C369" s="141"/>
      <c r="D369" s="141"/>
      <c r="E369" s="141"/>
      <c r="F369" s="141"/>
      <c r="G369" s="141"/>
      <c r="H369" s="142"/>
    </row>
    <row r="370" spans="1:8" x14ac:dyDescent="0.2">
      <c r="A370" s="140"/>
      <c r="B370" s="141"/>
      <c r="C370" s="141"/>
      <c r="D370" s="141"/>
      <c r="E370" s="141"/>
      <c r="F370" s="141"/>
      <c r="G370" s="141"/>
      <c r="H370" s="142"/>
    </row>
    <row r="371" spans="1:8" x14ac:dyDescent="0.2">
      <c r="A371" s="140"/>
      <c r="B371" s="141"/>
      <c r="C371" s="141"/>
      <c r="D371" s="141"/>
      <c r="E371" s="141"/>
      <c r="F371" s="141"/>
      <c r="G371" s="141"/>
      <c r="H371" s="142"/>
    </row>
    <row r="372" spans="1:8" x14ac:dyDescent="0.2">
      <c r="A372" s="140"/>
      <c r="B372" s="141"/>
      <c r="C372" s="141"/>
      <c r="D372" s="141"/>
      <c r="E372" s="141"/>
      <c r="F372" s="141"/>
      <c r="G372" s="141"/>
      <c r="H372" s="142"/>
    </row>
    <row r="373" spans="1:8" x14ac:dyDescent="0.2">
      <c r="A373" s="140"/>
      <c r="B373" s="141"/>
      <c r="C373" s="141"/>
      <c r="D373" s="141"/>
      <c r="E373" s="141"/>
      <c r="F373" s="141"/>
      <c r="G373" s="141"/>
      <c r="H373" s="142"/>
    </row>
    <row r="374" spans="1:8" x14ac:dyDescent="0.2">
      <c r="A374" s="140"/>
      <c r="B374" s="141"/>
      <c r="C374" s="141"/>
      <c r="D374" s="141"/>
      <c r="E374" s="141"/>
      <c r="F374" s="141"/>
      <c r="G374" s="141"/>
      <c r="H374" s="142"/>
    </row>
    <row r="375" spans="1:8" x14ac:dyDescent="0.2">
      <c r="A375" s="140"/>
      <c r="B375" s="141"/>
      <c r="C375" s="141"/>
      <c r="D375" s="141"/>
      <c r="E375" s="141"/>
      <c r="F375" s="141"/>
      <c r="G375" s="141"/>
      <c r="H375" s="142"/>
    </row>
    <row r="376" spans="1:8" x14ac:dyDescent="0.2">
      <c r="A376" s="140"/>
      <c r="B376" s="141"/>
      <c r="C376" s="141"/>
      <c r="D376" s="141"/>
      <c r="E376" s="141"/>
      <c r="F376" s="141"/>
      <c r="G376" s="141"/>
      <c r="H376" s="142"/>
    </row>
    <row r="377" spans="1:8" x14ac:dyDescent="0.2">
      <c r="A377" s="140"/>
      <c r="B377" s="141"/>
      <c r="C377" s="141"/>
      <c r="D377" s="141"/>
      <c r="E377" s="141"/>
      <c r="F377" s="141"/>
      <c r="G377" s="141"/>
      <c r="H377" s="142"/>
    </row>
    <row r="378" spans="1:8" x14ac:dyDescent="0.2">
      <c r="A378" s="140"/>
      <c r="B378" s="141"/>
      <c r="C378" s="141"/>
      <c r="D378" s="141"/>
      <c r="E378" s="141"/>
      <c r="F378" s="141"/>
      <c r="G378" s="141"/>
      <c r="H378" s="142"/>
    </row>
    <row r="379" spans="1:8" x14ac:dyDescent="0.2">
      <c r="A379" s="140"/>
      <c r="B379" s="141"/>
      <c r="C379" s="141"/>
      <c r="D379" s="141"/>
      <c r="E379" s="141"/>
      <c r="F379" s="141"/>
      <c r="G379" s="141"/>
      <c r="H379" s="142"/>
    </row>
    <row r="380" spans="1:8" x14ac:dyDescent="0.2">
      <c r="A380" s="140"/>
      <c r="B380" s="141"/>
      <c r="C380" s="141"/>
      <c r="D380" s="141"/>
      <c r="E380" s="141"/>
      <c r="F380" s="141"/>
      <c r="G380" s="141"/>
      <c r="H380" s="142"/>
    </row>
    <row r="381" spans="1:8" x14ac:dyDescent="0.2">
      <c r="A381" s="140"/>
      <c r="B381" s="141"/>
      <c r="C381" s="141"/>
      <c r="D381" s="141"/>
      <c r="E381" s="141"/>
      <c r="F381" s="141"/>
      <c r="G381" s="141"/>
      <c r="H381" s="142"/>
    </row>
    <row r="382" spans="1:8" x14ac:dyDescent="0.2">
      <c r="A382" s="140"/>
      <c r="B382" s="141"/>
      <c r="C382" s="141"/>
      <c r="D382" s="141"/>
      <c r="E382" s="141"/>
      <c r="F382" s="141"/>
      <c r="G382" s="141"/>
      <c r="H382" s="142"/>
    </row>
    <row r="383" spans="1:8" x14ac:dyDescent="0.2">
      <c r="A383" s="140"/>
      <c r="B383" s="141"/>
      <c r="C383" s="141"/>
      <c r="D383" s="141"/>
      <c r="E383" s="141"/>
      <c r="F383" s="141"/>
      <c r="G383" s="141"/>
      <c r="H383" s="142"/>
    </row>
    <row r="384" spans="1:8" x14ac:dyDescent="0.2">
      <c r="A384" s="140"/>
      <c r="B384" s="141"/>
      <c r="C384" s="141"/>
      <c r="D384" s="141"/>
      <c r="E384" s="141"/>
      <c r="F384" s="141"/>
      <c r="G384" s="141"/>
      <c r="H384" s="142"/>
    </row>
    <row r="385" spans="1:8" x14ac:dyDescent="0.2">
      <c r="A385" s="140"/>
      <c r="B385" s="141"/>
      <c r="C385" s="141"/>
      <c r="D385" s="141"/>
      <c r="E385" s="141"/>
      <c r="F385" s="141"/>
      <c r="G385" s="141"/>
      <c r="H385" s="142"/>
    </row>
    <row r="386" spans="1:8" x14ac:dyDescent="0.2">
      <c r="A386" s="140"/>
      <c r="B386" s="141"/>
      <c r="C386" s="141"/>
      <c r="D386" s="141"/>
      <c r="E386" s="141"/>
      <c r="F386" s="141"/>
      <c r="G386" s="141"/>
      <c r="H386" s="142"/>
    </row>
    <row r="387" spans="1:8" x14ac:dyDescent="0.2">
      <c r="A387" s="140"/>
      <c r="B387" s="141"/>
      <c r="C387" s="141"/>
      <c r="D387" s="141"/>
      <c r="E387" s="141"/>
      <c r="F387" s="141"/>
      <c r="G387" s="141"/>
      <c r="H387" s="142"/>
    </row>
    <row r="388" spans="1:8" x14ac:dyDescent="0.2">
      <c r="A388" s="140"/>
      <c r="B388" s="141"/>
      <c r="C388" s="141"/>
      <c r="D388" s="141"/>
      <c r="E388" s="141"/>
      <c r="F388" s="141"/>
      <c r="G388" s="141"/>
      <c r="H388" s="142"/>
    </row>
    <row r="389" spans="1:8" x14ac:dyDescent="0.2">
      <c r="A389" s="140"/>
      <c r="B389" s="141"/>
      <c r="C389" s="141"/>
      <c r="D389" s="141"/>
      <c r="E389" s="141"/>
      <c r="F389" s="141"/>
      <c r="G389" s="141"/>
      <c r="H389" s="142"/>
    </row>
    <row r="390" spans="1:8" x14ac:dyDescent="0.2">
      <c r="A390" s="140"/>
      <c r="B390" s="141"/>
      <c r="C390" s="141"/>
      <c r="D390" s="141"/>
      <c r="E390" s="141"/>
      <c r="F390" s="141"/>
      <c r="G390" s="141"/>
      <c r="H390" s="142"/>
    </row>
    <row r="391" spans="1:8" x14ac:dyDescent="0.2">
      <c r="A391" s="140"/>
      <c r="B391" s="141"/>
      <c r="C391" s="141"/>
      <c r="D391" s="141"/>
      <c r="E391" s="141"/>
      <c r="F391" s="141"/>
      <c r="G391" s="141"/>
      <c r="H391" s="142"/>
    </row>
    <row r="392" spans="1:8" x14ac:dyDescent="0.2">
      <c r="A392" s="140"/>
      <c r="B392" s="141"/>
      <c r="C392" s="141"/>
      <c r="D392" s="141"/>
      <c r="E392" s="141"/>
      <c r="F392" s="141"/>
      <c r="G392" s="141"/>
      <c r="H392" s="142"/>
    </row>
    <row r="393" spans="1:8" x14ac:dyDescent="0.2">
      <c r="A393" s="140"/>
      <c r="B393" s="141"/>
      <c r="C393" s="141"/>
      <c r="D393" s="141"/>
      <c r="E393" s="141"/>
      <c r="F393" s="141"/>
      <c r="G393" s="141"/>
      <c r="H393" s="142"/>
    </row>
    <row r="394" spans="1:8" x14ac:dyDescent="0.2">
      <c r="A394" s="140"/>
      <c r="B394" s="141"/>
      <c r="C394" s="141"/>
      <c r="D394" s="141"/>
      <c r="E394" s="141"/>
      <c r="F394" s="141"/>
      <c r="G394" s="141"/>
      <c r="H394" s="142"/>
    </row>
    <row r="395" spans="1:8" x14ac:dyDescent="0.2">
      <c r="A395" s="140"/>
      <c r="B395" s="141"/>
      <c r="C395" s="141"/>
      <c r="D395" s="141"/>
      <c r="E395" s="141"/>
      <c r="F395" s="141"/>
      <c r="G395" s="141"/>
      <c r="H395" s="142"/>
    </row>
    <row r="396" spans="1:8" x14ac:dyDescent="0.2">
      <c r="A396" s="140"/>
      <c r="B396" s="141"/>
      <c r="C396" s="141"/>
      <c r="D396" s="141"/>
      <c r="E396" s="141"/>
      <c r="F396" s="141"/>
      <c r="G396" s="141"/>
      <c r="H396" s="142"/>
    </row>
    <row r="397" spans="1:8" x14ac:dyDescent="0.2">
      <c r="A397" s="140"/>
      <c r="B397" s="141"/>
      <c r="C397" s="141"/>
      <c r="D397" s="141"/>
      <c r="E397" s="141"/>
      <c r="F397" s="141"/>
      <c r="G397" s="141"/>
      <c r="H397" s="142"/>
    </row>
    <row r="398" spans="1:8" x14ac:dyDescent="0.2">
      <c r="A398" s="140"/>
      <c r="B398" s="141"/>
      <c r="C398" s="141"/>
      <c r="D398" s="141"/>
      <c r="E398" s="141"/>
      <c r="F398" s="141"/>
      <c r="G398" s="141"/>
      <c r="H398" s="142"/>
    </row>
    <row r="399" spans="1:8" ht="12.75" customHeight="1" x14ac:dyDescent="0.2">
      <c r="A399" s="132" t="s">
        <v>141</v>
      </c>
      <c r="B399" s="134"/>
      <c r="C399" s="132"/>
      <c r="D399" s="133"/>
      <c r="E399" s="133"/>
      <c r="F399" s="133"/>
      <c r="G399" s="133"/>
      <c r="H399" s="134"/>
    </row>
    <row r="400" spans="1:8" x14ac:dyDescent="0.2">
      <c r="A400" s="140"/>
      <c r="B400" s="141"/>
      <c r="C400" s="141"/>
      <c r="D400" s="141"/>
      <c r="E400" s="141"/>
      <c r="F400" s="141"/>
      <c r="G400" s="141"/>
      <c r="H400" s="142"/>
    </row>
    <row r="401" spans="1:8" x14ac:dyDescent="0.2">
      <c r="A401" s="140"/>
      <c r="B401" s="141"/>
      <c r="C401" s="141"/>
      <c r="D401" s="141"/>
      <c r="E401" s="141"/>
      <c r="F401" s="141"/>
      <c r="G401" s="141"/>
      <c r="H401" s="142"/>
    </row>
    <row r="402" spans="1:8" x14ac:dyDescent="0.2">
      <c r="A402" s="140"/>
      <c r="B402" s="141"/>
      <c r="C402" s="141"/>
      <c r="D402" s="141"/>
      <c r="E402" s="141"/>
      <c r="F402" s="141"/>
      <c r="G402" s="141"/>
      <c r="H402" s="142"/>
    </row>
    <row r="403" spans="1:8" x14ac:dyDescent="0.2">
      <c r="A403" s="140"/>
      <c r="B403" s="141"/>
      <c r="C403" s="141"/>
      <c r="D403" s="141"/>
      <c r="E403" s="141"/>
      <c r="F403" s="141"/>
      <c r="G403" s="141"/>
      <c r="H403" s="142"/>
    </row>
    <row r="404" spans="1:8" x14ac:dyDescent="0.2">
      <c r="A404" s="140"/>
      <c r="B404" s="141"/>
      <c r="C404" s="141"/>
      <c r="D404" s="141"/>
      <c r="E404" s="141"/>
      <c r="F404" s="141"/>
      <c r="G404" s="141"/>
      <c r="H404" s="142"/>
    </row>
    <row r="405" spans="1:8" x14ac:dyDescent="0.2">
      <c r="A405" s="140"/>
      <c r="B405" s="141"/>
      <c r="C405" s="141"/>
      <c r="D405" s="141"/>
      <c r="E405" s="141"/>
      <c r="F405" s="141"/>
      <c r="G405" s="141"/>
      <c r="H405" s="142"/>
    </row>
    <row r="406" spans="1:8" x14ac:dyDescent="0.2">
      <c r="A406" s="140"/>
      <c r="B406" s="141"/>
      <c r="C406" s="141"/>
      <c r="D406" s="141"/>
      <c r="E406" s="141"/>
      <c r="F406" s="141"/>
      <c r="G406" s="141"/>
      <c r="H406" s="142"/>
    </row>
    <row r="407" spans="1:8" x14ac:dyDescent="0.2">
      <c r="A407" s="140"/>
      <c r="B407" s="141"/>
      <c r="C407" s="141"/>
      <c r="D407" s="141"/>
      <c r="E407" s="141"/>
      <c r="F407" s="141"/>
      <c r="G407" s="141"/>
      <c r="H407" s="142"/>
    </row>
    <row r="408" spans="1:8" x14ac:dyDescent="0.2">
      <c r="A408" s="140"/>
      <c r="B408" s="141"/>
      <c r="C408" s="141"/>
      <c r="D408" s="141"/>
      <c r="E408" s="141"/>
      <c r="F408" s="141"/>
      <c r="G408" s="141"/>
      <c r="H408" s="142"/>
    </row>
    <row r="409" spans="1:8" x14ac:dyDescent="0.2">
      <c r="A409" s="140"/>
      <c r="B409" s="141"/>
      <c r="C409" s="141"/>
      <c r="D409" s="141"/>
      <c r="E409" s="141"/>
      <c r="F409" s="141"/>
      <c r="G409" s="141"/>
      <c r="H409" s="142"/>
    </row>
    <row r="410" spans="1:8" x14ac:dyDescent="0.2">
      <c r="A410" s="140"/>
      <c r="B410" s="141"/>
      <c r="C410" s="141"/>
      <c r="D410" s="141"/>
      <c r="E410" s="141"/>
      <c r="F410" s="141"/>
      <c r="G410" s="141"/>
      <c r="H410" s="142"/>
    </row>
    <row r="411" spans="1:8" x14ac:dyDescent="0.2">
      <c r="A411" s="140"/>
      <c r="B411" s="141"/>
      <c r="C411" s="141"/>
      <c r="D411" s="141"/>
      <c r="E411" s="141"/>
      <c r="F411" s="141"/>
      <c r="G411" s="141"/>
      <c r="H411" s="142"/>
    </row>
    <row r="412" spans="1:8" x14ac:dyDescent="0.2">
      <c r="A412" s="140"/>
      <c r="B412" s="141"/>
      <c r="C412" s="141"/>
      <c r="D412" s="141"/>
      <c r="E412" s="141"/>
      <c r="F412" s="141"/>
      <c r="G412" s="141"/>
      <c r="H412" s="142"/>
    </row>
    <row r="413" spans="1:8" x14ac:dyDescent="0.2">
      <c r="A413" s="140"/>
      <c r="B413" s="141"/>
      <c r="C413" s="141"/>
      <c r="D413" s="141"/>
      <c r="E413" s="141"/>
      <c r="F413" s="141"/>
      <c r="G413" s="141"/>
      <c r="H413" s="142"/>
    </row>
    <row r="414" spans="1:8" x14ac:dyDescent="0.2">
      <c r="A414" s="140"/>
      <c r="B414" s="141"/>
      <c r="C414" s="141"/>
      <c r="D414" s="141"/>
      <c r="E414" s="141"/>
      <c r="F414" s="141"/>
      <c r="G414" s="141"/>
      <c r="H414" s="142"/>
    </row>
    <row r="415" spans="1:8" x14ac:dyDescent="0.2">
      <c r="A415" s="140"/>
      <c r="B415" s="141"/>
      <c r="C415" s="141"/>
      <c r="D415" s="141"/>
      <c r="E415" s="141"/>
      <c r="F415" s="141"/>
      <c r="G415" s="141"/>
      <c r="H415" s="142"/>
    </row>
    <row r="416" spans="1:8" x14ac:dyDescent="0.2">
      <c r="A416" s="140"/>
      <c r="B416" s="141"/>
      <c r="C416" s="141"/>
      <c r="D416" s="141"/>
      <c r="E416" s="141"/>
      <c r="F416" s="141"/>
      <c r="G416" s="141"/>
      <c r="H416" s="142"/>
    </row>
    <row r="417" spans="1:8" x14ac:dyDescent="0.2">
      <c r="A417" s="140"/>
      <c r="B417" s="141"/>
      <c r="C417" s="141"/>
      <c r="D417" s="141"/>
      <c r="E417" s="141"/>
      <c r="F417" s="141"/>
      <c r="G417" s="141"/>
      <c r="H417" s="142"/>
    </row>
    <row r="418" spans="1:8" x14ac:dyDescent="0.2">
      <c r="A418" s="140"/>
      <c r="B418" s="141"/>
      <c r="C418" s="141"/>
      <c r="D418" s="141"/>
      <c r="E418" s="141"/>
      <c r="F418" s="141"/>
      <c r="G418" s="141"/>
      <c r="H418" s="142"/>
    </row>
    <row r="419" spans="1:8" x14ac:dyDescent="0.2">
      <c r="A419" s="140"/>
      <c r="B419" s="141"/>
      <c r="C419" s="141"/>
      <c r="D419" s="141"/>
      <c r="E419" s="141"/>
      <c r="F419" s="141"/>
      <c r="G419" s="141"/>
      <c r="H419" s="142"/>
    </row>
    <row r="420" spans="1:8" x14ac:dyDescent="0.2">
      <c r="A420" s="140"/>
      <c r="B420" s="141"/>
      <c r="C420" s="141"/>
      <c r="D420" s="141"/>
      <c r="E420" s="141"/>
      <c r="F420" s="141"/>
      <c r="G420" s="141"/>
      <c r="H420" s="142"/>
    </row>
    <row r="421" spans="1:8" x14ac:dyDescent="0.2">
      <c r="A421" s="140"/>
      <c r="B421" s="141"/>
      <c r="C421" s="141"/>
      <c r="D421" s="141"/>
      <c r="E421" s="141"/>
      <c r="F421" s="141"/>
      <c r="G421" s="141"/>
      <c r="H421" s="142"/>
    </row>
    <row r="422" spans="1:8" x14ac:dyDescent="0.2">
      <c r="A422" s="140"/>
      <c r="B422" s="141"/>
      <c r="C422" s="141"/>
      <c r="D422" s="141"/>
      <c r="E422" s="141"/>
      <c r="F422" s="141"/>
      <c r="G422" s="141"/>
      <c r="H422" s="142"/>
    </row>
    <row r="423" spans="1:8" x14ac:dyDescent="0.2">
      <c r="A423" s="140"/>
      <c r="B423" s="141"/>
      <c r="C423" s="141"/>
      <c r="D423" s="141"/>
      <c r="E423" s="141"/>
      <c r="F423" s="141"/>
      <c r="G423" s="141"/>
      <c r="H423" s="142"/>
    </row>
    <row r="424" spans="1:8" x14ac:dyDescent="0.2">
      <c r="A424" s="140"/>
      <c r="B424" s="141"/>
      <c r="C424" s="141"/>
      <c r="D424" s="141"/>
      <c r="E424" s="141"/>
      <c r="F424" s="141"/>
      <c r="G424" s="141"/>
      <c r="H424" s="142"/>
    </row>
    <row r="425" spans="1:8" x14ac:dyDescent="0.2">
      <c r="A425" s="140"/>
      <c r="B425" s="141"/>
      <c r="C425" s="141"/>
      <c r="D425" s="141"/>
      <c r="E425" s="141"/>
      <c r="F425" s="141"/>
      <c r="G425" s="141"/>
      <c r="H425" s="142"/>
    </row>
    <row r="426" spans="1:8" x14ac:dyDescent="0.2">
      <c r="A426" s="140"/>
      <c r="B426" s="141"/>
      <c r="C426" s="141"/>
      <c r="D426" s="141"/>
      <c r="E426" s="141"/>
      <c r="F426" s="141"/>
      <c r="G426" s="141"/>
      <c r="H426" s="142"/>
    </row>
    <row r="427" spans="1:8" x14ac:dyDescent="0.2">
      <c r="A427" s="140"/>
      <c r="B427" s="141"/>
      <c r="C427" s="141"/>
      <c r="D427" s="141"/>
      <c r="E427" s="141"/>
      <c r="F427" s="141"/>
      <c r="G427" s="141"/>
      <c r="H427" s="142"/>
    </row>
    <row r="428" spans="1:8" x14ac:dyDescent="0.2">
      <c r="A428" s="140"/>
      <c r="B428" s="141"/>
      <c r="C428" s="141"/>
      <c r="D428" s="141"/>
      <c r="E428" s="141"/>
      <c r="F428" s="141"/>
      <c r="G428" s="141"/>
      <c r="H428" s="142"/>
    </row>
    <row r="429" spans="1:8" x14ac:dyDescent="0.2">
      <c r="A429" s="140"/>
      <c r="B429" s="141"/>
      <c r="C429" s="141"/>
      <c r="D429" s="141"/>
      <c r="E429" s="141"/>
      <c r="F429" s="141"/>
      <c r="G429" s="141"/>
      <c r="H429" s="142"/>
    </row>
    <row r="430" spans="1:8" x14ac:dyDescent="0.2">
      <c r="A430" s="140"/>
      <c r="B430" s="141"/>
      <c r="C430" s="141"/>
      <c r="D430" s="141"/>
      <c r="E430" s="141"/>
      <c r="F430" s="141"/>
      <c r="G430" s="141"/>
      <c r="H430" s="142"/>
    </row>
    <row r="431" spans="1:8" x14ac:dyDescent="0.2">
      <c r="A431" s="140"/>
      <c r="B431" s="141"/>
      <c r="C431" s="141"/>
      <c r="D431" s="141"/>
      <c r="E431" s="141"/>
      <c r="F431" s="141"/>
      <c r="G431" s="141"/>
      <c r="H431" s="142"/>
    </row>
    <row r="432" spans="1:8" x14ac:dyDescent="0.2">
      <c r="A432" s="140"/>
      <c r="B432" s="141"/>
      <c r="C432" s="141"/>
      <c r="D432" s="141"/>
      <c r="E432" s="141"/>
      <c r="F432" s="141"/>
      <c r="G432" s="141"/>
      <c r="H432" s="142"/>
    </row>
    <row r="433" spans="1:8" x14ac:dyDescent="0.2">
      <c r="A433" s="140"/>
      <c r="B433" s="141"/>
      <c r="C433" s="141"/>
      <c r="D433" s="141"/>
      <c r="E433" s="141"/>
      <c r="F433" s="141"/>
      <c r="G433" s="141"/>
      <c r="H433" s="142"/>
    </row>
    <row r="434" spans="1:8" x14ac:dyDescent="0.2">
      <c r="A434" s="140"/>
      <c r="B434" s="141"/>
      <c r="C434" s="141"/>
      <c r="D434" s="141"/>
      <c r="E434" s="141"/>
      <c r="F434" s="141"/>
      <c r="G434" s="141"/>
      <c r="H434" s="142"/>
    </row>
    <row r="435" spans="1:8" x14ac:dyDescent="0.2">
      <c r="A435" s="140"/>
      <c r="B435" s="141"/>
      <c r="C435" s="141"/>
      <c r="D435" s="141"/>
      <c r="E435" s="141"/>
      <c r="F435" s="141"/>
      <c r="G435" s="141"/>
      <c r="H435" s="142"/>
    </row>
    <row r="436" spans="1:8" x14ac:dyDescent="0.2">
      <c r="A436" s="140"/>
      <c r="B436" s="141"/>
      <c r="C436" s="141"/>
      <c r="D436" s="141"/>
      <c r="E436" s="141"/>
      <c r="F436" s="141"/>
      <c r="G436" s="141"/>
      <c r="H436" s="142"/>
    </row>
    <row r="437" spans="1:8" x14ac:dyDescent="0.2">
      <c r="A437" s="140"/>
      <c r="B437" s="141"/>
      <c r="C437" s="141"/>
      <c r="D437" s="141"/>
      <c r="E437" s="141"/>
      <c r="F437" s="141"/>
      <c r="G437" s="141"/>
      <c r="H437" s="142"/>
    </row>
    <row r="438" spans="1:8" x14ac:dyDescent="0.2">
      <c r="A438" s="140"/>
      <c r="B438" s="141"/>
      <c r="C438" s="141"/>
      <c r="D438" s="141"/>
      <c r="E438" s="141"/>
      <c r="F438" s="141"/>
      <c r="G438" s="141"/>
      <c r="H438" s="142"/>
    </row>
    <row r="439" spans="1:8" x14ac:dyDescent="0.2">
      <c r="A439" s="140"/>
      <c r="B439" s="141"/>
      <c r="C439" s="141"/>
      <c r="D439" s="141"/>
      <c r="E439" s="141"/>
      <c r="F439" s="141"/>
      <c r="G439" s="141"/>
      <c r="H439" s="142"/>
    </row>
    <row r="440" spans="1:8" x14ac:dyDescent="0.2">
      <c r="A440" s="140"/>
      <c r="B440" s="141"/>
      <c r="C440" s="141"/>
      <c r="D440" s="141"/>
      <c r="E440" s="141"/>
      <c r="F440" s="141"/>
      <c r="G440" s="141"/>
      <c r="H440" s="142"/>
    </row>
    <row r="441" spans="1:8" x14ac:dyDescent="0.2">
      <c r="A441" s="140"/>
      <c r="B441" s="141"/>
      <c r="C441" s="141"/>
      <c r="D441" s="141"/>
      <c r="E441" s="141"/>
      <c r="F441" s="141"/>
      <c r="G441" s="141"/>
      <c r="H441" s="142"/>
    </row>
    <row r="442" spans="1:8" x14ac:dyDescent="0.2">
      <c r="A442" s="140"/>
      <c r="B442" s="141"/>
      <c r="C442" s="141"/>
      <c r="D442" s="141"/>
      <c r="E442" s="141"/>
      <c r="F442" s="141"/>
      <c r="G442" s="141"/>
      <c r="H442" s="142"/>
    </row>
    <row r="443" spans="1:8" x14ac:dyDescent="0.2">
      <c r="A443" s="140"/>
      <c r="B443" s="141"/>
      <c r="C443" s="141"/>
      <c r="D443" s="141"/>
      <c r="E443" s="141"/>
      <c r="F443" s="141"/>
      <c r="G443" s="141"/>
      <c r="H443" s="142"/>
    </row>
    <row r="444" spans="1:8" x14ac:dyDescent="0.2">
      <c r="A444" s="140"/>
      <c r="B444" s="141"/>
      <c r="C444" s="141"/>
      <c r="D444" s="141"/>
      <c r="E444" s="141"/>
      <c r="F444" s="141"/>
      <c r="G444" s="141"/>
      <c r="H444" s="142"/>
    </row>
    <row r="445" spans="1:8" x14ac:dyDescent="0.2">
      <c r="A445" s="140"/>
      <c r="B445" s="141"/>
      <c r="C445" s="141"/>
      <c r="D445" s="141"/>
      <c r="E445" s="141"/>
      <c r="F445" s="141"/>
      <c r="G445" s="141"/>
      <c r="H445" s="142"/>
    </row>
    <row r="446" spans="1:8" x14ac:dyDescent="0.2">
      <c r="A446" s="140"/>
      <c r="B446" s="141"/>
      <c r="C446" s="141"/>
      <c r="D446" s="141"/>
      <c r="E446" s="141"/>
      <c r="F446" s="141"/>
      <c r="G446" s="141"/>
      <c r="H446" s="142"/>
    </row>
    <row r="447" spans="1:8" x14ac:dyDescent="0.2">
      <c r="A447" s="140"/>
      <c r="B447" s="141"/>
      <c r="C447" s="141"/>
      <c r="D447" s="141"/>
      <c r="E447" s="141"/>
      <c r="F447" s="141"/>
      <c r="G447" s="141"/>
      <c r="H447" s="142"/>
    </row>
    <row r="448" spans="1:8" x14ac:dyDescent="0.2">
      <c r="A448" s="140"/>
      <c r="B448" s="141"/>
      <c r="C448" s="141"/>
      <c r="D448" s="141"/>
      <c r="E448" s="141"/>
      <c r="F448" s="141"/>
      <c r="G448" s="141"/>
      <c r="H448" s="142"/>
    </row>
    <row r="449" spans="1:8" x14ac:dyDescent="0.2">
      <c r="A449" s="140"/>
      <c r="B449" s="141"/>
      <c r="C449" s="141"/>
      <c r="D449" s="141"/>
      <c r="E449" s="141"/>
      <c r="F449" s="141"/>
      <c r="G449" s="141"/>
      <c r="H449" s="142"/>
    </row>
    <row r="450" spans="1:8" x14ac:dyDescent="0.2">
      <c r="A450" s="140"/>
      <c r="B450" s="141"/>
      <c r="C450" s="141"/>
      <c r="D450" s="141"/>
      <c r="E450" s="141"/>
      <c r="F450" s="141"/>
      <c r="G450" s="141"/>
      <c r="H450" s="142"/>
    </row>
    <row r="451" spans="1:8" x14ac:dyDescent="0.2">
      <c r="A451" s="140"/>
      <c r="B451" s="141"/>
      <c r="C451" s="141"/>
      <c r="D451" s="141"/>
      <c r="E451" s="141"/>
      <c r="F451" s="141"/>
      <c r="G451" s="141"/>
      <c r="H451" s="142"/>
    </row>
    <row r="452" spans="1:8" x14ac:dyDescent="0.2">
      <c r="A452" s="143"/>
      <c r="B452" s="144"/>
      <c r="C452" s="144"/>
      <c r="D452" s="144"/>
      <c r="E452" s="144"/>
      <c r="F452" s="144"/>
      <c r="G452" s="144"/>
      <c r="H452" s="145"/>
    </row>
    <row r="453" spans="1:8" x14ac:dyDescent="0.2">
      <c r="A453" s="132" t="s">
        <v>120</v>
      </c>
      <c r="B453" s="134"/>
      <c r="C453" s="99"/>
      <c r="D453" s="278"/>
      <c r="E453" s="278"/>
      <c r="F453" s="278"/>
      <c r="G453" s="278"/>
      <c r="H453" s="100"/>
    </row>
    <row r="454" spans="1:8" x14ac:dyDescent="0.2">
      <c r="A454" s="140"/>
      <c r="B454" s="141"/>
      <c r="C454" s="141"/>
      <c r="D454" s="141"/>
      <c r="E454" s="141"/>
      <c r="F454" s="141"/>
      <c r="G454" s="141"/>
      <c r="H454" s="142"/>
    </row>
    <row r="455" spans="1:8" x14ac:dyDescent="0.2">
      <c r="A455" s="140"/>
      <c r="B455" s="141"/>
      <c r="C455" s="141"/>
      <c r="D455" s="141"/>
      <c r="E455" s="141"/>
      <c r="F455" s="141"/>
      <c r="G455" s="141"/>
      <c r="H455" s="142"/>
    </row>
    <row r="456" spans="1:8" x14ac:dyDescent="0.2">
      <c r="A456" s="140"/>
      <c r="B456" s="141"/>
      <c r="C456" s="141"/>
      <c r="D456" s="141"/>
      <c r="E456" s="141"/>
      <c r="F456" s="141"/>
      <c r="G456" s="141"/>
      <c r="H456" s="142"/>
    </row>
    <row r="457" spans="1:8" x14ac:dyDescent="0.2">
      <c r="A457" s="140"/>
      <c r="B457" s="141"/>
      <c r="C457" s="141"/>
      <c r="D457" s="141"/>
      <c r="E457" s="141"/>
      <c r="F457" s="141"/>
      <c r="G457" s="141"/>
      <c r="H457" s="142"/>
    </row>
    <row r="458" spans="1:8" x14ac:dyDescent="0.2">
      <c r="A458" s="140"/>
      <c r="B458" s="141"/>
      <c r="C458" s="141"/>
      <c r="D458" s="141"/>
      <c r="E458" s="141"/>
      <c r="F458" s="141"/>
      <c r="G458" s="141"/>
      <c r="H458" s="142"/>
    </row>
    <row r="459" spans="1:8" x14ac:dyDescent="0.2">
      <c r="A459" s="140"/>
      <c r="B459" s="141"/>
      <c r="C459" s="141"/>
      <c r="D459" s="141"/>
      <c r="E459" s="141"/>
      <c r="F459" s="141"/>
      <c r="G459" s="141"/>
      <c r="H459" s="142"/>
    </row>
    <row r="460" spans="1:8" x14ac:dyDescent="0.2">
      <c r="A460" s="140"/>
      <c r="B460" s="141"/>
      <c r="C460" s="141"/>
      <c r="D460" s="141"/>
      <c r="E460" s="141"/>
      <c r="F460" s="141"/>
      <c r="G460" s="141"/>
      <c r="H460" s="142"/>
    </row>
    <row r="461" spans="1:8" x14ac:dyDescent="0.2">
      <c r="A461" s="140"/>
      <c r="B461" s="141"/>
      <c r="C461" s="141"/>
      <c r="D461" s="141"/>
      <c r="E461" s="141"/>
      <c r="F461" s="141"/>
      <c r="G461" s="141"/>
      <c r="H461" s="142"/>
    </row>
    <row r="462" spans="1:8" x14ac:dyDescent="0.2">
      <c r="A462" s="140"/>
      <c r="B462" s="141"/>
      <c r="C462" s="141"/>
      <c r="D462" s="141"/>
      <c r="E462" s="141"/>
      <c r="F462" s="141"/>
      <c r="G462" s="141"/>
      <c r="H462" s="142"/>
    </row>
    <row r="463" spans="1:8" x14ac:dyDescent="0.2">
      <c r="A463" s="140"/>
      <c r="B463" s="141"/>
      <c r="C463" s="141"/>
      <c r="D463" s="141"/>
      <c r="E463" s="141"/>
      <c r="F463" s="141"/>
      <c r="G463" s="141"/>
      <c r="H463" s="142"/>
    </row>
    <row r="464" spans="1:8" x14ac:dyDescent="0.2">
      <c r="A464" s="140"/>
      <c r="B464" s="141"/>
      <c r="C464" s="141"/>
      <c r="D464" s="141"/>
      <c r="E464" s="141"/>
      <c r="F464" s="141"/>
      <c r="G464" s="141"/>
      <c r="H464" s="142"/>
    </row>
    <row r="465" spans="1:8" x14ac:dyDescent="0.2">
      <c r="A465" s="140"/>
      <c r="B465" s="141"/>
      <c r="C465" s="141"/>
      <c r="D465" s="141"/>
      <c r="E465" s="141"/>
      <c r="F465" s="141"/>
      <c r="G465" s="141"/>
      <c r="H465" s="142"/>
    </row>
    <row r="466" spans="1:8" x14ac:dyDescent="0.2">
      <c r="A466" s="140"/>
      <c r="B466" s="141"/>
      <c r="C466" s="141"/>
      <c r="D466" s="141"/>
      <c r="E466" s="141"/>
      <c r="F466" s="141"/>
      <c r="G466" s="141"/>
      <c r="H466" s="142"/>
    </row>
    <row r="467" spans="1:8" x14ac:dyDescent="0.2">
      <c r="A467" s="140"/>
      <c r="B467" s="141"/>
      <c r="C467" s="141"/>
      <c r="D467" s="141"/>
      <c r="E467" s="141"/>
      <c r="F467" s="141"/>
      <c r="G467" s="141"/>
      <c r="H467" s="142"/>
    </row>
    <row r="468" spans="1:8" x14ac:dyDescent="0.2">
      <c r="A468" s="140"/>
      <c r="B468" s="141"/>
      <c r="C468" s="141"/>
      <c r="D468" s="141"/>
      <c r="E468" s="141"/>
      <c r="F468" s="141"/>
      <c r="G468" s="141"/>
      <c r="H468" s="142"/>
    </row>
    <row r="469" spans="1:8" x14ac:dyDescent="0.2">
      <c r="A469" s="140"/>
      <c r="B469" s="141"/>
      <c r="C469" s="141"/>
      <c r="D469" s="141"/>
      <c r="E469" s="141"/>
      <c r="F469" s="141"/>
      <c r="G469" s="141"/>
      <c r="H469" s="142"/>
    </row>
    <row r="470" spans="1:8" x14ac:dyDescent="0.2">
      <c r="A470" s="140"/>
      <c r="B470" s="141"/>
      <c r="C470" s="141"/>
      <c r="D470" s="141"/>
      <c r="E470" s="141"/>
      <c r="F470" s="141"/>
      <c r="G470" s="141"/>
      <c r="H470" s="142"/>
    </row>
    <row r="471" spans="1:8" x14ac:dyDescent="0.2">
      <c r="A471" s="140"/>
      <c r="B471" s="141"/>
      <c r="C471" s="141"/>
      <c r="D471" s="141"/>
      <c r="E471" s="141"/>
      <c r="F471" s="141"/>
      <c r="G471" s="141"/>
      <c r="H471" s="142"/>
    </row>
    <row r="472" spans="1:8" x14ac:dyDescent="0.2">
      <c r="A472" s="140"/>
      <c r="B472" s="141"/>
      <c r="C472" s="141"/>
      <c r="D472" s="141"/>
      <c r="E472" s="141"/>
      <c r="F472" s="141"/>
      <c r="G472" s="141"/>
      <c r="H472" s="142"/>
    </row>
    <row r="473" spans="1:8" x14ac:dyDescent="0.2">
      <c r="A473" s="140"/>
      <c r="B473" s="141"/>
      <c r="C473" s="141"/>
      <c r="D473" s="141"/>
      <c r="E473" s="141"/>
      <c r="F473" s="141"/>
      <c r="G473" s="141"/>
      <c r="H473" s="142"/>
    </row>
    <row r="474" spans="1:8" x14ac:dyDescent="0.2">
      <c r="A474" s="140"/>
      <c r="B474" s="141"/>
      <c r="C474" s="141"/>
      <c r="D474" s="141"/>
      <c r="E474" s="141"/>
      <c r="F474" s="141"/>
      <c r="G474" s="141"/>
      <c r="H474" s="142"/>
    </row>
    <row r="475" spans="1:8" x14ac:dyDescent="0.2">
      <c r="A475" s="140"/>
      <c r="B475" s="141"/>
      <c r="C475" s="141"/>
      <c r="D475" s="141"/>
      <c r="E475" s="141"/>
      <c r="F475" s="141"/>
      <c r="G475" s="141"/>
      <c r="H475" s="142"/>
    </row>
    <row r="476" spans="1:8" x14ac:dyDescent="0.2">
      <c r="A476" s="140"/>
      <c r="B476" s="141"/>
      <c r="C476" s="141"/>
      <c r="D476" s="141"/>
      <c r="E476" s="141"/>
      <c r="F476" s="141"/>
      <c r="G476" s="141"/>
      <c r="H476" s="142"/>
    </row>
    <row r="477" spans="1:8" x14ac:dyDescent="0.2">
      <c r="A477" s="140"/>
      <c r="B477" s="141"/>
      <c r="C477" s="141"/>
      <c r="D477" s="141"/>
      <c r="E477" s="141"/>
      <c r="F477" s="141"/>
      <c r="G477" s="141"/>
      <c r="H477" s="142"/>
    </row>
    <row r="478" spans="1:8" x14ac:dyDescent="0.2">
      <c r="A478" s="140"/>
      <c r="B478" s="141"/>
      <c r="C478" s="141"/>
      <c r="D478" s="141"/>
      <c r="E478" s="141"/>
      <c r="F478" s="141"/>
      <c r="G478" s="141"/>
      <c r="H478" s="142"/>
    </row>
    <row r="479" spans="1:8" x14ac:dyDescent="0.2">
      <c r="A479" s="140"/>
      <c r="B479" s="141"/>
      <c r="C479" s="141"/>
      <c r="D479" s="141"/>
      <c r="E479" s="141"/>
      <c r="F479" s="141"/>
      <c r="G479" s="141"/>
      <c r="H479" s="142"/>
    </row>
    <row r="480" spans="1:8" x14ac:dyDescent="0.2">
      <c r="A480" s="140"/>
      <c r="B480" s="141"/>
      <c r="C480" s="141"/>
      <c r="D480" s="141"/>
      <c r="E480" s="141"/>
      <c r="F480" s="141"/>
      <c r="G480" s="141"/>
      <c r="H480" s="142"/>
    </row>
    <row r="481" spans="1:8" x14ac:dyDescent="0.2">
      <c r="A481" s="140"/>
      <c r="B481" s="141"/>
      <c r="C481" s="141"/>
      <c r="D481" s="141"/>
      <c r="E481" s="141"/>
      <c r="F481" s="141"/>
      <c r="G481" s="141"/>
      <c r="H481" s="142"/>
    </row>
    <row r="482" spans="1:8" x14ac:dyDescent="0.2">
      <c r="A482" s="140"/>
      <c r="B482" s="141"/>
      <c r="C482" s="141"/>
      <c r="D482" s="141"/>
      <c r="E482" s="141"/>
      <c r="F482" s="141"/>
      <c r="G482" s="141"/>
      <c r="H482" s="142"/>
    </row>
    <row r="483" spans="1:8" x14ac:dyDescent="0.2">
      <c r="A483" s="140"/>
      <c r="B483" s="141"/>
      <c r="C483" s="141"/>
      <c r="D483" s="141"/>
      <c r="E483" s="141"/>
      <c r="F483" s="141"/>
      <c r="G483" s="141"/>
      <c r="H483" s="142"/>
    </row>
    <row r="484" spans="1:8" x14ac:dyDescent="0.2">
      <c r="A484" s="140"/>
      <c r="B484" s="141"/>
      <c r="C484" s="141"/>
      <c r="D484" s="141"/>
      <c r="E484" s="141"/>
      <c r="F484" s="141"/>
      <c r="G484" s="141"/>
      <c r="H484" s="142"/>
    </row>
    <row r="485" spans="1:8" x14ac:dyDescent="0.2">
      <c r="A485" s="140"/>
      <c r="B485" s="141"/>
      <c r="C485" s="141"/>
      <c r="D485" s="141"/>
      <c r="E485" s="141"/>
      <c r="F485" s="141"/>
      <c r="G485" s="141"/>
      <c r="H485" s="142"/>
    </row>
    <row r="486" spans="1:8" x14ac:dyDescent="0.2">
      <c r="A486" s="140"/>
      <c r="B486" s="141"/>
      <c r="C486" s="141"/>
      <c r="D486" s="141"/>
      <c r="E486" s="141"/>
      <c r="F486" s="141"/>
      <c r="G486" s="141"/>
      <c r="H486" s="142"/>
    </row>
    <row r="487" spans="1:8" x14ac:dyDescent="0.2">
      <c r="A487" s="140"/>
      <c r="B487" s="141"/>
      <c r="C487" s="141"/>
      <c r="D487" s="141"/>
      <c r="E487" s="141"/>
      <c r="F487" s="141"/>
      <c r="G487" s="141"/>
      <c r="H487" s="142"/>
    </row>
    <row r="488" spans="1:8" x14ac:dyDescent="0.2">
      <c r="A488" s="140"/>
      <c r="B488" s="141"/>
      <c r="C488" s="141"/>
      <c r="D488" s="141"/>
      <c r="E488" s="141"/>
      <c r="F488" s="141"/>
      <c r="G488" s="141"/>
      <c r="H488" s="142"/>
    </row>
    <row r="489" spans="1:8" x14ac:dyDescent="0.2">
      <c r="A489" s="140"/>
      <c r="B489" s="141"/>
      <c r="C489" s="141"/>
      <c r="D489" s="141"/>
      <c r="E489" s="141"/>
      <c r="F489" s="141"/>
      <c r="G489" s="141"/>
      <c r="H489" s="142"/>
    </row>
    <row r="490" spans="1:8" x14ac:dyDescent="0.2">
      <c r="A490" s="140"/>
      <c r="B490" s="141"/>
      <c r="C490" s="141"/>
      <c r="D490" s="141"/>
      <c r="E490" s="141"/>
      <c r="F490" s="141"/>
      <c r="G490" s="141"/>
      <c r="H490" s="142"/>
    </row>
    <row r="491" spans="1:8" x14ac:dyDescent="0.2">
      <c r="A491" s="140"/>
      <c r="B491" s="141"/>
      <c r="C491" s="141"/>
      <c r="D491" s="141"/>
      <c r="E491" s="141"/>
      <c r="F491" s="141"/>
      <c r="G491" s="141"/>
      <c r="H491" s="142"/>
    </row>
    <row r="492" spans="1:8" x14ac:dyDescent="0.2">
      <c r="A492" s="140"/>
      <c r="B492" s="141"/>
      <c r="C492" s="141"/>
      <c r="D492" s="141"/>
      <c r="E492" s="141"/>
      <c r="F492" s="141"/>
      <c r="G492" s="141"/>
      <c r="H492" s="142"/>
    </row>
    <row r="493" spans="1:8" x14ac:dyDescent="0.2">
      <c r="A493" s="140"/>
      <c r="B493" s="141"/>
      <c r="C493" s="141"/>
      <c r="D493" s="141"/>
      <c r="E493" s="141"/>
      <c r="F493" s="141"/>
      <c r="G493" s="141"/>
      <c r="H493" s="142"/>
    </row>
    <row r="494" spans="1:8" x14ac:dyDescent="0.2">
      <c r="A494" s="140"/>
      <c r="B494" s="141"/>
      <c r="C494" s="141"/>
      <c r="D494" s="141"/>
      <c r="E494" s="141"/>
      <c r="F494" s="141"/>
      <c r="G494" s="141"/>
      <c r="H494" s="142"/>
    </row>
    <row r="495" spans="1:8" x14ac:dyDescent="0.2">
      <c r="A495" s="140"/>
      <c r="B495" s="141"/>
      <c r="C495" s="141"/>
      <c r="D495" s="141"/>
      <c r="E495" s="141"/>
      <c r="F495" s="141"/>
      <c r="G495" s="141"/>
      <c r="H495" s="142"/>
    </row>
    <row r="496" spans="1:8" x14ac:dyDescent="0.2">
      <c r="A496" s="140"/>
      <c r="B496" s="141"/>
      <c r="C496" s="141"/>
      <c r="D496" s="141"/>
      <c r="E496" s="141"/>
      <c r="F496" s="141"/>
      <c r="G496" s="141"/>
      <c r="H496" s="142"/>
    </row>
    <row r="497" spans="1:8" x14ac:dyDescent="0.2">
      <c r="A497" s="140"/>
      <c r="B497" s="141"/>
      <c r="C497" s="141"/>
      <c r="D497" s="141"/>
      <c r="E497" s="141"/>
      <c r="F497" s="141"/>
      <c r="G497" s="141"/>
      <c r="H497" s="142"/>
    </row>
    <row r="498" spans="1:8" x14ac:dyDescent="0.2">
      <c r="A498" s="140"/>
      <c r="B498" s="141"/>
      <c r="C498" s="141"/>
      <c r="D498" s="141"/>
      <c r="E498" s="141"/>
      <c r="F498" s="141"/>
      <c r="G498" s="141"/>
      <c r="H498" s="142"/>
    </row>
    <row r="499" spans="1:8" x14ac:dyDescent="0.2">
      <c r="A499" s="140"/>
      <c r="B499" s="141"/>
      <c r="C499" s="141"/>
      <c r="D499" s="141"/>
      <c r="E499" s="141"/>
      <c r="F499" s="141"/>
      <c r="G499" s="141"/>
      <c r="H499" s="142"/>
    </row>
    <row r="500" spans="1:8" x14ac:dyDescent="0.2">
      <c r="A500" s="140"/>
      <c r="B500" s="141"/>
      <c r="C500" s="141"/>
      <c r="D500" s="141"/>
      <c r="E500" s="141"/>
      <c r="F500" s="141"/>
      <c r="G500" s="141"/>
      <c r="H500" s="142"/>
    </row>
    <row r="501" spans="1:8" x14ac:dyDescent="0.2">
      <c r="A501" s="140"/>
      <c r="B501" s="141"/>
      <c r="C501" s="141"/>
      <c r="D501" s="141"/>
      <c r="E501" s="141"/>
      <c r="F501" s="141"/>
      <c r="G501" s="141"/>
      <c r="H501" s="142"/>
    </row>
    <row r="502" spans="1:8" x14ac:dyDescent="0.2">
      <c r="A502" s="140"/>
      <c r="B502" s="141"/>
      <c r="C502" s="141"/>
      <c r="D502" s="141"/>
      <c r="E502" s="141"/>
      <c r="F502" s="141"/>
      <c r="G502" s="141"/>
      <c r="H502" s="142"/>
    </row>
    <row r="503" spans="1:8" ht="66.75" customHeight="1" x14ac:dyDescent="0.2">
      <c r="A503" s="99" t="s">
        <v>117</v>
      </c>
      <c r="B503" s="100"/>
      <c r="C503" s="135" t="s">
        <v>290</v>
      </c>
      <c r="D503" s="136"/>
      <c r="E503" s="105" t="s">
        <v>118</v>
      </c>
      <c r="F503" s="105"/>
      <c r="G503" s="153"/>
      <c r="H503" s="153"/>
    </row>
  </sheetData>
  <mergeCells count="693">
    <mergeCell ref="C89:D89"/>
    <mergeCell ref="A90:B90"/>
    <mergeCell ref="C90:D90"/>
    <mergeCell ref="A119:D120"/>
    <mergeCell ref="C121:H121"/>
    <mergeCell ref="A122:B122"/>
    <mergeCell ref="C122:D122"/>
    <mergeCell ref="G122:H122"/>
    <mergeCell ref="A99:B99"/>
    <mergeCell ref="C99:D99"/>
    <mergeCell ref="A100:B100"/>
    <mergeCell ref="C100:D100"/>
    <mergeCell ref="A115:B115"/>
    <mergeCell ref="C115:D115"/>
    <mergeCell ref="A116:B116"/>
    <mergeCell ref="C116:D116"/>
    <mergeCell ref="A117:B117"/>
    <mergeCell ref="C117:D117"/>
    <mergeCell ref="A118:B118"/>
    <mergeCell ref="A101:B101"/>
    <mergeCell ref="C101:D101"/>
    <mergeCell ref="A96:B96"/>
    <mergeCell ref="C96:D96"/>
    <mergeCell ref="A97:B97"/>
    <mergeCell ref="A249:B249"/>
    <mergeCell ref="A250:B250"/>
    <mergeCell ref="C258:H258"/>
    <mergeCell ref="C59:H59"/>
    <mergeCell ref="A77:D78"/>
    <mergeCell ref="C79:H79"/>
    <mergeCell ref="A80:B80"/>
    <mergeCell ref="C80:D80"/>
    <mergeCell ref="G80:H80"/>
    <mergeCell ref="A81:B81"/>
    <mergeCell ref="C81:D81"/>
    <mergeCell ref="G81:H90"/>
    <mergeCell ref="A82:B82"/>
    <mergeCell ref="C82:D82"/>
    <mergeCell ref="A83:B83"/>
    <mergeCell ref="C83:D83"/>
    <mergeCell ref="A84:B84"/>
    <mergeCell ref="C84:D84"/>
    <mergeCell ref="A85:B85"/>
    <mergeCell ref="C85:D85"/>
    <mergeCell ref="A86:B86"/>
    <mergeCell ref="C86:D86"/>
    <mergeCell ref="A87:B87"/>
    <mergeCell ref="C87:D87"/>
    <mergeCell ref="A240:B240"/>
    <mergeCell ref="A241:H241"/>
    <mergeCell ref="A242:B242"/>
    <mergeCell ref="A243:B243"/>
    <mergeCell ref="A244:B244"/>
    <mergeCell ref="A245:B245"/>
    <mergeCell ref="A246:B246"/>
    <mergeCell ref="A247:B247"/>
    <mergeCell ref="A248:B248"/>
    <mergeCell ref="A231:H231"/>
    <mergeCell ref="A232:B232"/>
    <mergeCell ref="A233:B233"/>
    <mergeCell ref="A234:B234"/>
    <mergeCell ref="A235:B235"/>
    <mergeCell ref="A236:B236"/>
    <mergeCell ref="A237:B237"/>
    <mergeCell ref="A238:B238"/>
    <mergeCell ref="A239:B239"/>
    <mergeCell ref="A324:H324"/>
    <mergeCell ref="A325:B325"/>
    <mergeCell ref="A326:B326"/>
    <mergeCell ref="A327:B327"/>
    <mergeCell ref="A328:B328"/>
    <mergeCell ref="A329:B329"/>
    <mergeCell ref="A330:B330"/>
    <mergeCell ref="C330:H330"/>
    <mergeCell ref="A218:H218"/>
    <mergeCell ref="A220:H220"/>
    <mergeCell ref="A221:H221"/>
    <mergeCell ref="A222:B222"/>
    <mergeCell ref="C222:H222"/>
    <mergeCell ref="A223:B223"/>
    <mergeCell ref="A224:B224"/>
    <mergeCell ref="A225:B225"/>
    <mergeCell ref="A226:B226"/>
    <mergeCell ref="A227:B227"/>
    <mergeCell ref="A228:B228"/>
    <mergeCell ref="A229:B229"/>
    <mergeCell ref="A230:B230"/>
    <mergeCell ref="C226:H230"/>
    <mergeCell ref="A260:B260"/>
    <mergeCell ref="A316:B316"/>
    <mergeCell ref="A317:H317"/>
    <mergeCell ref="A318:B318"/>
    <mergeCell ref="A319:B319"/>
    <mergeCell ref="A320:B320"/>
    <mergeCell ref="A321:B321"/>
    <mergeCell ref="A322:B322"/>
    <mergeCell ref="A323:B323"/>
    <mergeCell ref="C318:H318"/>
    <mergeCell ref="A309:B309"/>
    <mergeCell ref="C309:H309"/>
    <mergeCell ref="A310:H310"/>
    <mergeCell ref="A311:B311"/>
    <mergeCell ref="A312:B312"/>
    <mergeCell ref="A313:B313"/>
    <mergeCell ref="A314:B314"/>
    <mergeCell ref="A315:B315"/>
    <mergeCell ref="A301:H301"/>
    <mergeCell ref="A302:H302"/>
    <mergeCell ref="A303:H303"/>
    <mergeCell ref="A304:B304"/>
    <mergeCell ref="A305:B305"/>
    <mergeCell ref="A306:B306"/>
    <mergeCell ref="A307:B307"/>
    <mergeCell ref="A308:B308"/>
    <mergeCell ref="A291:H291"/>
    <mergeCell ref="A292:B292"/>
    <mergeCell ref="A293:B293"/>
    <mergeCell ref="A294:B294"/>
    <mergeCell ref="A295:B295"/>
    <mergeCell ref="A296:B296"/>
    <mergeCell ref="A297:B297"/>
    <mergeCell ref="A298:B298"/>
    <mergeCell ref="A299:B299"/>
    <mergeCell ref="C292:H292"/>
    <mergeCell ref="C304:H304"/>
    <mergeCell ref="A284:B284"/>
    <mergeCell ref="A285:B285"/>
    <mergeCell ref="A286:B286"/>
    <mergeCell ref="A287:B287"/>
    <mergeCell ref="A288:B288"/>
    <mergeCell ref="A289:B289"/>
    <mergeCell ref="A290:B290"/>
    <mergeCell ref="C287:H287"/>
    <mergeCell ref="A300:H300"/>
    <mergeCell ref="A275:B275"/>
    <mergeCell ref="A276:B276"/>
    <mergeCell ref="A277:B277"/>
    <mergeCell ref="A278:B278"/>
    <mergeCell ref="A279:B279"/>
    <mergeCell ref="A280:B280"/>
    <mergeCell ref="A281:B281"/>
    <mergeCell ref="A282:H282"/>
    <mergeCell ref="A283:B283"/>
    <mergeCell ref="A251:H251"/>
    <mergeCell ref="A252:B252"/>
    <mergeCell ref="A253:B253"/>
    <mergeCell ref="A254:B254"/>
    <mergeCell ref="A255:B255"/>
    <mergeCell ref="A256:B256"/>
    <mergeCell ref="A257:B257"/>
    <mergeCell ref="A258:B258"/>
    <mergeCell ref="A259:B259"/>
    <mergeCell ref="A270:B270"/>
    <mergeCell ref="A272:B272"/>
    <mergeCell ref="A261:H261"/>
    <mergeCell ref="C265:H265"/>
    <mergeCell ref="C269:H272"/>
    <mergeCell ref="A271:B271"/>
    <mergeCell ref="C453:H453"/>
    <mergeCell ref="A380:H380"/>
    <mergeCell ref="A381:H381"/>
    <mergeCell ref="A382:H382"/>
    <mergeCell ref="A383:H383"/>
    <mergeCell ref="A384:H384"/>
    <mergeCell ref="A385:H385"/>
    <mergeCell ref="A386:H386"/>
    <mergeCell ref="A387:H387"/>
    <mergeCell ref="A388:H388"/>
    <mergeCell ref="A371:H371"/>
    <mergeCell ref="A372:H372"/>
    <mergeCell ref="A373:H373"/>
    <mergeCell ref="A374:H374"/>
    <mergeCell ref="A375:H375"/>
    <mergeCell ref="A376:H376"/>
    <mergeCell ref="A273:H273"/>
    <mergeCell ref="A274:B274"/>
    <mergeCell ref="A484:H484"/>
    <mergeCell ref="A485:H485"/>
    <mergeCell ref="A486:H486"/>
    <mergeCell ref="A487:H487"/>
    <mergeCell ref="A488:H488"/>
    <mergeCell ref="A489:H489"/>
    <mergeCell ref="A490:H490"/>
    <mergeCell ref="A477:H477"/>
    <mergeCell ref="A478:H478"/>
    <mergeCell ref="A479:H479"/>
    <mergeCell ref="A480:H480"/>
    <mergeCell ref="A481:H481"/>
    <mergeCell ref="A482:H482"/>
    <mergeCell ref="A483:H483"/>
    <mergeCell ref="A491:H491"/>
    <mergeCell ref="A492:H492"/>
    <mergeCell ref="A502:H502"/>
    <mergeCell ref="A493:H493"/>
    <mergeCell ref="A494:H494"/>
    <mergeCell ref="A495:H495"/>
    <mergeCell ref="A496:H496"/>
    <mergeCell ref="A497:H497"/>
    <mergeCell ref="A498:H498"/>
    <mergeCell ref="A499:H499"/>
    <mergeCell ref="A500:H500"/>
    <mergeCell ref="A501:H501"/>
    <mergeCell ref="A475:H475"/>
    <mergeCell ref="A476:H476"/>
    <mergeCell ref="A457:H457"/>
    <mergeCell ref="A458:H458"/>
    <mergeCell ref="A459:H459"/>
    <mergeCell ref="A460:H460"/>
    <mergeCell ref="A461:H461"/>
    <mergeCell ref="A462:H462"/>
    <mergeCell ref="A463:H463"/>
    <mergeCell ref="A464:H464"/>
    <mergeCell ref="A465:H465"/>
    <mergeCell ref="A466:H466"/>
    <mergeCell ref="A467:H467"/>
    <mergeCell ref="A468:H468"/>
    <mergeCell ref="A469:H469"/>
    <mergeCell ref="A470:H470"/>
    <mergeCell ref="A471:H471"/>
    <mergeCell ref="A472:H472"/>
    <mergeCell ref="A473:H473"/>
    <mergeCell ref="A474:H474"/>
    <mergeCell ref="A454:H454"/>
    <mergeCell ref="A455:H455"/>
    <mergeCell ref="A456:H456"/>
    <mergeCell ref="A398:H398"/>
    <mergeCell ref="A389:H389"/>
    <mergeCell ref="A390:H390"/>
    <mergeCell ref="A391:H391"/>
    <mergeCell ref="A392:H392"/>
    <mergeCell ref="A393:H393"/>
    <mergeCell ref="A394:H394"/>
    <mergeCell ref="A395:H395"/>
    <mergeCell ref="A396:H396"/>
    <mergeCell ref="A397:H397"/>
    <mergeCell ref="A411:H411"/>
    <mergeCell ref="A412:H412"/>
    <mergeCell ref="A413:H413"/>
    <mergeCell ref="A414:H414"/>
    <mergeCell ref="A415:H415"/>
    <mergeCell ref="A416:H416"/>
    <mergeCell ref="A417:H417"/>
    <mergeCell ref="A418:H418"/>
    <mergeCell ref="A437:H437"/>
    <mergeCell ref="A438:H438"/>
    <mergeCell ref="A453:B453"/>
    <mergeCell ref="A377:H377"/>
    <mergeCell ref="A378:H378"/>
    <mergeCell ref="A379:H379"/>
    <mergeCell ref="A362:H362"/>
    <mergeCell ref="A363:H363"/>
    <mergeCell ref="A364:H364"/>
    <mergeCell ref="A365:H365"/>
    <mergeCell ref="A366:H366"/>
    <mergeCell ref="A367:H367"/>
    <mergeCell ref="A368:H368"/>
    <mergeCell ref="A369:H369"/>
    <mergeCell ref="A370:H370"/>
    <mergeCell ref="A353:H353"/>
    <mergeCell ref="A354:H354"/>
    <mergeCell ref="A355:H355"/>
    <mergeCell ref="A356:H356"/>
    <mergeCell ref="A357:H357"/>
    <mergeCell ref="A358:H358"/>
    <mergeCell ref="A359:H359"/>
    <mergeCell ref="A360:H360"/>
    <mergeCell ref="A361:H361"/>
    <mergeCell ref="A351:H351"/>
    <mergeCell ref="A352:H352"/>
    <mergeCell ref="A334:H334"/>
    <mergeCell ref="B336:H336"/>
    <mergeCell ref="B337:H337"/>
    <mergeCell ref="B338:H338"/>
    <mergeCell ref="B339:H339"/>
    <mergeCell ref="B341:H341"/>
    <mergeCell ref="B342:H342"/>
    <mergeCell ref="B343:H343"/>
    <mergeCell ref="B344:H344"/>
    <mergeCell ref="A346:B346"/>
    <mergeCell ref="B340:E340"/>
    <mergeCell ref="B345:H345"/>
    <mergeCell ref="C346:H346"/>
    <mergeCell ref="G142:H142"/>
    <mergeCell ref="G143:H143"/>
    <mergeCell ref="E142:F142"/>
    <mergeCell ref="C69:D69"/>
    <mergeCell ref="C70:D70"/>
    <mergeCell ref="C71:D71"/>
    <mergeCell ref="C72:D72"/>
    <mergeCell ref="C73:D73"/>
    <mergeCell ref="C74:D74"/>
    <mergeCell ref="E137:F137"/>
    <mergeCell ref="C136:D136"/>
    <mergeCell ref="C137:D137"/>
    <mergeCell ref="C138:D138"/>
    <mergeCell ref="C139:D139"/>
    <mergeCell ref="A91:D92"/>
    <mergeCell ref="C93:H93"/>
    <mergeCell ref="A94:B94"/>
    <mergeCell ref="C94:D94"/>
    <mergeCell ref="G94:H94"/>
    <mergeCell ref="A95:B95"/>
    <mergeCell ref="C95:D95"/>
    <mergeCell ref="A88:B88"/>
    <mergeCell ref="C88:D88"/>
    <mergeCell ref="A89:B89"/>
    <mergeCell ref="A219:H219"/>
    <mergeCell ref="A262:H262"/>
    <mergeCell ref="A263:H263"/>
    <mergeCell ref="A264:H264"/>
    <mergeCell ref="A265:B265"/>
    <mergeCell ref="A266:B266"/>
    <mergeCell ref="A267:B267"/>
    <mergeCell ref="A140:B140"/>
    <mergeCell ref="A268:B268"/>
    <mergeCell ref="C140:D140"/>
    <mergeCell ref="C141:D141"/>
    <mergeCell ref="C142:D142"/>
    <mergeCell ref="C143:D143"/>
    <mergeCell ref="E147:F147"/>
    <mergeCell ref="G147:H147"/>
    <mergeCell ref="C149:D149"/>
    <mergeCell ref="E149:F149"/>
    <mergeCell ref="G149:H149"/>
    <mergeCell ref="A144:H144"/>
    <mergeCell ref="E154:E155"/>
    <mergeCell ref="A175:H175"/>
    <mergeCell ref="A169:B169"/>
    <mergeCell ref="A170:B170"/>
    <mergeCell ref="A171:B171"/>
    <mergeCell ref="A269:B269"/>
    <mergeCell ref="C44:F44"/>
    <mergeCell ref="G44:H44"/>
    <mergeCell ref="C38:H38"/>
    <mergeCell ref="G42:H42"/>
    <mergeCell ref="E51:H51"/>
    <mergeCell ref="C34:D34"/>
    <mergeCell ref="C36:D36"/>
    <mergeCell ref="C42:F42"/>
    <mergeCell ref="E146:F146"/>
    <mergeCell ref="G146:H146"/>
    <mergeCell ref="G41:H41"/>
    <mergeCell ref="C37:H37"/>
    <mergeCell ref="C41:F41"/>
    <mergeCell ref="C46:F46"/>
    <mergeCell ref="C48:F48"/>
    <mergeCell ref="C53:F53"/>
    <mergeCell ref="A63:D64"/>
    <mergeCell ref="A52:B52"/>
    <mergeCell ref="C52:H52"/>
    <mergeCell ref="C55:F55"/>
    <mergeCell ref="A55:B56"/>
    <mergeCell ref="A57:B59"/>
    <mergeCell ref="C57:F58"/>
    <mergeCell ref="C28:E28"/>
    <mergeCell ref="E36:F36"/>
    <mergeCell ref="G27:H27"/>
    <mergeCell ref="G28:H28"/>
    <mergeCell ref="C35:H35"/>
    <mergeCell ref="G36:H36"/>
    <mergeCell ref="A39:H39"/>
    <mergeCell ref="C40:F40"/>
    <mergeCell ref="G40:H40"/>
    <mergeCell ref="A35:B35"/>
    <mergeCell ref="A36:B36"/>
    <mergeCell ref="C27:E27"/>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503:F503"/>
    <mergeCell ref="G503:H503"/>
    <mergeCell ref="C133:H133"/>
    <mergeCell ref="A134:H134"/>
    <mergeCell ref="E135:F135"/>
    <mergeCell ref="E136:F136"/>
    <mergeCell ref="E143:F143"/>
    <mergeCell ref="A152:H152"/>
    <mergeCell ref="A402:H402"/>
    <mergeCell ref="A403:H403"/>
    <mergeCell ref="A404:H404"/>
    <mergeCell ref="A405:H405"/>
    <mergeCell ref="A406:H406"/>
    <mergeCell ref="A407:H407"/>
    <mergeCell ref="A408:H408"/>
    <mergeCell ref="A409:H409"/>
    <mergeCell ref="A410:H410"/>
    <mergeCell ref="A331:H331"/>
    <mergeCell ref="A425:H425"/>
    <mergeCell ref="A426:H426"/>
    <mergeCell ref="A332:E332"/>
    <mergeCell ref="A156:H156"/>
    <mergeCell ref="A167:H167"/>
    <mergeCell ref="E148:F148"/>
    <mergeCell ref="G123:H132"/>
    <mergeCell ref="A124:B124"/>
    <mergeCell ref="C124:D124"/>
    <mergeCell ref="A125:B125"/>
    <mergeCell ref="A133:B133"/>
    <mergeCell ref="A135:B135"/>
    <mergeCell ref="A136:B136"/>
    <mergeCell ref="A137:B137"/>
    <mergeCell ref="A130:B130"/>
    <mergeCell ref="C135:D135"/>
    <mergeCell ref="C130:D130"/>
    <mergeCell ref="A131:B131"/>
    <mergeCell ref="C131:D131"/>
    <mergeCell ref="A132:B132"/>
    <mergeCell ref="C132:D132"/>
    <mergeCell ref="C125:D125"/>
    <mergeCell ref="A126:B126"/>
    <mergeCell ref="C126:D126"/>
    <mergeCell ref="A127:B127"/>
    <mergeCell ref="C127:D127"/>
    <mergeCell ref="A128:B128"/>
    <mergeCell ref="C128:D128"/>
    <mergeCell ref="A129:B129"/>
    <mergeCell ref="C129:D129"/>
    <mergeCell ref="A439:H439"/>
    <mergeCell ref="A440:H440"/>
    <mergeCell ref="A441:H441"/>
    <mergeCell ref="A442:H442"/>
    <mergeCell ref="A443:H443"/>
    <mergeCell ref="A444:H444"/>
    <mergeCell ref="A445:H445"/>
    <mergeCell ref="A433:H433"/>
    <mergeCell ref="A434:H434"/>
    <mergeCell ref="A435:H435"/>
    <mergeCell ref="A436:H436"/>
    <mergeCell ref="A15:B15"/>
    <mergeCell ref="E151:F151"/>
    <mergeCell ref="G151:H151"/>
    <mergeCell ref="C29:H29"/>
    <mergeCell ref="C30:H30"/>
    <mergeCell ref="A37:B37"/>
    <mergeCell ref="A38:B38"/>
    <mergeCell ref="A40:B45"/>
    <mergeCell ref="A46:B46"/>
    <mergeCell ref="A47:B47"/>
    <mergeCell ref="A48:B48"/>
    <mergeCell ref="A49:B51"/>
    <mergeCell ref="A61:B61"/>
    <mergeCell ref="A66:B66"/>
    <mergeCell ref="C43:F43"/>
    <mergeCell ref="G43:H43"/>
    <mergeCell ref="C45:F45"/>
    <mergeCell ref="G45:H45"/>
    <mergeCell ref="G66:H66"/>
    <mergeCell ref="G67:H76"/>
    <mergeCell ref="E138:F138"/>
    <mergeCell ref="F18:H18"/>
    <mergeCell ref="A141:B141"/>
    <mergeCell ref="G95:H104"/>
    <mergeCell ref="A16:B16"/>
    <mergeCell ref="A17:B17"/>
    <mergeCell ref="A18:B18"/>
    <mergeCell ref="A19:B19"/>
    <mergeCell ref="A20:B20"/>
    <mergeCell ref="A21:B21"/>
    <mergeCell ref="A22:B22"/>
    <mergeCell ref="A23:B23"/>
    <mergeCell ref="A24:B2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A68:B68"/>
    <mergeCell ref="A69:B69"/>
    <mergeCell ref="C68:D68"/>
    <mergeCell ref="A70:B70"/>
    <mergeCell ref="A71:B71"/>
    <mergeCell ref="C56:H56"/>
    <mergeCell ref="A60:H60"/>
    <mergeCell ref="C47:H47"/>
    <mergeCell ref="E49:H49"/>
    <mergeCell ref="C49:D49"/>
    <mergeCell ref="C50:D50"/>
    <mergeCell ref="C51:D51"/>
    <mergeCell ref="C66:D66"/>
    <mergeCell ref="C67:D67"/>
    <mergeCell ref="E61:F61"/>
    <mergeCell ref="A62:H62"/>
    <mergeCell ref="G61:H61"/>
    <mergeCell ref="C61:D61"/>
    <mergeCell ref="C65:H65"/>
    <mergeCell ref="A67:B67"/>
    <mergeCell ref="A53:B54"/>
    <mergeCell ref="C54:H54"/>
    <mergeCell ref="E50:F50"/>
    <mergeCell ref="A164:B164"/>
    <mergeCell ref="A165:B165"/>
    <mergeCell ref="A166:B166"/>
    <mergeCell ref="A157:H157"/>
    <mergeCell ref="D166:H166"/>
    <mergeCell ref="A72:B72"/>
    <mergeCell ref="A73:B73"/>
    <mergeCell ref="A74:B74"/>
    <mergeCell ref="A75:B75"/>
    <mergeCell ref="A76:B76"/>
    <mergeCell ref="C75:D75"/>
    <mergeCell ref="C76:D76"/>
    <mergeCell ref="C97:D97"/>
    <mergeCell ref="A98:B98"/>
    <mergeCell ref="C98:D98"/>
    <mergeCell ref="A102:B102"/>
    <mergeCell ref="C102:D102"/>
    <mergeCell ref="A103:B103"/>
    <mergeCell ref="C103:D103"/>
    <mergeCell ref="A104:B104"/>
    <mergeCell ref="C104:D104"/>
    <mergeCell ref="A138:B138"/>
    <mergeCell ref="A123:B123"/>
    <mergeCell ref="C123:D123"/>
    <mergeCell ref="E139:F139"/>
    <mergeCell ref="E140:F140"/>
    <mergeCell ref="E141:F141"/>
    <mergeCell ref="A172:B172"/>
    <mergeCell ref="A173:B173"/>
    <mergeCell ref="A174:B174"/>
    <mergeCell ref="A183:H183"/>
    <mergeCell ref="C176:H176"/>
    <mergeCell ref="A400:H400"/>
    <mergeCell ref="D193:H193"/>
    <mergeCell ref="A194:H194"/>
    <mergeCell ref="A200:B200"/>
    <mergeCell ref="A201:B201"/>
    <mergeCell ref="A202:H202"/>
    <mergeCell ref="A203:B203"/>
    <mergeCell ref="A204:B204"/>
    <mergeCell ref="A205:B205"/>
    <mergeCell ref="A215:B215"/>
    <mergeCell ref="A159:H159"/>
    <mergeCell ref="A153:H153"/>
    <mergeCell ref="B154:B155"/>
    <mergeCell ref="F154:F155"/>
    <mergeCell ref="E145:F145"/>
    <mergeCell ref="G145:H145"/>
    <mergeCell ref="A401:H401"/>
    <mergeCell ref="A333:E333"/>
    <mergeCell ref="F333:H333"/>
    <mergeCell ref="A347:H347"/>
    <mergeCell ref="A176:B176"/>
    <mergeCell ref="A177:B177"/>
    <mergeCell ref="A178:B178"/>
    <mergeCell ref="A179:B179"/>
    <mergeCell ref="A180:B180"/>
    <mergeCell ref="A181:B181"/>
    <mergeCell ref="A182:B182"/>
    <mergeCell ref="F332:H332"/>
    <mergeCell ref="A187:B187"/>
    <mergeCell ref="A188:B188"/>
    <mergeCell ref="A189:B189"/>
    <mergeCell ref="A190:B190"/>
    <mergeCell ref="A184:H184"/>
    <mergeCell ref="A185:H185"/>
    <mergeCell ref="A186:H186"/>
    <mergeCell ref="D187:H187"/>
    <mergeCell ref="A348:H348"/>
    <mergeCell ref="A349:H349"/>
    <mergeCell ref="A350:H350"/>
    <mergeCell ref="D192:H192"/>
    <mergeCell ref="A431:H431"/>
    <mergeCell ref="A432:H432"/>
    <mergeCell ref="A419:H419"/>
    <mergeCell ref="A420:H420"/>
    <mergeCell ref="A421:H421"/>
    <mergeCell ref="A422:H422"/>
    <mergeCell ref="A423:H423"/>
    <mergeCell ref="A424:H424"/>
    <mergeCell ref="A427:H427"/>
    <mergeCell ref="I51:L51"/>
    <mergeCell ref="C399:H399"/>
    <mergeCell ref="A503:B503"/>
    <mergeCell ref="C503:D503"/>
    <mergeCell ref="A399:B399"/>
    <mergeCell ref="A191:B191"/>
    <mergeCell ref="A192:B192"/>
    <mergeCell ref="A193:B193"/>
    <mergeCell ref="A195:B195"/>
    <mergeCell ref="A196:B196"/>
    <mergeCell ref="A197:B197"/>
    <mergeCell ref="A198:B198"/>
    <mergeCell ref="A199:B199"/>
    <mergeCell ref="B335:H335"/>
    <mergeCell ref="A446:H446"/>
    <mergeCell ref="A447:H447"/>
    <mergeCell ref="A448:H448"/>
    <mergeCell ref="A449:H449"/>
    <mergeCell ref="A450:H450"/>
    <mergeCell ref="A451:H451"/>
    <mergeCell ref="A452:H452"/>
    <mergeCell ref="A428:H428"/>
    <mergeCell ref="A429:H429"/>
    <mergeCell ref="A430:H430"/>
    <mergeCell ref="A105:D106"/>
    <mergeCell ref="C118:D118"/>
    <mergeCell ref="C147:D147"/>
    <mergeCell ref="C107:H107"/>
    <mergeCell ref="A108:B108"/>
    <mergeCell ref="C108:D108"/>
    <mergeCell ref="G108:H108"/>
    <mergeCell ref="A109:B109"/>
    <mergeCell ref="C109:D109"/>
    <mergeCell ref="G109:H118"/>
    <mergeCell ref="A110:B110"/>
    <mergeCell ref="C110:D110"/>
    <mergeCell ref="A111:B111"/>
    <mergeCell ref="C111:D111"/>
    <mergeCell ref="A112:B112"/>
    <mergeCell ref="C112:D112"/>
    <mergeCell ref="A113:B113"/>
    <mergeCell ref="C113:D113"/>
    <mergeCell ref="A114:B114"/>
    <mergeCell ref="C114:D114"/>
    <mergeCell ref="A147:A148"/>
    <mergeCell ref="A139:B139"/>
    <mergeCell ref="A142:B142"/>
    <mergeCell ref="A143:B143"/>
    <mergeCell ref="C145:D145"/>
    <mergeCell ref="C146:D146"/>
    <mergeCell ref="C148:D148"/>
    <mergeCell ref="C151:D151"/>
    <mergeCell ref="A145:B145"/>
    <mergeCell ref="A146:B146"/>
    <mergeCell ref="A151:B151"/>
    <mergeCell ref="G148:H148"/>
    <mergeCell ref="A216:B216"/>
    <mergeCell ref="A154:A155"/>
    <mergeCell ref="C154:C155"/>
    <mergeCell ref="D154:D155"/>
    <mergeCell ref="C150:D150"/>
    <mergeCell ref="E150:F150"/>
    <mergeCell ref="G150:H150"/>
    <mergeCell ref="A149:A150"/>
    <mergeCell ref="D160:H160"/>
    <mergeCell ref="D161:H161"/>
    <mergeCell ref="A158:H158"/>
    <mergeCell ref="A168:B168"/>
    <mergeCell ref="A160:B160"/>
    <mergeCell ref="A161:B161"/>
    <mergeCell ref="A162:B162"/>
    <mergeCell ref="A163:B163"/>
    <mergeCell ref="A217:B217"/>
    <mergeCell ref="A206:B206"/>
    <mergeCell ref="A207:B207"/>
    <mergeCell ref="A208:B208"/>
    <mergeCell ref="A209:B209"/>
    <mergeCell ref="A210:H210"/>
    <mergeCell ref="A211:B211"/>
    <mergeCell ref="A212:B212"/>
    <mergeCell ref="A213:B213"/>
    <mergeCell ref="A214:B214"/>
    <mergeCell ref="C211:H211"/>
  </mergeCells>
  <dataValidations count="5">
    <dataValidation type="list" allowBlank="1" showInputMessage="1" showErrorMessage="1" sqref="A9:B9">
      <formula1>"CTS No,Survey No,Plot No,Gut No,FP No,"</formula1>
    </dataValidation>
    <dataValidation type="list" allowBlank="1" showInputMessage="1" showErrorMessage="1" sqref="B154">
      <formula1>"Flat No. (Sale Plan),Sale / Rehab,Sale / Mhada"</formula1>
    </dataValidation>
    <dataValidation type="list" allowBlank="1" showInputMessage="1" showErrorMessage="1" sqref="E154:E155">
      <formula1>"Balcony + Chajja Area, Fungible area,Balcony Area,Chajja Area,Cornice Area,AP Area,WS Area"</formula1>
    </dataValidation>
    <dataValidation type="list" allowBlank="1" showInputMessage="1" showErrorMessage="1" sqref="H155">
      <formula1>".45,.50,.55,.60"</formula1>
    </dataValidation>
    <dataValidation type="list" allowBlank="1" showInputMessage="1" showErrorMessage="1" sqref="D154:D155">
      <formula1>"Carpet area,RERA Carpet area, Carpet + Enclosed Balcony Area"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6" manualBreakCount="6">
    <brk id="54" max="7" man="1"/>
    <brk id="90" max="7" man="1"/>
    <brk id="240" max="7" man="1"/>
    <brk id="345" max="7" man="1"/>
    <brk id="398" max="7" man="1"/>
    <brk id="45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83" t="s">
        <v>112</v>
      </c>
      <c r="B1" s="284"/>
      <c r="C1" s="9" t="s">
        <v>58</v>
      </c>
      <c r="D1" s="9" t="s">
        <v>59</v>
      </c>
      <c r="E1" s="9" t="s">
        <v>60</v>
      </c>
      <c r="F1" s="10" t="s">
        <v>46</v>
      </c>
    </row>
    <row r="2" spans="1:8" x14ac:dyDescent="0.25">
      <c r="A2" s="285"/>
      <c r="B2" s="286"/>
      <c r="C2" s="7">
        <v>0</v>
      </c>
      <c r="D2" s="24">
        <v>1</v>
      </c>
      <c r="E2" s="7">
        <v>0</v>
      </c>
      <c r="F2" s="8">
        <f ca="1">--TRIM(RIGHT(SUBSTITUTE(LEFT(A1,_xlfn.AGGREGATE(16,6,FIND({0,1,2,3,4,5,6,7,8,9},A1,ROW(INDIRECT("1:"&amp;LEN(A1)))),1))," ",REPT(" ",LEN(A1))),LEN(A1)))</f>
        <v>3</v>
      </c>
    </row>
    <row r="3" spans="1:8" x14ac:dyDescent="0.25">
      <c r="A3" s="2" t="s">
        <v>61</v>
      </c>
      <c r="B3" s="3" t="s">
        <v>62</v>
      </c>
      <c r="C3" s="22" t="s">
        <v>63</v>
      </c>
      <c r="D3" s="25" t="s">
        <v>56</v>
      </c>
      <c r="E3" s="287" t="s">
        <v>131</v>
      </c>
      <c r="F3" s="288"/>
      <c r="G3" s="34" t="s">
        <v>64</v>
      </c>
      <c r="H3" s="29">
        <f ca="1">F2*25%</f>
        <v>0.75</v>
      </c>
    </row>
    <row r="4" spans="1:8" x14ac:dyDescent="0.25">
      <c r="A4" s="2" t="s">
        <v>65</v>
      </c>
      <c r="B4" s="4">
        <f ca="1">H5</f>
        <v>3</v>
      </c>
      <c r="C4" s="23">
        <f ca="1">((100/F2)*B4)/100</f>
        <v>1</v>
      </c>
      <c r="D4" s="27" t="str">
        <f ca="1">IF(C13=100%,"All work Completed. Possession granted to the Building.",IF(C12=100%,"All work Completed, Waiting for OC",D10&amp;""&amp;D11&amp;""&amp;D9&amp;""&amp;D12&amp;" "&amp;D13))</f>
        <v xml:space="preserve">Excavation, Plinth, RCC Slab, Brickwork Completed </v>
      </c>
      <c r="E4" s="289" t="str">
        <f ca="1">D4</f>
        <v xml:space="preserve">Excavation, Plinth, RCC Slab, Brickwork Completed </v>
      </c>
      <c r="F4" s="290"/>
      <c r="G4" s="1" t="s">
        <v>66</v>
      </c>
      <c r="H4" s="30">
        <f ca="1">F2*50%</f>
        <v>1.5</v>
      </c>
    </row>
    <row r="5" spans="1:8" x14ac:dyDescent="0.25">
      <c r="A5" s="2" t="s">
        <v>67</v>
      </c>
      <c r="B5" s="5">
        <f ca="1">H13</f>
        <v>3</v>
      </c>
      <c r="C5" s="23">
        <f ca="1">((100/F2)*B5)/100</f>
        <v>1</v>
      </c>
      <c r="D5" s="28"/>
      <c r="E5" s="291"/>
      <c r="F5" s="292"/>
      <c r="G5" s="1" t="s">
        <v>68</v>
      </c>
      <c r="H5" s="30">
        <f ca="1">F2</f>
        <v>3</v>
      </c>
    </row>
    <row r="6" spans="1:8" x14ac:dyDescent="0.25">
      <c r="A6" s="2" t="s">
        <v>69</v>
      </c>
      <c r="B6" s="5">
        <v>4</v>
      </c>
      <c r="C6" s="23">
        <f ca="1">((100/(D2+E2+F2))*B6)/100</f>
        <v>1</v>
      </c>
      <c r="D6" s="28"/>
      <c r="E6" s="291"/>
      <c r="F6" s="292"/>
      <c r="G6" s="1" t="s">
        <v>70</v>
      </c>
      <c r="H6" s="31">
        <f ca="1">(IF(C2&gt;1,(F2/(C2+2)),F2/4))</f>
        <v>0.75</v>
      </c>
    </row>
    <row r="7" spans="1:8" x14ac:dyDescent="0.25">
      <c r="A7" s="2" t="s">
        <v>71</v>
      </c>
      <c r="B7" s="4">
        <v>3</v>
      </c>
      <c r="C7" s="23">
        <f ca="1">((100/F2)*B7)/100</f>
        <v>1</v>
      </c>
      <c r="D7" s="28"/>
      <c r="E7" s="291"/>
      <c r="F7" s="292"/>
      <c r="G7" s="1" t="s">
        <v>72</v>
      </c>
      <c r="H7" s="31">
        <f ca="1">(IF(C2&gt;1,(F2/(C2+2)+H6),F2/4+H6))</f>
        <v>1.5</v>
      </c>
    </row>
    <row r="8" spans="1:8" x14ac:dyDescent="0.25">
      <c r="A8" s="2" t="s">
        <v>73</v>
      </c>
      <c r="B8" s="4">
        <v>0</v>
      </c>
      <c r="C8" s="23">
        <f ca="1">((100/F2)*B8)/100</f>
        <v>0</v>
      </c>
      <c r="D8" s="26">
        <f ca="1">(((B5/F2*10)+(40/(D2+E2+F2)*B6)+(15/(F2)*B7)+(5/(F2)*B8)+(5/F2*B9)+(10/F2*B10)+(5/F2*B11)+(5/F2*B12)+(5/F2*B13))/100)</f>
        <v>0.65</v>
      </c>
      <c r="E8" s="291"/>
      <c r="F8" s="292"/>
      <c r="G8" s="1" t="s">
        <v>74</v>
      </c>
      <c r="H8" s="31">
        <f>(IF(C2&gt;1,(F2/(C2+2)+H7),0))</f>
        <v>0</v>
      </c>
    </row>
    <row r="9" spans="1:8" x14ac:dyDescent="0.25">
      <c r="A9" s="2" t="s">
        <v>75</v>
      </c>
      <c r="B9" s="4">
        <v>0</v>
      </c>
      <c r="C9" s="23">
        <f ca="1">((100/(F2))*B9)/100</f>
        <v>0</v>
      </c>
      <c r="D9" s="2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91"/>
      <c r="F9" s="292"/>
      <c r="G9" s="1" t="s">
        <v>76</v>
      </c>
      <c r="H9" s="31">
        <f>(IF(C2&gt;2,(F2/(C2+2)+H8),0))</f>
        <v>0</v>
      </c>
    </row>
    <row r="10" spans="1:8" x14ac:dyDescent="0.25">
      <c r="A10" s="2" t="s">
        <v>77</v>
      </c>
      <c r="B10" s="4">
        <v>0</v>
      </c>
      <c r="C10" s="23">
        <f ca="1">((100/F2)*B10)/100</f>
        <v>0</v>
      </c>
      <c r="D10" s="28" t="str">
        <f ca="1">IF(C4=100%,"Excavation","")&amp;IF(C5=100%,", Plinth","")&amp;IF(C6=100%,", RCC Slab","")&amp;IF(C7=100%,", Brickwork","")&amp;IF(C8=100%,", Internal Plaster","")&amp;IF(C9=100%,", External Plaster","")&amp;IF(C10=100%,", Flooring","")&amp;IF(C11=100%,", Painting","")&amp;IF(C12=100%,", Building common Amenities","")</f>
        <v>Excavation, Plinth, RCC Slab, Brickwork</v>
      </c>
      <c r="E10" s="291"/>
      <c r="F10" s="292"/>
      <c r="G10" s="1" t="s">
        <v>78</v>
      </c>
      <c r="H10" s="32">
        <f>(IF(C2&gt;3,(F2/(C2+2)+H9),0))</f>
        <v>0</v>
      </c>
    </row>
    <row r="11" spans="1:8" x14ac:dyDescent="0.25">
      <c r="A11" s="2" t="s">
        <v>79</v>
      </c>
      <c r="B11" s="4">
        <v>0</v>
      </c>
      <c r="C11" s="23">
        <f ca="1">((100/F2)*B11)/100</f>
        <v>0</v>
      </c>
      <c r="D11" s="28" t="str">
        <f ca="1">IF(D10&lt;&gt;""," Completed","")</f>
        <v xml:space="preserve"> Completed</v>
      </c>
      <c r="E11" s="291"/>
      <c r="F11" s="292"/>
      <c r="G11" s="1" t="s">
        <v>80</v>
      </c>
      <c r="H11" s="31">
        <f>(IF(C2&gt;4,(F2/(C2+2)+H10),0))</f>
        <v>0</v>
      </c>
    </row>
    <row r="12" spans="1:8" x14ac:dyDescent="0.25">
      <c r="A12" s="2" t="s">
        <v>81</v>
      </c>
      <c r="B12" s="4">
        <v>0</v>
      </c>
      <c r="C12" s="23">
        <f ca="1">((100/(F2))*B12)/100</f>
        <v>0</v>
      </c>
      <c r="D12" s="2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91"/>
      <c r="F12" s="292"/>
      <c r="G12" s="1" t="s">
        <v>82</v>
      </c>
      <c r="H12" s="31">
        <f ca="1">(IF(C2=1,(F2/(C2+3)+H7),IF(C2=0,(F2/4+H7),IF(C2&gt;1,0))))</f>
        <v>2.25</v>
      </c>
    </row>
    <row r="13" spans="1:8" ht="15.75" thickBot="1" x14ac:dyDescent="0.3">
      <c r="A13" s="36" t="s">
        <v>83</v>
      </c>
      <c r="B13" s="37">
        <v>0</v>
      </c>
      <c r="C13" s="38">
        <f ca="1">((100/(F2))*B13)/100</f>
        <v>0</v>
      </c>
      <c r="D13" s="39" t="str">
        <f ca="1">IF(D12&lt;&gt;"","Completed","")</f>
        <v/>
      </c>
      <c r="E13" s="293"/>
      <c r="F13" s="294"/>
      <c r="G13" s="35" t="s">
        <v>84</v>
      </c>
      <c r="H13" s="3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2025-09-19T10:06:45Z</cp:lastPrinted>
  <dcterms:created xsi:type="dcterms:W3CDTF">2019-01-21T04:29:02Z</dcterms:created>
  <dcterms:modified xsi:type="dcterms:W3CDTF">2025-09-19T10:06:57Z</dcterms:modified>
</cp:coreProperties>
</file>