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SACHIN\Downloads\21513 - Paranjape Athena\"/>
    </mc:Choice>
  </mc:AlternateContent>
  <xr:revisionPtr revIDLastSave="0" documentId="13_ncr:1_{65C52A5E-D903-4250-BEF2-9560383BAFC8}"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Note" sheetId="4" r:id="rId3"/>
  </sheets>
  <definedNames>
    <definedName name="_xlnm.Print_Area" localSheetId="0">Report!$A$1:$H$377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1" l="1"/>
  <c r="D223" i="1"/>
  <c r="D222" i="1"/>
  <c r="D219" i="1"/>
  <c r="D218" i="1"/>
  <c r="D217" i="1"/>
  <c r="D215" i="1"/>
  <c r="D214" i="1"/>
  <c r="D213" i="1"/>
  <c r="C134" i="1" s="1"/>
  <c r="D209" i="1"/>
  <c r="D207" i="1"/>
  <c r="D203" i="1"/>
  <c r="D205" i="1"/>
  <c r="D204" i="1"/>
  <c r="D200" i="1"/>
  <c r="F200" i="1" s="1"/>
  <c r="D195" i="1"/>
  <c r="D194" i="1"/>
  <c r="D193" i="1"/>
  <c r="D188" i="1"/>
  <c r="D187" i="1"/>
  <c r="D182" i="1"/>
  <c r="D183" i="1"/>
  <c r="D178" i="1"/>
  <c r="D177" i="1"/>
  <c r="D174" i="1"/>
  <c r="D173" i="1"/>
  <c r="D172" i="1"/>
  <c r="D169" i="1"/>
  <c r="D170" i="1"/>
  <c r="D168" i="1"/>
  <c r="D164" i="1"/>
  <c r="D163" i="1"/>
  <c r="D160" i="1"/>
  <c r="D159" i="1"/>
  <c r="D158" i="1"/>
  <c r="D155" i="1"/>
  <c r="D156" i="1"/>
  <c r="D154" i="1"/>
  <c r="D190" i="1"/>
  <c r="D189" i="1"/>
  <c r="E132" i="1" l="1"/>
  <c r="E131" i="1"/>
  <c r="E130" i="1"/>
  <c r="E134" i="1"/>
  <c r="C130" i="1"/>
  <c r="C131" i="1"/>
  <c r="C132" i="1"/>
  <c r="C133" i="1"/>
  <c r="E133" i="1"/>
  <c r="L156" i="1"/>
  <c r="K134" i="1"/>
  <c r="K133" i="1"/>
  <c r="K132" i="1"/>
  <c r="K131" i="1"/>
  <c r="C67" i="1" l="1"/>
  <c r="F223" i="1" l="1"/>
  <c r="F222" i="1"/>
  <c r="A222" i="1"/>
  <c r="A223" i="1" s="1"/>
  <c r="G221" i="1"/>
  <c r="G222" i="1" s="1"/>
  <c r="G223" i="1" s="1"/>
  <c r="F207" i="1"/>
  <c r="F209" i="1"/>
  <c r="A208" i="1"/>
  <c r="A209" i="1" s="1"/>
  <c r="G207" i="1"/>
  <c r="G208" i="1" s="1"/>
  <c r="G209" i="1" s="1"/>
  <c r="F193" i="1"/>
  <c r="F195" i="1"/>
  <c r="F194" i="1"/>
  <c r="A193" i="1"/>
  <c r="A194" i="1" s="1"/>
  <c r="A195" i="1" s="1"/>
  <c r="G192" i="1"/>
  <c r="G193" i="1" s="1"/>
  <c r="G194" i="1" s="1"/>
  <c r="G195" i="1" s="1"/>
  <c r="F178" i="1"/>
  <c r="F177" i="1"/>
  <c r="A177" i="1"/>
  <c r="A178" i="1" s="1"/>
  <c r="G176" i="1"/>
  <c r="G177" i="1" s="1"/>
  <c r="G178" i="1" s="1"/>
  <c r="F164" i="1"/>
  <c r="F163" i="1"/>
  <c r="A163" i="1"/>
  <c r="A164" i="1" s="1"/>
  <c r="G162" i="1"/>
  <c r="G163" i="1" s="1"/>
  <c r="G164" i="1" s="1"/>
  <c r="F204" i="1"/>
  <c r="F203" i="1"/>
  <c r="G133" i="1" s="1"/>
  <c r="F189" i="1"/>
  <c r="I189" i="1" s="1"/>
  <c r="F219" i="1"/>
  <c r="F218" i="1"/>
  <c r="A218" i="1"/>
  <c r="A219" i="1" s="1"/>
  <c r="G217" i="1"/>
  <c r="G218" i="1" s="1"/>
  <c r="G219" i="1" s="1"/>
  <c r="F217" i="1"/>
  <c r="F205" i="1"/>
  <c r="J205" i="1" s="1"/>
  <c r="A204" i="1"/>
  <c r="A205" i="1" s="1"/>
  <c r="G203" i="1"/>
  <c r="G204" i="1" s="1"/>
  <c r="G205" i="1" s="1"/>
  <c r="F190" i="1"/>
  <c r="F188" i="1"/>
  <c r="A188" i="1"/>
  <c r="A189" i="1" s="1"/>
  <c r="A190" i="1" s="1"/>
  <c r="G187" i="1"/>
  <c r="G188" i="1" s="1"/>
  <c r="G189" i="1" s="1"/>
  <c r="G190" i="1" s="1"/>
  <c r="F187" i="1"/>
  <c r="F174" i="1"/>
  <c r="F173" i="1"/>
  <c r="A173" i="1"/>
  <c r="A174" i="1" s="1"/>
  <c r="G172" i="1"/>
  <c r="G173" i="1" s="1"/>
  <c r="G174" i="1" s="1"/>
  <c r="F172" i="1"/>
  <c r="F160" i="1"/>
  <c r="F159" i="1"/>
  <c r="A159" i="1"/>
  <c r="A160" i="1" s="1"/>
  <c r="G158" i="1"/>
  <c r="G159" i="1" s="1"/>
  <c r="G160" i="1" s="1"/>
  <c r="F158" i="1"/>
  <c r="J158" i="1" s="1"/>
  <c r="F215" i="1"/>
  <c r="I215" i="1" s="1"/>
  <c r="F214" i="1"/>
  <c r="I214" i="1" s="1"/>
  <c r="A214" i="1"/>
  <c r="A215" i="1" s="1"/>
  <c r="G213" i="1"/>
  <c r="G214" i="1" s="1"/>
  <c r="G215" i="1" s="1"/>
  <c r="A200" i="1"/>
  <c r="A201" i="1" s="1"/>
  <c r="G199" i="1"/>
  <c r="G200" i="1" s="1"/>
  <c r="G201" i="1" s="1"/>
  <c r="F183" i="1"/>
  <c r="A183" i="1"/>
  <c r="A184" i="1" s="1"/>
  <c r="A185" i="1" s="1"/>
  <c r="G182" i="1"/>
  <c r="G183" i="1" s="1"/>
  <c r="G184" i="1" s="1"/>
  <c r="G185" i="1" s="1"/>
  <c r="F170" i="1"/>
  <c r="F169" i="1"/>
  <c r="A169" i="1"/>
  <c r="A170" i="1" s="1"/>
  <c r="G168" i="1"/>
  <c r="G169" i="1" s="1"/>
  <c r="G170" i="1" s="1"/>
  <c r="J156" i="1"/>
  <c r="J154" i="1"/>
  <c r="I156" i="1"/>
  <c r="I155" i="1"/>
  <c r="I154" i="1"/>
  <c r="F213" i="1" l="1"/>
  <c r="F182" i="1"/>
  <c r="G132" i="1" s="1"/>
  <c r="F168" i="1"/>
  <c r="G131" i="1" s="1"/>
  <c r="I213" i="1" l="1"/>
  <c r="G134" i="1"/>
  <c r="C135" i="1"/>
  <c r="C136" i="1" s="1"/>
  <c r="E135" i="1"/>
  <c r="E136" i="1" s="1"/>
  <c r="E42" i="1"/>
  <c r="E43" i="1" s="1"/>
  <c r="C14" i="1" l="1"/>
  <c r="E29" i="1" l="1"/>
  <c r="F155" i="1" l="1"/>
  <c r="F156" i="1"/>
  <c r="F154" i="1"/>
  <c r="A155" i="1"/>
  <c r="A156" i="1" s="1"/>
  <c r="G154" i="1"/>
  <c r="G155" i="1" s="1"/>
  <c r="G156" i="1" s="1"/>
  <c r="G130" i="1" l="1"/>
  <c r="L154" i="1"/>
  <c r="K155" i="1"/>
  <c r="F122" i="1"/>
  <c r="G135" i="1" l="1"/>
  <c r="G136" i="1" s="1"/>
  <c r="F143" i="1"/>
  <c r="F144" i="1"/>
  <c r="F145" i="1"/>
  <c r="F142" i="1"/>
  <c r="B226" i="1" l="1"/>
  <c r="B227" i="1" l="1"/>
  <c r="F11" i="5" l="1"/>
  <c r="G11" i="5" s="1"/>
  <c r="F10" i="5"/>
  <c r="G10" i="5" s="1"/>
  <c r="F9" i="5"/>
  <c r="G9" i="5" s="1"/>
  <c r="F8" i="5"/>
  <c r="G8" i="5" s="1"/>
  <c r="F7" i="5"/>
  <c r="G7" i="5" s="1"/>
  <c r="F6" i="5"/>
  <c r="G6" i="5" s="1"/>
  <c r="F5" i="5"/>
  <c r="G5" i="5" s="1"/>
  <c r="G12" i="5" s="1"/>
  <c r="D250" i="1"/>
  <c r="A143" i="1"/>
  <c r="A144" i="1" s="1"/>
  <c r="A145" i="1" s="1"/>
  <c r="G142" i="1"/>
  <c r="G143" i="1" s="1"/>
  <c r="G144" i="1" s="1"/>
  <c r="G145" i="1" s="1"/>
  <c r="B96" i="1"/>
  <c r="D54" i="1"/>
  <c r="C49" i="1"/>
  <c r="E26" i="1"/>
  <c r="E24" i="1"/>
  <c r="E7" i="1"/>
  <c r="E3" i="1"/>
  <c r="H96" i="1"/>
  <c r="H68" i="1"/>
  <c r="H82" i="1"/>
  <c r="J87" i="1" l="1"/>
  <c r="J81" i="1"/>
  <c r="J83" i="1" s="1"/>
  <c r="D61" i="1"/>
  <c r="D92" i="1"/>
  <c r="D93" i="1"/>
  <c r="D94" i="1"/>
  <c r="D88" i="1"/>
  <c r="D89" i="1"/>
  <c r="D90" i="1"/>
  <c r="D91" i="1"/>
  <c r="D80" i="1"/>
  <c r="D78" i="1"/>
  <c r="D77" i="1"/>
  <c r="D76" i="1"/>
  <c r="D74" i="1"/>
  <c r="J67" i="1"/>
  <c r="D79" i="1"/>
  <c r="D75" i="1"/>
  <c r="J71" i="1"/>
  <c r="J72" i="1"/>
  <c r="C71" i="1" s="1"/>
  <c r="J70" i="1"/>
  <c r="J73" i="1"/>
  <c r="J74" i="1" s="1"/>
  <c r="J79" i="1" s="1"/>
  <c r="J95" i="1"/>
  <c r="J97" i="1" s="1"/>
  <c r="J99" i="1"/>
  <c r="D108" i="1"/>
  <c r="D106" i="1"/>
  <c r="D104" i="1"/>
  <c r="D102" i="1"/>
  <c r="J100" i="1"/>
  <c r="C99" i="1" s="1"/>
  <c r="J98" i="1"/>
  <c r="J101" i="1"/>
  <c r="D107" i="1"/>
  <c r="D105" i="1"/>
  <c r="D103" i="1"/>
  <c r="J85" i="1"/>
  <c r="J86" i="1"/>
  <c r="C85" i="1" s="1"/>
  <c r="J84" i="1"/>
  <c r="J102" i="1" l="1"/>
  <c r="J107" i="1" s="1"/>
  <c r="J88" i="1"/>
  <c r="J93" i="1" s="1"/>
  <c r="J103" i="1"/>
  <c r="J104" i="1" s="1"/>
  <c r="J105" i="1" s="1"/>
  <c r="J106" i="1" s="1"/>
  <c r="J89" i="1"/>
  <c r="J90" i="1" s="1"/>
  <c r="J91" i="1" s="1"/>
  <c r="J92" i="1" s="1"/>
  <c r="J75" i="1"/>
  <c r="J76" i="1" s="1"/>
  <c r="J77" i="1" s="1"/>
  <c r="J78" i="1" s="1"/>
  <c r="D101" i="1"/>
  <c r="D99" i="1"/>
  <c r="D87" i="1"/>
  <c r="D73" i="1"/>
  <c r="J69" i="1"/>
  <c r="D71" i="1"/>
  <c r="D85" i="1"/>
  <c r="J108" i="1" l="1"/>
  <c r="C100" i="1" s="1"/>
  <c r="D100" i="1" s="1"/>
  <c r="I96" i="1" s="1"/>
  <c r="J80" i="1"/>
  <c r="J94" i="1"/>
  <c r="E99" i="1" l="1"/>
  <c r="G99" i="1"/>
  <c r="J96" i="1"/>
  <c r="C72" i="1"/>
  <c r="G71" i="1" s="1"/>
  <c r="C86" i="1"/>
  <c r="J82" i="1" s="1"/>
  <c r="I97" i="1"/>
  <c r="I95" i="1" l="1"/>
  <c r="C97" i="1" s="1"/>
  <c r="G85" i="1"/>
  <c r="D65" i="1" s="1"/>
  <c r="D66" i="1" s="1"/>
  <c r="E85" i="1"/>
  <c r="D72" i="1"/>
  <c r="I68" i="1" s="1"/>
  <c r="I69" i="1" s="1"/>
  <c r="J68" i="1"/>
  <c r="E71" i="1"/>
  <c r="D86" i="1"/>
  <c r="I82" i="1" s="1"/>
  <c r="I83" i="1" s="1"/>
  <c r="F66" i="1" l="1"/>
  <c r="I67" i="1"/>
  <c r="C69" i="1" s="1"/>
  <c r="I81" i="1"/>
  <c r="C83" i="1" s="1"/>
</calcChain>
</file>

<file path=xl/sharedStrings.xml><?xml version="1.0" encoding="utf-8"?>
<sst xmlns="http://schemas.openxmlformats.org/spreadsheetml/2006/main" count="422" uniqueCount="244">
  <si>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</si>
  <si>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</si>
  <si>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</si>
  <si>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</si>
  <si>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</si>
  <si>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</si>
  <si>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</si>
  <si>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</si>
  <si>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</si>
  <si>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</si>
  <si>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</si>
  <si>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</si>
  <si>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</si>
  <si>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</si>
  <si>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</si>
  <si>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</si>
  <si>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</si>
  <si>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</si>
  <si>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</si>
  <si>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</si>
  <si>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</si>
  <si>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</si>
  <si>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</si>
  <si>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</si>
  <si>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</si>
  <si>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</si>
  <si>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</si>
  <si>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</si>
  <si>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</si>
  <si>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</si>
  <si>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</si>
  <si>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</si>
  <si>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</si>
  <si>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</si>
  <si>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</si>
  <si>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</si>
  <si>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</si>
  <si>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</si>
  <si>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</si>
  <si>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</si>
  <si>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</si>
  <si>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</si>
  <si>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</si>
  <si>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</si>
  <si>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</si>
  <si>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</si>
  <si>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</si>
  <si>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</si>
  <si>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</si>
  <si>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</si>
  <si>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</si>
  <si>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</si>
  <si>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</si>
  <si>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</si>
  <si>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</si>
  <si>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</si>
  <si>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</si>
  <si>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</si>
  <si>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</si>
  <si>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</si>
  <si>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</si>
  <si>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</si>
  <si>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</si>
  <si>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</si>
  <si>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</si>
  <si>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</si>
  <si>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</si>
  <si>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</si>
  <si>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</si>
  <si>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</si>
  <si>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</si>
  <si>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</si>
  <si>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</si>
  <si>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</si>
  <si>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</si>
  <si>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</si>
  <si>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</si>
  <si>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</si>
  <si>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</si>
  <si>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</si>
  <si>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</si>
  <si>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</si>
  <si>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</si>
  <si>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</si>
  <si>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</si>
  <si>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</si>
  <si>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</si>
  <si>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</si>
  <si>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</si>
  <si>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</si>
  <si>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</si>
  <si>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</si>
  <si>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</si>
  <si>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</si>
  <si>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</si>
  <si>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</si>
  <si>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</si>
  <si>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</si>
  <si>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</si>
  <si>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</si>
  <si>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</si>
  <si>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</si>
  <si>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</si>
  <si>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</si>
  <si>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</si>
  <si>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</si>
  <si>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</si>
  <si>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</si>
  <si>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</si>
  <si>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</si>
  <si>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</si>
  <si>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</si>
  <si>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</si>
  <si>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</si>
  <si>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</si>
  <si>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</si>
  <si>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</si>
  <si>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</si>
  <si>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</si>
  <si>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</si>
  <si>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</si>
  <si>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</si>
  <si>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</si>
  <si>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</si>
  <si>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</si>
  <si>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</si>
  <si>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</si>
  <si>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</si>
  <si>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</si>
  <si>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</si>
  <si>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</si>
  <si>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</si>
  <si>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</si>
  <si>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</si>
  <si>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</si>
  <si>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</si>
  <si>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</si>
  <si>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</si>
  <si>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</si>
  <si>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</si>
  <si>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</si>
  <si>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</si>
  <si>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</si>
  <si>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</si>
  <si>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</si>
  <si>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</si>
  <si>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</si>
  <si>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</si>
  <si>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</si>
  <si>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</si>
  <si>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</si>
  <si>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</si>
  <si>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</si>
  <si>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</si>
  <si>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</si>
  <si>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</si>
  <si>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</si>
  <si>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</si>
  <si>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</si>
  <si>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</si>
  <si>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</si>
  <si>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</si>
  <si>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</si>
  <si>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</si>
  <si>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</si>
  <si>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</si>
  <si>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</si>
  <si>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</si>
  <si>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</si>
  <si>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</si>
  <si>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</si>
  <si>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</si>
  <si>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</si>
  <si>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</si>
  <si>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</si>
  <si>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</si>
  <si>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</si>
  <si>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</si>
  <si>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Axis Thane</t>
  </si>
  <si>
    <t>Paranjape Spaces And Services Pvt Ltd</t>
  </si>
  <si>
    <t>Paranjape Athena</t>
  </si>
  <si>
    <t>Mr. Rahul Varma 8600991763</t>
  </si>
  <si>
    <t>P51800049529</t>
  </si>
  <si>
    <t>https://goo.gl/maps/aZirEwFxeTzbzZNo9</t>
  </si>
  <si>
    <t>19.070334, 72.847296</t>
  </si>
  <si>
    <t>Bandra</t>
  </si>
  <si>
    <t>Bandra East</t>
  </si>
  <si>
    <t>Teachers Colony</t>
  </si>
  <si>
    <t>Sharda Devi Rd/New Link Rd</t>
  </si>
  <si>
    <t>Andheri</t>
  </si>
  <si>
    <t>Mumbai</t>
  </si>
  <si>
    <t>UPL House</t>
  </si>
  <si>
    <t>1.2KM from Khar Road Railway Station</t>
  </si>
  <si>
    <t>Service Rd/Western Express Hwy</t>
  </si>
  <si>
    <t xml:space="preserve">As per RERA - 31/12/2027
</t>
  </si>
  <si>
    <t>Swimming Pool, Gym, Club House, Lounge, Spa, Kids Play Area, Laundry Service, Resereved Parking.</t>
  </si>
  <si>
    <t>Basement Floor For Parking</t>
  </si>
  <si>
    <t>Podium Floor For Parking</t>
  </si>
  <si>
    <t>1st Floor For Residential</t>
  </si>
  <si>
    <t>Wing A</t>
  </si>
  <si>
    <t>2BHK</t>
  </si>
  <si>
    <t>Wing B</t>
  </si>
  <si>
    <t>Wing C</t>
  </si>
  <si>
    <t>1BHK</t>
  </si>
  <si>
    <t>Society Office</t>
  </si>
  <si>
    <t>Wing D</t>
  </si>
  <si>
    <t>1st Floor For Residential &amp; Amenities</t>
  </si>
  <si>
    <t>Fitness Center</t>
  </si>
  <si>
    <t>Wing E</t>
  </si>
  <si>
    <t>3BHK</t>
  </si>
  <si>
    <t>7th Floor (Part Refuge Area)</t>
  </si>
  <si>
    <t>Refuge Area</t>
  </si>
  <si>
    <t>We considered Gross carpet area = Net carpet.</t>
  </si>
  <si>
    <t>Wing E = B + P + Gr + 1st to 8th Floor</t>
  </si>
  <si>
    <t>Wing A to E</t>
  </si>
  <si>
    <t>05 Buildings</t>
  </si>
  <si>
    <t>Indraprasad Co-operative HS</t>
  </si>
  <si>
    <t>C.T.S No</t>
  </si>
  <si>
    <t>Sharda Devi Road</t>
  </si>
  <si>
    <t xml:space="preserve">Maharashtra Housing and Area Development Authority (MHADA)
</t>
  </si>
  <si>
    <t>Approved Plans, CC, Cost Sheet.</t>
  </si>
  <si>
    <t>Ground Floor For Parking &amp; Entrance Lobby</t>
  </si>
  <si>
    <t>Wing D = B + P + Gr + 1st to 14th Floor</t>
  </si>
  <si>
    <t>23000 to 28000 aakash mote on 26/11/2024.</t>
  </si>
  <si>
    <t>Recommended Rates/Other Charges of the Property have been revised on 26/11/2024</t>
  </si>
  <si>
    <t>Validity of CC is expired on 08/01/2025. Please provide revised CC.</t>
  </si>
  <si>
    <t>MH/EE/(BP)/GM/MHADA-92/941/2025/FCC/3/Amend</t>
  </si>
  <si>
    <t>Tushar Bhuwad</t>
  </si>
  <si>
    <t xml:space="preserve">changed on 21/08/2025 as per mr. vimlesh </t>
  </si>
  <si>
    <t>Wing E = Gr + 1st to 14th Floor</t>
  </si>
  <si>
    <t>Construction work is in process at the time of Visit.</t>
  </si>
  <si>
    <t>Dated
Valid Upto 
Date</t>
  </si>
  <si>
    <t>15/01/2025
08/01/2026</t>
  </si>
  <si>
    <t>This C.C. is now Further extended for Wing ‘C’ 12th to 13th upper floor for residential user i.e. for Building comprising of five wings designated as wing ‘A’, ‘B’, ‘C’, ‘D’, &amp; ‘E’ having common Ground floor for Parking + Wing ‘A’, and ‘B’ 1st to 14th upper floors, Wing ‘C’ 1st to 13th upper floor &amp; Wing ‘D’ and ‘E’ 1st to 11th upper residential floors with total Max height of 45.70 mtrs. AGL as per approved plan u/no. MH/EE/BP Cell/GM/MHADA - 92/941/2024 dated: 29.08.2024.”
Note:-
That the guidelines for reduction of Air Pollution issued by Chief Engineer (D.P.) BMC dt. 15/09/2023, Hon’ble Municipal Commissioner (BMC) dt. 25/10/2023 and MHADA circular vide No. ET-321, dtd. 25.10.2023 shall be strictly followed on site.</t>
  </si>
  <si>
    <t>2nd to 6th &amp; 8th to 14th Floor</t>
  </si>
  <si>
    <t>Mhada-92/941/2024</t>
  </si>
  <si>
    <t>Ground Floor For Parking</t>
  </si>
  <si>
    <t>Wing A to E = B + P + Gr + 1st to 14th Floor</t>
  </si>
  <si>
    <t>Flats - 215</t>
  </si>
  <si>
    <t>Wing A to D = Gr + 1st to 14th Floor</t>
  </si>
  <si>
    <t>609, Redevlopement of "Building No 1 &amp; 2 Teachers Colony Co Op- Hsg. Society Ltd. S. No. 379"</t>
  </si>
  <si>
    <t>We have updated revised approved Plans &amp; CC on 17/09/2025.</t>
  </si>
  <si>
    <t>Construction work goes beyond the approved plan &amp;  CC permission for Wing C, D &amp; E. Please provide revised approved plan &amp; CC.</t>
  </si>
  <si>
    <t>Sachin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</si>
</sst>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9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6"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1" fontId="7" fillId="0" borderId="1"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24" fillId="0" borderId="1" xfId="0" applyFont="1" applyBorder="1"/>
    <xf numFmtId="0" fontId="24" fillId="0" borderId="5" xfId="0" applyFont="1" applyBorder="1"/>
    <xf numFmtId="0" fontId="7" fillId="0" borderId="1" xfId="1" applyFont="1" applyBorder="1" applyAlignment="1" applyProtection="1">
      <alignment horizontal="center" vertical="top"/>
      <protection locked="0"/>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2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9"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0" fontId="8" fillId="0" borderId="1" xfId="1" applyFont="1" applyBorder="1" applyAlignment="1" applyProtection="1">
      <alignment horizontal="center" vertical="top"/>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4" xfId="0" applyNumberFormat="1" applyFont="1" applyBorder="1" applyAlignment="1" applyProtection="1">
      <alignment horizontal="center" vertical="center" wrapText="1"/>
      <protection locked="0"/>
    </xf>
    <xf numFmtId="1" fontId="10" fillId="0" borderId="35"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0" xfId="1" applyFont="1" applyAlignment="1">
      <alignment horizontal="center" vertical="center"/>
    </xf>
    <xf numFmtId="1" fontId="8" fillId="0" borderId="3" xfId="0"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png"/><Relationship Id="rId16" Type="http://schemas.openxmlformats.org/officeDocument/2006/relationships/image" Target="../media/image16.emf"/><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jpeg"/><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212918</xdr:colOff>
      <xdr:row>295</xdr:row>
      <xdr:rowOff>22413</xdr:rowOff>
    </xdr:from>
    <xdr:to>
      <xdr:col>6</xdr:col>
      <xdr:colOff>696271</xdr:colOff>
      <xdr:row>321</xdr:row>
      <xdr:rowOff>178060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30947" y="67616295"/>
          <a:ext cx="4954500" cy="5400000"/>
        </a:xfrm>
        <a:prstGeom prst="rect">
          <a:avLst/>
        </a:prstGeom>
        <a:ln>
          <a:solidFill>
            <a:schemeClr val="tx1"/>
          </a:solidFill>
        </a:ln>
      </xdr:spPr>
    </xdr:pic>
    <xdr:clientData/>
  </xdr:twoCellAnchor>
  <xdr:twoCellAnchor editAs="oneCell">
    <xdr:from>
      <xdr:col>1</xdr:col>
      <xdr:colOff>325333</xdr:colOff>
      <xdr:row>357</xdr:row>
      <xdr:rowOff>165419</xdr:rowOff>
    </xdr:from>
    <xdr:to>
      <xdr:col>6</xdr:col>
      <xdr:colOff>543415</xdr:colOff>
      <xdr:row>375</xdr:row>
      <xdr:rowOff>134714</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14227" y="84684666"/>
          <a:ext cx="4476317" cy="3519319"/>
        </a:xfrm>
        <a:prstGeom prst="rect">
          <a:avLst/>
        </a:prstGeom>
        <a:ln>
          <a:solidFill>
            <a:schemeClr val="tx1"/>
          </a:solidFill>
        </a:ln>
      </xdr:spPr>
    </xdr:pic>
    <xdr:clientData/>
  </xdr:twoCellAnchor>
  <xdr:twoCellAnchor>
    <xdr:from>
      <xdr:col>0</xdr:col>
      <xdr:colOff>730621</xdr:colOff>
      <xdr:row>336</xdr:row>
      <xdr:rowOff>161364</xdr:rowOff>
    </xdr:from>
    <xdr:to>
      <xdr:col>6</xdr:col>
      <xdr:colOff>762001</xdr:colOff>
      <xdr:row>357</xdr:row>
      <xdr:rowOff>17929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30621" y="64798014"/>
          <a:ext cx="4946280" cy="4057090"/>
          <a:chOff x="605115" y="80574776"/>
          <a:chExt cx="5463165" cy="4225872"/>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605115" y="80574776"/>
            <a:ext cx="5463165" cy="4225872"/>
          </a:xfrm>
          <a:prstGeom prst="rect">
            <a:avLst/>
          </a:prstGeom>
          <a:ln>
            <a:solidFill>
              <a:schemeClr val="tx1"/>
            </a:solidFill>
          </a:ln>
        </xdr:spPr>
      </xdr:pic>
      <xdr:sp macro="" textlink="">
        <xdr:nvSpPr>
          <xdr:cNvPr id="12" name="Freeform 11">
            <a:extLst>
              <a:ext uri="{FF2B5EF4-FFF2-40B4-BE49-F238E27FC236}">
                <a16:creationId xmlns:a16="http://schemas.microsoft.com/office/drawing/2014/main" id="{00000000-0008-0000-0000-00000C000000}"/>
              </a:ext>
            </a:extLst>
          </xdr:cNvPr>
          <xdr:cNvSpPr/>
        </xdr:nvSpPr>
        <xdr:spPr>
          <a:xfrm>
            <a:off x="3256430" y="81915001"/>
            <a:ext cx="1485900" cy="1369357"/>
          </a:xfrm>
          <a:custGeom>
            <a:avLst/>
            <a:gdLst>
              <a:gd name="connsiteX0" fmla="*/ 11205 w 1568823"/>
              <a:gd name="connsiteY0" fmla="*/ 358588 h 1400735"/>
              <a:gd name="connsiteX1" fmla="*/ 1501588 w 1568823"/>
              <a:gd name="connsiteY1" fmla="*/ 0 h 1400735"/>
              <a:gd name="connsiteX2" fmla="*/ 1568823 w 1568823"/>
              <a:gd name="connsiteY2" fmla="*/ 201706 h 1400735"/>
              <a:gd name="connsiteX3" fmla="*/ 1154205 w 1568823"/>
              <a:gd name="connsiteY3" fmla="*/ 347382 h 1400735"/>
              <a:gd name="connsiteX4" fmla="*/ 930088 w 1568823"/>
              <a:gd name="connsiteY4" fmla="*/ 1400735 h 1400735"/>
              <a:gd name="connsiteX5" fmla="*/ 257735 w 1568823"/>
              <a:gd name="connsiteY5" fmla="*/ 1367117 h 1400735"/>
              <a:gd name="connsiteX6" fmla="*/ 291353 w 1568823"/>
              <a:gd name="connsiteY6" fmla="*/ 1255059 h 1400735"/>
              <a:gd name="connsiteX7" fmla="*/ 134470 w 1568823"/>
              <a:gd name="connsiteY7" fmla="*/ 1255059 h 1400735"/>
              <a:gd name="connsiteX8" fmla="*/ 145676 w 1568823"/>
              <a:gd name="connsiteY8" fmla="*/ 1143000 h 1400735"/>
              <a:gd name="connsiteX9" fmla="*/ 89647 w 1568823"/>
              <a:gd name="connsiteY9" fmla="*/ 1143000 h 1400735"/>
              <a:gd name="connsiteX10" fmla="*/ 33617 w 1568823"/>
              <a:gd name="connsiteY10" fmla="*/ 874059 h 1400735"/>
              <a:gd name="connsiteX11" fmla="*/ 0 w 1568823"/>
              <a:gd name="connsiteY11" fmla="*/ 661147 h 1400735"/>
              <a:gd name="connsiteX12" fmla="*/ 11205 w 1568823"/>
              <a:gd name="connsiteY12" fmla="*/ 358588 h 14007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568823" h="1400735">
                <a:moveTo>
                  <a:pt x="11205" y="358588"/>
                </a:moveTo>
                <a:lnTo>
                  <a:pt x="1501588" y="0"/>
                </a:lnTo>
                <a:lnTo>
                  <a:pt x="1568823" y="201706"/>
                </a:lnTo>
                <a:lnTo>
                  <a:pt x="1154205" y="347382"/>
                </a:lnTo>
                <a:lnTo>
                  <a:pt x="930088" y="1400735"/>
                </a:lnTo>
                <a:lnTo>
                  <a:pt x="257735" y="1367117"/>
                </a:lnTo>
                <a:lnTo>
                  <a:pt x="291353" y="1255059"/>
                </a:lnTo>
                <a:lnTo>
                  <a:pt x="134470" y="1255059"/>
                </a:lnTo>
                <a:lnTo>
                  <a:pt x="145676" y="1143000"/>
                </a:lnTo>
                <a:lnTo>
                  <a:pt x="89647" y="1143000"/>
                </a:lnTo>
                <a:lnTo>
                  <a:pt x="33617" y="874059"/>
                </a:lnTo>
                <a:lnTo>
                  <a:pt x="0" y="661147"/>
                </a:lnTo>
                <a:lnTo>
                  <a:pt x="11205" y="358588"/>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247649</xdr:colOff>
      <xdr:row>147</xdr:row>
      <xdr:rowOff>114300</xdr:rowOff>
    </xdr:from>
    <xdr:to>
      <xdr:col>11</xdr:col>
      <xdr:colOff>381000</xdr:colOff>
      <xdr:row>154</xdr:row>
      <xdr:rowOff>142875</xdr:rowOff>
    </xdr:to>
    <xdr:pic>
      <xdr:nvPicPr>
        <xdr:cNvPr id="2" name="Picture 1">
          <a:extLst>
            <a:ext uri="{FF2B5EF4-FFF2-40B4-BE49-F238E27FC236}">
              <a16:creationId xmlns:a16="http://schemas.microsoft.com/office/drawing/2014/main" id="{05D10A11-E4BD-EEBE-1770-FC561EDA342D}"/>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670" t="5953" r="7618" b="22609"/>
        <a:stretch/>
      </xdr:blipFill>
      <xdr:spPr bwMode="auto">
        <a:xfrm>
          <a:off x="6772274" y="30727650"/>
          <a:ext cx="2762251"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495300</xdr:colOff>
      <xdr:row>155</xdr:row>
      <xdr:rowOff>76200</xdr:rowOff>
    </xdr:from>
    <xdr:to>
      <xdr:col>12</xdr:col>
      <xdr:colOff>527875</xdr:colOff>
      <xdr:row>161</xdr:row>
      <xdr:rowOff>136050</xdr:rowOff>
    </xdr:to>
    <xdr:pic>
      <xdr:nvPicPr>
        <xdr:cNvPr id="19" name="Picture 18">
          <a:extLst>
            <a:ext uri="{FF2B5EF4-FFF2-40B4-BE49-F238E27FC236}">
              <a16:creationId xmlns:a16="http://schemas.microsoft.com/office/drawing/2014/main" id="{111FA882-7FEF-ECD0-5CD7-348B5BBB4E7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019925" y="31889700"/>
          <a:ext cx="3366325"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666750</xdr:colOff>
      <xdr:row>154</xdr:row>
      <xdr:rowOff>180975</xdr:rowOff>
    </xdr:from>
    <xdr:to>
      <xdr:col>15</xdr:col>
      <xdr:colOff>354569</xdr:colOff>
      <xdr:row>162</xdr:row>
      <xdr:rowOff>20775</xdr:rowOff>
    </xdr:to>
    <xdr:pic>
      <xdr:nvPicPr>
        <xdr:cNvPr id="20" name="Picture 19">
          <a:extLst>
            <a:ext uri="{FF2B5EF4-FFF2-40B4-BE49-F238E27FC236}">
              <a16:creationId xmlns:a16="http://schemas.microsoft.com/office/drawing/2014/main" id="{C878A280-4DCB-A48F-C7FC-166CCB895AC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115425" y="31794450"/>
          <a:ext cx="3383519"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333375</xdr:colOff>
      <xdr:row>164</xdr:row>
      <xdr:rowOff>28575</xdr:rowOff>
    </xdr:from>
    <xdr:to>
      <xdr:col>11</xdr:col>
      <xdr:colOff>675587</xdr:colOff>
      <xdr:row>170</xdr:row>
      <xdr:rowOff>88425</xdr:rowOff>
    </xdr:to>
    <xdr:pic>
      <xdr:nvPicPr>
        <xdr:cNvPr id="21" name="Picture 20">
          <a:extLst>
            <a:ext uri="{FF2B5EF4-FFF2-40B4-BE49-F238E27FC236}">
              <a16:creationId xmlns:a16="http://schemas.microsoft.com/office/drawing/2014/main" id="{982E9F11-4F72-A5E9-5C8C-4542DECFB01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58000" y="33642300"/>
          <a:ext cx="2971112"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276225</xdr:colOff>
      <xdr:row>164</xdr:row>
      <xdr:rowOff>0</xdr:rowOff>
    </xdr:from>
    <xdr:to>
      <xdr:col>17</xdr:col>
      <xdr:colOff>275957</xdr:colOff>
      <xdr:row>170</xdr:row>
      <xdr:rowOff>59850</xdr:rowOff>
    </xdr:to>
    <xdr:pic>
      <xdr:nvPicPr>
        <xdr:cNvPr id="22" name="Picture 21">
          <a:extLst>
            <a:ext uri="{FF2B5EF4-FFF2-40B4-BE49-F238E27FC236}">
              <a16:creationId xmlns:a16="http://schemas.microsoft.com/office/drawing/2014/main" id="{7FB11DCE-8C63-FAF1-2A99-1BA511C1F9F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134600" y="33613725"/>
          <a:ext cx="3676382"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438150</xdr:colOff>
      <xdr:row>170</xdr:row>
      <xdr:rowOff>190500</xdr:rowOff>
    </xdr:from>
    <xdr:to>
      <xdr:col>13</xdr:col>
      <xdr:colOff>558278</xdr:colOff>
      <xdr:row>177</xdr:row>
      <xdr:rowOff>50325</xdr:rowOff>
    </xdr:to>
    <xdr:pic>
      <xdr:nvPicPr>
        <xdr:cNvPr id="23" name="Picture 22">
          <a:extLst>
            <a:ext uri="{FF2B5EF4-FFF2-40B4-BE49-F238E27FC236}">
              <a16:creationId xmlns:a16="http://schemas.microsoft.com/office/drawing/2014/main" id="{E19177A8-3101-C32C-3BBD-91C50E4961A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62775" y="35004375"/>
          <a:ext cx="4244453"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342899</xdr:colOff>
      <xdr:row>179</xdr:row>
      <xdr:rowOff>38100</xdr:rowOff>
    </xdr:from>
    <xdr:to>
      <xdr:col>11</xdr:col>
      <xdr:colOff>525205</xdr:colOff>
      <xdr:row>193</xdr:row>
      <xdr:rowOff>117750</xdr:rowOff>
    </xdr:to>
    <xdr:pic>
      <xdr:nvPicPr>
        <xdr:cNvPr id="24" name="Picture 23">
          <a:extLst>
            <a:ext uri="{FF2B5EF4-FFF2-40B4-BE49-F238E27FC236}">
              <a16:creationId xmlns:a16="http://schemas.microsoft.com/office/drawing/2014/main" id="{F7FEFB3C-9AC7-66C2-07C7-F31E1268AFD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867524" y="36652200"/>
          <a:ext cx="2811206" cy="28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628650</xdr:colOff>
      <xdr:row>187</xdr:row>
      <xdr:rowOff>9525</xdr:rowOff>
    </xdr:from>
    <xdr:to>
      <xdr:col>17</xdr:col>
      <xdr:colOff>449439</xdr:colOff>
      <xdr:row>194</xdr:row>
      <xdr:rowOff>49350</xdr:rowOff>
    </xdr:to>
    <xdr:pic>
      <xdr:nvPicPr>
        <xdr:cNvPr id="53" name="Picture 52">
          <a:extLst>
            <a:ext uri="{FF2B5EF4-FFF2-40B4-BE49-F238E27FC236}">
              <a16:creationId xmlns:a16="http://schemas.microsoft.com/office/drawing/2014/main" id="{34C959A4-31CB-F49E-39FD-B72BF366ED09}"/>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227" r="-227"/>
        <a:stretch/>
      </xdr:blipFill>
      <xdr:spPr bwMode="auto">
        <a:xfrm>
          <a:off x="9782175" y="38223825"/>
          <a:ext cx="4202289"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238125</xdr:colOff>
      <xdr:row>179</xdr:row>
      <xdr:rowOff>38100</xdr:rowOff>
    </xdr:from>
    <xdr:to>
      <xdr:col>14</xdr:col>
      <xdr:colOff>186283</xdr:colOff>
      <xdr:row>186</xdr:row>
      <xdr:rowOff>77925</xdr:rowOff>
    </xdr:to>
    <xdr:pic>
      <xdr:nvPicPr>
        <xdr:cNvPr id="54" name="Picture 53">
          <a:extLst>
            <a:ext uri="{FF2B5EF4-FFF2-40B4-BE49-F238E27FC236}">
              <a16:creationId xmlns:a16="http://schemas.microsoft.com/office/drawing/2014/main" id="{24544773-CCCE-5AE3-DF38-477ACF3F0DF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924800" y="36652200"/>
          <a:ext cx="3748633"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257175</xdr:colOff>
      <xdr:row>197</xdr:row>
      <xdr:rowOff>47625</xdr:rowOff>
    </xdr:from>
    <xdr:to>
      <xdr:col>11</xdr:col>
      <xdr:colOff>298655</xdr:colOff>
      <xdr:row>204</xdr:row>
      <xdr:rowOff>87450</xdr:rowOff>
    </xdr:to>
    <xdr:pic>
      <xdr:nvPicPr>
        <xdr:cNvPr id="55" name="Picture 54">
          <a:extLst>
            <a:ext uri="{FF2B5EF4-FFF2-40B4-BE49-F238E27FC236}">
              <a16:creationId xmlns:a16="http://schemas.microsoft.com/office/drawing/2014/main" id="{F28AAB98-99DD-C6E0-BD4E-DF5CC84759B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81800" y="40262175"/>
          <a:ext cx="2670380"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371475</xdr:colOff>
      <xdr:row>197</xdr:row>
      <xdr:rowOff>47625</xdr:rowOff>
    </xdr:from>
    <xdr:to>
      <xdr:col>16</xdr:col>
      <xdr:colOff>82128</xdr:colOff>
      <xdr:row>204</xdr:row>
      <xdr:rowOff>87450</xdr:rowOff>
    </xdr:to>
    <xdr:pic>
      <xdr:nvPicPr>
        <xdr:cNvPr id="56" name="Picture 55">
          <a:extLst>
            <a:ext uri="{FF2B5EF4-FFF2-40B4-BE49-F238E27FC236}">
              <a16:creationId xmlns:a16="http://schemas.microsoft.com/office/drawing/2014/main" id="{42353FAC-7EFE-4423-2BD4-37545873C8C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25000" y="40262175"/>
          <a:ext cx="3482553"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238125</xdr:colOff>
      <xdr:row>204</xdr:row>
      <xdr:rowOff>133350</xdr:rowOff>
    </xdr:from>
    <xdr:to>
      <xdr:col>11</xdr:col>
      <xdr:colOff>63343</xdr:colOff>
      <xdr:row>211</xdr:row>
      <xdr:rowOff>173175</xdr:rowOff>
    </xdr:to>
    <xdr:pic>
      <xdr:nvPicPr>
        <xdr:cNvPr id="57" name="Picture 56">
          <a:extLst>
            <a:ext uri="{FF2B5EF4-FFF2-40B4-BE49-F238E27FC236}">
              <a16:creationId xmlns:a16="http://schemas.microsoft.com/office/drawing/2014/main" id="{1776E15C-3EEA-7870-56A2-12AE6735D68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762750" y="41748075"/>
          <a:ext cx="245411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247650</xdr:colOff>
      <xdr:row>204</xdr:row>
      <xdr:rowOff>161925</xdr:rowOff>
    </xdr:from>
    <xdr:to>
      <xdr:col>15</xdr:col>
      <xdr:colOff>699148</xdr:colOff>
      <xdr:row>212</xdr:row>
      <xdr:rowOff>1725</xdr:rowOff>
    </xdr:to>
    <xdr:pic>
      <xdr:nvPicPr>
        <xdr:cNvPr id="58" name="Picture 57">
          <a:extLst>
            <a:ext uri="{FF2B5EF4-FFF2-40B4-BE49-F238E27FC236}">
              <a16:creationId xmlns:a16="http://schemas.microsoft.com/office/drawing/2014/main" id="{C5A2FF2C-AC1B-6361-F070-57AB1F3E213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401175" y="41776650"/>
          <a:ext cx="344234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180975</xdr:colOff>
      <xdr:row>213</xdr:row>
      <xdr:rowOff>133350</xdr:rowOff>
    </xdr:from>
    <xdr:to>
      <xdr:col>13</xdr:col>
      <xdr:colOff>607835</xdr:colOff>
      <xdr:row>231</xdr:row>
      <xdr:rowOff>132900</xdr:rowOff>
    </xdr:to>
    <xdr:pic>
      <xdr:nvPicPr>
        <xdr:cNvPr id="59" name="Picture 58">
          <a:extLst>
            <a:ext uri="{FF2B5EF4-FFF2-40B4-BE49-F238E27FC236}">
              <a16:creationId xmlns:a16="http://schemas.microsoft.com/office/drawing/2014/main" id="{2D00A178-3346-5BA6-93E9-F3868B678BE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705600" y="43548300"/>
          <a:ext cx="4551185" cy="36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342900</xdr:colOff>
      <xdr:row>214</xdr:row>
      <xdr:rowOff>142875</xdr:rowOff>
    </xdr:from>
    <xdr:to>
      <xdr:col>19</xdr:col>
      <xdr:colOff>103433</xdr:colOff>
      <xdr:row>221</xdr:row>
      <xdr:rowOff>182700</xdr:rowOff>
    </xdr:to>
    <xdr:pic>
      <xdr:nvPicPr>
        <xdr:cNvPr id="60" name="Picture 59">
          <a:extLst>
            <a:ext uri="{FF2B5EF4-FFF2-40B4-BE49-F238E27FC236}">
              <a16:creationId xmlns:a16="http://schemas.microsoft.com/office/drawing/2014/main" id="{04A4C3FC-B176-37A1-2044-94928CE15A08}"/>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1830050" y="43757850"/>
          <a:ext cx="302760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447675</xdr:colOff>
      <xdr:row>251</xdr:row>
      <xdr:rowOff>28575</xdr:rowOff>
    </xdr:from>
    <xdr:to>
      <xdr:col>7</xdr:col>
      <xdr:colOff>373700</xdr:colOff>
      <xdr:row>283</xdr:row>
      <xdr:rowOff>18948</xdr:rowOff>
    </xdr:to>
    <xdr:grpSp>
      <xdr:nvGrpSpPr>
        <xdr:cNvPr id="65" name="Group 64">
          <a:extLst>
            <a:ext uri="{FF2B5EF4-FFF2-40B4-BE49-F238E27FC236}">
              <a16:creationId xmlns:a16="http://schemas.microsoft.com/office/drawing/2014/main" id="{82D35C6A-9372-6CC9-E7F4-BDA06622CFC3}"/>
            </a:ext>
          </a:extLst>
        </xdr:cNvPr>
        <xdr:cNvGrpSpPr/>
      </xdr:nvGrpSpPr>
      <xdr:grpSpPr>
        <a:xfrm>
          <a:off x="447675" y="48072675"/>
          <a:ext cx="5621975" cy="6381648"/>
          <a:chOff x="447675" y="47872650"/>
          <a:chExt cx="5621975" cy="6381648"/>
        </a:xfrm>
      </xdr:grpSpPr>
      <xdr:pic>
        <xdr:nvPicPr>
          <xdr:cNvPr id="61" name="Picture 60">
            <a:extLst>
              <a:ext uri="{FF2B5EF4-FFF2-40B4-BE49-F238E27FC236}">
                <a16:creationId xmlns:a16="http://schemas.microsoft.com/office/drawing/2014/main" id="{5575D6BC-D672-7C22-1665-16680FDCD1F5}"/>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47675" y="47872650"/>
            <a:ext cx="2697187" cy="3600000"/>
          </a:xfrm>
          <a:prstGeom prst="rect">
            <a:avLst/>
          </a:prstGeom>
          <a:ln>
            <a:solidFill>
              <a:schemeClr val="tx1"/>
            </a:solidFill>
          </a:ln>
        </xdr:spPr>
      </xdr:pic>
      <xdr:pic>
        <xdr:nvPicPr>
          <xdr:cNvPr id="62" name="Picture 61">
            <a:extLst>
              <a:ext uri="{FF2B5EF4-FFF2-40B4-BE49-F238E27FC236}">
                <a16:creationId xmlns:a16="http://schemas.microsoft.com/office/drawing/2014/main" id="{215884D5-0BF6-235E-5A43-CF4D0814F7F6}"/>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356611" y="47872650"/>
            <a:ext cx="2697187" cy="3600000"/>
          </a:xfrm>
          <a:prstGeom prst="rect">
            <a:avLst/>
          </a:prstGeom>
          <a:ln>
            <a:solidFill>
              <a:schemeClr val="tx1"/>
            </a:solidFill>
          </a:ln>
        </xdr:spPr>
      </xdr:pic>
      <xdr:pic>
        <xdr:nvPicPr>
          <xdr:cNvPr id="63" name="Picture 62">
            <a:extLst>
              <a:ext uri="{FF2B5EF4-FFF2-40B4-BE49-F238E27FC236}">
                <a16:creationId xmlns:a16="http://schemas.microsoft.com/office/drawing/2014/main" id="{D1F957F2-EF8F-EE79-8835-951B63E109F6}"/>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447675" y="51626298"/>
            <a:ext cx="1968947" cy="2628000"/>
          </a:xfrm>
          <a:prstGeom prst="rect">
            <a:avLst/>
          </a:prstGeom>
          <a:ln>
            <a:solidFill>
              <a:schemeClr val="tx1"/>
            </a:solidFill>
          </a:ln>
        </xdr:spPr>
      </xdr:pic>
      <xdr:pic>
        <xdr:nvPicPr>
          <xdr:cNvPr id="64" name="Picture 63">
            <a:extLst>
              <a:ext uri="{FF2B5EF4-FFF2-40B4-BE49-F238E27FC236}">
                <a16:creationId xmlns:a16="http://schemas.microsoft.com/office/drawing/2014/main" id="{E5E00F2B-33AD-F347-9058-D2D9EC5EF878}"/>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568893" y="51626298"/>
            <a:ext cx="3500757" cy="2628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671269</xdr:colOff>
      <xdr:row>23</xdr:row>
      <xdr:rowOff>28705</xdr:rowOff>
    </xdr:from>
    <xdr:to>
      <xdr:col>2</xdr:col>
      <xdr:colOff>856000</xdr:colOff>
      <xdr:row>25</xdr:row>
      <xdr:rowOff>17037</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2733151" y="4421411"/>
          <a:ext cx="18473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editAs="oneCell">
    <xdr:from>
      <xdr:col>1</xdr:col>
      <xdr:colOff>0</xdr:colOff>
      <xdr:row>14</xdr:row>
      <xdr:rowOff>0</xdr:rowOff>
    </xdr:from>
    <xdr:to>
      <xdr:col>6</xdr:col>
      <xdr:colOff>459441</xdr:colOff>
      <xdr:row>34</xdr:row>
      <xdr:rowOff>45742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6" y="2678206"/>
          <a:ext cx="6858000" cy="3855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aZirEwFxeTzbzZNo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36"/>
  <sheetViews>
    <sheetView tabSelected="1" view="pageBreakPreview" zoomScaleNormal="100" zoomScaleSheetLayoutView="100" zoomScalePageLayoutView="85" workbookViewId="0">
      <selection activeCell="E8" sqref="E8:H8"/>
    </sheetView>
  </sheetViews>
  <sheetFormatPr defaultColWidth="9.140625" defaultRowHeight="15.75" x14ac:dyDescent="0.25"/>
  <cols>
    <col min="1" max="1" width="11.42578125" style="40" customWidth="1"/>
    <col min="2" max="2" width="12" style="40" customWidth="1"/>
    <col min="3" max="3" width="12.7109375" style="40" customWidth="1"/>
    <col min="4" max="4" width="14.140625" style="40" customWidth="1"/>
    <col min="5" max="7" width="11.7109375" style="40" customWidth="1"/>
    <col min="8" max="8" width="12.42578125" style="40" customWidth="1"/>
    <col min="9" max="9" width="17.42578125" style="21" customWidth="1"/>
    <col min="10" max="10" width="11.42578125" style="21" customWidth="1"/>
    <col min="11" max="11" width="10.5703125" style="21" bestFit="1" customWidth="1"/>
    <col min="12" max="12" width="10.5703125" style="21" customWidth="1"/>
    <col min="13" max="13" width="11.85546875" style="21" customWidth="1"/>
    <col min="14" max="14" width="12.5703125" style="21" customWidth="1"/>
    <col min="15" max="15" width="9.85546875" style="21" customWidth="1"/>
    <col min="16" max="16" width="11.7109375" style="21" customWidth="1"/>
    <col min="17"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8" ht="46.5" customHeight="1" x14ac:dyDescent="0.25">
      <c r="A1" s="147" t="s">
        <v>173</v>
      </c>
      <c r="B1" s="147"/>
      <c r="C1" s="147"/>
      <c r="D1" s="147"/>
      <c r="E1" s="147"/>
      <c r="F1" s="147"/>
      <c r="G1" s="147"/>
      <c r="H1" s="147"/>
    </row>
    <row r="2" spans="1:8" ht="16.5" customHeight="1" x14ac:dyDescent="0.25">
      <c r="A2" s="127" t="s">
        <v>0</v>
      </c>
      <c r="B2" s="127"/>
      <c r="C2" s="127"/>
      <c r="D2" s="127"/>
      <c r="E2" s="127"/>
      <c r="F2" s="127"/>
      <c r="G2" s="127"/>
      <c r="H2" s="127"/>
    </row>
    <row r="3" spans="1:8" x14ac:dyDescent="0.25">
      <c r="A3" s="67" t="s">
        <v>1</v>
      </c>
      <c r="B3" s="67"/>
      <c r="C3" s="67"/>
      <c r="D3" s="67"/>
      <c r="E3" s="67" t="str">
        <f ca="1">TEXT(TODAY(),"DD/MM/YYYY")</f>
        <v>19/09/2025</v>
      </c>
      <c r="F3" s="67"/>
      <c r="G3" s="67"/>
      <c r="H3" s="67"/>
    </row>
    <row r="4" spans="1:8" ht="15" customHeight="1" x14ac:dyDescent="0.25">
      <c r="A4" s="67" t="s">
        <v>2</v>
      </c>
      <c r="B4" s="67"/>
      <c r="C4" s="67"/>
      <c r="D4" s="67"/>
      <c r="E4" s="67" t="s">
        <v>178</v>
      </c>
      <c r="F4" s="67"/>
      <c r="G4" s="67"/>
      <c r="H4" s="67"/>
    </row>
    <row r="5" spans="1:8" x14ac:dyDescent="0.25">
      <c r="A5" s="67" t="s">
        <v>3</v>
      </c>
      <c r="B5" s="67"/>
      <c r="C5" s="67"/>
      <c r="D5" s="67"/>
      <c r="E5" s="149">
        <v>45916</v>
      </c>
      <c r="F5" s="67"/>
      <c r="G5" s="67"/>
      <c r="H5" s="67"/>
    </row>
    <row r="6" spans="1:8" ht="16.5" customHeight="1" x14ac:dyDescent="0.25">
      <c r="A6" s="67" t="s">
        <v>4</v>
      </c>
      <c r="B6" s="67"/>
      <c r="C6" s="67"/>
      <c r="D6" s="67"/>
      <c r="E6" s="67" t="s">
        <v>179</v>
      </c>
      <c r="F6" s="67"/>
      <c r="G6" s="67"/>
      <c r="H6" s="67"/>
    </row>
    <row r="7" spans="1:8" ht="15" customHeight="1" x14ac:dyDescent="0.25">
      <c r="A7" s="67" t="s">
        <v>5</v>
      </c>
      <c r="B7" s="67"/>
      <c r="C7" s="67"/>
      <c r="D7" s="67"/>
      <c r="E7" s="67" t="str">
        <f>E6</f>
        <v>Paranjape Spaces And Services Pvt Ltd</v>
      </c>
      <c r="F7" s="67"/>
      <c r="G7" s="67"/>
      <c r="H7" s="67"/>
    </row>
    <row r="8" spans="1:8" x14ac:dyDescent="0.25">
      <c r="A8" s="67" t="s">
        <v>6</v>
      </c>
      <c r="B8" s="67"/>
      <c r="C8" s="67"/>
      <c r="D8" s="67"/>
      <c r="E8" s="148" t="s">
        <v>180</v>
      </c>
      <c r="F8" s="148"/>
      <c r="G8" s="148"/>
      <c r="H8" s="148"/>
    </row>
    <row r="9" spans="1:8" x14ac:dyDescent="0.25">
      <c r="A9" s="67" t="s">
        <v>176</v>
      </c>
      <c r="B9" s="67"/>
      <c r="C9" s="67"/>
      <c r="D9" s="67"/>
      <c r="E9" s="67" t="s">
        <v>181</v>
      </c>
      <c r="F9" s="67"/>
      <c r="G9" s="67"/>
      <c r="H9" s="67"/>
    </row>
    <row r="10" spans="1:8" x14ac:dyDescent="0.25">
      <c r="A10" s="67" t="s">
        <v>177</v>
      </c>
      <c r="B10" s="67"/>
      <c r="C10" s="67"/>
      <c r="D10" s="67"/>
      <c r="E10" s="67" t="s">
        <v>181</v>
      </c>
      <c r="F10" s="67"/>
      <c r="G10" s="67"/>
      <c r="H10" s="67"/>
    </row>
    <row r="11" spans="1:8" x14ac:dyDescent="0.25">
      <c r="A11" s="67" t="s">
        <v>7</v>
      </c>
      <c r="B11" s="67"/>
      <c r="C11" s="67"/>
      <c r="D11" s="67"/>
      <c r="E11" s="67" t="s">
        <v>214</v>
      </c>
      <c r="F11" s="67"/>
      <c r="G11" s="67"/>
      <c r="H11" s="67"/>
    </row>
    <row r="12" spans="1:8" x14ac:dyDescent="0.25">
      <c r="A12" s="121" t="s">
        <v>8</v>
      </c>
      <c r="B12" s="121"/>
      <c r="C12" s="121"/>
      <c r="D12" s="121"/>
      <c r="E12" s="146" t="s">
        <v>220</v>
      </c>
      <c r="F12" s="146"/>
      <c r="G12" s="146"/>
      <c r="H12" s="146"/>
    </row>
    <row r="13" spans="1:8" x14ac:dyDescent="0.25">
      <c r="A13" s="121" t="s">
        <v>9</v>
      </c>
      <c r="B13" s="121"/>
      <c r="C13" s="121"/>
      <c r="D13" s="121"/>
      <c r="E13" s="146" t="s">
        <v>182</v>
      </c>
      <c r="F13" s="67"/>
      <c r="G13" s="67"/>
      <c r="H13" s="67"/>
    </row>
    <row r="14" spans="1:8" ht="48.75" customHeight="1" x14ac:dyDescent="0.25">
      <c r="A14" s="140" t="s">
        <v>10</v>
      </c>
      <c r="B14" s="140"/>
      <c r="C14" s="140" t="str">
        <f>CONCATENATE((IF(OR(E8="",E8="NA"),"",E8)),", ",(IF(OR(A15="",A15="NA"),"",A15)),".",(IF(OR(C15="",C15="NA"),"",C15)),", near ",(IF(OR(C20="",C20="NA"),"",C20)),", ",(IF(OR(C17="",C17="NA"),"",C17)),", ",(IF(OR(C16="",C16="NA"),"",C16)),", ",(IF(OR(G17="",G17="NA"),"",G17)),", ",(IF(OR(C18="",C18="NA"),"",C18)),", ",(IF(OR(C19="",C19="NA"),"",C19)),", ",(IF(OR(G18="",G18="NA"),"",G18))," - ",(IF(OR(G19="",G19="NA"),"",G19)),".")</f>
        <v>Paranjape Athena, C.T.S No.609, Redevlopement of "Building No 1 &amp; 2 Teachers Colony Co Op- Hsg. Society Ltd. S. No. 379", near UPL House, Sharda Devi Road, Teachers Colony, Bandra, Bandra East, Andheri, Mumbai - 400051.</v>
      </c>
      <c r="D14" s="140"/>
      <c r="E14" s="140"/>
      <c r="F14" s="140"/>
      <c r="G14" s="140"/>
      <c r="H14" s="140"/>
    </row>
    <row r="15" spans="1:8" ht="30.75" customHeight="1" x14ac:dyDescent="0.25">
      <c r="A15" s="146" t="s">
        <v>217</v>
      </c>
      <c r="B15" s="146"/>
      <c r="C15" s="146" t="s">
        <v>240</v>
      </c>
      <c r="D15" s="146"/>
      <c r="E15" s="146"/>
      <c r="F15" s="146"/>
      <c r="G15" s="146"/>
      <c r="H15" s="146"/>
    </row>
    <row r="16" spans="1:8" ht="15.75" customHeight="1" x14ac:dyDescent="0.25">
      <c r="A16" s="146" t="s">
        <v>171</v>
      </c>
      <c r="B16" s="146"/>
      <c r="C16" s="146" t="s">
        <v>187</v>
      </c>
      <c r="D16" s="146"/>
      <c r="E16" s="146"/>
      <c r="F16" s="146"/>
      <c r="G16" s="146"/>
      <c r="H16" s="146"/>
    </row>
    <row r="17" spans="1:8" ht="15.75" customHeight="1" x14ac:dyDescent="0.25">
      <c r="A17" s="140" t="s">
        <v>11</v>
      </c>
      <c r="B17" s="140"/>
      <c r="C17" s="67" t="s">
        <v>218</v>
      </c>
      <c r="D17" s="67"/>
      <c r="E17" s="140" t="s">
        <v>75</v>
      </c>
      <c r="F17" s="140"/>
      <c r="G17" s="146" t="s">
        <v>185</v>
      </c>
      <c r="H17" s="146"/>
    </row>
    <row r="18" spans="1:8" x14ac:dyDescent="0.25">
      <c r="A18" s="121" t="s">
        <v>13</v>
      </c>
      <c r="B18" s="121"/>
      <c r="C18" s="146" t="s">
        <v>186</v>
      </c>
      <c r="D18" s="146"/>
      <c r="E18" s="140" t="s">
        <v>12</v>
      </c>
      <c r="F18" s="140"/>
      <c r="G18" s="150" t="s">
        <v>190</v>
      </c>
      <c r="H18" s="150"/>
    </row>
    <row r="19" spans="1:8" x14ac:dyDescent="0.25">
      <c r="A19" s="121" t="s">
        <v>76</v>
      </c>
      <c r="B19" s="121"/>
      <c r="C19" s="146" t="s">
        <v>189</v>
      </c>
      <c r="D19" s="146"/>
      <c r="E19" s="140" t="s">
        <v>14</v>
      </c>
      <c r="F19" s="140"/>
      <c r="G19" s="146">
        <v>400051</v>
      </c>
      <c r="H19" s="146"/>
    </row>
    <row r="20" spans="1:8" ht="32.25" customHeight="1" x14ac:dyDescent="0.25">
      <c r="A20" s="121" t="s">
        <v>128</v>
      </c>
      <c r="B20" s="121"/>
      <c r="C20" s="146" t="s">
        <v>191</v>
      </c>
      <c r="D20" s="146"/>
      <c r="E20" s="140" t="s">
        <v>15</v>
      </c>
      <c r="F20" s="140"/>
      <c r="G20" s="146" t="s">
        <v>192</v>
      </c>
      <c r="H20" s="146"/>
    </row>
    <row r="21" spans="1:8" ht="15" customHeight="1" x14ac:dyDescent="0.25">
      <c r="A21" s="140" t="s">
        <v>79</v>
      </c>
      <c r="B21" s="140"/>
      <c r="C21" s="140"/>
      <c r="D21" s="140"/>
      <c r="E21" s="67" t="s">
        <v>16</v>
      </c>
      <c r="F21" s="67"/>
      <c r="G21" s="67"/>
      <c r="H21" s="67"/>
    </row>
    <row r="22" spans="1:8" ht="18.75" customHeight="1" x14ac:dyDescent="0.25">
      <c r="A22" s="140"/>
      <c r="B22" s="140"/>
      <c r="C22" s="140"/>
      <c r="D22" s="140"/>
      <c r="E22" s="67"/>
      <c r="F22" s="67"/>
      <c r="G22" s="67"/>
      <c r="H22" s="67"/>
    </row>
    <row r="23" spans="1:8" ht="15" customHeight="1" x14ac:dyDescent="0.25">
      <c r="A23" s="140" t="s">
        <v>17</v>
      </c>
      <c r="B23" s="140"/>
      <c r="C23" s="140"/>
      <c r="D23" s="140"/>
      <c r="E23" s="146" t="s">
        <v>18</v>
      </c>
      <c r="F23" s="146"/>
      <c r="G23" s="146"/>
      <c r="H23" s="146"/>
    </row>
    <row r="24" spans="1:8" ht="15" customHeight="1" x14ac:dyDescent="0.25">
      <c r="A24" s="121" t="s">
        <v>19</v>
      </c>
      <c r="B24" s="121"/>
      <c r="C24" s="121"/>
      <c r="D24" s="121"/>
      <c r="E24" s="146" t="str">
        <f>IF(AND(G18="Mumbai"),"Upper Class","Middle Class")</f>
        <v>Upper Class</v>
      </c>
      <c r="F24" s="146"/>
      <c r="G24" s="146"/>
      <c r="H24" s="146"/>
    </row>
    <row r="25" spans="1:8" x14ac:dyDescent="0.25">
      <c r="A25" s="121" t="s">
        <v>20</v>
      </c>
      <c r="B25" s="121"/>
      <c r="C25" s="121"/>
      <c r="D25" s="121"/>
      <c r="E25" s="146" t="s">
        <v>21</v>
      </c>
      <c r="F25" s="146"/>
      <c r="G25" s="146"/>
      <c r="H25" s="146"/>
    </row>
    <row r="26" spans="1:8" ht="15.75" customHeight="1" x14ac:dyDescent="0.25">
      <c r="A26" s="121" t="s">
        <v>22</v>
      </c>
      <c r="B26" s="121"/>
      <c r="C26" s="121"/>
      <c r="D26" s="121"/>
      <c r="E26" s="146" t="str">
        <f>IF(AND(G18="Mumbai"),"Developed","Developing")</f>
        <v>Developed</v>
      </c>
      <c r="F26" s="146"/>
      <c r="G26" s="146"/>
      <c r="H26" s="146"/>
    </row>
    <row r="27" spans="1:8" x14ac:dyDescent="0.25">
      <c r="A27" s="121" t="s">
        <v>23</v>
      </c>
      <c r="B27" s="121"/>
      <c r="C27" s="121"/>
      <c r="D27" s="121"/>
      <c r="E27" s="146" t="s">
        <v>24</v>
      </c>
      <c r="F27" s="146"/>
      <c r="G27" s="146"/>
      <c r="H27" s="146"/>
    </row>
    <row r="28" spans="1:8" ht="15.75" customHeight="1" x14ac:dyDescent="0.25">
      <c r="A28" s="121" t="s">
        <v>84</v>
      </c>
      <c r="B28" s="121"/>
      <c r="C28" s="121"/>
      <c r="D28" s="121"/>
      <c r="E28" s="146" t="s">
        <v>85</v>
      </c>
      <c r="F28" s="146"/>
      <c r="G28" s="146"/>
      <c r="H28" s="146"/>
    </row>
    <row r="29" spans="1:8" ht="15" customHeight="1" x14ac:dyDescent="0.25">
      <c r="A29" s="121" t="s">
        <v>33</v>
      </c>
      <c r="B29" s="121"/>
      <c r="C29" s="121"/>
      <c r="D29" s="121"/>
      <c r="E29" s="146" t="str">
        <f>IF(AND(ISNUMBER(SEARCH("Flat",D55)),ISNUMBER(SEARCH("Shop",D55)),ISNUMBER(SEARCH("Office",D55))),"Residential + Commercial",IF(AND(ISNUMBER(SEARCH("Flat",D55)),ISNUMBER(SEARCH("Shop",D55))),"Residential + Commercial",IF(AND(ISNUMBER(SEARCH("Flat",D55)),ISNUMBER(SEARCH("Office",D55))),"Residential + Commercial",IF(AND(ISNUMBER(SEARCH("Shop",D55)),ISNUMBER(SEARCH("Office",D55))),"Commercial",IF(ISNUMBER(SEARCH("Shop",D55)),"Commercial",IF(ISNUMBER(SEARCH("Office",D55)),"Commercial",IF(ISNUMBER(SEARCH("Flat",D55)),"Residential")))))))</f>
        <v>Residential</v>
      </c>
      <c r="F29" s="146"/>
      <c r="G29" s="146"/>
      <c r="H29" s="146"/>
    </row>
    <row r="30" spans="1:8" ht="15.75" customHeight="1" x14ac:dyDescent="0.25">
      <c r="A30" s="121" t="s">
        <v>96</v>
      </c>
      <c r="B30" s="121"/>
      <c r="C30" s="121"/>
      <c r="D30" s="121"/>
      <c r="E30" s="146" t="s">
        <v>34</v>
      </c>
      <c r="F30" s="146"/>
      <c r="G30" s="146"/>
      <c r="H30" s="146"/>
    </row>
    <row r="31" spans="1:8" s="22" customFormat="1" x14ac:dyDescent="0.25">
      <c r="A31" s="155" t="s">
        <v>97</v>
      </c>
      <c r="B31" s="155"/>
      <c r="C31" s="154" t="s">
        <v>29</v>
      </c>
      <c r="D31" s="154"/>
      <c r="E31" s="154"/>
      <c r="F31" s="154" t="s">
        <v>31</v>
      </c>
      <c r="G31" s="154"/>
      <c r="H31" s="154"/>
    </row>
    <row r="32" spans="1:8" s="22" customFormat="1" x14ac:dyDescent="0.25">
      <c r="A32" s="153" t="s">
        <v>25</v>
      </c>
      <c r="B32" s="153" t="s">
        <v>30</v>
      </c>
      <c r="C32" s="152" t="s">
        <v>30</v>
      </c>
      <c r="D32" s="152"/>
      <c r="E32" s="152"/>
      <c r="F32" s="152" t="s">
        <v>191</v>
      </c>
      <c r="G32" s="152"/>
      <c r="H32" s="152"/>
    </row>
    <row r="33" spans="1:8" x14ac:dyDescent="0.25">
      <c r="A33" s="153" t="s">
        <v>26</v>
      </c>
      <c r="B33" s="153" t="s">
        <v>30</v>
      </c>
      <c r="C33" s="152" t="s">
        <v>30</v>
      </c>
      <c r="D33" s="152"/>
      <c r="E33" s="152"/>
      <c r="F33" s="152" t="s">
        <v>193</v>
      </c>
      <c r="G33" s="152"/>
      <c r="H33" s="152"/>
    </row>
    <row r="34" spans="1:8" s="22" customFormat="1" x14ac:dyDescent="0.25">
      <c r="A34" s="153" t="s">
        <v>28</v>
      </c>
      <c r="B34" s="153" t="s">
        <v>30</v>
      </c>
      <c r="C34" s="152" t="s">
        <v>30</v>
      </c>
      <c r="D34" s="152"/>
      <c r="E34" s="152"/>
      <c r="F34" s="152" t="s">
        <v>188</v>
      </c>
      <c r="G34" s="152"/>
      <c r="H34" s="152"/>
    </row>
    <row r="35" spans="1:8" x14ac:dyDescent="0.25">
      <c r="A35" s="153" t="s">
        <v>27</v>
      </c>
      <c r="B35" s="153" t="s">
        <v>30</v>
      </c>
      <c r="C35" s="152" t="s">
        <v>30</v>
      </c>
      <c r="D35" s="152"/>
      <c r="E35" s="152"/>
      <c r="F35" s="152" t="s">
        <v>216</v>
      </c>
      <c r="G35" s="152"/>
      <c r="H35" s="152"/>
    </row>
    <row r="36" spans="1:8" x14ac:dyDescent="0.25">
      <c r="A36" s="121" t="s">
        <v>32</v>
      </c>
      <c r="B36" s="121"/>
      <c r="C36" s="121"/>
      <c r="D36" s="121"/>
      <c r="E36" s="121"/>
      <c r="F36" s="121"/>
      <c r="G36" s="121"/>
      <c r="H36" s="121"/>
    </row>
    <row r="37" spans="1:8" ht="15.75" customHeight="1" x14ac:dyDescent="0.25">
      <c r="A37" s="121" t="s">
        <v>174</v>
      </c>
      <c r="B37" s="121"/>
      <c r="C37" s="144" t="s">
        <v>184</v>
      </c>
      <c r="D37" s="144"/>
      <c r="E37" s="144"/>
      <c r="F37" s="144"/>
      <c r="G37" s="144"/>
      <c r="H37" s="144"/>
    </row>
    <row r="38" spans="1:8" x14ac:dyDescent="0.25">
      <c r="A38" s="121" t="s">
        <v>170</v>
      </c>
      <c r="B38" s="121"/>
      <c r="C38" s="183" t="s">
        <v>183</v>
      </c>
      <c r="D38" s="146"/>
      <c r="E38" s="146"/>
      <c r="F38" s="146"/>
      <c r="G38" s="146"/>
      <c r="H38" s="146"/>
    </row>
    <row r="39" spans="1:8" x14ac:dyDescent="0.25">
      <c r="A39" s="144" t="s">
        <v>35</v>
      </c>
      <c r="B39" s="144"/>
      <c r="C39" s="144"/>
      <c r="D39" s="144"/>
      <c r="E39" s="144"/>
      <c r="F39" s="144"/>
      <c r="G39" s="144"/>
      <c r="H39" s="144"/>
    </row>
    <row r="40" spans="1:8" x14ac:dyDescent="0.25">
      <c r="A40" s="121" t="s">
        <v>36</v>
      </c>
      <c r="B40" s="121"/>
      <c r="C40" s="121"/>
      <c r="D40" s="121"/>
      <c r="E40" s="173">
        <v>3209.31</v>
      </c>
      <c r="F40" s="173"/>
      <c r="G40" s="173"/>
      <c r="H40" s="173"/>
    </row>
    <row r="41" spans="1:8" x14ac:dyDescent="0.25">
      <c r="A41" s="121" t="s">
        <v>37</v>
      </c>
      <c r="B41" s="121"/>
      <c r="C41" s="121"/>
      <c r="D41" s="121"/>
      <c r="E41" s="151">
        <v>3</v>
      </c>
      <c r="F41" s="151"/>
      <c r="G41" s="151"/>
      <c r="H41" s="151"/>
    </row>
    <row r="42" spans="1:8" x14ac:dyDescent="0.25">
      <c r="A42" s="121" t="s">
        <v>38</v>
      </c>
      <c r="B42" s="121"/>
      <c r="C42" s="121"/>
      <c r="D42" s="121"/>
      <c r="E42" s="151">
        <f>E44/E40-E41</f>
        <v>1.4268051387993061</v>
      </c>
      <c r="F42" s="151"/>
      <c r="G42" s="151"/>
      <c r="H42" s="151"/>
    </row>
    <row r="43" spans="1:8" x14ac:dyDescent="0.25">
      <c r="A43" s="121" t="s">
        <v>39</v>
      </c>
      <c r="B43" s="121"/>
      <c r="C43" s="121"/>
      <c r="D43" s="121"/>
      <c r="E43" s="151">
        <f>E41+E42</f>
        <v>4.4268051387993061</v>
      </c>
      <c r="F43" s="151"/>
      <c r="G43" s="151"/>
      <c r="H43" s="151"/>
    </row>
    <row r="44" spans="1:8" x14ac:dyDescent="0.25">
      <c r="A44" s="121" t="s">
        <v>95</v>
      </c>
      <c r="B44" s="121"/>
      <c r="C44" s="121"/>
      <c r="D44" s="121"/>
      <c r="E44" s="172">
        <v>14206.99</v>
      </c>
      <c r="F44" s="172"/>
      <c r="G44" s="172"/>
      <c r="H44" s="172"/>
    </row>
    <row r="45" spans="1:8" x14ac:dyDescent="0.25">
      <c r="A45" s="67" t="s">
        <v>40</v>
      </c>
      <c r="B45" s="67"/>
      <c r="C45" s="67"/>
      <c r="D45" s="67"/>
      <c r="E45" s="67" t="s">
        <v>215</v>
      </c>
      <c r="F45" s="67"/>
      <c r="G45" s="67"/>
      <c r="H45" s="67"/>
    </row>
    <row r="46" spans="1:8" x14ac:dyDescent="0.25">
      <c r="A46" s="144" t="s">
        <v>41</v>
      </c>
      <c r="B46" s="144"/>
      <c r="C46" s="144"/>
      <c r="D46" s="144"/>
      <c r="E46" s="144"/>
      <c r="F46" s="144"/>
      <c r="G46" s="144"/>
      <c r="H46" s="144"/>
    </row>
    <row r="47" spans="1:8" ht="33.75" customHeight="1" x14ac:dyDescent="0.25">
      <c r="A47" s="61" t="s">
        <v>157</v>
      </c>
      <c r="B47" s="62"/>
      <c r="C47" s="184" t="s">
        <v>219</v>
      </c>
      <c r="D47" s="185"/>
      <c r="E47" s="185"/>
      <c r="F47" s="185"/>
      <c r="G47" s="185"/>
      <c r="H47" s="186"/>
    </row>
    <row r="48" spans="1:8" x14ac:dyDescent="0.25">
      <c r="A48" s="61" t="s">
        <v>42</v>
      </c>
      <c r="B48" s="62"/>
      <c r="C48" s="63" t="s">
        <v>235</v>
      </c>
      <c r="D48" s="64"/>
      <c r="E48" s="65"/>
      <c r="F48" s="18" t="s">
        <v>43</v>
      </c>
      <c r="G48" s="66">
        <v>45533</v>
      </c>
      <c r="H48" s="62"/>
    </row>
    <row r="49" spans="1:14" x14ac:dyDescent="0.25">
      <c r="A49" s="61" t="s">
        <v>44</v>
      </c>
      <c r="B49" s="62"/>
      <c r="C49" s="61" t="str">
        <f>C48</f>
        <v>Mhada-92/941/2024</v>
      </c>
      <c r="D49" s="74"/>
      <c r="E49" s="62"/>
      <c r="F49" s="18" t="s">
        <v>43</v>
      </c>
      <c r="G49" s="66">
        <v>45533</v>
      </c>
      <c r="H49" s="62"/>
    </row>
    <row r="50" spans="1:14" s="23" customFormat="1" ht="49.5" customHeight="1" x14ac:dyDescent="0.25">
      <c r="A50" s="188" t="s">
        <v>161</v>
      </c>
      <c r="B50" s="189"/>
      <c r="C50" s="61" t="s">
        <v>226</v>
      </c>
      <c r="D50" s="74"/>
      <c r="E50" s="62"/>
      <c r="F50" s="18" t="s">
        <v>231</v>
      </c>
      <c r="G50" s="66" t="s">
        <v>232</v>
      </c>
      <c r="H50" s="62"/>
    </row>
    <row r="51" spans="1:14" s="23" customFormat="1" ht="174.75" customHeight="1" x14ac:dyDescent="0.25">
      <c r="A51" s="190"/>
      <c r="B51" s="191"/>
      <c r="C51" s="61" t="s">
        <v>233</v>
      </c>
      <c r="D51" s="74"/>
      <c r="E51" s="74"/>
      <c r="F51" s="74"/>
      <c r="G51" s="74"/>
      <c r="H51" s="62"/>
    </row>
    <row r="52" spans="1:14" ht="33" customHeight="1" x14ac:dyDescent="0.25">
      <c r="A52" s="75" t="s">
        <v>45</v>
      </c>
      <c r="B52" s="76"/>
      <c r="C52" s="75" t="s">
        <v>109</v>
      </c>
      <c r="D52" s="77"/>
      <c r="E52" s="76"/>
      <c r="F52" s="46" t="s">
        <v>43</v>
      </c>
      <c r="G52" s="123" t="s">
        <v>30</v>
      </c>
      <c r="H52" s="124"/>
    </row>
    <row r="53" spans="1:14" x14ac:dyDescent="0.25">
      <c r="A53" s="78" t="s">
        <v>47</v>
      </c>
      <c r="B53" s="78"/>
      <c r="C53" s="78"/>
      <c r="D53" s="78"/>
      <c r="E53" s="78"/>
      <c r="F53" s="78"/>
      <c r="G53" s="78"/>
      <c r="H53" s="78"/>
    </row>
    <row r="54" spans="1:14" x14ac:dyDescent="0.25">
      <c r="A54" s="140" t="s">
        <v>94</v>
      </c>
      <c r="B54" s="140"/>
      <c r="C54" s="140"/>
      <c r="D54" s="67">
        <f>E44</f>
        <v>14206.99</v>
      </c>
      <c r="E54" s="67"/>
      <c r="F54" s="67"/>
      <c r="G54" s="67"/>
      <c r="H54" s="67"/>
    </row>
    <row r="55" spans="1:14" x14ac:dyDescent="0.25">
      <c r="A55" s="146" t="s">
        <v>48</v>
      </c>
      <c r="B55" s="67"/>
      <c r="C55" s="67"/>
      <c r="D55" s="67" t="s">
        <v>238</v>
      </c>
      <c r="E55" s="67"/>
      <c r="F55" s="67"/>
      <c r="G55" s="67"/>
      <c r="H55" s="67"/>
      <c r="I55" s="24"/>
    </row>
    <row r="56" spans="1:14" s="23" customFormat="1" x14ac:dyDescent="0.25">
      <c r="A56" s="68" t="s">
        <v>49</v>
      </c>
      <c r="B56" s="69"/>
      <c r="C56" s="158"/>
      <c r="D56" s="156" t="s">
        <v>237</v>
      </c>
      <c r="E56" s="157"/>
      <c r="F56" s="157"/>
      <c r="G56" s="157"/>
      <c r="H56" s="157"/>
    </row>
    <row r="57" spans="1:14" ht="15.75" customHeight="1" x14ac:dyDescent="0.25">
      <c r="A57" s="68" t="s">
        <v>92</v>
      </c>
      <c r="B57" s="69"/>
      <c r="C57" s="69"/>
      <c r="D57" s="67" t="s">
        <v>239</v>
      </c>
      <c r="E57" s="67"/>
      <c r="F57" s="67"/>
      <c r="G57" s="67"/>
      <c r="H57" s="67"/>
    </row>
    <row r="58" spans="1:14" ht="15.75" customHeight="1" x14ac:dyDescent="0.25">
      <c r="A58" s="70"/>
      <c r="B58" s="71"/>
      <c r="C58" s="71"/>
      <c r="D58" s="67" t="s">
        <v>229</v>
      </c>
      <c r="E58" s="67"/>
      <c r="F58" s="67"/>
      <c r="G58" s="67"/>
      <c r="H58" s="67"/>
    </row>
    <row r="59" spans="1:14" ht="15.75" hidden="1" customHeight="1" x14ac:dyDescent="0.25">
      <c r="A59" s="72"/>
      <c r="B59" s="73"/>
      <c r="C59" s="73"/>
      <c r="D59" s="125" t="s">
        <v>213</v>
      </c>
      <c r="E59" s="125"/>
      <c r="F59" s="125"/>
      <c r="G59" s="125"/>
      <c r="H59" s="125"/>
    </row>
    <row r="60" spans="1:14" ht="15.75" customHeight="1" x14ac:dyDescent="0.25">
      <c r="A60" s="121" t="s">
        <v>46</v>
      </c>
      <c r="B60" s="121"/>
      <c r="C60" s="121"/>
      <c r="D60" s="159" t="s">
        <v>194</v>
      </c>
      <c r="E60" s="159"/>
      <c r="F60" s="159"/>
      <c r="G60" s="159"/>
      <c r="H60" s="159"/>
      <c r="J60" s="25"/>
      <c r="K60" s="24"/>
      <c r="N60" s="24"/>
    </row>
    <row r="61" spans="1:14" ht="15.75" customHeight="1" x14ac:dyDescent="0.25">
      <c r="A61" s="121" t="s">
        <v>90</v>
      </c>
      <c r="B61" s="121"/>
      <c r="C61" s="121"/>
      <c r="D61" s="169" t="str">
        <f>(IF(G52="NA","60 Years After Completion",IF(G52&lt;&gt;"NA",""&amp;60-ROUNDDOWN((E3-G52)/360,0)&amp;" Years"," ")))</f>
        <v>60 Years After Completion</v>
      </c>
      <c r="E61" s="169"/>
      <c r="F61" s="169"/>
      <c r="G61" s="169"/>
      <c r="H61" s="169"/>
      <c r="N61" s="24"/>
    </row>
    <row r="62" spans="1:14" ht="15.75" customHeight="1" x14ac:dyDescent="0.25">
      <c r="A62" s="121" t="s">
        <v>91</v>
      </c>
      <c r="B62" s="121"/>
      <c r="C62" s="121"/>
      <c r="D62" s="140" t="s">
        <v>24</v>
      </c>
      <c r="E62" s="140"/>
      <c r="F62" s="140"/>
      <c r="G62" s="140"/>
      <c r="H62" s="140"/>
      <c r="J62" s="26"/>
      <c r="K62" s="26"/>
    </row>
    <row r="63" spans="1:14" ht="30" customHeight="1" x14ac:dyDescent="0.25">
      <c r="A63" s="121" t="s">
        <v>77</v>
      </c>
      <c r="B63" s="121"/>
      <c r="C63" s="121"/>
      <c r="D63" s="146" t="s">
        <v>195</v>
      </c>
      <c r="E63" s="140"/>
      <c r="F63" s="140"/>
      <c r="G63" s="140"/>
      <c r="H63" s="140"/>
    </row>
    <row r="64" spans="1:14" x14ac:dyDescent="0.25">
      <c r="A64" s="140" t="s">
        <v>154</v>
      </c>
      <c r="B64" s="140"/>
      <c r="C64" s="140"/>
      <c r="D64" s="140" t="s">
        <v>30</v>
      </c>
      <c r="E64" s="140"/>
      <c r="F64" s="140"/>
      <c r="G64" s="140"/>
      <c r="H64" s="140"/>
      <c r="I64" s="27"/>
      <c r="J64" s="27"/>
      <c r="K64" s="27"/>
      <c r="L64" s="27"/>
      <c r="M64" s="27"/>
      <c r="N64" s="27"/>
    </row>
    <row r="65" spans="1:10" ht="15.75" customHeight="1" x14ac:dyDescent="0.25">
      <c r="A65" s="192" t="s">
        <v>89</v>
      </c>
      <c r="B65" s="192"/>
      <c r="C65" s="192"/>
      <c r="D65" s="156" t="str">
        <f ca="1">(IF(G85&gt;95%,"Nothing",IF(G85&gt;0%,"Cement, Aggregate, Steel, etc",IF(G85=0%,"Work not yet Started"))))</f>
        <v>Cement, Aggregate, Steel, etc</v>
      </c>
      <c r="E65" s="156"/>
      <c r="F65" s="156"/>
      <c r="G65" s="156"/>
      <c r="H65" s="156"/>
      <c r="J65" s="26"/>
    </row>
    <row r="66" spans="1:10" ht="33.75" customHeight="1" thickBot="1" x14ac:dyDescent="0.3">
      <c r="A66" s="171" t="s">
        <v>122</v>
      </c>
      <c r="B66" s="171"/>
      <c r="C66" s="171"/>
      <c r="D66" s="156" t="str">
        <f ca="1">(IF(D65="Nothing","Yes",IF(D65="Cement, Aggregate, Steel, etc","Under Construction",IF(D65="Work not yet Started","Work not yet Started"))))</f>
        <v>Under Construction</v>
      </c>
      <c r="E66" s="156"/>
      <c r="F66" s="156" t="str">
        <f ca="1">(IF(D65="Nothing","Yes",IF(D65="Cement, Aggregate, Steel, etc","Under Construction",IF(D65="Work not yet Started","Work not yet Started"))))</f>
        <v>Under Construction</v>
      </c>
      <c r="G66" s="156"/>
      <c r="H66" s="156"/>
      <c r="I66" s="22" t="s">
        <v>228</v>
      </c>
    </row>
    <row r="67" spans="1:10" ht="15.75" customHeight="1" x14ac:dyDescent="0.25">
      <c r="A67" s="86" t="s">
        <v>146</v>
      </c>
      <c r="B67" s="87"/>
      <c r="C67" s="88" t="str">
        <f>D57</f>
        <v>Wing A to D = Gr + 1st to 14th Floor</v>
      </c>
      <c r="D67" s="89"/>
      <c r="E67" s="89"/>
      <c r="F67" s="89"/>
      <c r="G67" s="89"/>
      <c r="H67" s="90"/>
      <c r="I67" s="50" t="str">
        <f ca="1">IF(D80=100%,"All work Completed. Possession granted to the Building.",IF(D79=100%,"All work Completed, Waiting for OC",I68&amp;""&amp;I69&amp;""&amp;J68&amp;""&amp;J67&amp;" "&amp;J69))</f>
        <v>Excavation, Plinth, RCC Slab, Brickwork, Internal Plaster Completed, External Plaster upto 12 Floor, Flooring upto 8 Floor Completed</v>
      </c>
      <c r="J67" s="51"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External Plaster upto 12 Floor, Flooring upto 8 Floor</v>
      </c>
    </row>
    <row r="68" spans="1:10" s="23" customFormat="1" x14ac:dyDescent="0.25">
      <c r="A68" s="16" t="s">
        <v>148</v>
      </c>
      <c r="B68" s="48">
        <v>0</v>
      </c>
      <c r="C68" s="48" t="s">
        <v>74</v>
      </c>
      <c r="D68" s="48">
        <v>1</v>
      </c>
      <c r="E68" s="48" t="s">
        <v>73</v>
      </c>
      <c r="F68" s="48">
        <v>0</v>
      </c>
      <c r="G68" s="48" t="s">
        <v>83</v>
      </c>
      <c r="H68" s="17">
        <f ca="1">--TRIM(RIGHT(SUBSTITUTE(LEFT(C67,_xlfn.AGGREGATE(16,6,FIND({0,1,2,3,4,5,6,7,8,9},C67,ROW(INDIRECT("1:"&amp;LEN(C67)))),1))," ",REPT(" ",LEN(C67))),LEN(C67)))</f>
        <v>14</v>
      </c>
      <c r="I68" s="56" t="str">
        <f ca="1">IF(D71=100%,"Excavation","")&amp;IF(D72=100%,", Plinth","")&amp;IF(D73=100%,", RCC Slab","")&amp;IF(D74=100%,", Brickwork","")&amp;IF(D75=100%,", Internal Plaster","")&amp;IF(D76=100%,", External Plaster","")&amp;IF(D77=100%,", Flooring","")&amp;IF(D78=100%,", Painting","")&amp;IF(D79=100%,", Building common Amenities","")</f>
        <v>Excavation, Plinth, RCC Slab, Brickwork, Internal Plaster</v>
      </c>
      <c r="J68" s="57"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9" spans="1:10" ht="34.15" customHeight="1" x14ac:dyDescent="0.25">
      <c r="A69" s="174" t="s">
        <v>93</v>
      </c>
      <c r="B69" s="148"/>
      <c r="C69" s="175" t="str">
        <f ca="1">I67</f>
        <v>Excavation, Plinth, RCC Slab, Brickwork, Internal Plaster Completed, External Plaster upto 12 Floor, Flooring upto 8 Floor Completed</v>
      </c>
      <c r="D69" s="175"/>
      <c r="E69" s="175"/>
      <c r="F69" s="175"/>
      <c r="G69" s="175"/>
      <c r="H69" s="176"/>
      <c r="I69" s="52" t="str">
        <f ca="1">IF(I68&lt;&gt;""," Completed","")</f>
        <v xml:space="preserve"> Completed</v>
      </c>
      <c r="J69" s="53" t="str">
        <f ca="1">IF(J67&lt;&gt;"","Completed","")</f>
        <v>Completed</v>
      </c>
    </row>
    <row r="70" spans="1:10" ht="15.75" customHeight="1" x14ac:dyDescent="0.25">
      <c r="A70" s="91" t="s">
        <v>50</v>
      </c>
      <c r="B70" s="92"/>
      <c r="C70" s="44" t="s">
        <v>145</v>
      </c>
      <c r="D70" s="44" t="s">
        <v>86</v>
      </c>
      <c r="E70" s="92" t="s">
        <v>88</v>
      </c>
      <c r="F70" s="92"/>
      <c r="G70" s="92" t="s">
        <v>87</v>
      </c>
      <c r="H70" s="170"/>
      <c r="I70" s="14" t="s">
        <v>147</v>
      </c>
      <c r="J70" s="28">
        <f ca="1">H68*25%</f>
        <v>3.5</v>
      </c>
    </row>
    <row r="71" spans="1:10" x14ac:dyDescent="0.25">
      <c r="A71" s="91" t="s">
        <v>134</v>
      </c>
      <c r="B71" s="92"/>
      <c r="C71" s="44">
        <f ca="1">J72</f>
        <v>14</v>
      </c>
      <c r="D71" s="19">
        <f ca="1">((100/H68)*C71)/100</f>
        <v>1</v>
      </c>
      <c r="E71" s="160">
        <f ca="1">(((C72/H68*10)+(40/(D68+F68+H68)*C73)+(7.5/(H68)*C74)+(7.5/(H68)*C75)+(10/H68*C76)+(10/H68*C77)+(5/H68*C78)+(5/H68*C79)+(5/H68*C80))/100)</f>
        <v>0.79285714285714282</v>
      </c>
      <c r="F71" s="161"/>
      <c r="G71" s="160">
        <f ca="1">((((C71/H68)*20)+((C72/H68)*25)+(30/(H68+F68+D68)*C73)+(5/H68*C74)+(5/H68*C75)+(5/H68*C76)+(5/H68*C77)+(0/H68*C78)+(0/H68*C79)+(5/H68*C80))/100)</f>
        <v>0.92142857142857149</v>
      </c>
      <c r="H71" s="166"/>
      <c r="I71" s="14" t="s">
        <v>104</v>
      </c>
      <c r="J71" s="29">
        <f ca="1">H68*50%</f>
        <v>7</v>
      </c>
    </row>
    <row r="72" spans="1:10" x14ac:dyDescent="0.25">
      <c r="A72" s="91" t="s">
        <v>51</v>
      </c>
      <c r="B72" s="92"/>
      <c r="C72" s="54">
        <f ca="1">J80</f>
        <v>14</v>
      </c>
      <c r="D72" s="19">
        <f ca="1">((100/H68)*C72)/100</f>
        <v>1</v>
      </c>
      <c r="E72" s="162"/>
      <c r="F72" s="163"/>
      <c r="G72" s="162"/>
      <c r="H72" s="167"/>
      <c r="I72" s="14" t="s">
        <v>105</v>
      </c>
      <c r="J72" s="29">
        <f ca="1">H68</f>
        <v>14</v>
      </c>
    </row>
    <row r="73" spans="1:10" ht="15.75" customHeight="1" x14ac:dyDescent="0.25">
      <c r="A73" s="91" t="s">
        <v>135</v>
      </c>
      <c r="B73" s="92"/>
      <c r="C73" s="44">
        <v>15</v>
      </c>
      <c r="D73" s="19">
        <f ca="1">((100/(D68+F68+H68))*C73)/100</f>
        <v>1</v>
      </c>
      <c r="E73" s="162"/>
      <c r="F73" s="163"/>
      <c r="G73" s="162"/>
      <c r="H73" s="167"/>
      <c r="I73" s="14" t="s">
        <v>106</v>
      </c>
      <c r="J73" s="30">
        <f ca="1">(IF(B68&gt;1,(H68/(B68+2)),H68/4))</f>
        <v>3.5</v>
      </c>
    </row>
    <row r="74" spans="1:10" ht="15.75" customHeight="1" x14ac:dyDescent="0.25">
      <c r="A74" s="91" t="s">
        <v>142</v>
      </c>
      <c r="B74" s="92" t="s">
        <v>136</v>
      </c>
      <c r="C74" s="44">
        <v>14</v>
      </c>
      <c r="D74" s="19">
        <f ca="1">((100/H68)*C74)/100</f>
        <v>1</v>
      </c>
      <c r="E74" s="162"/>
      <c r="F74" s="163"/>
      <c r="G74" s="162"/>
      <c r="H74" s="167"/>
      <c r="I74" s="14" t="s">
        <v>107</v>
      </c>
      <c r="J74" s="30">
        <f ca="1">(IF(B68&gt;1,(H68/(B68+2)+J73),H68/4+J73))</f>
        <v>7</v>
      </c>
    </row>
    <row r="75" spans="1:10" ht="15.75" customHeight="1" x14ac:dyDescent="0.25">
      <c r="A75" s="91" t="s">
        <v>143</v>
      </c>
      <c r="B75" s="92" t="s">
        <v>136</v>
      </c>
      <c r="C75" s="44">
        <v>14</v>
      </c>
      <c r="D75" s="19">
        <f ca="1">((100/H68)*C75)/100</f>
        <v>1</v>
      </c>
      <c r="E75" s="162"/>
      <c r="F75" s="163"/>
      <c r="G75" s="162"/>
      <c r="H75" s="167"/>
      <c r="I75" s="14" t="s">
        <v>152</v>
      </c>
      <c r="J75" s="30">
        <f>(IF(B68&gt;1,(H68/(B68+2)+J74),0))</f>
        <v>0</v>
      </c>
    </row>
    <row r="76" spans="1:10" ht="15" customHeight="1" x14ac:dyDescent="0.25">
      <c r="A76" s="91" t="s">
        <v>141</v>
      </c>
      <c r="B76" s="92" t="s">
        <v>138</v>
      </c>
      <c r="C76" s="44">
        <v>12</v>
      </c>
      <c r="D76" s="19">
        <f ca="1">((100/(H68))*C76)/100</f>
        <v>0.85714285714285721</v>
      </c>
      <c r="E76" s="162"/>
      <c r="F76" s="163"/>
      <c r="G76" s="162"/>
      <c r="H76" s="167"/>
      <c r="I76" s="14" t="s">
        <v>149</v>
      </c>
      <c r="J76" s="30">
        <f>(IF(B68&gt;2,(H68/(B68+2)+J75),0))</f>
        <v>0</v>
      </c>
    </row>
    <row r="77" spans="1:10" ht="15.75" customHeight="1" x14ac:dyDescent="0.25">
      <c r="A77" s="91" t="s">
        <v>137</v>
      </c>
      <c r="B77" s="92" t="s">
        <v>137</v>
      </c>
      <c r="C77" s="44">
        <v>8</v>
      </c>
      <c r="D77" s="19">
        <f ca="1">((100/H68)*C77)/100</f>
        <v>0.57142857142857151</v>
      </c>
      <c r="E77" s="162"/>
      <c r="F77" s="163"/>
      <c r="G77" s="162"/>
      <c r="H77" s="167"/>
      <c r="I77" s="14" t="s">
        <v>150</v>
      </c>
      <c r="J77" s="31">
        <f>(IF(B68&gt;3,(H68/(B68+2)+J76),0))</f>
        <v>0</v>
      </c>
    </row>
    <row r="78" spans="1:10" ht="15.75" customHeight="1" x14ac:dyDescent="0.25">
      <c r="A78" s="91" t="s">
        <v>144</v>
      </c>
      <c r="B78" s="92"/>
      <c r="C78" s="44">
        <v>0</v>
      </c>
      <c r="D78" s="19">
        <f ca="1">((100/H68)*C78)/100</f>
        <v>0</v>
      </c>
      <c r="E78" s="162"/>
      <c r="F78" s="163"/>
      <c r="G78" s="162"/>
      <c r="H78" s="167"/>
      <c r="I78" s="14" t="s">
        <v>151</v>
      </c>
      <c r="J78" s="30">
        <f>(IF(B68&gt;4,(H68/(B68+2)+J77),0))</f>
        <v>0</v>
      </c>
    </row>
    <row r="79" spans="1:10" ht="15.75" customHeight="1" x14ac:dyDescent="0.25">
      <c r="A79" s="91" t="s">
        <v>139</v>
      </c>
      <c r="B79" s="92" t="s">
        <v>139</v>
      </c>
      <c r="C79" s="44">
        <v>0</v>
      </c>
      <c r="D79" s="19">
        <f ca="1">((100/(H68))*C79)/100</f>
        <v>0</v>
      </c>
      <c r="E79" s="162"/>
      <c r="F79" s="163"/>
      <c r="G79" s="162"/>
      <c r="H79" s="167"/>
      <c r="I79" s="14" t="s">
        <v>153</v>
      </c>
      <c r="J79" s="30">
        <f ca="1">(IF(B68=1,(H68/(B68+3)+J74),IF(B68=0,(H68/4+J74),IF(B68&gt;1,0))))</f>
        <v>10.5</v>
      </c>
    </row>
    <row r="80" spans="1:10" ht="16.5" thickBot="1" x14ac:dyDescent="0.3">
      <c r="A80" s="95" t="s">
        <v>140</v>
      </c>
      <c r="B80" s="96"/>
      <c r="C80" s="45">
        <v>0</v>
      </c>
      <c r="D80" s="20">
        <f ca="1">((100/(H68))*C80)/100</f>
        <v>0</v>
      </c>
      <c r="E80" s="164"/>
      <c r="F80" s="165"/>
      <c r="G80" s="164"/>
      <c r="H80" s="168"/>
      <c r="I80" s="15" t="s">
        <v>108</v>
      </c>
      <c r="J80" s="32">
        <f ca="1">(IF(B68&gt;1.5,(H68/(B68+2)+J74+MAX(0,J75-J74)+MAX(0,J76-J75)+MAX(0,J77-J76)+MAX(0,J78-J77)+MAX(0,J79-J78)),IF(B68=1,(H68/(B68+3)+J79),IF(B68=0,H68/4+J79))))</f>
        <v>14</v>
      </c>
    </row>
    <row r="81" spans="1:10" ht="15.75" hidden="1" customHeight="1" x14ac:dyDescent="0.25">
      <c r="A81" s="86" t="s">
        <v>146</v>
      </c>
      <c r="B81" s="87"/>
      <c r="C81" s="88" t="s">
        <v>222</v>
      </c>
      <c r="D81" s="89"/>
      <c r="E81" s="89"/>
      <c r="F81" s="89"/>
      <c r="G81" s="89"/>
      <c r="H81" s="90"/>
      <c r="I81" s="50" t="str">
        <f ca="1">IF(D94=100%,"All work Completed. Possession granted to the Building.",IF(D93=100%,"All work Completed, Waiting for OC",I82&amp;""&amp;I83&amp;""&amp;J82&amp;""&amp;J81&amp;" "&amp;J83))</f>
        <v>Excavation, Plinth Completed, RCC upto 1 Slab Completed</v>
      </c>
      <c r="J81" s="51"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RCC upto 1 Slab</v>
      </c>
    </row>
    <row r="82" spans="1:10" s="23" customFormat="1" hidden="1" x14ac:dyDescent="0.25">
      <c r="A82" s="16" t="s">
        <v>148</v>
      </c>
      <c r="B82" s="48">
        <v>1</v>
      </c>
      <c r="C82" s="48" t="s">
        <v>74</v>
      </c>
      <c r="D82" s="48">
        <v>1</v>
      </c>
      <c r="E82" s="48" t="s">
        <v>73</v>
      </c>
      <c r="F82" s="48">
        <v>1</v>
      </c>
      <c r="G82" s="48" t="s">
        <v>83</v>
      </c>
      <c r="H82" s="17">
        <f ca="1">--TRIM(RIGHT(SUBSTITUTE(LEFT(C81,_xlfn.AGGREGATE(16,6,FIND({0,1,2,3,4,5,6,7,8,9},C81,ROW(INDIRECT("1:"&amp;LEN(C81)))),1))," ",REPT(" ",LEN(C81))),LEN(C81)))</f>
        <v>14</v>
      </c>
      <c r="I82" s="56" t="str">
        <f ca="1">IF(D85=100%,"Excavation","")&amp;IF(D86=100%,", Plinth","")&amp;IF(D87=100%,", RCC Slab","")&amp;IF(D88=100%,", Brickwork","")&amp;IF(D89=100%,", Internal Plaster","")&amp;IF(D90=100%,", External Plaster","")&amp;IF(D91=100%,", Flooring","")&amp;IF(D92=100%,", Painting","")&amp;IF(D93=100%,", Building common Amenities","")</f>
        <v>Excavation, Plinth</v>
      </c>
      <c r="J82" s="57"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3" spans="1:10" hidden="1" x14ac:dyDescent="0.25">
      <c r="A83" s="174" t="s">
        <v>93</v>
      </c>
      <c r="B83" s="148"/>
      <c r="C83" s="175" t="str">
        <f ca="1">(IF($G$52="NA",I81,"All work Completed. OC Received."))</f>
        <v>Excavation, Plinth Completed, RCC upto 1 Slab Completed</v>
      </c>
      <c r="D83" s="175"/>
      <c r="E83" s="175"/>
      <c r="F83" s="175"/>
      <c r="G83" s="175"/>
      <c r="H83" s="176"/>
      <c r="I83" s="52" t="str">
        <f ca="1">IF(I82&lt;&gt;""," Completed","")</f>
        <v xml:space="preserve"> Completed</v>
      </c>
      <c r="J83" s="53" t="str">
        <f ca="1">IF(J81&lt;&gt;"","Completed","")</f>
        <v>Completed</v>
      </c>
    </row>
    <row r="84" spans="1:10" ht="15.75" hidden="1" customHeight="1" x14ac:dyDescent="0.25">
      <c r="A84" s="91" t="s">
        <v>50</v>
      </c>
      <c r="B84" s="92"/>
      <c r="C84" s="44" t="s">
        <v>145</v>
      </c>
      <c r="D84" s="44" t="s">
        <v>86</v>
      </c>
      <c r="E84" s="92" t="s">
        <v>88</v>
      </c>
      <c r="F84" s="92"/>
      <c r="G84" s="92" t="s">
        <v>87</v>
      </c>
      <c r="H84" s="170"/>
      <c r="I84" s="14" t="s">
        <v>147</v>
      </c>
      <c r="J84" s="28">
        <f ca="1">H82*25%</f>
        <v>3.5</v>
      </c>
    </row>
    <row r="85" spans="1:10" hidden="1" x14ac:dyDescent="0.25">
      <c r="A85" s="91" t="s">
        <v>134</v>
      </c>
      <c r="B85" s="92"/>
      <c r="C85" s="44">
        <f ca="1">J86</f>
        <v>14</v>
      </c>
      <c r="D85" s="19">
        <f ca="1">((100/H82)*C85)/100</f>
        <v>1</v>
      </c>
      <c r="E85" s="160">
        <f ca="1">(((C86/H82*10)+(40/(D82+F82+H82)*C87)+(7.5/(H82)*C88)+(7.5/(H82)*C89)+(10/H82*C90)+(10/H82*C91)+(5/H82*C92)+(5/H82*C93)+(5/H82*C94))/100)</f>
        <v>0.125</v>
      </c>
      <c r="F85" s="161"/>
      <c r="G85" s="160">
        <f ca="1">((((C85/H82)*20)+((C86/H82)*25)+(30/(H82+F82+D82)*C87)+(5/H82*C88)+(5/H82*C89)+(5/H82*C90)+(5/H82*C91)+(0/H82*C92)+(0/H82*C93)+(5/H82*C94))/100)</f>
        <v>0.46875</v>
      </c>
      <c r="H85" s="166"/>
      <c r="I85" s="14" t="s">
        <v>104</v>
      </c>
      <c r="J85" s="29">
        <f ca="1">H82*50%</f>
        <v>7</v>
      </c>
    </row>
    <row r="86" spans="1:10" hidden="1" x14ac:dyDescent="0.25">
      <c r="A86" s="91" t="s">
        <v>51</v>
      </c>
      <c r="B86" s="92"/>
      <c r="C86" s="54">
        <f ca="1">J94</f>
        <v>14</v>
      </c>
      <c r="D86" s="19">
        <f ca="1">((100/H82)*C86)/100</f>
        <v>1</v>
      </c>
      <c r="E86" s="162"/>
      <c r="F86" s="163"/>
      <c r="G86" s="162"/>
      <c r="H86" s="167"/>
      <c r="I86" s="14" t="s">
        <v>105</v>
      </c>
      <c r="J86" s="29">
        <f ca="1">H82</f>
        <v>14</v>
      </c>
    </row>
    <row r="87" spans="1:10" ht="15.75" hidden="1" customHeight="1" x14ac:dyDescent="0.25">
      <c r="A87" s="91" t="s">
        <v>135</v>
      </c>
      <c r="B87" s="92"/>
      <c r="C87" s="44">
        <v>1</v>
      </c>
      <c r="D87" s="19">
        <f ca="1">((100/(D82+F82+H82))*C87)/100</f>
        <v>6.25E-2</v>
      </c>
      <c r="E87" s="162"/>
      <c r="F87" s="163"/>
      <c r="G87" s="162"/>
      <c r="H87" s="167"/>
      <c r="I87" s="14" t="s">
        <v>106</v>
      </c>
      <c r="J87" s="30">
        <f ca="1">(IF(B82&gt;1,(H82/(B82+2)),H82/4))</f>
        <v>3.5</v>
      </c>
    </row>
    <row r="88" spans="1:10" ht="15.75" hidden="1" customHeight="1" x14ac:dyDescent="0.25">
      <c r="A88" s="91" t="s">
        <v>142</v>
      </c>
      <c r="B88" s="92" t="s">
        <v>136</v>
      </c>
      <c r="C88" s="44">
        <v>0</v>
      </c>
      <c r="D88" s="19">
        <f ca="1">((100/H82)*C88)/100</f>
        <v>0</v>
      </c>
      <c r="E88" s="162"/>
      <c r="F88" s="163"/>
      <c r="G88" s="162"/>
      <c r="H88" s="167"/>
      <c r="I88" s="14" t="s">
        <v>107</v>
      </c>
      <c r="J88" s="30">
        <f ca="1">(IF(B82&gt;1,(H82/(B82+2)+J87),H82/4+J87))</f>
        <v>7</v>
      </c>
    </row>
    <row r="89" spans="1:10" ht="15.75" hidden="1" customHeight="1" x14ac:dyDescent="0.25">
      <c r="A89" s="91" t="s">
        <v>143</v>
      </c>
      <c r="B89" s="92" t="s">
        <v>136</v>
      </c>
      <c r="C89" s="44">
        <v>0</v>
      </c>
      <c r="D89" s="19">
        <f ca="1">((100/H82)*C89)/100</f>
        <v>0</v>
      </c>
      <c r="E89" s="162"/>
      <c r="F89" s="163"/>
      <c r="G89" s="162"/>
      <c r="H89" s="167"/>
      <c r="I89" s="14" t="s">
        <v>152</v>
      </c>
      <c r="J89" s="30">
        <f>(IF(B82&gt;1,(H82/(B82+2)+J88),0))</f>
        <v>0</v>
      </c>
    </row>
    <row r="90" spans="1:10" ht="15" hidden="1" customHeight="1" x14ac:dyDescent="0.25">
      <c r="A90" s="91" t="s">
        <v>141</v>
      </c>
      <c r="B90" s="92" t="s">
        <v>138</v>
      </c>
      <c r="C90" s="44">
        <v>0</v>
      </c>
      <c r="D90" s="19">
        <f ca="1">((100/(H82))*C90)/100</f>
        <v>0</v>
      </c>
      <c r="E90" s="162"/>
      <c r="F90" s="163"/>
      <c r="G90" s="162"/>
      <c r="H90" s="167"/>
      <c r="I90" s="14" t="s">
        <v>149</v>
      </c>
      <c r="J90" s="30">
        <f>(IF(B82&gt;2,(H82/(B82+2)+J89),0))</f>
        <v>0</v>
      </c>
    </row>
    <row r="91" spans="1:10" ht="15.75" hidden="1" customHeight="1" x14ac:dyDescent="0.25">
      <c r="A91" s="91" t="s">
        <v>137</v>
      </c>
      <c r="B91" s="92" t="s">
        <v>137</v>
      </c>
      <c r="C91" s="44">
        <v>0</v>
      </c>
      <c r="D91" s="19">
        <f ca="1">((100/H82)*C91)/100</f>
        <v>0</v>
      </c>
      <c r="E91" s="162"/>
      <c r="F91" s="163"/>
      <c r="G91" s="162"/>
      <c r="H91" s="167"/>
      <c r="I91" s="14" t="s">
        <v>150</v>
      </c>
      <c r="J91" s="31">
        <f>(IF(B82&gt;3,(H82/(B82+2)+J90),0))</f>
        <v>0</v>
      </c>
    </row>
    <row r="92" spans="1:10" ht="15.75" hidden="1" customHeight="1" x14ac:dyDescent="0.25">
      <c r="A92" s="91" t="s">
        <v>144</v>
      </c>
      <c r="B92" s="92"/>
      <c r="C92" s="44">
        <v>0</v>
      </c>
      <c r="D92" s="19">
        <f ca="1">((100/H82)*C92)/100</f>
        <v>0</v>
      </c>
      <c r="E92" s="162"/>
      <c r="F92" s="163"/>
      <c r="G92" s="162"/>
      <c r="H92" s="167"/>
      <c r="I92" s="14" t="s">
        <v>151</v>
      </c>
      <c r="J92" s="30">
        <f>(IF(B82&gt;4,(H82/(B82+2)+J91),0))</f>
        <v>0</v>
      </c>
    </row>
    <row r="93" spans="1:10" ht="15.75" hidden="1" customHeight="1" x14ac:dyDescent="0.25">
      <c r="A93" s="91" t="s">
        <v>139</v>
      </c>
      <c r="B93" s="92" t="s">
        <v>139</v>
      </c>
      <c r="C93" s="44">
        <v>0</v>
      </c>
      <c r="D93" s="19">
        <f ca="1">((100/(H82))*C93)/100</f>
        <v>0</v>
      </c>
      <c r="E93" s="162"/>
      <c r="F93" s="163"/>
      <c r="G93" s="162"/>
      <c r="H93" s="167"/>
      <c r="I93" s="14" t="s">
        <v>153</v>
      </c>
      <c r="J93" s="30">
        <f ca="1">(IF(B82=1,(H82/(B82+3)+J88),IF(B82=0,(H82/4+J88),IF(B82&gt;1,0))))</f>
        <v>10.5</v>
      </c>
    </row>
    <row r="94" spans="1:10" ht="16.5" hidden="1" thickBot="1" x14ac:dyDescent="0.3">
      <c r="A94" s="95" t="s">
        <v>140</v>
      </c>
      <c r="B94" s="96"/>
      <c r="C94" s="45">
        <v>0</v>
      </c>
      <c r="D94" s="20">
        <f ca="1">((100/(H82))*C94)/100</f>
        <v>0</v>
      </c>
      <c r="E94" s="164"/>
      <c r="F94" s="165"/>
      <c r="G94" s="164"/>
      <c r="H94" s="168"/>
      <c r="I94" s="15" t="s">
        <v>108</v>
      </c>
      <c r="J94" s="32">
        <f ca="1">(IF(B82&gt;1.5,(H82/(B82+2)+J88+MAX(0,J89-J88)+MAX(0,J90-J89)+MAX(0,J91-J90)+MAX(0,J92-J91)+MAX(0,J93-J92)),IF(B82=1,(H82/(B82+3)+J93),IF(B82=0,H82/4+J93))))</f>
        <v>14</v>
      </c>
    </row>
    <row r="95" spans="1:10" ht="15.75" customHeight="1" x14ac:dyDescent="0.25">
      <c r="A95" s="86" t="s">
        <v>146</v>
      </c>
      <c r="B95" s="87"/>
      <c r="C95" s="88" t="str">
        <f>D58</f>
        <v>Wing E = Gr + 1st to 14th Floor</v>
      </c>
      <c r="D95" s="89"/>
      <c r="E95" s="89"/>
      <c r="F95" s="89"/>
      <c r="G95" s="89"/>
      <c r="H95" s="90"/>
      <c r="I95" s="50" t="str">
        <f ca="1">IF(D108=100%,"All work Completed. Possession granted to the Building.",IF(D107=100%,"All work Completed, Waiting for OC",I96&amp;""&amp;I97&amp;""&amp;J96&amp;""&amp;J95&amp;" "&amp;J97))</f>
        <v>Excavation, Plinth, RCC Slab, Brickwork Completed, Internal Plaster upto 12 Floor, External Plaster upto 6 Floor Completed</v>
      </c>
      <c r="J95" s="51" t="str">
        <f ca="1">(IF(C101=(D96+F96+H96),"",IF(C101&gt;0,", RCC upto "&amp;C101&amp;" Slab","")))&amp;(IF(C102=H96,"",IF(C102&gt;0,", Brickwork upto "&amp;C102&amp;" Floor","")))&amp;(IF(C103=H96,"",IF(C103&gt;0,", Internal Plaster upto "&amp;C103&amp;" Floor","")))&amp;(IF(C104=H96,"",IF(C104&gt;0,", External Plaster upto "&amp;C104&amp;" Floor","")))&amp;(IF(C105=H96,"",IF(C105&gt;0,", Flooring upto "&amp;C105&amp;" Floor","")))&amp;(IF(C106=H96,"",IF(C106&gt;0,", Painting upto "&amp;C106&amp;" Floor","")))&amp;(IF(C107=H96,"",IF(C107&gt;0,", Finishing upto "&amp;C107&amp;" Floor","")))&amp;(IF(C108=H96,"",IF(C108&gt;0,", Possession upto "&amp;C108&amp;" Floor","")))</f>
        <v>, Internal Plaster upto 12 Floor, External Plaster upto 6 Floor</v>
      </c>
    </row>
    <row r="96" spans="1:10" x14ac:dyDescent="0.25">
      <c r="A96" s="16" t="s">
        <v>148</v>
      </c>
      <c r="B96" s="48">
        <f>IF(AND(ISNUMBER(SEARCH("1B",C95))),1,IF(AND(ISNUMBER(SEARCH("2B",C95))),2,IF(AND(ISNUMBER(SEARCH("3B",C95))),3,IF(AND(ISNUMBER(SEARCH("4B",C95))),4,IF(ISNUMBER(SEARCH("5B",C95)),5,0)))))</f>
        <v>0</v>
      </c>
      <c r="C96" s="48" t="s">
        <v>74</v>
      </c>
      <c r="D96" s="48">
        <v>1</v>
      </c>
      <c r="E96" s="48" t="s">
        <v>73</v>
      </c>
      <c r="F96" s="58">
        <v>0</v>
      </c>
      <c r="G96" s="49" t="s">
        <v>83</v>
      </c>
      <c r="H96" s="17">
        <f ca="1">--TRIM(RIGHT(SUBSTITUTE(LEFT(C95,_xlfn.AGGREGATE(16,6,FIND({0,1,2,3,4,5,6,7,8,9},C95,ROW(INDIRECT("1:"&amp;LEN(C95)))),1))," ",REPT(" ",LEN(C95))),LEN(C95)))</f>
        <v>14</v>
      </c>
      <c r="I96" s="52" t="str">
        <f ca="1">IF(D99=100%,"Excavation","")&amp;IF(D100=100%,", Plinth","")&amp;IF(D101=100%,", RCC Slab","")&amp;IF(D102=100%,", Brickwork","")&amp;IF(D103=100%,", Internal Plaster","")&amp;IF(D104=100%,", External Plaster","")&amp;IF(D105=100%,", Flooring","")&amp;IF(D106=100%,", Painting","")&amp;IF(D107=100%,", Building common Amenities","")</f>
        <v>Excavation, Plinth, RCC Slab, Brickwork</v>
      </c>
      <c r="J96" s="53" t="str">
        <f ca="1">(IF(C99=0,"Work not yet Started.",IF(D99=25%,"Piling work in process",IF(D99=50%,"Excavation work in process",IF(D99=100%,"","0")))))&amp;(IF(C100=0%,"",IF(C100=J101,", Footing work is process",IF(C100=J102,", Footing work Completed",IF(C100=J103,", 1st Basement Completed",IF(C100=J104,", 1st &amp; 2nd Basement Completed",IF(C100=J105,", 1st to 3rd Basement Completed",IF(C100=J106,", 1st to 4th Basement Completed",IF(C100=J107,", Plinth work is process",IF(C100=J108,"","0"))))))))))</f>
        <v/>
      </c>
    </row>
    <row r="97" spans="1:10" ht="33.6" customHeight="1" x14ac:dyDescent="0.25">
      <c r="A97" s="174" t="s">
        <v>93</v>
      </c>
      <c r="B97" s="148"/>
      <c r="C97" s="175" t="str">
        <f ca="1">(IF($G$52="NA",I95,"All work Completed. OC Received."))</f>
        <v>Excavation, Plinth, RCC Slab, Brickwork Completed, Internal Plaster upto 12 Floor, External Plaster upto 6 Floor Completed</v>
      </c>
      <c r="D97" s="175"/>
      <c r="E97" s="175"/>
      <c r="F97" s="175"/>
      <c r="G97" s="175"/>
      <c r="H97" s="176"/>
      <c r="I97" s="52" t="str">
        <f ca="1">IF(I96&lt;&gt;""," Completed","")</f>
        <v xml:space="preserve"> Completed</v>
      </c>
      <c r="J97" s="53" t="str">
        <f ca="1">IF(J95&lt;&gt;"","Completed","")</f>
        <v>Completed</v>
      </c>
    </row>
    <row r="98" spans="1:10" ht="15.75" customHeight="1" x14ac:dyDescent="0.25">
      <c r="A98" s="91" t="s">
        <v>50</v>
      </c>
      <c r="B98" s="92"/>
      <c r="C98" s="44" t="s">
        <v>145</v>
      </c>
      <c r="D98" s="44" t="s">
        <v>86</v>
      </c>
      <c r="E98" s="92" t="s">
        <v>88</v>
      </c>
      <c r="F98" s="92"/>
      <c r="G98" s="92" t="s">
        <v>87</v>
      </c>
      <c r="H98" s="170"/>
      <c r="I98" s="14" t="s">
        <v>147</v>
      </c>
      <c r="J98" s="28">
        <f ca="1">H96*25%</f>
        <v>3.5</v>
      </c>
    </row>
    <row r="99" spans="1:10" x14ac:dyDescent="0.25">
      <c r="A99" s="91" t="s">
        <v>134</v>
      </c>
      <c r="B99" s="92"/>
      <c r="C99" s="44">
        <f ca="1">J100</f>
        <v>14</v>
      </c>
      <c r="D99" s="19">
        <f ca="1">((100/H96)*C99)/100</f>
        <v>1</v>
      </c>
      <c r="E99" s="160">
        <f ca="1">(((C100/H96*10)+(40/(D96+F96+H96)*C101)+(7.5/(H96)*C102)+(7.5/(H96)*C103)+(10/H96*C104)+(10/H96*C105)+(5/H96*C106)+(5/H96*C107)+(5/H96*C108))/100)</f>
        <v>0.68214285714285727</v>
      </c>
      <c r="F99" s="161"/>
      <c r="G99" s="160">
        <f ca="1">((((C99/H96)*20)+((C100/H96)*25)+(30/(H96+F96+D96)*C101)+(5/H96*C102)+(5/H96*C103)+(5/H96*C104)+(5/H96*C105)+(0/H96*C106)+(0/H96*C107)+(5/H96*C108))/100)</f>
        <v>0.86428571428571432</v>
      </c>
      <c r="H99" s="166"/>
      <c r="I99" s="14" t="s">
        <v>104</v>
      </c>
      <c r="J99" s="29">
        <f ca="1">H96*50%</f>
        <v>7</v>
      </c>
    </row>
    <row r="100" spans="1:10" x14ac:dyDescent="0.25">
      <c r="A100" s="91" t="s">
        <v>51</v>
      </c>
      <c r="B100" s="92"/>
      <c r="C100" s="54">
        <f ca="1">J108</f>
        <v>14</v>
      </c>
      <c r="D100" s="19">
        <f ca="1">((100/H96)*C100)/100</f>
        <v>1</v>
      </c>
      <c r="E100" s="162"/>
      <c r="F100" s="163"/>
      <c r="G100" s="162"/>
      <c r="H100" s="167"/>
      <c r="I100" s="14" t="s">
        <v>105</v>
      </c>
      <c r="J100" s="29">
        <f ca="1">H96</f>
        <v>14</v>
      </c>
    </row>
    <row r="101" spans="1:10" ht="15.75" customHeight="1" x14ac:dyDescent="0.25">
      <c r="A101" s="91" t="s">
        <v>135</v>
      </c>
      <c r="B101" s="92"/>
      <c r="C101" s="44">
        <v>15</v>
      </c>
      <c r="D101" s="19">
        <f ca="1">((100/(D96+F96+H96))*C101)/100</f>
        <v>1</v>
      </c>
      <c r="E101" s="162"/>
      <c r="F101" s="163"/>
      <c r="G101" s="162"/>
      <c r="H101" s="167"/>
      <c r="I101" s="14" t="s">
        <v>106</v>
      </c>
      <c r="J101" s="30">
        <f ca="1">(IF(B96&gt;1,(H96/(B96+2)),H96/4))</f>
        <v>3.5</v>
      </c>
    </row>
    <row r="102" spans="1:10" ht="15.75" customHeight="1" x14ac:dyDescent="0.25">
      <c r="A102" s="91" t="s">
        <v>142</v>
      </c>
      <c r="B102" s="92" t="s">
        <v>136</v>
      </c>
      <c r="C102" s="44">
        <v>14</v>
      </c>
      <c r="D102" s="19">
        <f ca="1">((100/H96)*C102)/100</f>
        <v>1</v>
      </c>
      <c r="E102" s="162"/>
      <c r="F102" s="163"/>
      <c r="G102" s="162"/>
      <c r="H102" s="167"/>
      <c r="I102" s="14" t="s">
        <v>107</v>
      </c>
      <c r="J102" s="30">
        <f ca="1">(IF(B96&gt;1,(H96/(B96+2)+J101),H96/4+J101))</f>
        <v>7</v>
      </c>
    </row>
    <row r="103" spans="1:10" ht="15.75" customHeight="1" x14ac:dyDescent="0.25">
      <c r="A103" s="91" t="s">
        <v>143</v>
      </c>
      <c r="B103" s="92" t="s">
        <v>136</v>
      </c>
      <c r="C103" s="44">
        <v>12</v>
      </c>
      <c r="D103" s="19">
        <f ca="1">((100/H96)*C103)/100</f>
        <v>0.85714285714285721</v>
      </c>
      <c r="E103" s="162"/>
      <c r="F103" s="163"/>
      <c r="G103" s="162"/>
      <c r="H103" s="167"/>
      <c r="I103" s="14" t="s">
        <v>152</v>
      </c>
      <c r="J103" s="30">
        <f>(IF(B96&gt;1,(H96/(B96+2)+J102),0))</f>
        <v>0</v>
      </c>
    </row>
    <row r="104" spans="1:10" ht="15" customHeight="1" x14ac:dyDescent="0.25">
      <c r="A104" s="91" t="s">
        <v>141</v>
      </c>
      <c r="B104" s="92" t="s">
        <v>138</v>
      </c>
      <c r="C104" s="44">
        <v>6</v>
      </c>
      <c r="D104" s="19">
        <f ca="1">((100/(H96))*C104)/100</f>
        <v>0.4285714285714286</v>
      </c>
      <c r="E104" s="162"/>
      <c r="F104" s="163"/>
      <c r="G104" s="162"/>
      <c r="H104" s="167"/>
      <c r="I104" s="14" t="s">
        <v>149</v>
      </c>
      <c r="J104" s="30">
        <f>(IF(B96&gt;2,(H96/(B96+2)+J103),0))</f>
        <v>0</v>
      </c>
    </row>
    <row r="105" spans="1:10" ht="15.75" customHeight="1" x14ac:dyDescent="0.25">
      <c r="A105" s="91" t="s">
        <v>137</v>
      </c>
      <c r="B105" s="92" t="s">
        <v>137</v>
      </c>
      <c r="C105" s="44">
        <v>0</v>
      </c>
      <c r="D105" s="19">
        <f ca="1">((100/H96)*C105)/100</f>
        <v>0</v>
      </c>
      <c r="E105" s="162"/>
      <c r="F105" s="163"/>
      <c r="G105" s="162"/>
      <c r="H105" s="167"/>
      <c r="I105" s="14" t="s">
        <v>150</v>
      </c>
      <c r="J105" s="31">
        <f>(IF(B96&gt;3,(H96/(B96+2)+J104),0))</f>
        <v>0</v>
      </c>
    </row>
    <row r="106" spans="1:10" ht="15.75" customHeight="1" x14ac:dyDescent="0.25">
      <c r="A106" s="91" t="s">
        <v>144</v>
      </c>
      <c r="B106" s="92"/>
      <c r="C106" s="44">
        <v>0</v>
      </c>
      <c r="D106" s="19">
        <f ca="1">((100/H96)*C106)/100</f>
        <v>0</v>
      </c>
      <c r="E106" s="162"/>
      <c r="F106" s="163"/>
      <c r="G106" s="162"/>
      <c r="H106" s="167"/>
      <c r="I106" s="14" t="s">
        <v>151</v>
      </c>
      <c r="J106" s="30">
        <f>(IF(B96&gt;4,(H96/(B96+2)+J105),0))</f>
        <v>0</v>
      </c>
    </row>
    <row r="107" spans="1:10" ht="15.75" customHeight="1" x14ac:dyDescent="0.25">
      <c r="A107" s="91" t="s">
        <v>139</v>
      </c>
      <c r="B107" s="92" t="s">
        <v>139</v>
      </c>
      <c r="C107" s="44">
        <v>0</v>
      </c>
      <c r="D107" s="19">
        <f ca="1">((100/(H96))*C107)/100</f>
        <v>0</v>
      </c>
      <c r="E107" s="162"/>
      <c r="F107" s="163"/>
      <c r="G107" s="162"/>
      <c r="H107" s="167"/>
      <c r="I107" s="14" t="s">
        <v>153</v>
      </c>
      <c r="J107" s="30">
        <f ca="1">(IF(B96=1,(H96/(B96+3)+J102),IF(B96=0,(H96/4+J102),IF(B96&gt;1,0))))</f>
        <v>10.5</v>
      </c>
    </row>
    <row r="108" spans="1:10" ht="16.5" thickBot="1" x14ac:dyDescent="0.3">
      <c r="A108" s="95" t="s">
        <v>140</v>
      </c>
      <c r="B108" s="96"/>
      <c r="C108" s="45">
        <v>0</v>
      </c>
      <c r="D108" s="20">
        <f ca="1">((100/(H96))*C108)/100</f>
        <v>0</v>
      </c>
      <c r="E108" s="164"/>
      <c r="F108" s="165"/>
      <c r="G108" s="164"/>
      <c r="H108" s="168"/>
      <c r="I108" s="15" t="s">
        <v>108</v>
      </c>
      <c r="J108" s="32">
        <f ca="1">(IF(B96&gt;1.5,(H96/(B96+2)+J102+MAX(0,J103-J102)+MAX(0,J104-J103)+MAX(0,J105-J104)+MAX(0,J106-J105)+MAX(0,J107-J106)),IF(B96=1,(H96/(B96+3)+J107),IF(B96=0,H96/4+J107))))</f>
        <v>14</v>
      </c>
    </row>
    <row r="109" spans="1:10" x14ac:dyDescent="0.25">
      <c r="A109" s="179" t="s">
        <v>163</v>
      </c>
      <c r="B109" s="179"/>
      <c r="C109" s="179"/>
      <c r="D109" s="179"/>
      <c r="E109" s="179"/>
      <c r="F109" s="145" t="s">
        <v>168</v>
      </c>
      <c r="G109" s="145"/>
      <c r="H109" s="145"/>
    </row>
    <row r="110" spans="1:10" x14ac:dyDescent="0.25">
      <c r="A110" s="121" t="s">
        <v>166</v>
      </c>
      <c r="B110" s="121"/>
      <c r="C110" s="121"/>
      <c r="D110" s="121"/>
      <c r="E110" s="121"/>
      <c r="F110" s="93">
        <v>28000</v>
      </c>
      <c r="G110" s="93"/>
      <c r="H110" s="93"/>
      <c r="I110" s="21" t="s">
        <v>223</v>
      </c>
    </row>
    <row r="111" spans="1:10" hidden="1" x14ac:dyDescent="0.25">
      <c r="A111" s="121" t="s">
        <v>165</v>
      </c>
      <c r="B111" s="121"/>
      <c r="C111" s="121"/>
      <c r="D111" s="121"/>
      <c r="E111" s="121"/>
      <c r="F111" s="93"/>
      <c r="G111" s="93"/>
      <c r="H111" s="93"/>
    </row>
    <row r="112" spans="1:10" hidden="1" x14ac:dyDescent="0.25">
      <c r="A112" s="121" t="s">
        <v>167</v>
      </c>
      <c r="B112" s="121"/>
      <c r="C112" s="121"/>
      <c r="D112" s="121"/>
      <c r="E112" s="121"/>
      <c r="F112" s="93"/>
      <c r="G112" s="93"/>
      <c r="H112" s="93"/>
    </row>
    <row r="113" spans="1:8" s="33" customFormat="1" hidden="1" x14ac:dyDescent="0.25">
      <c r="A113" s="121" t="s">
        <v>164</v>
      </c>
      <c r="B113" s="121"/>
      <c r="C113" s="121"/>
      <c r="D113" s="121"/>
      <c r="E113" s="121"/>
      <c r="F113" s="93"/>
      <c r="G113" s="93"/>
      <c r="H113" s="93"/>
    </row>
    <row r="114" spans="1:8" s="33" customFormat="1" hidden="1" x14ac:dyDescent="0.25">
      <c r="A114" s="121" t="s">
        <v>98</v>
      </c>
      <c r="B114" s="121"/>
      <c r="C114" s="121"/>
      <c r="D114" s="121"/>
      <c r="E114" s="121"/>
      <c r="F114" s="93"/>
      <c r="G114" s="93"/>
      <c r="H114" s="93"/>
    </row>
    <row r="115" spans="1:8" s="33" customFormat="1" hidden="1" x14ac:dyDescent="0.25">
      <c r="A115" s="121" t="s">
        <v>99</v>
      </c>
      <c r="B115" s="121"/>
      <c r="C115" s="121"/>
      <c r="D115" s="121"/>
      <c r="E115" s="121"/>
      <c r="F115" s="93"/>
      <c r="G115" s="93"/>
      <c r="H115" s="93"/>
    </row>
    <row r="116" spans="1:8" s="33" customFormat="1" hidden="1" x14ac:dyDescent="0.25">
      <c r="A116" s="121" t="s">
        <v>169</v>
      </c>
      <c r="B116" s="121"/>
      <c r="C116" s="121"/>
      <c r="D116" s="121"/>
      <c r="E116" s="121"/>
      <c r="F116" s="93"/>
      <c r="G116" s="93"/>
      <c r="H116" s="93"/>
    </row>
    <row r="117" spans="1:8" s="33" customFormat="1" hidden="1" x14ac:dyDescent="0.25">
      <c r="A117" s="121" t="s">
        <v>100</v>
      </c>
      <c r="B117" s="121"/>
      <c r="C117" s="121"/>
      <c r="D117" s="121"/>
      <c r="E117" s="121"/>
      <c r="F117" s="93"/>
      <c r="G117" s="93"/>
      <c r="H117" s="93"/>
    </row>
    <row r="118" spans="1:8" s="33" customFormat="1" hidden="1" x14ac:dyDescent="0.25">
      <c r="A118" s="121" t="s">
        <v>101</v>
      </c>
      <c r="B118" s="121"/>
      <c r="C118" s="121"/>
      <c r="D118" s="121"/>
      <c r="E118" s="121"/>
      <c r="F118" s="93"/>
      <c r="G118" s="93"/>
      <c r="H118" s="93"/>
    </row>
    <row r="119" spans="1:8" s="33" customFormat="1" hidden="1" x14ac:dyDescent="0.25">
      <c r="A119" s="121" t="s">
        <v>102</v>
      </c>
      <c r="B119" s="121"/>
      <c r="C119" s="121"/>
      <c r="D119" s="121"/>
      <c r="E119" s="121"/>
      <c r="F119" s="93"/>
      <c r="G119" s="93"/>
      <c r="H119" s="93"/>
    </row>
    <row r="120" spans="1:8" s="33" customFormat="1" hidden="1" x14ac:dyDescent="0.25">
      <c r="A120" s="121" t="s">
        <v>103</v>
      </c>
      <c r="B120" s="121"/>
      <c r="C120" s="121"/>
      <c r="D120" s="121"/>
      <c r="E120" s="121"/>
      <c r="F120" s="93"/>
      <c r="G120" s="93"/>
      <c r="H120" s="93"/>
    </row>
    <row r="121" spans="1:8" x14ac:dyDescent="0.25">
      <c r="A121" s="121" t="s">
        <v>52</v>
      </c>
      <c r="B121" s="121"/>
      <c r="C121" s="121"/>
      <c r="D121" s="121"/>
      <c r="E121" s="121"/>
      <c r="F121" s="93">
        <v>1200000</v>
      </c>
      <c r="G121" s="93"/>
      <c r="H121" s="93"/>
    </row>
    <row r="122" spans="1:8" s="34" customFormat="1" x14ac:dyDescent="0.25">
      <c r="A122" s="144" t="s">
        <v>53</v>
      </c>
      <c r="B122" s="144"/>
      <c r="C122" s="144"/>
      <c r="D122" s="144"/>
      <c r="E122" s="144"/>
      <c r="F122" s="93">
        <f>F110*0.8</f>
        <v>22400</v>
      </c>
      <c r="G122" s="93"/>
      <c r="H122" s="93"/>
    </row>
    <row r="123" spans="1:8" s="35" customFormat="1" ht="15.75" hidden="1" customHeight="1" x14ac:dyDescent="0.25">
      <c r="A123" s="143" t="s">
        <v>78</v>
      </c>
      <c r="B123" s="143"/>
      <c r="C123" s="143"/>
      <c r="D123" s="143"/>
      <c r="E123" s="143"/>
      <c r="F123" s="143"/>
      <c r="G123" s="143"/>
      <c r="H123" s="143"/>
    </row>
    <row r="124" spans="1:8" s="35" customFormat="1" ht="15.75" hidden="1" customHeight="1" x14ac:dyDescent="0.25">
      <c r="A124" s="79" t="s">
        <v>54</v>
      </c>
      <c r="B124" s="79"/>
      <c r="C124" s="126" t="s">
        <v>81</v>
      </c>
      <c r="D124" s="126"/>
      <c r="E124" s="122" t="s">
        <v>55</v>
      </c>
      <c r="F124" s="122"/>
      <c r="G124" s="79" t="s">
        <v>56</v>
      </c>
      <c r="H124" s="79"/>
    </row>
    <row r="125" spans="1:8" s="35" customFormat="1" hidden="1" x14ac:dyDescent="0.25">
      <c r="A125" s="132"/>
      <c r="B125" s="132"/>
      <c r="C125" s="128"/>
      <c r="D125" s="128"/>
      <c r="E125" s="129"/>
      <c r="F125" s="129"/>
      <c r="G125" s="94"/>
      <c r="H125" s="94"/>
    </row>
    <row r="126" spans="1:8" s="35" customFormat="1" hidden="1" x14ac:dyDescent="0.25">
      <c r="A126" s="132"/>
      <c r="B126" s="132"/>
      <c r="C126" s="128"/>
      <c r="D126" s="128"/>
      <c r="E126" s="129"/>
      <c r="F126" s="129"/>
      <c r="G126" s="94"/>
      <c r="H126" s="94"/>
    </row>
    <row r="127" spans="1:8" s="35" customFormat="1" hidden="1" x14ac:dyDescent="0.25">
      <c r="A127" s="143" t="s">
        <v>156</v>
      </c>
      <c r="B127" s="143"/>
      <c r="C127" s="126"/>
      <c r="D127" s="126"/>
      <c r="E127" s="122"/>
      <c r="F127" s="122"/>
      <c r="G127" s="79"/>
      <c r="H127" s="79"/>
    </row>
    <row r="128" spans="1:8" s="35" customFormat="1" x14ac:dyDescent="0.25">
      <c r="A128" s="143" t="s">
        <v>72</v>
      </c>
      <c r="B128" s="143"/>
      <c r="C128" s="143"/>
      <c r="D128" s="143"/>
      <c r="E128" s="143"/>
      <c r="F128" s="143"/>
      <c r="G128" s="143"/>
      <c r="H128" s="143"/>
    </row>
    <row r="129" spans="1:14" s="35" customFormat="1" ht="15.75" customHeight="1" x14ac:dyDescent="0.25">
      <c r="A129" s="79" t="s">
        <v>54</v>
      </c>
      <c r="B129" s="79"/>
      <c r="C129" s="126" t="s">
        <v>81</v>
      </c>
      <c r="D129" s="126"/>
      <c r="E129" s="122" t="s">
        <v>55</v>
      </c>
      <c r="F129" s="122"/>
      <c r="G129" s="79" t="s">
        <v>56</v>
      </c>
      <c r="H129" s="79"/>
    </row>
    <row r="130" spans="1:14" s="35" customFormat="1" x14ac:dyDescent="0.25">
      <c r="A130" s="132" t="s">
        <v>199</v>
      </c>
      <c r="B130" s="132"/>
      <c r="C130" s="82">
        <f>COUNT(D154:D156)+COUNT(D158:D160)*12+COUNT(D163:D164)</f>
        <v>41</v>
      </c>
      <c r="D130" s="82"/>
      <c r="E130" s="82">
        <f>SUM(D154:D156)+SUM(D158:D160)*12+SUM(D163:D164)</f>
        <v>26274.17052</v>
      </c>
      <c r="F130" s="82"/>
      <c r="G130" s="82">
        <f>SUM(F154:F156)+SUM(F158:F160)*12+SUM(F163:F164)</f>
        <v>40724.964306000002</v>
      </c>
      <c r="H130" s="82"/>
      <c r="K130" s="35">
        <v>42</v>
      </c>
      <c r="L130" s="35">
        <v>41</v>
      </c>
    </row>
    <row r="131" spans="1:14" s="35" customFormat="1" x14ac:dyDescent="0.25">
      <c r="A131" s="132" t="s">
        <v>201</v>
      </c>
      <c r="B131" s="132"/>
      <c r="C131" s="82">
        <f>COUNT(D168:D170)+COUNT(D172:D174)*12+COUNT(D177:D178)</f>
        <v>41</v>
      </c>
      <c r="D131" s="82"/>
      <c r="E131" s="82">
        <f>SUM(D168:D170)+SUM(D172:D174)*12+SUM(D177:D178)</f>
        <v>26416.578239999999</v>
      </c>
      <c r="F131" s="82"/>
      <c r="G131" s="82">
        <f>SUM(F168:F170)+SUM(F172:F174)*12+SUM(F177:F178)</f>
        <v>40945.696271999994</v>
      </c>
      <c r="H131" s="82"/>
      <c r="K131" s="35">
        <f>14*3</f>
        <v>42</v>
      </c>
      <c r="L131" s="35">
        <v>41</v>
      </c>
    </row>
    <row r="132" spans="1:14" s="35" customFormat="1" x14ac:dyDescent="0.25">
      <c r="A132" s="132" t="s">
        <v>202</v>
      </c>
      <c r="B132" s="132"/>
      <c r="C132" s="82">
        <f>COUNT(D182:D183)+COUNT(D187:D190)*12+COUNT(D193:D195)</f>
        <v>53</v>
      </c>
      <c r="D132" s="82"/>
      <c r="E132" s="82">
        <f>SUM(D182:D183)+SUM(D187:D190)*12+SUM(D193:D195)</f>
        <v>31902.343199999996</v>
      </c>
      <c r="F132" s="82"/>
      <c r="G132" s="82">
        <f>SUM(F182:F183)+SUM(F187:F190)*12+SUM(F193:F195)</f>
        <v>49448.631959999999</v>
      </c>
      <c r="H132" s="82"/>
      <c r="K132" s="35">
        <f>4*9</f>
        <v>36</v>
      </c>
      <c r="L132" s="35">
        <v>34</v>
      </c>
    </row>
    <row r="133" spans="1:14" s="35" customFormat="1" x14ac:dyDescent="0.25">
      <c r="A133" s="132" t="s">
        <v>205</v>
      </c>
      <c r="B133" s="132"/>
      <c r="C133" s="82">
        <f>COUNT(D200)+COUNT(D203:D205)*12+COUNT(D207,D209)</f>
        <v>39</v>
      </c>
      <c r="D133" s="82"/>
      <c r="E133" s="82">
        <f>SUM(D200)+SUM(D203:D205)*12+SUM(D207,D209)</f>
        <v>23131.276271999996</v>
      </c>
      <c r="F133" s="82"/>
      <c r="G133" s="82">
        <f>SUM(F200)+SUM(F203:F205)*12+SUM(F207,F209)</f>
        <v>35853.478221600009</v>
      </c>
      <c r="H133" s="82"/>
      <c r="K133" s="35">
        <f>3*9-4</f>
        <v>23</v>
      </c>
      <c r="L133" s="35">
        <v>23</v>
      </c>
    </row>
    <row r="134" spans="1:14" s="35" customFormat="1" x14ac:dyDescent="0.25">
      <c r="A134" s="132" t="s">
        <v>208</v>
      </c>
      <c r="B134" s="132"/>
      <c r="C134" s="82">
        <f>COUNT(D213:D215)+COUNT(D217:D219)*12+COUNT(D222:D223)</f>
        <v>41</v>
      </c>
      <c r="D134" s="82"/>
      <c r="E134" s="82">
        <f>SUM(D213:D215)+SUM(D217:D219)*12+SUM(D222:D223)</f>
        <v>32429.671559999999</v>
      </c>
      <c r="F134" s="82"/>
      <c r="G134" s="82">
        <f>SUM(F213:F215)+SUM(F217:F219)*12+SUM(F222:F223)</f>
        <v>50265.990917999989</v>
      </c>
      <c r="H134" s="82"/>
      <c r="K134" s="35">
        <f>3*8</f>
        <v>24</v>
      </c>
      <c r="L134" s="35">
        <v>23</v>
      </c>
    </row>
    <row r="135" spans="1:14" s="35" customFormat="1" ht="16.5" thickBot="1" x14ac:dyDescent="0.3">
      <c r="A135" s="180" t="s">
        <v>156</v>
      </c>
      <c r="B135" s="180"/>
      <c r="C135" s="130">
        <f>SUM(C130:C134)</f>
        <v>215</v>
      </c>
      <c r="D135" s="131"/>
      <c r="E135" s="181">
        <f>SUM(E130:E134)</f>
        <v>140154.03979199997</v>
      </c>
      <c r="F135" s="182"/>
      <c r="G135" s="178">
        <f>SUM(G130:G134)</f>
        <v>217238.76167759998</v>
      </c>
      <c r="H135" s="178"/>
    </row>
    <row r="136" spans="1:14" s="35" customFormat="1" ht="16.5" thickBot="1" x14ac:dyDescent="0.3">
      <c r="A136" s="133" t="s">
        <v>175</v>
      </c>
      <c r="B136" s="134"/>
      <c r="C136" s="135">
        <f>C127+C135</f>
        <v>215</v>
      </c>
      <c r="D136" s="136"/>
      <c r="E136" s="137">
        <f>E127+E135</f>
        <v>140154.03979199997</v>
      </c>
      <c r="F136" s="137"/>
      <c r="G136" s="138">
        <f>G127+G135</f>
        <v>217238.76167759998</v>
      </c>
      <c r="H136" s="139"/>
    </row>
    <row r="137" spans="1:14" s="34" customFormat="1" x14ac:dyDescent="0.25">
      <c r="A137" s="145" t="s">
        <v>57</v>
      </c>
      <c r="B137" s="145"/>
      <c r="C137" s="145"/>
      <c r="D137" s="145"/>
      <c r="E137" s="145"/>
      <c r="F137" s="145"/>
      <c r="G137" s="145"/>
      <c r="H137" s="145"/>
    </row>
    <row r="138" spans="1:14" x14ac:dyDescent="0.25">
      <c r="A138" s="127" t="s">
        <v>58</v>
      </c>
      <c r="B138" s="127"/>
      <c r="C138" s="127"/>
      <c r="D138" s="127"/>
      <c r="E138" s="127"/>
      <c r="F138" s="127"/>
      <c r="G138" s="127"/>
      <c r="H138" s="127"/>
    </row>
    <row r="139" spans="1:14" ht="47.25" hidden="1" customHeight="1" x14ac:dyDescent="0.25">
      <c r="A139" s="105" t="s">
        <v>125</v>
      </c>
      <c r="B139" s="105" t="s">
        <v>124</v>
      </c>
      <c r="C139" s="105" t="s">
        <v>59</v>
      </c>
      <c r="D139" s="105" t="s">
        <v>60</v>
      </c>
      <c r="E139" s="107" t="s">
        <v>162</v>
      </c>
      <c r="F139" s="43" t="s">
        <v>155</v>
      </c>
      <c r="G139" s="109" t="s">
        <v>62</v>
      </c>
      <c r="H139" s="110"/>
    </row>
    <row r="140" spans="1:14" s="37" customFormat="1" hidden="1" x14ac:dyDescent="0.25">
      <c r="A140" s="106"/>
      <c r="B140" s="106"/>
      <c r="C140" s="106"/>
      <c r="D140" s="106"/>
      <c r="E140" s="108"/>
      <c r="F140" s="13">
        <v>0.6</v>
      </c>
      <c r="G140" s="111"/>
      <c r="H140" s="112"/>
    </row>
    <row r="141" spans="1:14" s="37" customFormat="1" hidden="1" x14ac:dyDescent="0.25">
      <c r="A141" s="113" t="s">
        <v>123</v>
      </c>
      <c r="B141" s="114"/>
      <c r="C141" s="114"/>
      <c r="D141" s="114"/>
      <c r="E141" s="114"/>
      <c r="F141" s="114"/>
      <c r="G141" s="114"/>
      <c r="H141" s="115"/>
      <c r="J141" s="36"/>
    </row>
    <row r="142" spans="1:14" s="37" customFormat="1" hidden="1" x14ac:dyDescent="0.25">
      <c r="A142" s="80">
        <v>1</v>
      </c>
      <c r="B142" s="81"/>
      <c r="C142" s="42"/>
      <c r="D142" s="42"/>
      <c r="E142" s="42">
        <v>0</v>
      </c>
      <c r="F142" s="42">
        <f>(D142+E142)*(($F$140)+1)</f>
        <v>0</v>
      </c>
      <c r="G142" s="80" t="str">
        <f>A141</f>
        <v>Ground Floor</v>
      </c>
      <c r="H142" s="81"/>
      <c r="I142" s="36"/>
      <c r="L142" s="177"/>
      <c r="M142" s="177"/>
      <c r="N142" s="36"/>
    </row>
    <row r="143" spans="1:14" s="37" customFormat="1" hidden="1" x14ac:dyDescent="0.25">
      <c r="A143" s="80">
        <f t="shared" ref="A143:A145" si="0">A142+1</f>
        <v>2</v>
      </c>
      <c r="B143" s="81"/>
      <c r="C143" s="42"/>
      <c r="D143" s="42"/>
      <c r="E143" s="42">
        <v>0</v>
      </c>
      <c r="F143" s="42">
        <f t="shared" ref="F143:F145" si="1">(D143+E143)*(($F$140)+1)</f>
        <v>0</v>
      </c>
      <c r="G143" s="80" t="str">
        <f t="shared" ref="G143:G145" si="2">G142</f>
        <v>Ground Floor</v>
      </c>
      <c r="H143" s="81"/>
      <c r="I143" s="36"/>
      <c r="L143" s="177"/>
      <c r="M143" s="177"/>
      <c r="N143" s="36"/>
    </row>
    <row r="144" spans="1:14" s="37" customFormat="1" hidden="1" x14ac:dyDescent="0.25">
      <c r="A144" s="80">
        <f t="shared" si="0"/>
        <v>3</v>
      </c>
      <c r="B144" s="81"/>
      <c r="C144" s="42"/>
      <c r="D144" s="42"/>
      <c r="E144" s="42">
        <v>0</v>
      </c>
      <c r="F144" s="42">
        <f t="shared" si="1"/>
        <v>0</v>
      </c>
      <c r="G144" s="80" t="str">
        <f t="shared" si="2"/>
        <v>Ground Floor</v>
      </c>
      <c r="H144" s="81"/>
      <c r="I144" s="36"/>
      <c r="L144" s="177"/>
      <c r="M144" s="177"/>
      <c r="N144" s="36"/>
    </row>
    <row r="145" spans="1:14" s="37" customFormat="1" hidden="1" x14ac:dyDescent="0.25">
      <c r="A145" s="80">
        <f t="shared" si="0"/>
        <v>4</v>
      </c>
      <c r="B145" s="81"/>
      <c r="C145" s="42"/>
      <c r="D145" s="42"/>
      <c r="E145" s="42">
        <v>0</v>
      </c>
      <c r="F145" s="42">
        <f t="shared" si="1"/>
        <v>0</v>
      </c>
      <c r="G145" s="80" t="str">
        <f t="shared" si="2"/>
        <v>Ground Floor</v>
      </c>
      <c r="H145" s="81"/>
      <c r="I145" s="36"/>
      <c r="L145" s="177"/>
      <c r="M145" s="177"/>
      <c r="N145" s="36"/>
    </row>
    <row r="146" spans="1:14" s="37" customFormat="1" hidden="1" x14ac:dyDescent="0.25">
      <c r="A146" s="80"/>
      <c r="B146" s="97"/>
      <c r="C146" s="97"/>
      <c r="D146" s="97"/>
      <c r="E146" s="97"/>
      <c r="F146" s="97"/>
      <c r="G146" s="97"/>
      <c r="H146" s="81"/>
      <c r="I146" s="36"/>
      <c r="N146" s="36"/>
    </row>
    <row r="147" spans="1:14" ht="47.25" customHeight="1" x14ac:dyDescent="0.25">
      <c r="A147" s="109" t="s">
        <v>126</v>
      </c>
      <c r="B147" s="109" t="s">
        <v>127</v>
      </c>
      <c r="C147" s="105" t="s">
        <v>59</v>
      </c>
      <c r="D147" s="105" t="s">
        <v>60</v>
      </c>
      <c r="E147" s="107" t="s">
        <v>61</v>
      </c>
      <c r="F147" s="43" t="s">
        <v>155</v>
      </c>
      <c r="G147" s="109" t="s">
        <v>62</v>
      </c>
      <c r="H147" s="110"/>
      <c r="I147" s="36"/>
    </row>
    <row r="148" spans="1:14" s="37" customFormat="1" x14ac:dyDescent="0.25">
      <c r="A148" s="111"/>
      <c r="B148" s="111"/>
      <c r="C148" s="106"/>
      <c r="D148" s="106"/>
      <c r="E148" s="108"/>
      <c r="F148" s="13">
        <v>0.55000000000000004</v>
      </c>
      <c r="G148" s="111"/>
      <c r="H148" s="112"/>
      <c r="I148" s="36"/>
    </row>
    <row r="149" spans="1:14" s="37" customFormat="1" x14ac:dyDescent="0.25">
      <c r="A149" s="113" t="s">
        <v>199</v>
      </c>
      <c r="B149" s="114"/>
      <c r="C149" s="114"/>
      <c r="D149" s="114"/>
      <c r="E149" s="114"/>
      <c r="F149" s="114"/>
      <c r="G149" s="114"/>
      <c r="H149" s="115"/>
      <c r="J149" s="36"/>
    </row>
    <row r="150" spans="1:14" s="37" customFormat="1" hidden="1" x14ac:dyDescent="0.25">
      <c r="A150" s="113" t="s">
        <v>196</v>
      </c>
      <c r="B150" s="114"/>
      <c r="C150" s="114"/>
      <c r="D150" s="114"/>
      <c r="E150" s="114"/>
      <c r="F150" s="114"/>
      <c r="G150" s="114"/>
      <c r="H150" s="115"/>
      <c r="J150" s="36"/>
    </row>
    <row r="151" spans="1:14" s="37" customFormat="1" x14ac:dyDescent="0.25">
      <c r="A151" s="113" t="s">
        <v>221</v>
      </c>
      <c r="B151" s="114"/>
      <c r="C151" s="114"/>
      <c r="D151" s="114"/>
      <c r="E151" s="114"/>
      <c r="F151" s="114"/>
      <c r="G151" s="114"/>
      <c r="H151" s="115"/>
      <c r="J151" s="36"/>
    </row>
    <row r="152" spans="1:14" s="37" customFormat="1" hidden="1" x14ac:dyDescent="0.25">
      <c r="A152" s="113" t="s">
        <v>197</v>
      </c>
      <c r="B152" s="114"/>
      <c r="C152" s="114"/>
      <c r="D152" s="114"/>
      <c r="E152" s="114"/>
      <c r="F152" s="114"/>
      <c r="G152" s="114"/>
      <c r="H152" s="115"/>
      <c r="J152" s="36"/>
      <c r="K152" s="55">
        <v>10.763999999999999</v>
      </c>
    </row>
    <row r="153" spans="1:14" s="37" customFormat="1" x14ac:dyDescent="0.25">
      <c r="A153" s="113" t="s">
        <v>198</v>
      </c>
      <c r="B153" s="114"/>
      <c r="C153" s="114"/>
      <c r="D153" s="114"/>
      <c r="E153" s="114"/>
      <c r="F153" s="114"/>
      <c r="G153" s="114"/>
      <c r="H153" s="115"/>
      <c r="J153" s="36"/>
    </row>
    <row r="154" spans="1:14" s="37" customFormat="1" x14ac:dyDescent="0.25">
      <c r="A154" s="80">
        <v>1</v>
      </c>
      <c r="B154" s="81"/>
      <c r="C154" s="42" t="s">
        <v>200</v>
      </c>
      <c r="D154" s="55">
        <f>(59.61)*10.764</f>
        <v>641.64203999999995</v>
      </c>
      <c r="E154" s="42">
        <v>0</v>
      </c>
      <c r="F154" s="42">
        <f>D154*(($F$148)+1)+(IF(E154&lt;101,E154,IF(E154&lt;201,E154/2,IF(E154&lt;=301,E154/3,E154/4))))</f>
        <v>994.545162</v>
      </c>
      <c r="G154" s="80" t="str">
        <f>A153</f>
        <v>1st Floor For Residential</v>
      </c>
      <c r="H154" s="81"/>
      <c r="I154" s="36">
        <f>3.05*5.35+1.7*3.3+2.3*3.05+3.05*3.05+3.19*3.3+0.9*1+1.2*2.15+1.2*2.15+1.65*1</f>
        <v>56.481999999999985</v>
      </c>
      <c r="J154" s="37">
        <f>0.15*1.05+5.35*8.7+1.15*5.5+3.3*2.1</f>
        <v>59.957499999999989</v>
      </c>
      <c r="L154" s="177">
        <f>22500000/F154</f>
        <v>22623.407020303821</v>
      </c>
      <c r="M154" s="177"/>
      <c r="N154" s="36"/>
    </row>
    <row r="155" spans="1:14" s="37" customFormat="1" x14ac:dyDescent="0.25">
      <c r="A155" s="80">
        <f t="shared" ref="A155:A156" si="3">A154+1</f>
        <v>2</v>
      </c>
      <c r="B155" s="81"/>
      <c r="C155" s="42" t="s">
        <v>200</v>
      </c>
      <c r="D155" s="55">
        <f>(59.63)*10.764</f>
        <v>641.85731999999996</v>
      </c>
      <c r="E155" s="42">
        <v>0</v>
      </c>
      <c r="F155" s="42">
        <f>D155*(($F$148)+1)+(IF(E155&lt;101,E155,IF(E155&lt;201,E155/2,IF(E155&lt;=301,E155/3,E155/4))))</f>
        <v>994.87884599999995</v>
      </c>
      <c r="G155" s="80" t="str">
        <f t="shared" ref="G155:G156" si="4">G154</f>
        <v>1st Floor For Residential</v>
      </c>
      <c r="H155" s="81"/>
      <c r="I155" s="36">
        <f>5.35*3.05+3.3*1.7+3.05*2.3+3.05*3.05+3.3*3.2+2.15*1.2+2.15*1.2+1*1.65</f>
        <v>55.614999999999988</v>
      </c>
      <c r="K155" s="37">
        <f>22000000/F154</f>
        <v>22120.664642074848</v>
      </c>
      <c r="L155" s="177"/>
      <c r="M155" s="177"/>
      <c r="N155" s="36"/>
    </row>
    <row r="156" spans="1:14" s="37" customFormat="1" x14ac:dyDescent="0.25">
      <c r="A156" s="80">
        <f t="shared" si="3"/>
        <v>3</v>
      </c>
      <c r="B156" s="81"/>
      <c r="C156" s="42" t="s">
        <v>200</v>
      </c>
      <c r="D156" s="55">
        <f>(59.37)*10.764</f>
        <v>639.05867999999998</v>
      </c>
      <c r="E156" s="42">
        <v>0</v>
      </c>
      <c r="F156" s="42">
        <f>D156*(($F$148)+1)+(IF(E156&lt;101,E156,IF(E156&lt;201,E156/2,IF(E156&lt;=301,E156/3,E156/4))))</f>
        <v>990.54095399999994</v>
      </c>
      <c r="G156" s="80" t="str">
        <f t="shared" si="4"/>
        <v>1st Floor For Residential</v>
      </c>
      <c r="H156" s="81"/>
      <c r="I156" s="36">
        <f>5.35*3.05+3.3*1.7+3.05*2.3+3.05*3.05+3.3*3.2+1.2*2.15+1.2*2.15+1*1.65</f>
        <v>55.614999999999988</v>
      </c>
      <c r="J156" s="37">
        <f>3.3*2.1+5.35*7.65+1.15*5.5+5.5*1.05</f>
        <v>59.957500000000003</v>
      </c>
      <c r="L156" s="177">
        <f>40000/1.55</f>
        <v>25806.451612903224</v>
      </c>
      <c r="M156" s="177"/>
      <c r="N156" s="36"/>
    </row>
    <row r="157" spans="1:14" s="37" customFormat="1" x14ac:dyDescent="0.25">
      <c r="A157" s="116" t="s">
        <v>234</v>
      </c>
      <c r="B157" s="117"/>
      <c r="C157" s="117"/>
      <c r="D157" s="117"/>
      <c r="E157" s="117"/>
      <c r="F157" s="117"/>
      <c r="G157" s="117"/>
      <c r="H157" s="118"/>
      <c r="J157" s="36"/>
    </row>
    <row r="158" spans="1:14" s="37" customFormat="1" x14ac:dyDescent="0.25">
      <c r="A158" s="119">
        <v>1</v>
      </c>
      <c r="B158" s="120"/>
      <c r="C158" s="59" t="s">
        <v>200</v>
      </c>
      <c r="D158" s="60">
        <f>(59.61)*10.764</f>
        <v>641.64203999999995</v>
      </c>
      <c r="E158" s="59">
        <v>0</v>
      </c>
      <c r="F158" s="59">
        <f>D158*(($F$148)+1)+(IF(E158&lt;101,E158,IF(E158&lt;201,E158/2,IF(E158&lt;=301,E158/3,E158/4))))</f>
        <v>994.545162</v>
      </c>
      <c r="G158" s="119" t="str">
        <f>A157</f>
        <v>2nd to 6th &amp; 8th to 14th Floor</v>
      </c>
      <c r="H158" s="120"/>
      <c r="I158" s="36"/>
      <c r="J158" s="37">
        <f>26700000/F158</f>
        <v>26846.442997427199</v>
      </c>
      <c r="L158" s="177"/>
      <c r="M158" s="177"/>
      <c r="N158" s="36"/>
    </row>
    <row r="159" spans="1:14" s="37" customFormat="1" x14ac:dyDescent="0.25">
      <c r="A159" s="119">
        <f t="shared" ref="A159:A160" si="5">A158+1</f>
        <v>2</v>
      </c>
      <c r="B159" s="120"/>
      <c r="C159" s="59" t="s">
        <v>200</v>
      </c>
      <c r="D159" s="60">
        <f>(59.63)*10.764</f>
        <v>641.85731999999996</v>
      </c>
      <c r="E159" s="59">
        <v>0</v>
      </c>
      <c r="F159" s="59">
        <f>D159*(($F$148)+1)+(IF(E159&lt;101,E159,IF(E159&lt;201,E159/2,IF(E159&lt;=301,E159/3,E159/4))))</f>
        <v>994.87884599999995</v>
      </c>
      <c r="G159" s="119" t="str">
        <f t="shared" ref="G159:G160" si="6">G158</f>
        <v>2nd to 6th &amp; 8th to 14th Floor</v>
      </c>
      <c r="H159" s="120"/>
      <c r="I159" s="36"/>
      <c r="L159" s="177"/>
      <c r="M159" s="177"/>
      <c r="N159" s="36"/>
    </row>
    <row r="160" spans="1:14" s="37" customFormat="1" x14ac:dyDescent="0.25">
      <c r="A160" s="119">
        <f t="shared" si="5"/>
        <v>3</v>
      </c>
      <c r="B160" s="120"/>
      <c r="C160" s="59" t="s">
        <v>200</v>
      </c>
      <c r="D160" s="60">
        <f>(59.37)*10.764</f>
        <v>639.05867999999998</v>
      </c>
      <c r="E160" s="59">
        <v>0</v>
      </c>
      <c r="F160" s="59">
        <f>D160*(($F$148)+1)+(IF(E160&lt;101,E160,IF(E160&lt;201,E160/2,IF(E160&lt;=301,E160/3,E160/4))))</f>
        <v>990.54095399999994</v>
      </c>
      <c r="G160" s="119" t="str">
        <f t="shared" si="6"/>
        <v>2nd to 6th &amp; 8th to 14th Floor</v>
      </c>
      <c r="H160" s="120"/>
      <c r="I160" s="36"/>
      <c r="L160" s="177"/>
      <c r="M160" s="177"/>
      <c r="N160" s="36"/>
    </row>
    <row r="161" spans="1:14" s="37" customFormat="1" x14ac:dyDescent="0.25">
      <c r="A161" s="113" t="s">
        <v>210</v>
      </c>
      <c r="B161" s="114"/>
      <c r="C161" s="114"/>
      <c r="D161" s="114"/>
      <c r="E161" s="114"/>
      <c r="F161" s="114"/>
      <c r="G161" s="114"/>
      <c r="H161" s="115"/>
      <c r="J161" s="36"/>
    </row>
    <row r="162" spans="1:14" s="37" customFormat="1" x14ac:dyDescent="0.25">
      <c r="A162" s="80">
        <v>1</v>
      </c>
      <c r="B162" s="81"/>
      <c r="C162" s="80" t="s">
        <v>211</v>
      </c>
      <c r="D162" s="97"/>
      <c r="E162" s="97"/>
      <c r="F162" s="81"/>
      <c r="G162" s="80" t="str">
        <f>A161</f>
        <v>7th Floor (Part Refuge Area)</v>
      </c>
      <c r="H162" s="81"/>
      <c r="I162" s="36"/>
      <c r="L162" s="177"/>
      <c r="M162" s="177"/>
      <c r="N162" s="36"/>
    </row>
    <row r="163" spans="1:14" s="37" customFormat="1" x14ac:dyDescent="0.25">
      <c r="A163" s="80">
        <f t="shared" ref="A163:A164" si="7">A162+1</f>
        <v>2</v>
      </c>
      <c r="B163" s="81"/>
      <c r="C163" s="42" t="s">
        <v>200</v>
      </c>
      <c r="D163" s="60">
        <f>(59.63)*10.764</f>
        <v>641.85731999999996</v>
      </c>
      <c r="E163" s="42">
        <v>0</v>
      </c>
      <c r="F163" s="42">
        <f>D163*(($F$148)+1)+(IF(E163&lt;101,E163,IF(E163&lt;201,E163/2,IF(E163&lt;=301,E163/3,E163/4))))</f>
        <v>994.87884599999995</v>
      </c>
      <c r="G163" s="80" t="str">
        <f t="shared" ref="G163:G164" si="8">G162</f>
        <v>7th Floor (Part Refuge Area)</v>
      </c>
      <c r="H163" s="81"/>
      <c r="I163" s="36"/>
      <c r="L163" s="177"/>
      <c r="M163" s="177"/>
      <c r="N163" s="36"/>
    </row>
    <row r="164" spans="1:14" s="37" customFormat="1" x14ac:dyDescent="0.25">
      <c r="A164" s="80">
        <f t="shared" si="7"/>
        <v>3</v>
      </c>
      <c r="B164" s="81"/>
      <c r="C164" s="42" t="s">
        <v>200</v>
      </c>
      <c r="D164" s="60">
        <f>(59.37)*10.764</f>
        <v>639.05867999999998</v>
      </c>
      <c r="E164" s="42">
        <v>0</v>
      </c>
      <c r="F164" s="42">
        <f>D164*(($F$148)+1)+(IF(E164&lt;101,E164,IF(E164&lt;201,E164/2,IF(E164&lt;=301,E164/3,E164/4))))</f>
        <v>990.54095399999994</v>
      </c>
      <c r="G164" s="80" t="str">
        <f t="shared" si="8"/>
        <v>7th Floor (Part Refuge Area)</v>
      </c>
      <c r="H164" s="81"/>
      <c r="I164" s="36"/>
      <c r="L164" s="177"/>
      <c r="M164" s="177"/>
      <c r="N164" s="36"/>
    </row>
    <row r="165" spans="1:14" s="37" customFormat="1" x14ac:dyDescent="0.25">
      <c r="A165" s="113" t="s">
        <v>201</v>
      </c>
      <c r="B165" s="114"/>
      <c r="C165" s="114"/>
      <c r="D165" s="114"/>
      <c r="E165" s="114"/>
      <c r="F165" s="114"/>
      <c r="G165" s="114"/>
      <c r="H165" s="115"/>
      <c r="J165" s="36"/>
    </row>
    <row r="166" spans="1:14" s="37" customFormat="1" x14ac:dyDescent="0.25">
      <c r="A166" s="113" t="s">
        <v>221</v>
      </c>
      <c r="B166" s="114"/>
      <c r="C166" s="114"/>
      <c r="D166" s="114"/>
      <c r="E166" s="114"/>
      <c r="F166" s="114"/>
      <c r="G166" s="114"/>
      <c r="H166" s="115"/>
      <c r="J166" s="36"/>
    </row>
    <row r="167" spans="1:14" s="37" customFormat="1" x14ac:dyDescent="0.25">
      <c r="A167" s="113" t="s">
        <v>198</v>
      </c>
      <c r="B167" s="114"/>
      <c r="C167" s="114"/>
      <c r="D167" s="114"/>
      <c r="E167" s="114"/>
      <c r="F167" s="114"/>
      <c r="G167" s="114"/>
      <c r="H167" s="115"/>
      <c r="J167" s="36"/>
    </row>
    <row r="168" spans="1:14" s="37" customFormat="1" x14ac:dyDescent="0.25">
      <c r="A168" s="80">
        <v>1</v>
      </c>
      <c r="B168" s="81"/>
      <c r="C168" s="42" t="s">
        <v>200</v>
      </c>
      <c r="D168" s="55">
        <f>(59.96)*10.764</f>
        <v>645.40944000000002</v>
      </c>
      <c r="E168" s="42">
        <v>0</v>
      </c>
      <c r="F168" s="42">
        <f>D168*(($F$148)+1)+(IF(E168&lt;101,E168,IF(E168&lt;201,E168/2,IF(E168&lt;=301,E168/3,E168/4))))</f>
        <v>1000.384632</v>
      </c>
      <c r="G168" s="80" t="str">
        <f>A167</f>
        <v>1st Floor For Residential</v>
      </c>
      <c r="H168" s="81"/>
      <c r="I168" s="36"/>
      <c r="L168" s="177"/>
      <c r="M168" s="177"/>
      <c r="N168" s="36"/>
    </row>
    <row r="169" spans="1:14" s="37" customFormat="1" x14ac:dyDescent="0.25">
      <c r="A169" s="80">
        <f t="shared" ref="A169:A170" si="9">A168+1</f>
        <v>2</v>
      </c>
      <c r="B169" s="81"/>
      <c r="C169" s="42" t="s">
        <v>200</v>
      </c>
      <c r="D169" s="55">
        <f>(59.96)*10.764</f>
        <v>645.40944000000002</v>
      </c>
      <c r="E169" s="42">
        <v>0</v>
      </c>
      <c r="F169" s="42">
        <f>D169*(($F$148)+1)+(IF(E169&lt;101,E169,IF(E169&lt;201,E169/2,IF(E169&lt;=301,E169/3,E169/4))))</f>
        <v>1000.384632</v>
      </c>
      <c r="G169" s="80" t="str">
        <f t="shared" ref="G169:G170" si="10">G168</f>
        <v>1st Floor For Residential</v>
      </c>
      <c r="H169" s="81"/>
      <c r="I169" s="36"/>
      <c r="L169" s="177"/>
      <c r="M169" s="177"/>
      <c r="N169" s="36"/>
    </row>
    <row r="170" spans="1:14" s="37" customFormat="1" x14ac:dyDescent="0.25">
      <c r="A170" s="80">
        <f t="shared" si="9"/>
        <v>3</v>
      </c>
      <c r="B170" s="81"/>
      <c r="C170" s="42" t="s">
        <v>200</v>
      </c>
      <c r="D170" s="55">
        <f>(59.66)*10.764</f>
        <v>642.18023999999991</v>
      </c>
      <c r="E170" s="42">
        <v>0</v>
      </c>
      <c r="F170" s="42">
        <f>D170*(($F$148)+1)+(IF(E170&lt;101,E170,IF(E170&lt;201,E170/2,IF(E170&lt;=301,E170/3,E170/4))))</f>
        <v>995.37937199999988</v>
      </c>
      <c r="G170" s="80" t="str">
        <f t="shared" si="10"/>
        <v>1st Floor For Residential</v>
      </c>
      <c r="H170" s="81"/>
      <c r="I170" s="36"/>
      <c r="L170" s="177"/>
      <c r="M170" s="177"/>
      <c r="N170" s="36"/>
    </row>
    <row r="171" spans="1:14" s="37" customFormat="1" ht="15.75" customHeight="1" x14ac:dyDescent="0.25">
      <c r="A171" s="116" t="s">
        <v>234</v>
      </c>
      <c r="B171" s="117"/>
      <c r="C171" s="117"/>
      <c r="D171" s="117"/>
      <c r="E171" s="117"/>
      <c r="F171" s="117"/>
      <c r="G171" s="117"/>
      <c r="H171" s="118"/>
      <c r="J171" s="36"/>
    </row>
    <row r="172" spans="1:14" s="37" customFormat="1" x14ac:dyDescent="0.25">
      <c r="A172" s="80">
        <v>1</v>
      </c>
      <c r="B172" s="81"/>
      <c r="C172" s="42" t="s">
        <v>200</v>
      </c>
      <c r="D172" s="55">
        <f>(59.96)*10.764</f>
        <v>645.40944000000002</v>
      </c>
      <c r="E172" s="42">
        <v>0</v>
      </c>
      <c r="F172" s="42">
        <f>D172*(($F$148)+1)+(IF(E172&lt;101,E172,IF(E172&lt;201,E172/2,IF(E172&lt;=301,E172/3,E172/4))))</f>
        <v>1000.384632</v>
      </c>
      <c r="G172" s="80" t="str">
        <f>A171</f>
        <v>2nd to 6th &amp; 8th to 14th Floor</v>
      </c>
      <c r="H172" s="81"/>
      <c r="I172" s="36"/>
      <c r="L172" s="177"/>
      <c r="M172" s="177"/>
      <c r="N172" s="36"/>
    </row>
    <row r="173" spans="1:14" s="37" customFormat="1" x14ac:dyDescent="0.25">
      <c r="A173" s="80">
        <f t="shared" ref="A173:A174" si="11">A172+1</f>
        <v>2</v>
      </c>
      <c r="B173" s="81"/>
      <c r="C173" s="42" t="s">
        <v>200</v>
      </c>
      <c r="D173" s="55">
        <f>(59.96)*10.764</f>
        <v>645.40944000000002</v>
      </c>
      <c r="E173" s="42">
        <v>0</v>
      </c>
      <c r="F173" s="42">
        <f>D173*(($F$148)+1)+(IF(E173&lt;101,E173,IF(E173&lt;201,E173/2,IF(E173&lt;=301,E173/3,E173/4))))</f>
        <v>1000.384632</v>
      </c>
      <c r="G173" s="80" t="str">
        <f t="shared" ref="G173:G174" si="12">G172</f>
        <v>2nd to 6th &amp; 8th to 14th Floor</v>
      </c>
      <c r="H173" s="81"/>
      <c r="I173" s="36"/>
      <c r="L173" s="177"/>
      <c r="M173" s="177"/>
      <c r="N173" s="36"/>
    </row>
    <row r="174" spans="1:14" s="37" customFormat="1" x14ac:dyDescent="0.25">
      <c r="A174" s="80">
        <f t="shared" si="11"/>
        <v>3</v>
      </c>
      <c r="B174" s="81"/>
      <c r="C174" s="42" t="s">
        <v>200</v>
      </c>
      <c r="D174" s="55">
        <f>(59.66)*10.764</f>
        <v>642.18023999999991</v>
      </c>
      <c r="E174" s="42">
        <v>0</v>
      </c>
      <c r="F174" s="42">
        <f>D174*(($F$148)+1)+(IF(E174&lt;101,E174,IF(E174&lt;201,E174/2,IF(E174&lt;=301,E174/3,E174/4))))</f>
        <v>995.37937199999988</v>
      </c>
      <c r="G174" s="80" t="str">
        <f t="shared" si="12"/>
        <v>2nd to 6th &amp; 8th to 14th Floor</v>
      </c>
      <c r="H174" s="81"/>
      <c r="I174" s="36"/>
      <c r="L174" s="177"/>
      <c r="M174" s="177"/>
      <c r="N174" s="36"/>
    </row>
    <row r="175" spans="1:14" s="37" customFormat="1" x14ac:dyDescent="0.25">
      <c r="A175" s="113" t="s">
        <v>210</v>
      </c>
      <c r="B175" s="114"/>
      <c r="C175" s="114"/>
      <c r="D175" s="114"/>
      <c r="E175" s="114"/>
      <c r="F175" s="114"/>
      <c r="G175" s="114"/>
      <c r="H175" s="115"/>
      <c r="J175" s="36"/>
    </row>
    <row r="176" spans="1:14" s="37" customFormat="1" x14ac:dyDescent="0.25">
      <c r="A176" s="80">
        <v>1</v>
      </c>
      <c r="B176" s="81"/>
      <c r="C176" s="80" t="s">
        <v>211</v>
      </c>
      <c r="D176" s="97"/>
      <c r="E176" s="97"/>
      <c r="F176" s="81"/>
      <c r="G176" s="80" t="str">
        <f>A175</f>
        <v>7th Floor (Part Refuge Area)</v>
      </c>
      <c r="H176" s="81"/>
      <c r="I176" s="36"/>
      <c r="L176" s="177"/>
      <c r="M176" s="177"/>
      <c r="N176" s="36"/>
    </row>
    <row r="177" spans="1:14" s="37" customFormat="1" x14ac:dyDescent="0.25">
      <c r="A177" s="80">
        <f t="shared" ref="A177:A178" si="13">A176+1</f>
        <v>2</v>
      </c>
      <c r="B177" s="81"/>
      <c r="C177" s="42" t="s">
        <v>200</v>
      </c>
      <c r="D177" s="55">
        <f>(59.96)*10.764</f>
        <v>645.40944000000002</v>
      </c>
      <c r="E177" s="42">
        <v>0</v>
      </c>
      <c r="F177" s="42">
        <f>D177*(($F$148)+1)+(IF(E177&lt;101,E177,IF(E177&lt;201,E177/2,IF(E177&lt;=301,E177/3,E177/4))))</f>
        <v>1000.384632</v>
      </c>
      <c r="G177" s="80" t="str">
        <f t="shared" ref="G177:G178" si="14">G176</f>
        <v>7th Floor (Part Refuge Area)</v>
      </c>
      <c r="H177" s="81"/>
      <c r="I177" s="36"/>
      <c r="L177" s="177"/>
      <c r="M177" s="177"/>
      <c r="N177" s="36"/>
    </row>
    <row r="178" spans="1:14" s="37" customFormat="1" x14ac:dyDescent="0.25">
      <c r="A178" s="80">
        <f t="shared" si="13"/>
        <v>3</v>
      </c>
      <c r="B178" s="81"/>
      <c r="C178" s="42" t="s">
        <v>200</v>
      </c>
      <c r="D178" s="55">
        <f>(59.66)*10.764</f>
        <v>642.18023999999991</v>
      </c>
      <c r="E178" s="42">
        <v>0</v>
      </c>
      <c r="F178" s="42">
        <f>D178*(($F$148)+1)+(IF(E178&lt;101,E178,IF(E178&lt;201,E178/2,IF(E178&lt;=301,E178/3,E178/4))))</f>
        <v>995.37937199999988</v>
      </c>
      <c r="G178" s="80" t="str">
        <f t="shared" si="14"/>
        <v>7th Floor (Part Refuge Area)</v>
      </c>
      <c r="H178" s="81"/>
      <c r="I178" s="36"/>
      <c r="L178" s="177"/>
      <c r="M178" s="177"/>
      <c r="N178" s="36"/>
    </row>
    <row r="179" spans="1:14" s="37" customFormat="1" x14ac:dyDescent="0.25">
      <c r="A179" s="113" t="s">
        <v>202</v>
      </c>
      <c r="B179" s="114"/>
      <c r="C179" s="114"/>
      <c r="D179" s="114"/>
      <c r="E179" s="114"/>
      <c r="F179" s="114"/>
      <c r="G179" s="114"/>
      <c r="H179" s="115"/>
      <c r="J179" s="36"/>
    </row>
    <row r="180" spans="1:14" s="37" customFormat="1" x14ac:dyDescent="0.25">
      <c r="A180" s="113" t="s">
        <v>221</v>
      </c>
      <c r="B180" s="114"/>
      <c r="C180" s="114"/>
      <c r="D180" s="114"/>
      <c r="E180" s="114"/>
      <c r="F180" s="114"/>
      <c r="G180" s="114"/>
      <c r="H180" s="115"/>
      <c r="J180" s="36"/>
    </row>
    <row r="181" spans="1:14" s="37" customFormat="1" ht="15.75" customHeight="1" x14ac:dyDescent="0.25">
      <c r="A181" s="113" t="s">
        <v>206</v>
      </c>
      <c r="B181" s="114"/>
      <c r="C181" s="114"/>
      <c r="D181" s="114"/>
      <c r="E181" s="114"/>
      <c r="F181" s="114"/>
      <c r="G181" s="114"/>
      <c r="H181" s="115"/>
      <c r="J181" s="36"/>
    </row>
    <row r="182" spans="1:14" s="37" customFormat="1" x14ac:dyDescent="0.25">
      <c r="A182" s="80">
        <v>1</v>
      </c>
      <c r="B182" s="81"/>
      <c r="C182" s="42" t="s">
        <v>200</v>
      </c>
      <c r="D182" s="55">
        <f>(57.28)*10.764</f>
        <v>616.56191999999999</v>
      </c>
      <c r="E182" s="42">
        <v>0</v>
      </c>
      <c r="F182" s="42">
        <f>D182*(($F$148)+1)+(IF(E182&lt;101,E182,IF(E182&lt;201,E182/2,IF(E182&lt;=301,E182/3,E182/4))))</f>
        <v>955.670976</v>
      </c>
      <c r="G182" s="80" t="str">
        <f>A181</f>
        <v>1st Floor For Residential &amp; Amenities</v>
      </c>
      <c r="H182" s="81"/>
      <c r="I182" s="36"/>
      <c r="L182" s="177"/>
      <c r="M182" s="177"/>
      <c r="N182" s="36"/>
    </row>
    <row r="183" spans="1:14" s="37" customFormat="1" x14ac:dyDescent="0.25">
      <c r="A183" s="80">
        <f t="shared" ref="A183:A185" si="15">A182+1</f>
        <v>2</v>
      </c>
      <c r="B183" s="81"/>
      <c r="C183" s="42" t="s">
        <v>200</v>
      </c>
      <c r="D183" s="55">
        <f>(58.3)*10.764</f>
        <v>627.54119999999989</v>
      </c>
      <c r="E183" s="42">
        <v>0</v>
      </c>
      <c r="F183" s="42">
        <f>D183*(($F$148)+1)+(IF(E183&lt;101,E183,IF(E183&lt;201,E183/2,IF(E183&lt;=301,E183/3,E183/4))))</f>
        <v>972.68885999999986</v>
      </c>
      <c r="G183" s="80" t="str">
        <f t="shared" ref="G183:G185" si="16">G182</f>
        <v>1st Floor For Residential &amp; Amenities</v>
      </c>
      <c r="H183" s="81"/>
      <c r="I183" s="36"/>
      <c r="L183" s="177"/>
      <c r="M183" s="177"/>
      <c r="N183" s="36"/>
    </row>
    <row r="184" spans="1:14" s="37" customFormat="1" ht="15.75" customHeight="1" x14ac:dyDescent="0.25">
      <c r="A184" s="80">
        <f t="shared" si="15"/>
        <v>3</v>
      </c>
      <c r="B184" s="81"/>
      <c r="C184" s="80" t="s">
        <v>204</v>
      </c>
      <c r="D184" s="97"/>
      <c r="E184" s="97"/>
      <c r="F184" s="81"/>
      <c r="G184" s="80" t="str">
        <f t="shared" si="16"/>
        <v>1st Floor For Residential &amp; Amenities</v>
      </c>
      <c r="H184" s="81"/>
      <c r="I184" s="36"/>
      <c r="L184" s="177"/>
      <c r="M184" s="177"/>
      <c r="N184" s="36"/>
    </row>
    <row r="185" spans="1:14" s="37" customFormat="1" x14ac:dyDescent="0.25">
      <c r="A185" s="80">
        <f t="shared" si="15"/>
        <v>4</v>
      </c>
      <c r="B185" s="81"/>
      <c r="C185" s="80" t="s">
        <v>207</v>
      </c>
      <c r="D185" s="97"/>
      <c r="E185" s="97"/>
      <c r="F185" s="81"/>
      <c r="G185" s="80" t="str">
        <f t="shared" si="16"/>
        <v>1st Floor For Residential &amp; Amenities</v>
      </c>
      <c r="H185" s="81"/>
      <c r="I185" s="36"/>
      <c r="L185" s="177"/>
      <c r="M185" s="177"/>
      <c r="N185" s="36"/>
    </row>
    <row r="186" spans="1:14" s="37" customFormat="1" ht="15.75" customHeight="1" x14ac:dyDescent="0.25">
      <c r="A186" s="116" t="s">
        <v>234</v>
      </c>
      <c r="B186" s="117"/>
      <c r="C186" s="117"/>
      <c r="D186" s="117"/>
      <c r="E186" s="117"/>
      <c r="F186" s="117"/>
      <c r="G186" s="117"/>
      <c r="H186" s="118"/>
      <c r="J186" s="36"/>
    </row>
    <row r="187" spans="1:14" s="37" customFormat="1" x14ac:dyDescent="0.25">
      <c r="A187" s="80">
        <v>1</v>
      </c>
      <c r="B187" s="81"/>
      <c r="C187" s="42" t="s">
        <v>200</v>
      </c>
      <c r="D187" s="55">
        <f>(57.28)*10.764</f>
        <v>616.56191999999999</v>
      </c>
      <c r="E187" s="42">
        <v>0</v>
      </c>
      <c r="F187" s="42">
        <f>D187*(($F$148)+1)+(IF(E187&lt;101,E187,IF(E187&lt;201,E187/2,IF(E187&lt;=301,E187/3,E187/4))))</f>
        <v>955.670976</v>
      </c>
      <c r="G187" s="80" t="str">
        <f>A186</f>
        <v>2nd to 6th &amp; 8th to 14th Floor</v>
      </c>
      <c r="H187" s="81"/>
      <c r="I187" s="36"/>
      <c r="L187" s="177"/>
      <c r="M187" s="177"/>
      <c r="N187" s="36"/>
    </row>
    <row r="188" spans="1:14" s="37" customFormat="1" x14ac:dyDescent="0.25">
      <c r="A188" s="80">
        <f t="shared" ref="A188:A190" si="17">A187+1</f>
        <v>2</v>
      </c>
      <c r="B188" s="81"/>
      <c r="C188" s="42" t="s">
        <v>200</v>
      </c>
      <c r="D188" s="55">
        <f>(58.3)*10.764</f>
        <v>627.54119999999989</v>
      </c>
      <c r="E188" s="42">
        <v>0</v>
      </c>
      <c r="F188" s="42">
        <f>D188*(($F$148)+1)+(IF(E188&lt;101,E188,IF(E188&lt;201,E188/2,IF(E188&lt;=301,E188/3,E188/4))))</f>
        <v>972.68885999999986</v>
      </c>
      <c r="G188" s="80" t="str">
        <f t="shared" ref="G188:G190" si="18">G187</f>
        <v>2nd to 6th &amp; 8th to 14th Floor</v>
      </c>
      <c r="H188" s="81"/>
      <c r="I188" s="36"/>
      <c r="L188" s="177"/>
      <c r="M188" s="177"/>
      <c r="N188" s="36"/>
    </row>
    <row r="189" spans="1:14" s="37" customFormat="1" ht="15.75" customHeight="1" x14ac:dyDescent="0.25">
      <c r="A189" s="80">
        <f t="shared" si="17"/>
        <v>3</v>
      </c>
      <c r="B189" s="81"/>
      <c r="C189" s="42" t="s">
        <v>200</v>
      </c>
      <c r="D189" s="55">
        <f>(63.88)*10.764</f>
        <v>687.60432000000003</v>
      </c>
      <c r="E189" s="42">
        <v>0</v>
      </c>
      <c r="F189" s="42">
        <f>D189*(($F$148)+1)+(IF(E189&lt;101,E189,IF(E189&lt;201,E189/2,IF(E189&lt;=301,E189/3,E189/4))))</f>
        <v>1065.7866960000001</v>
      </c>
      <c r="G189" s="80" t="str">
        <f t="shared" si="18"/>
        <v>2nd to 6th &amp; 8th to 14th Floor</v>
      </c>
      <c r="H189" s="81"/>
      <c r="I189" s="36">
        <f>26700000/F189</f>
        <v>25051.917142715014</v>
      </c>
      <c r="L189" s="177"/>
      <c r="M189" s="177"/>
      <c r="N189" s="36"/>
    </row>
    <row r="190" spans="1:14" s="37" customFormat="1" x14ac:dyDescent="0.25">
      <c r="A190" s="80">
        <f t="shared" si="17"/>
        <v>4</v>
      </c>
      <c r="B190" s="81"/>
      <c r="C190" s="42" t="s">
        <v>203</v>
      </c>
      <c r="D190" s="55">
        <f>(44.04)*10.764</f>
        <v>474.04655999999994</v>
      </c>
      <c r="E190" s="42">
        <v>0</v>
      </c>
      <c r="F190" s="42">
        <f>D190*(($F$148)+1)+(IF(E190&lt;101,E190,IF(E190&lt;201,E190/2,IF(E190&lt;=301,E190/3,E190/4))))</f>
        <v>734.77216799999997</v>
      </c>
      <c r="G190" s="80" t="str">
        <f t="shared" si="18"/>
        <v>2nd to 6th &amp; 8th to 14th Floor</v>
      </c>
      <c r="H190" s="81"/>
      <c r="I190" s="36"/>
      <c r="L190" s="177"/>
      <c r="M190" s="177"/>
      <c r="N190" s="36"/>
    </row>
    <row r="191" spans="1:14" s="37" customFormat="1" x14ac:dyDescent="0.25">
      <c r="A191" s="113" t="s">
        <v>210</v>
      </c>
      <c r="B191" s="114"/>
      <c r="C191" s="114"/>
      <c r="D191" s="114"/>
      <c r="E191" s="114"/>
      <c r="F191" s="114"/>
      <c r="G191" s="114"/>
      <c r="H191" s="115"/>
      <c r="J191" s="36"/>
    </row>
    <row r="192" spans="1:14" s="37" customFormat="1" x14ac:dyDescent="0.25">
      <c r="A192" s="80">
        <v>1</v>
      </c>
      <c r="B192" s="81"/>
      <c r="C192" s="80" t="s">
        <v>211</v>
      </c>
      <c r="D192" s="97"/>
      <c r="E192" s="97"/>
      <c r="F192" s="81"/>
      <c r="G192" s="80" t="str">
        <f>A191</f>
        <v>7th Floor (Part Refuge Area)</v>
      </c>
      <c r="H192" s="81"/>
      <c r="I192" s="36"/>
      <c r="L192" s="177"/>
      <c r="M192" s="177"/>
      <c r="N192" s="36"/>
    </row>
    <row r="193" spans="1:14" s="37" customFormat="1" x14ac:dyDescent="0.25">
      <c r="A193" s="80">
        <f t="shared" ref="A193:A195" si="19">A192+1</f>
        <v>2</v>
      </c>
      <c r="B193" s="81"/>
      <c r="C193" s="42" t="s">
        <v>200</v>
      </c>
      <c r="D193" s="55">
        <f>(58.3)*10.764</f>
        <v>627.54119999999989</v>
      </c>
      <c r="E193" s="42">
        <v>0</v>
      </c>
      <c r="F193" s="42">
        <f>D193*(($F$148)+1)+(IF(E193&lt;101,E193,IF(E193&lt;201,E193/2,IF(E193&lt;=301,E193/3,E193/4))))</f>
        <v>972.68885999999986</v>
      </c>
      <c r="G193" s="80" t="str">
        <f t="shared" ref="G193:G195" si="20">G192</f>
        <v>7th Floor (Part Refuge Area)</v>
      </c>
      <c r="H193" s="81"/>
      <c r="I193" s="36"/>
      <c r="L193" s="177"/>
      <c r="M193" s="177"/>
      <c r="N193" s="36"/>
    </row>
    <row r="194" spans="1:14" s="37" customFormat="1" ht="15.75" customHeight="1" x14ac:dyDescent="0.25">
      <c r="A194" s="80">
        <f t="shared" si="19"/>
        <v>3</v>
      </c>
      <c r="B194" s="81"/>
      <c r="C194" s="42" t="s">
        <v>200</v>
      </c>
      <c r="D194" s="55">
        <f>(63.88)*10.764</f>
        <v>687.60432000000003</v>
      </c>
      <c r="E194" s="42">
        <v>0</v>
      </c>
      <c r="F194" s="42">
        <f>D194*(($F$148)+1)+(IF(E194&lt;101,E194,IF(E194&lt;201,E194/2,IF(E194&lt;=301,E194/3,E194/4))))</f>
        <v>1065.7866960000001</v>
      </c>
      <c r="G194" s="80" t="str">
        <f t="shared" si="20"/>
        <v>7th Floor (Part Refuge Area)</v>
      </c>
      <c r="H194" s="81"/>
      <c r="I194" s="36"/>
      <c r="L194" s="177"/>
      <c r="M194" s="177"/>
      <c r="N194" s="36"/>
    </row>
    <row r="195" spans="1:14" s="37" customFormat="1" x14ac:dyDescent="0.25">
      <c r="A195" s="80">
        <f t="shared" si="19"/>
        <v>4</v>
      </c>
      <c r="B195" s="81"/>
      <c r="C195" s="42" t="s">
        <v>203</v>
      </c>
      <c r="D195" s="55">
        <f>(44.04)*10.764</f>
        <v>474.04655999999994</v>
      </c>
      <c r="E195" s="42">
        <v>0</v>
      </c>
      <c r="F195" s="42">
        <f>D195*(($F$148)+1)+(IF(E195&lt;101,E195,IF(E195&lt;201,E195/2,IF(E195&lt;=301,E195/3,E195/4))))</f>
        <v>734.77216799999997</v>
      </c>
      <c r="G195" s="80" t="str">
        <f t="shared" si="20"/>
        <v>7th Floor (Part Refuge Area)</v>
      </c>
      <c r="H195" s="81"/>
      <c r="I195" s="36"/>
      <c r="L195" s="177"/>
      <c r="M195" s="177"/>
      <c r="N195" s="36"/>
    </row>
    <row r="196" spans="1:14" s="37" customFormat="1" x14ac:dyDescent="0.25">
      <c r="A196" s="113" t="s">
        <v>205</v>
      </c>
      <c r="B196" s="114"/>
      <c r="C196" s="114"/>
      <c r="D196" s="114"/>
      <c r="E196" s="114"/>
      <c r="F196" s="114"/>
      <c r="G196" s="114"/>
      <c r="H196" s="115"/>
      <c r="J196" s="36"/>
    </row>
    <row r="197" spans="1:14" s="37" customFormat="1" x14ac:dyDescent="0.25">
      <c r="A197" s="113" t="s">
        <v>236</v>
      </c>
      <c r="B197" s="114"/>
      <c r="C197" s="114"/>
      <c r="D197" s="114"/>
      <c r="E197" s="114"/>
      <c r="F197" s="114"/>
      <c r="G197" s="114"/>
      <c r="H197" s="115"/>
      <c r="J197" s="36"/>
    </row>
    <row r="198" spans="1:14" s="37" customFormat="1" x14ac:dyDescent="0.25">
      <c r="A198" s="113" t="s">
        <v>206</v>
      </c>
      <c r="B198" s="114"/>
      <c r="C198" s="114"/>
      <c r="D198" s="114"/>
      <c r="E198" s="114"/>
      <c r="F198" s="114"/>
      <c r="G198" s="114"/>
      <c r="H198" s="115"/>
      <c r="J198" s="36"/>
    </row>
    <row r="199" spans="1:14" s="37" customFormat="1" ht="15.75" customHeight="1" x14ac:dyDescent="0.25">
      <c r="A199" s="80">
        <v>1</v>
      </c>
      <c r="B199" s="81"/>
      <c r="C199" s="98" t="s">
        <v>207</v>
      </c>
      <c r="D199" s="99"/>
      <c r="E199" s="99"/>
      <c r="F199" s="100"/>
      <c r="G199" s="80" t="str">
        <f>A198</f>
        <v>1st Floor For Residential &amp; Amenities</v>
      </c>
      <c r="H199" s="81"/>
      <c r="I199" s="36"/>
      <c r="L199" s="177"/>
      <c r="M199" s="177"/>
      <c r="N199" s="36"/>
    </row>
    <row r="200" spans="1:14" s="37" customFormat="1" x14ac:dyDescent="0.25">
      <c r="A200" s="80">
        <f t="shared" ref="A200:A201" si="21">A199+1</f>
        <v>2</v>
      </c>
      <c r="B200" s="81"/>
      <c r="C200" s="42" t="s">
        <v>209</v>
      </c>
      <c r="D200" s="55">
        <f>(83.4)*10.764</f>
        <v>897.71760000000006</v>
      </c>
      <c r="E200" s="42">
        <v>0</v>
      </c>
      <c r="F200" s="42">
        <f>D200*(($F$148)+1)+(IF(E200&lt;101,E200,IF(E200&lt;201,E200/2,IF(E200&lt;=301,E200/3,E200/4))))</f>
        <v>1391.4622800000002</v>
      </c>
      <c r="G200" s="80" t="str">
        <f t="shared" ref="G200:G201" si="22">G199</f>
        <v>1st Floor For Residential &amp; Amenities</v>
      </c>
      <c r="H200" s="81"/>
      <c r="I200" s="36"/>
      <c r="L200" s="177"/>
      <c r="M200" s="177"/>
      <c r="N200" s="36"/>
    </row>
    <row r="201" spans="1:14" s="37" customFormat="1" x14ac:dyDescent="0.25">
      <c r="A201" s="80">
        <f t="shared" si="21"/>
        <v>3</v>
      </c>
      <c r="B201" s="81"/>
      <c r="C201" s="98" t="s">
        <v>207</v>
      </c>
      <c r="D201" s="99"/>
      <c r="E201" s="99"/>
      <c r="F201" s="100"/>
      <c r="G201" s="80" t="str">
        <f t="shared" si="22"/>
        <v>1st Floor For Residential &amp; Amenities</v>
      </c>
      <c r="H201" s="81"/>
      <c r="I201" s="36"/>
      <c r="L201" s="177"/>
      <c r="M201" s="177"/>
      <c r="N201" s="36"/>
    </row>
    <row r="202" spans="1:14" s="37" customFormat="1" ht="15.75" customHeight="1" x14ac:dyDescent="0.25">
      <c r="A202" s="116" t="s">
        <v>234</v>
      </c>
      <c r="B202" s="117"/>
      <c r="C202" s="117"/>
      <c r="D202" s="117"/>
      <c r="E202" s="117"/>
      <c r="F202" s="117"/>
      <c r="G202" s="117"/>
      <c r="H202" s="118"/>
      <c r="J202" s="36"/>
    </row>
    <row r="203" spans="1:14" s="37" customFormat="1" ht="15.75" customHeight="1" x14ac:dyDescent="0.25">
      <c r="A203" s="80">
        <v>1</v>
      </c>
      <c r="B203" s="81"/>
      <c r="C203" s="42" t="s">
        <v>200</v>
      </c>
      <c r="D203" s="60">
        <f>(61.96)*10.764</f>
        <v>666.93743999999992</v>
      </c>
      <c r="E203" s="42">
        <v>0</v>
      </c>
      <c r="F203" s="42">
        <f t="shared" ref="F203:F204" si="23">D203*(($F$148)+1)+(IF(E203&lt;101,E203,IF(E203&lt;201,E203/2,IF(E203&lt;=301,E203/3,E203/4))))</f>
        <v>1033.7530319999998</v>
      </c>
      <c r="G203" s="80" t="str">
        <f>A202</f>
        <v>2nd to 6th &amp; 8th to 14th Floor</v>
      </c>
      <c r="H203" s="81"/>
      <c r="I203" s="36"/>
      <c r="L203" s="177"/>
      <c r="M203" s="177"/>
      <c r="N203" s="36"/>
    </row>
    <row r="204" spans="1:14" s="37" customFormat="1" x14ac:dyDescent="0.25">
      <c r="A204" s="80">
        <f t="shared" ref="A204:A205" si="24">A203+1</f>
        <v>2</v>
      </c>
      <c r="B204" s="81"/>
      <c r="C204" s="42" t="s">
        <v>200</v>
      </c>
      <c r="D204" s="55">
        <f>(58.619)*10.764</f>
        <v>630.97491600000001</v>
      </c>
      <c r="E204" s="42">
        <v>0</v>
      </c>
      <c r="F204" s="42">
        <f t="shared" si="23"/>
        <v>978.01111980000007</v>
      </c>
      <c r="G204" s="80" t="str">
        <f t="shared" ref="G204:G205" si="25">G203</f>
        <v>2nd to 6th &amp; 8th to 14th Floor</v>
      </c>
      <c r="H204" s="81"/>
      <c r="I204" s="36"/>
      <c r="L204" s="177"/>
      <c r="M204" s="177"/>
      <c r="N204" s="36"/>
    </row>
    <row r="205" spans="1:14" s="37" customFormat="1" x14ac:dyDescent="0.25">
      <c r="A205" s="80">
        <f t="shared" si="24"/>
        <v>3</v>
      </c>
      <c r="B205" s="81"/>
      <c r="C205" s="42" t="s">
        <v>203</v>
      </c>
      <c r="D205" s="55">
        <f>(41.49)*10.764</f>
        <v>446.59836000000001</v>
      </c>
      <c r="E205" s="42">
        <v>0</v>
      </c>
      <c r="F205" s="42">
        <f>D205*(($F$148)+1)+(IF(E205&lt;101,E205,IF(E205&lt;201,E205/2,IF(E205&lt;=301,E205/3,E205/4))))</f>
        <v>692.22745800000007</v>
      </c>
      <c r="G205" s="80" t="str">
        <f t="shared" si="25"/>
        <v>2nd to 6th &amp; 8th to 14th Floor</v>
      </c>
      <c r="H205" s="81"/>
      <c r="I205" s="36"/>
      <c r="J205" s="37">
        <f>16000000/F205</f>
        <v>23113.789860673223</v>
      </c>
      <c r="L205" s="177"/>
      <c r="M205" s="177"/>
      <c r="N205" s="36"/>
    </row>
    <row r="206" spans="1:14" s="37" customFormat="1" x14ac:dyDescent="0.25">
      <c r="A206" s="113" t="s">
        <v>210</v>
      </c>
      <c r="B206" s="114"/>
      <c r="C206" s="114"/>
      <c r="D206" s="114"/>
      <c r="E206" s="114"/>
      <c r="F206" s="114"/>
      <c r="G206" s="114"/>
      <c r="H206" s="115"/>
      <c r="J206" s="36"/>
    </row>
    <row r="207" spans="1:14" s="37" customFormat="1" ht="15.75" customHeight="1" x14ac:dyDescent="0.25">
      <c r="A207" s="80">
        <v>1</v>
      </c>
      <c r="B207" s="81"/>
      <c r="C207" s="42" t="s">
        <v>209</v>
      </c>
      <c r="D207" s="55">
        <f>(79.23)*10.764</f>
        <v>852.83172000000002</v>
      </c>
      <c r="E207" s="42">
        <v>0</v>
      </c>
      <c r="F207" s="42">
        <f>D207*(($F$148)+1)+(IF(E207&lt;101,E207,IF(E207&lt;201,E207/2,IF(E207&lt;=301,E207/3,E207/4))))</f>
        <v>1321.8891660000002</v>
      </c>
      <c r="G207" s="80" t="str">
        <f>A206</f>
        <v>7th Floor (Part Refuge Area)</v>
      </c>
      <c r="H207" s="81"/>
      <c r="I207" s="36"/>
      <c r="L207" s="177"/>
      <c r="M207" s="177"/>
      <c r="N207" s="36"/>
    </row>
    <row r="208" spans="1:14" s="37" customFormat="1" x14ac:dyDescent="0.25">
      <c r="A208" s="80">
        <f t="shared" ref="A208:A209" si="26">A207+1</f>
        <v>2</v>
      </c>
      <c r="B208" s="81"/>
      <c r="C208" s="80" t="s">
        <v>211</v>
      </c>
      <c r="D208" s="97"/>
      <c r="E208" s="97"/>
      <c r="F208" s="81"/>
      <c r="G208" s="80" t="str">
        <f t="shared" ref="G208:G209" si="27">G207</f>
        <v>7th Floor (Part Refuge Area)</v>
      </c>
      <c r="H208" s="81"/>
      <c r="I208" s="36"/>
      <c r="L208" s="177"/>
      <c r="M208" s="177"/>
      <c r="N208" s="36"/>
    </row>
    <row r="209" spans="1:14" s="37" customFormat="1" x14ac:dyDescent="0.25">
      <c r="A209" s="80">
        <f t="shared" si="26"/>
        <v>3</v>
      </c>
      <c r="B209" s="81"/>
      <c r="C209" s="42" t="s">
        <v>203</v>
      </c>
      <c r="D209" s="55">
        <f>(41.49)*10.764</f>
        <v>446.59836000000001</v>
      </c>
      <c r="E209" s="42">
        <v>0</v>
      </c>
      <c r="F209" s="42">
        <f>D209*(($F$148)+1)+(IF(E209&lt;101,E209,IF(E209&lt;201,E209/2,IF(E209&lt;=301,E209/3,E209/4))))</f>
        <v>692.22745800000007</v>
      </c>
      <c r="G209" s="80" t="str">
        <f t="shared" si="27"/>
        <v>7th Floor (Part Refuge Area)</v>
      </c>
      <c r="H209" s="81"/>
      <c r="I209" s="36"/>
      <c r="L209" s="177"/>
      <c r="M209" s="177"/>
      <c r="N209" s="36"/>
    </row>
    <row r="210" spans="1:14" s="37" customFormat="1" x14ac:dyDescent="0.25">
      <c r="A210" s="113" t="s">
        <v>208</v>
      </c>
      <c r="B210" s="114"/>
      <c r="C210" s="114"/>
      <c r="D210" s="114"/>
      <c r="E210" s="114"/>
      <c r="F210" s="114"/>
      <c r="G210" s="114"/>
      <c r="H210" s="115"/>
      <c r="J210" s="36"/>
    </row>
    <row r="211" spans="1:14" s="37" customFormat="1" x14ac:dyDescent="0.25">
      <c r="A211" s="113" t="s">
        <v>221</v>
      </c>
      <c r="B211" s="114"/>
      <c r="C211" s="114"/>
      <c r="D211" s="114"/>
      <c r="E211" s="114"/>
      <c r="F211" s="114"/>
      <c r="G211" s="114"/>
      <c r="H211" s="115"/>
      <c r="J211" s="36"/>
    </row>
    <row r="212" spans="1:14" s="37" customFormat="1" x14ac:dyDescent="0.25">
      <c r="A212" s="113" t="s">
        <v>198</v>
      </c>
      <c r="B212" s="114"/>
      <c r="C212" s="114"/>
      <c r="D212" s="114"/>
      <c r="E212" s="114"/>
      <c r="F212" s="114"/>
      <c r="G212" s="114"/>
      <c r="H212" s="115"/>
      <c r="J212" s="36"/>
    </row>
    <row r="213" spans="1:14" s="37" customFormat="1" x14ac:dyDescent="0.25">
      <c r="A213" s="80">
        <v>1</v>
      </c>
      <c r="B213" s="81"/>
      <c r="C213" s="42" t="s">
        <v>209</v>
      </c>
      <c r="D213" s="55">
        <f>(82.47)*10.764</f>
        <v>887.70707999999991</v>
      </c>
      <c r="E213" s="42">
        <v>0</v>
      </c>
      <c r="F213" s="42">
        <f>D213*(($F$148)+1)+(IF(E213&lt;101,E213,IF(E213&lt;201,E213/2,IF(E213&lt;=301,E213/3,E213/4))))</f>
        <v>1375.945974</v>
      </c>
      <c r="G213" s="80" t="str">
        <f>A212</f>
        <v>1st Floor For Residential</v>
      </c>
      <c r="H213" s="81"/>
      <c r="I213" s="36">
        <f>36700000/F213</f>
        <v>26672.558874757098</v>
      </c>
      <c r="L213" s="177"/>
      <c r="M213" s="177"/>
      <c r="N213" s="36"/>
    </row>
    <row r="214" spans="1:14" s="37" customFormat="1" x14ac:dyDescent="0.25">
      <c r="A214" s="80">
        <f t="shared" ref="A214:A215" si="28">A213+1</f>
        <v>2</v>
      </c>
      <c r="B214" s="81"/>
      <c r="C214" s="42" t="s">
        <v>209</v>
      </c>
      <c r="D214" s="55">
        <f>(79.27)*10.764</f>
        <v>853.26227999999992</v>
      </c>
      <c r="E214" s="42">
        <v>0</v>
      </c>
      <c r="F214" s="42">
        <f>D214*(($F$148)+1)+(IF(E214&lt;101,E214,IF(E214&lt;201,E214/2,IF(E214&lt;=301,E214/3,E214/4))))</f>
        <v>1322.5565339999998</v>
      </c>
      <c r="G214" s="80" t="str">
        <f t="shared" ref="G214:G215" si="29">G213</f>
        <v>1st Floor For Residential</v>
      </c>
      <c r="H214" s="81"/>
      <c r="I214" s="36">
        <f>36700000/F214</f>
        <v>27749.286368124362</v>
      </c>
      <c r="L214" s="177"/>
      <c r="M214" s="177"/>
      <c r="N214" s="36"/>
    </row>
    <row r="215" spans="1:14" s="37" customFormat="1" x14ac:dyDescent="0.25">
      <c r="A215" s="80">
        <f t="shared" si="28"/>
        <v>3</v>
      </c>
      <c r="B215" s="81"/>
      <c r="C215" s="42" t="s">
        <v>200</v>
      </c>
      <c r="D215" s="55">
        <f>(59.35)*10.764</f>
        <v>638.84339999999997</v>
      </c>
      <c r="E215" s="42">
        <v>0</v>
      </c>
      <c r="F215" s="42">
        <f>D215*(($F$148)+1)+(IF(E215&lt;101,E215,IF(E215&lt;201,E215/2,IF(E215&lt;=301,E215/3,E215/4))))</f>
        <v>990.20726999999999</v>
      </c>
      <c r="G215" s="80" t="str">
        <f t="shared" si="29"/>
        <v>1st Floor For Residential</v>
      </c>
      <c r="H215" s="81"/>
      <c r="I215" s="36">
        <f>26700000/F215</f>
        <v>26964.051677786611</v>
      </c>
      <c r="L215" s="177"/>
      <c r="M215" s="177"/>
      <c r="N215" s="36"/>
    </row>
    <row r="216" spans="1:14" s="37" customFormat="1" ht="15.75" customHeight="1" x14ac:dyDescent="0.25">
      <c r="A216" s="116" t="s">
        <v>234</v>
      </c>
      <c r="B216" s="117"/>
      <c r="C216" s="117"/>
      <c r="D216" s="117"/>
      <c r="E216" s="117"/>
      <c r="F216" s="117"/>
      <c r="G216" s="117"/>
      <c r="H216" s="118"/>
      <c r="J216" s="36"/>
    </row>
    <row r="217" spans="1:14" s="37" customFormat="1" x14ac:dyDescent="0.25">
      <c r="A217" s="80">
        <v>1</v>
      </c>
      <c r="B217" s="81"/>
      <c r="C217" s="42" t="s">
        <v>209</v>
      </c>
      <c r="D217" s="55">
        <f>(82.47)*10.764</f>
        <v>887.70707999999991</v>
      </c>
      <c r="E217" s="42">
        <v>0</v>
      </c>
      <c r="F217" s="42">
        <f>D217*(($F$148)+1)+(IF(E217&lt;101,E217,IF(E217&lt;201,E217/2,IF(E217&lt;=301,E217/3,E217/4))))</f>
        <v>1375.945974</v>
      </c>
      <c r="G217" s="80" t="str">
        <f>A216</f>
        <v>2nd to 6th &amp; 8th to 14th Floor</v>
      </c>
      <c r="H217" s="81"/>
      <c r="I217" s="36"/>
      <c r="L217" s="177"/>
      <c r="M217" s="177"/>
      <c r="N217" s="36"/>
    </row>
    <row r="218" spans="1:14" s="37" customFormat="1" x14ac:dyDescent="0.25">
      <c r="A218" s="80">
        <f t="shared" ref="A218:A219" si="30">A217+1</f>
        <v>2</v>
      </c>
      <c r="B218" s="81"/>
      <c r="C218" s="42" t="s">
        <v>209</v>
      </c>
      <c r="D218" s="55">
        <f>(79.27)*10.764</f>
        <v>853.26227999999992</v>
      </c>
      <c r="E218" s="42">
        <v>0</v>
      </c>
      <c r="F218" s="42">
        <f>D218*(($F$148)+1)+(IF(E218&lt;101,E218,IF(E218&lt;201,E218/2,IF(E218&lt;=301,E218/3,E218/4))))</f>
        <v>1322.5565339999998</v>
      </c>
      <c r="G218" s="80" t="str">
        <f t="shared" ref="G218:G219" si="31">G217</f>
        <v>2nd to 6th &amp; 8th to 14th Floor</v>
      </c>
      <c r="H218" s="81"/>
      <c r="I218" s="36"/>
      <c r="L218" s="177"/>
      <c r="M218" s="177"/>
      <c r="N218" s="36"/>
    </row>
    <row r="219" spans="1:14" s="37" customFormat="1" x14ac:dyDescent="0.25">
      <c r="A219" s="80">
        <f t="shared" si="30"/>
        <v>3</v>
      </c>
      <c r="B219" s="81"/>
      <c r="C219" s="42" t="s">
        <v>200</v>
      </c>
      <c r="D219" s="55">
        <f>(59.35)*10.764</f>
        <v>638.84339999999997</v>
      </c>
      <c r="E219" s="42">
        <v>0</v>
      </c>
      <c r="F219" s="42">
        <f>D219*(($F$148)+1)+(IF(E219&lt;101,E219,IF(E219&lt;201,E219/2,IF(E219&lt;=301,E219/3,E219/4))))</f>
        <v>990.20726999999999</v>
      </c>
      <c r="G219" s="80" t="str">
        <f t="shared" si="31"/>
        <v>2nd to 6th &amp; 8th to 14th Floor</v>
      </c>
      <c r="H219" s="81"/>
      <c r="I219" s="36"/>
      <c r="L219" s="177"/>
      <c r="M219" s="177"/>
      <c r="N219" s="36"/>
    </row>
    <row r="220" spans="1:14" s="37" customFormat="1" x14ac:dyDescent="0.25">
      <c r="A220" s="113" t="s">
        <v>210</v>
      </c>
      <c r="B220" s="114"/>
      <c r="C220" s="114"/>
      <c r="D220" s="114"/>
      <c r="E220" s="114"/>
      <c r="F220" s="114"/>
      <c r="G220" s="114"/>
      <c r="H220" s="115"/>
      <c r="J220" s="36"/>
    </row>
    <row r="221" spans="1:14" s="37" customFormat="1" x14ac:dyDescent="0.25">
      <c r="A221" s="80">
        <v>1</v>
      </c>
      <c r="B221" s="81"/>
      <c r="C221" s="80" t="s">
        <v>211</v>
      </c>
      <c r="D221" s="97"/>
      <c r="E221" s="97"/>
      <c r="F221" s="81"/>
      <c r="G221" s="80" t="str">
        <f>A220</f>
        <v>7th Floor (Part Refuge Area)</v>
      </c>
      <c r="H221" s="81"/>
      <c r="I221" s="36"/>
      <c r="L221" s="177"/>
      <c r="M221" s="177"/>
      <c r="N221" s="36"/>
    </row>
    <row r="222" spans="1:14" s="37" customFormat="1" x14ac:dyDescent="0.25">
      <c r="A222" s="80">
        <f t="shared" ref="A222:A223" si="32">A221+1</f>
        <v>2</v>
      </c>
      <c r="B222" s="81"/>
      <c r="C222" s="42" t="s">
        <v>209</v>
      </c>
      <c r="D222" s="55">
        <f>(79.27)*10.764</f>
        <v>853.26227999999992</v>
      </c>
      <c r="E222" s="42">
        <v>0</v>
      </c>
      <c r="F222" s="42">
        <f>D222*(($F$148)+1)+(IF(E222&lt;101,E222,IF(E222&lt;201,E222/2,IF(E222&lt;=301,E222/3,E222/4))))</f>
        <v>1322.5565339999998</v>
      </c>
      <c r="G222" s="80" t="str">
        <f t="shared" ref="G222:G223" si="33">G221</f>
        <v>7th Floor (Part Refuge Area)</v>
      </c>
      <c r="H222" s="81"/>
      <c r="I222" s="36"/>
      <c r="L222" s="177"/>
      <c r="M222" s="177"/>
      <c r="N222" s="36"/>
    </row>
    <row r="223" spans="1:14" s="37" customFormat="1" x14ac:dyDescent="0.25">
      <c r="A223" s="80">
        <f t="shared" si="32"/>
        <v>3</v>
      </c>
      <c r="B223" s="81"/>
      <c r="C223" s="42" t="s">
        <v>200</v>
      </c>
      <c r="D223" s="55">
        <f>(59.35)*10.764</f>
        <v>638.84339999999997</v>
      </c>
      <c r="E223" s="42">
        <v>0</v>
      </c>
      <c r="F223" s="42">
        <f>D223*(($F$148)+1)+(IF(E223&lt;101,E223,IF(E223&lt;201,E223/2,IF(E223&lt;=301,E223/3,E223/4))))</f>
        <v>990.20726999999999</v>
      </c>
      <c r="G223" s="80" t="str">
        <f t="shared" si="33"/>
        <v>7th Floor (Part Refuge Area)</v>
      </c>
      <c r="H223" s="81"/>
      <c r="I223" s="36"/>
      <c r="L223" s="177"/>
      <c r="M223" s="177"/>
      <c r="N223" s="36"/>
    </row>
    <row r="224" spans="1:14" s="35" customFormat="1" x14ac:dyDescent="0.25">
      <c r="A224" s="187" t="s">
        <v>70</v>
      </c>
      <c r="B224" s="187"/>
      <c r="C224" s="187"/>
      <c r="D224" s="187"/>
      <c r="E224" s="187"/>
      <c r="F224" s="187"/>
      <c r="G224" s="187"/>
      <c r="H224" s="187"/>
    </row>
    <row r="225" spans="1:8" s="35" customFormat="1" x14ac:dyDescent="0.25">
      <c r="A225" s="47" t="s">
        <v>159</v>
      </c>
      <c r="B225" s="101" t="s">
        <v>230</v>
      </c>
      <c r="C225" s="102"/>
      <c r="D225" s="102"/>
      <c r="E225" s="102"/>
      <c r="F225" s="102"/>
      <c r="G225" s="102"/>
      <c r="H225" s="103"/>
    </row>
    <row r="226" spans="1:8" s="35" customFormat="1" x14ac:dyDescent="0.25">
      <c r="A226" s="47" t="s">
        <v>159</v>
      </c>
      <c r="B226" s="101" t="str">
        <f>(IF(F147="Saleable area Loading :","We have considered Saleable area of Flats as per our Calculation.","We considered Saleable area of Flat as per Builder area Sheet."))</f>
        <v>We have considered Saleable area of Flats as per our Calculation.</v>
      </c>
      <c r="C226" s="102"/>
      <c r="D226" s="102"/>
      <c r="E226" s="102"/>
      <c r="F226" s="102"/>
      <c r="G226" s="102"/>
      <c r="H226" s="103"/>
    </row>
    <row r="227" spans="1:8" s="35" customFormat="1" x14ac:dyDescent="0.25">
      <c r="A227" s="47" t="s">
        <v>159</v>
      </c>
      <c r="B227" s="101" t="str">
        <f>(IF(F139="Saleable area Loading :","We have considered Saleable area of Commercial as per our Calculation.","We considered Saleable area of Commercial as per Builder area Sheet."))</f>
        <v>We have considered Saleable area of Commercial as per our Calculation.</v>
      </c>
      <c r="C227" s="102"/>
      <c r="D227" s="102"/>
      <c r="E227" s="102"/>
      <c r="F227" s="102"/>
      <c r="G227" s="102"/>
      <c r="H227" s="103"/>
    </row>
    <row r="228" spans="1:8" s="35" customFormat="1" x14ac:dyDescent="0.25">
      <c r="A228" s="47" t="s">
        <v>159</v>
      </c>
      <c r="B228" s="83" t="s">
        <v>129</v>
      </c>
      <c r="C228" s="84"/>
      <c r="D228" s="84"/>
      <c r="E228" s="84"/>
      <c r="F228" s="84"/>
      <c r="G228" s="84"/>
      <c r="H228" s="85"/>
    </row>
    <row r="229" spans="1:8" s="35" customFormat="1" x14ac:dyDescent="0.25">
      <c r="A229" s="47" t="s">
        <v>159</v>
      </c>
      <c r="B229" s="83" t="s">
        <v>212</v>
      </c>
      <c r="C229" s="84"/>
      <c r="D229" s="84"/>
      <c r="E229" s="84"/>
      <c r="F229" s="84"/>
      <c r="G229" s="84"/>
      <c r="H229" s="85"/>
    </row>
    <row r="230" spans="1:8" s="35" customFormat="1" x14ac:dyDescent="0.25">
      <c r="A230" s="47" t="s">
        <v>159</v>
      </c>
      <c r="B230" s="83" t="s">
        <v>158</v>
      </c>
      <c r="C230" s="84"/>
      <c r="D230" s="84"/>
      <c r="E230" s="84"/>
      <c r="F230" s="84"/>
      <c r="G230" s="84"/>
      <c r="H230" s="85"/>
    </row>
    <row r="231" spans="1:8" s="35" customFormat="1" x14ac:dyDescent="0.25">
      <c r="A231" s="47" t="s">
        <v>159</v>
      </c>
      <c r="B231" s="83" t="s">
        <v>130</v>
      </c>
      <c r="C231" s="84"/>
      <c r="D231" s="84"/>
      <c r="E231" s="84"/>
      <c r="F231" s="84"/>
      <c r="G231" s="84"/>
      <c r="H231" s="85"/>
    </row>
    <row r="232" spans="1:8" s="35" customFormat="1" ht="34.5" customHeight="1" x14ac:dyDescent="0.25">
      <c r="A232" s="47" t="s">
        <v>159</v>
      </c>
      <c r="B232" s="83" t="s">
        <v>160</v>
      </c>
      <c r="C232" s="84"/>
      <c r="D232" s="84"/>
      <c r="E232" s="84"/>
      <c r="F232" s="84"/>
      <c r="G232" s="84"/>
      <c r="H232" s="85"/>
    </row>
    <row r="233" spans="1:8" s="35" customFormat="1" x14ac:dyDescent="0.25">
      <c r="A233" s="47" t="s">
        <v>159</v>
      </c>
      <c r="B233" s="83" t="s">
        <v>131</v>
      </c>
      <c r="C233" s="84"/>
      <c r="D233" s="84"/>
      <c r="E233" s="84"/>
      <c r="F233" s="84"/>
      <c r="G233" s="84"/>
      <c r="H233" s="85"/>
    </row>
    <row r="234" spans="1:8" s="35" customFormat="1" x14ac:dyDescent="0.25">
      <c r="A234" s="47" t="s">
        <v>159</v>
      </c>
      <c r="B234" s="101" t="s">
        <v>241</v>
      </c>
      <c r="C234" s="102"/>
      <c r="D234" s="102"/>
      <c r="E234" s="102"/>
      <c r="F234" s="102"/>
      <c r="G234" s="102"/>
      <c r="H234" s="103"/>
    </row>
    <row r="235" spans="1:8" s="35" customFormat="1" x14ac:dyDescent="0.25">
      <c r="A235" s="47" t="s">
        <v>159</v>
      </c>
      <c r="B235" s="101" t="s">
        <v>224</v>
      </c>
      <c r="C235" s="102"/>
      <c r="D235" s="102"/>
      <c r="E235" s="102"/>
      <c r="F235" s="102"/>
      <c r="G235" s="102"/>
      <c r="H235" s="103"/>
    </row>
    <row r="236" spans="1:8" s="35" customFormat="1" ht="33.6" customHeight="1" x14ac:dyDescent="0.25">
      <c r="A236" s="47" t="s">
        <v>159</v>
      </c>
      <c r="B236" s="101" t="s">
        <v>242</v>
      </c>
      <c r="C236" s="102"/>
      <c r="D236" s="102"/>
      <c r="E236" s="102"/>
      <c r="F236" s="102"/>
      <c r="G236" s="102"/>
      <c r="H236" s="103"/>
    </row>
    <row r="237" spans="1:8" s="35" customFormat="1" x14ac:dyDescent="0.25">
      <c r="A237" s="47" t="s">
        <v>159</v>
      </c>
      <c r="B237" s="83" t="s">
        <v>225</v>
      </c>
      <c r="C237" s="84"/>
      <c r="D237" s="84"/>
      <c r="E237" s="84"/>
      <c r="F237" s="84"/>
      <c r="G237" s="84"/>
      <c r="H237" s="85"/>
    </row>
    <row r="238" spans="1:8" x14ac:dyDescent="0.25">
      <c r="A238" s="78" t="s">
        <v>63</v>
      </c>
      <c r="B238" s="78"/>
      <c r="C238" s="78"/>
      <c r="D238" s="78"/>
      <c r="E238" s="78"/>
      <c r="F238" s="78"/>
      <c r="G238" s="78"/>
      <c r="H238" s="78"/>
    </row>
    <row r="239" spans="1:8" x14ac:dyDescent="0.25">
      <c r="A239" s="121" t="s">
        <v>64</v>
      </c>
      <c r="B239" s="121"/>
      <c r="C239" s="121"/>
      <c r="D239" s="121"/>
      <c r="E239" s="121"/>
      <c r="F239" s="121"/>
      <c r="G239" s="121"/>
      <c r="H239" s="121"/>
    </row>
    <row r="240" spans="1:8" ht="15.75" customHeight="1" x14ac:dyDescent="0.25">
      <c r="A240" s="104" t="s">
        <v>65</v>
      </c>
      <c r="B240" s="104"/>
      <c r="C240" s="104"/>
      <c r="D240" s="104"/>
      <c r="E240" s="104"/>
      <c r="F240" s="104"/>
      <c r="G240" s="104"/>
      <c r="H240" s="104"/>
    </row>
    <row r="241" spans="1:8" x14ac:dyDescent="0.25">
      <c r="A241" s="121" t="s">
        <v>66</v>
      </c>
      <c r="B241" s="121"/>
      <c r="C241" s="121"/>
      <c r="D241" s="121"/>
      <c r="E241" s="121"/>
      <c r="F241" s="121"/>
      <c r="G241" s="121"/>
      <c r="H241" s="121"/>
    </row>
    <row r="242" spans="1:8" x14ac:dyDescent="0.25">
      <c r="A242" s="121" t="s">
        <v>67</v>
      </c>
      <c r="B242" s="121"/>
      <c r="C242" s="121"/>
      <c r="D242" s="121"/>
      <c r="E242" s="121"/>
      <c r="F242" s="121"/>
      <c r="G242" s="121"/>
      <c r="H242" s="121"/>
    </row>
    <row r="243" spans="1:8" x14ac:dyDescent="0.25">
      <c r="A243" s="121" t="s">
        <v>132</v>
      </c>
      <c r="B243" s="121"/>
      <c r="C243" s="121"/>
      <c r="D243" s="121"/>
      <c r="E243" s="121"/>
      <c r="F243" s="121"/>
      <c r="G243" s="121"/>
      <c r="H243" s="121"/>
    </row>
    <row r="244" spans="1:8" x14ac:dyDescent="0.25">
      <c r="A244" s="140" t="s">
        <v>133</v>
      </c>
      <c r="B244" s="140"/>
      <c r="C244" s="140"/>
      <c r="D244" s="140"/>
      <c r="E244" s="140"/>
      <c r="F244" s="140"/>
      <c r="G244" s="140"/>
      <c r="H244" s="140"/>
    </row>
    <row r="245" spans="1:8" x14ac:dyDescent="0.25">
      <c r="A245" s="142" t="s">
        <v>80</v>
      </c>
      <c r="B245" s="142"/>
      <c r="C245" s="142" t="s">
        <v>227</v>
      </c>
      <c r="D245" s="142"/>
      <c r="E245" s="142" t="s">
        <v>110</v>
      </c>
      <c r="F245" s="142"/>
      <c r="G245" s="142" t="s">
        <v>243</v>
      </c>
      <c r="H245" s="142"/>
    </row>
    <row r="246" spans="1:8" x14ac:dyDescent="0.25">
      <c r="A246" s="141" t="s">
        <v>82</v>
      </c>
      <c r="B246" s="141"/>
      <c r="C246" s="141"/>
      <c r="D246" s="141"/>
      <c r="E246" s="141"/>
      <c r="F246" s="141"/>
      <c r="G246" s="141"/>
      <c r="H246" s="141"/>
    </row>
    <row r="247" spans="1:8" x14ac:dyDescent="0.25">
      <c r="A247" s="141"/>
      <c r="B247" s="141"/>
      <c r="C247" s="141"/>
      <c r="D247" s="141"/>
      <c r="E247" s="141"/>
      <c r="F247" s="141"/>
      <c r="G247" s="141"/>
      <c r="H247" s="141"/>
    </row>
    <row r="248" spans="1:8" x14ac:dyDescent="0.25">
      <c r="A248" s="141"/>
      <c r="B248" s="141"/>
      <c r="C248" s="141"/>
      <c r="D248" s="141"/>
      <c r="E248" s="141"/>
      <c r="F248" s="141"/>
      <c r="G248" s="141"/>
      <c r="H248" s="141"/>
    </row>
    <row r="249" spans="1:8" x14ac:dyDescent="0.25">
      <c r="A249" s="141"/>
      <c r="B249" s="141"/>
      <c r="C249" s="141"/>
      <c r="D249" s="141"/>
      <c r="E249" s="141"/>
      <c r="F249" s="141"/>
      <c r="G249" s="141"/>
      <c r="H249" s="141"/>
    </row>
    <row r="250" spans="1:8" x14ac:dyDescent="0.25">
      <c r="A250" s="38" t="s">
        <v>68</v>
      </c>
      <c r="B250" s="39"/>
      <c r="C250" s="39"/>
      <c r="D250" s="38" t="str">
        <f>E8</f>
        <v>Paranjape Athena</v>
      </c>
      <c r="F250" s="39"/>
      <c r="G250" s="39"/>
      <c r="H250" s="39"/>
    </row>
    <row r="251" spans="1:8" x14ac:dyDescent="0.25">
      <c r="A251" s="39"/>
      <c r="B251" s="39"/>
      <c r="C251" s="39"/>
      <c r="D251" s="39"/>
      <c r="E251" s="39"/>
      <c r="F251" s="39"/>
      <c r="G251" s="39"/>
      <c r="H251" s="39"/>
    </row>
    <row r="252" spans="1:8" x14ac:dyDescent="0.25">
      <c r="A252" s="39"/>
      <c r="B252" s="39"/>
      <c r="C252" s="39"/>
      <c r="D252" s="39"/>
      <c r="E252" s="39"/>
      <c r="F252" s="39"/>
      <c r="G252" s="39"/>
      <c r="H252" s="39"/>
    </row>
    <row r="253" spans="1:8" ht="15" customHeight="1" x14ac:dyDescent="0.25"/>
    <row r="290" spans="1:1" hidden="1" x14ac:dyDescent="0.25"/>
    <row r="291" spans="1:1" hidden="1" x14ac:dyDescent="0.25"/>
    <row r="294" spans="1:1" x14ac:dyDescent="0.25">
      <c r="A294" s="41" t="s">
        <v>172</v>
      </c>
    </row>
    <row r="336" spans="1:1" x14ac:dyDescent="0.25">
      <c r="A336" s="41" t="s">
        <v>69</v>
      </c>
    </row>
  </sheetData>
  <mergeCells count="507">
    <mergeCell ref="A182:B182"/>
    <mergeCell ref="A185:B185"/>
    <mergeCell ref="G185:H185"/>
    <mergeCell ref="B236:H236"/>
    <mergeCell ref="B237:H237"/>
    <mergeCell ref="A50:B51"/>
    <mergeCell ref="C50:E50"/>
    <mergeCell ref="G50:H50"/>
    <mergeCell ref="A65:C65"/>
    <mergeCell ref="D65:H65"/>
    <mergeCell ref="A71:B71"/>
    <mergeCell ref="G70:H70"/>
    <mergeCell ref="B233:H233"/>
    <mergeCell ref="A151:H151"/>
    <mergeCell ref="A166:H166"/>
    <mergeCell ref="A180:H180"/>
    <mergeCell ref="A197:H197"/>
    <mergeCell ref="L221:M221"/>
    <mergeCell ref="L222:M222"/>
    <mergeCell ref="L223:M223"/>
    <mergeCell ref="C221:F221"/>
    <mergeCell ref="A219:B219"/>
    <mergeCell ref="G219:H219"/>
    <mergeCell ref="L219:M219"/>
    <mergeCell ref="G182:H182"/>
    <mergeCell ref="L182:M182"/>
    <mergeCell ref="A183:B183"/>
    <mergeCell ref="G183:H183"/>
    <mergeCell ref="L183:M183"/>
    <mergeCell ref="A184:B184"/>
    <mergeCell ref="G184:H184"/>
    <mergeCell ref="L184:M184"/>
    <mergeCell ref="G193:H193"/>
    <mergeCell ref="L193:M193"/>
    <mergeCell ref="A194:B194"/>
    <mergeCell ref="G194:H194"/>
    <mergeCell ref="L194:M194"/>
    <mergeCell ref="A195:B195"/>
    <mergeCell ref="G195:H195"/>
    <mergeCell ref="A211:H211"/>
    <mergeCell ref="G215:H215"/>
    <mergeCell ref="L218:M218"/>
    <mergeCell ref="L190:M190"/>
    <mergeCell ref="A202:H202"/>
    <mergeCell ref="A203:B203"/>
    <mergeCell ref="G203:H203"/>
    <mergeCell ref="L203:M203"/>
    <mergeCell ref="A204:B204"/>
    <mergeCell ref="G204:H204"/>
    <mergeCell ref="L204:M204"/>
    <mergeCell ref="A191:H191"/>
    <mergeCell ref="A192:B192"/>
    <mergeCell ref="G192:H192"/>
    <mergeCell ref="L192:M192"/>
    <mergeCell ref="A193:B193"/>
    <mergeCell ref="L215:M215"/>
    <mergeCell ref="A212:H212"/>
    <mergeCell ref="A215:B215"/>
    <mergeCell ref="A217:B217"/>
    <mergeCell ref="G217:H217"/>
    <mergeCell ref="L217:M217"/>
    <mergeCell ref="L213:M213"/>
    <mergeCell ref="A214:B214"/>
    <mergeCell ref="L209:M209"/>
    <mergeCell ref="A216:H216"/>
    <mergeCell ref="L158:M158"/>
    <mergeCell ref="A159:B159"/>
    <mergeCell ref="G159:H159"/>
    <mergeCell ref="L159:M159"/>
    <mergeCell ref="A160:B160"/>
    <mergeCell ref="G160:H160"/>
    <mergeCell ref="L160:M160"/>
    <mergeCell ref="L162:M162"/>
    <mergeCell ref="A163:B163"/>
    <mergeCell ref="G163:H163"/>
    <mergeCell ref="L163:M163"/>
    <mergeCell ref="A179:H179"/>
    <mergeCell ref="G174:H174"/>
    <mergeCell ref="L174:M174"/>
    <mergeCell ref="A176:B176"/>
    <mergeCell ref="G176:H176"/>
    <mergeCell ref="A175:H175"/>
    <mergeCell ref="L172:M172"/>
    <mergeCell ref="A173:B173"/>
    <mergeCell ref="G173:H173"/>
    <mergeCell ref="L173:M173"/>
    <mergeCell ref="A174:B174"/>
    <mergeCell ref="G164:H164"/>
    <mergeCell ref="L164:M164"/>
    <mergeCell ref="C162:F162"/>
    <mergeCell ref="L168:M168"/>
    <mergeCell ref="A169:B169"/>
    <mergeCell ref="L169:M169"/>
    <mergeCell ref="A170:B170"/>
    <mergeCell ref="G170:H170"/>
    <mergeCell ref="L170:M170"/>
    <mergeCell ref="L214:M214"/>
    <mergeCell ref="A200:B200"/>
    <mergeCell ref="G200:H200"/>
    <mergeCell ref="L200:M200"/>
    <mergeCell ref="A201:B201"/>
    <mergeCell ref="G201:H201"/>
    <mergeCell ref="L201:M201"/>
    <mergeCell ref="A210:H210"/>
    <mergeCell ref="A205:B205"/>
    <mergeCell ref="G205:H205"/>
    <mergeCell ref="L205:M205"/>
    <mergeCell ref="A206:H206"/>
    <mergeCell ref="L207:M207"/>
    <mergeCell ref="L208:M208"/>
    <mergeCell ref="L199:M199"/>
    <mergeCell ref="A186:H186"/>
    <mergeCell ref="A187:B187"/>
    <mergeCell ref="G187:H187"/>
    <mergeCell ref="L187:M187"/>
    <mergeCell ref="A188:B188"/>
    <mergeCell ref="G188:H188"/>
    <mergeCell ref="L188:M188"/>
    <mergeCell ref="A189:B189"/>
    <mergeCell ref="L195:M195"/>
    <mergeCell ref="C192:F192"/>
    <mergeCell ref="G189:H189"/>
    <mergeCell ref="L189:M189"/>
    <mergeCell ref="L177:M177"/>
    <mergeCell ref="A178:B178"/>
    <mergeCell ref="G178:H178"/>
    <mergeCell ref="L178:M178"/>
    <mergeCell ref="C176:F176"/>
    <mergeCell ref="L176:M176"/>
    <mergeCell ref="A177:B177"/>
    <mergeCell ref="G177:H177"/>
    <mergeCell ref="B232:H232"/>
    <mergeCell ref="G222:H222"/>
    <mergeCell ref="A224:H224"/>
    <mergeCell ref="A208:B208"/>
    <mergeCell ref="G209:H209"/>
    <mergeCell ref="A209:B209"/>
    <mergeCell ref="A207:B207"/>
    <mergeCell ref="G190:H190"/>
    <mergeCell ref="C208:F208"/>
    <mergeCell ref="L185:M185"/>
    <mergeCell ref="C184:F184"/>
    <mergeCell ref="A181:H181"/>
    <mergeCell ref="A196:H196"/>
    <mergeCell ref="A198:H198"/>
    <mergeCell ref="A199:B199"/>
    <mergeCell ref="G199:H199"/>
    <mergeCell ref="B230:H230"/>
    <mergeCell ref="A100:B100"/>
    <mergeCell ref="A101:B101"/>
    <mergeCell ref="G85:H94"/>
    <mergeCell ref="A86:B86"/>
    <mergeCell ref="A87:B87"/>
    <mergeCell ref="A88:B88"/>
    <mergeCell ref="F111:H111"/>
    <mergeCell ref="A111:E111"/>
    <mergeCell ref="G208:H208"/>
    <mergeCell ref="D139:D140"/>
    <mergeCell ref="A113:E113"/>
    <mergeCell ref="A142:B142"/>
    <mergeCell ref="A143:B143"/>
    <mergeCell ref="A144:B144"/>
    <mergeCell ref="A149:H149"/>
    <mergeCell ref="A150:H150"/>
    <mergeCell ref="A152:H152"/>
    <mergeCell ref="A165:H165"/>
    <mergeCell ref="A98:B98"/>
    <mergeCell ref="E98:F98"/>
    <mergeCell ref="G172:H172"/>
    <mergeCell ref="G214:H214"/>
    <mergeCell ref="A164:B164"/>
    <mergeCell ref="A38:B38"/>
    <mergeCell ref="C38:H38"/>
    <mergeCell ref="A130:B130"/>
    <mergeCell ref="C130:D130"/>
    <mergeCell ref="E130:F130"/>
    <mergeCell ref="G130:H130"/>
    <mergeCell ref="A131:B131"/>
    <mergeCell ref="C131:D131"/>
    <mergeCell ref="E131:F131"/>
    <mergeCell ref="G131:H131"/>
    <mergeCell ref="F115:H115"/>
    <mergeCell ref="A116:E116"/>
    <mergeCell ref="A97:B97"/>
    <mergeCell ref="C97:H97"/>
    <mergeCell ref="A47:B47"/>
    <mergeCell ref="C47:H47"/>
    <mergeCell ref="A99:B99"/>
    <mergeCell ref="A117:E117"/>
    <mergeCell ref="A135:B135"/>
    <mergeCell ref="E135:F135"/>
    <mergeCell ref="A133:B133"/>
    <mergeCell ref="C133:D133"/>
    <mergeCell ref="E133:F133"/>
    <mergeCell ref="A102:B102"/>
    <mergeCell ref="A103:B103"/>
    <mergeCell ref="C129:D129"/>
    <mergeCell ref="A171:H171"/>
    <mergeCell ref="A107:B107"/>
    <mergeCell ref="A112:E112"/>
    <mergeCell ref="A109:E109"/>
    <mergeCell ref="F113:H113"/>
    <mergeCell ref="F117:H117"/>
    <mergeCell ref="A115:E115"/>
    <mergeCell ref="G162:H162"/>
    <mergeCell ref="G169:H169"/>
    <mergeCell ref="C139:C140"/>
    <mergeCell ref="B147:B148"/>
    <mergeCell ref="A154:B154"/>
    <mergeCell ref="A145:B145"/>
    <mergeCell ref="G154:H154"/>
    <mergeCell ref="A153:H153"/>
    <mergeCell ref="A167:H167"/>
    <mergeCell ref="A168:B168"/>
    <mergeCell ref="G168:H168"/>
    <mergeCell ref="A161:H161"/>
    <mergeCell ref="A162:B162"/>
    <mergeCell ref="G144:H144"/>
    <mergeCell ref="G142:H142"/>
    <mergeCell ref="G143:H143"/>
    <mergeCell ref="A114:E114"/>
    <mergeCell ref="L154:M154"/>
    <mergeCell ref="A155:B155"/>
    <mergeCell ref="G155:H155"/>
    <mergeCell ref="L155:M155"/>
    <mergeCell ref="A156:B156"/>
    <mergeCell ref="G156:H156"/>
    <mergeCell ref="L156:M156"/>
    <mergeCell ref="E99:F108"/>
    <mergeCell ref="F109:H109"/>
    <mergeCell ref="F114:H114"/>
    <mergeCell ref="A146:H146"/>
    <mergeCell ref="A147:A148"/>
    <mergeCell ref="A120:E120"/>
    <mergeCell ref="G135:H135"/>
    <mergeCell ref="C126:D126"/>
    <mergeCell ref="E126:F126"/>
    <mergeCell ref="G126:H126"/>
    <mergeCell ref="A127:B127"/>
    <mergeCell ref="C127:D127"/>
    <mergeCell ref="E127:F127"/>
    <mergeCell ref="G127:H127"/>
    <mergeCell ref="A134:B134"/>
    <mergeCell ref="A106:B106"/>
    <mergeCell ref="G133:H133"/>
    <mergeCell ref="L145:M145"/>
    <mergeCell ref="L144:M144"/>
    <mergeCell ref="L143:M143"/>
    <mergeCell ref="L142:M142"/>
    <mergeCell ref="A78:B78"/>
    <mergeCell ref="C132:D132"/>
    <mergeCell ref="E132:F132"/>
    <mergeCell ref="G132:H132"/>
    <mergeCell ref="F116:H116"/>
    <mergeCell ref="A110:E110"/>
    <mergeCell ref="A95:B95"/>
    <mergeCell ref="C95:H95"/>
    <mergeCell ref="A141:H141"/>
    <mergeCell ref="E139:E140"/>
    <mergeCell ref="G139:H140"/>
    <mergeCell ref="A85:B85"/>
    <mergeCell ref="E85:F94"/>
    <mergeCell ref="A92:B92"/>
    <mergeCell ref="A83:B83"/>
    <mergeCell ref="C83:H83"/>
    <mergeCell ref="A84:B84"/>
    <mergeCell ref="E84:F84"/>
    <mergeCell ref="G98:H98"/>
    <mergeCell ref="C134:D134"/>
    <mergeCell ref="A36:H36"/>
    <mergeCell ref="A35:B35"/>
    <mergeCell ref="C35:E35"/>
    <mergeCell ref="G99:H108"/>
    <mergeCell ref="A40:D40"/>
    <mergeCell ref="E40:H40"/>
    <mergeCell ref="A77:B77"/>
    <mergeCell ref="A70:B70"/>
    <mergeCell ref="A73:B73"/>
    <mergeCell ref="A69:B69"/>
    <mergeCell ref="A67:B67"/>
    <mergeCell ref="C67:H67"/>
    <mergeCell ref="A75:B75"/>
    <mergeCell ref="A62:C62"/>
    <mergeCell ref="D62:H62"/>
    <mergeCell ref="C69:H69"/>
    <mergeCell ref="A72:B72"/>
    <mergeCell ref="A74:B74"/>
    <mergeCell ref="E70:F70"/>
    <mergeCell ref="A37:B37"/>
    <mergeCell ref="C37:H37"/>
    <mergeCell ref="A45:D45"/>
    <mergeCell ref="A46:H46"/>
    <mergeCell ref="D64:H64"/>
    <mergeCell ref="E42:H42"/>
    <mergeCell ref="E43:H43"/>
    <mergeCell ref="E45:H45"/>
    <mergeCell ref="D56:H56"/>
    <mergeCell ref="A56:C56"/>
    <mergeCell ref="G49:H49"/>
    <mergeCell ref="A93:B93"/>
    <mergeCell ref="A44:D44"/>
    <mergeCell ref="A60:C60"/>
    <mergeCell ref="A61:C61"/>
    <mergeCell ref="D60:H60"/>
    <mergeCell ref="E71:F80"/>
    <mergeCell ref="G71:H80"/>
    <mergeCell ref="A79:B79"/>
    <mergeCell ref="A80:B80"/>
    <mergeCell ref="D61:H61"/>
    <mergeCell ref="A63:C63"/>
    <mergeCell ref="D63:H63"/>
    <mergeCell ref="G84:H84"/>
    <mergeCell ref="A66:C66"/>
    <mergeCell ref="D66:H66"/>
    <mergeCell ref="A64:C64"/>
    <mergeCell ref="A43:D43"/>
    <mergeCell ref="E44:H44"/>
    <mergeCell ref="F34:H34"/>
    <mergeCell ref="F31:H31"/>
    <mergeCell ref="A32:B32"/>
    <mergeCell ref="A31:B31"/>
    <mergeCell ref="C32:E32"/>
    <mergeCell ref="A33:B33"/>
    <mergeCell ref="C33:E33"/>
    <mergeCell ref="F32:H32"/>
    <mergeCell ref="F33:H33"/>
    <mergeCell ref="E41:H41"/>
    <mergeCell ref="A41:D41"/>
    <mergeCell ref="F35:H35"/>
    <mergeCell ref="A39:H39"/>
    <mergeCell ref="A42:D42"/>
    <mergeCell ref="E20:F20"/>
    <mergeCell ref="G20:H20"/>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A10:D10"/>
    <mergeCell ref="E10:H10"/>
    <mergeCell ref="A21:D22"/>
    <mergeCell ref="E21:H22"/>
    <mergeCell ref="E13:H13"/>
    <mergeCell ref="A14:B14"/>
    <mergeCell ref="C14:H14"/>
    <mergeCell ref="C15:H15"/>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A16:B16"/>
    <mergeCell ref="C16:H16"/>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89:B89"/>
    <mergeCell ref="A246:H249"/>
    <mergeCell ref="A245:B245"/>
    <mergeCell ref="E245:F245"/>
    <mergeCell ref="C245:D245"/>
    <mergeCell ref="G245:H245"/>
    <mergeCell ref="A123:H123"/>
    <mergeCell ref="A121:E121"/>
    <mergeCell ref="F121:H121"/>
    <mergeCell ref="A122:E122"/>
    <mergeCell ref="F122:H122"/>
    <mergeCell ref="A132:B132"/>
    <mergeCell ref="A125:B125"/>
    <mergeCell ref="A241:H241"/>
    <mergeCell ref="A128:H128"/>
    <mergeCell ref="A244:H244"/>
    <mergeCell ref="A242:H242"/>
    <mergeCell ref="A223:B223"/>
    <mergeCell ref="A137:H137"/>
    <mergeCell ref="G207:H207"/>
    <mergeCell ref="B225:H225"/>
    <mergeCell ref="B226:H226"/>
    <mergeCell ref="B139:B140"/>
    <mergeCell ref="A243:H243"/>
    <mergeCell ref="A238:H238"/>
    <mergeCell ref="A239:H239"/>
    <mergeCell ref="E129:F129"/>
    <mergeCell ref="B235:H235"/>
    <mergeCell ref="D55:H55"/>
    <mergeCell ref="G52:H52"/>
    <mergeCell ref="D59:H59"/>
    <mergeCell ref="C124:D124"/>
    <mergeCell ref="F120:H120"/>
    <mergeCell ref="F118:H118"/>
    <mergeCell ref="A138:H138"/>
    <mergeCell ref="G124:H124"/>
    <mergeCell ref="A119:E119"/>
    <mergeCell ref="C125:D125"/>
    <mergeCell ref="E125:F125"/>
    <mergeCell ref="C135:D135"/>
    <mergeCell ref="F119:H119"/>
    <mergeCell ref="E124:F124"/>
    <mergeCell ref="A124:B124"/>
    <mergeCell ref="A126:B126"/>
    <mergeCell ref="A136:B136"/>
    <mergeCell ref="C136:D136"/>
    <mergeCell ref="E136:F136"/>
    <mergeCell ref="G136:H136"/>
    <mergeCell ref="B231:H231"/>
    <mergeCell ref="B227:H227"/>
    <mergeCell ref="G223:H223"/>
    <mergeCell ref="A222:B222"/>
    <mergeCell ref="B234:H234"/>
    <mergeCell ref="G134:H134"/>
    <mergeCell ref="A240:H240"/>
    <mergeCell ref="A129:B129"/>
    <mergeCell ref="D147:D148"/>
    <mergeCell ref="E147:E148"/>
    <mergeCell ref="G147:H148"/>
    <mergeCell ref="A220:H220"/>
    <mergeCell ref="A221:B221"/>
    <mergeCell ref="G221:H221"/>
    <mergeCell ref="C147:C148"/>
    <mergeCell ref="A190:B190"/>
    <mergeCell ref="A213:B213"/>
    <mergeCell ref="G213:H213"/>
    <mergeCell ref="A157:H157"/>
    <mergeCell ref="A158:B158"/>
    <mergeCell ref="G158:H158"/>
    <mergeCell ref="A218:B218"/>
    <mergeCell ref="G218:H218"/>
    <mergeCell ref="A139:A140"/>
    <mergeCell ref="G129:H129"/>
    <mergeCell ref="A172:B172"/>
    <mergeCell ref="E134:F134"/>
    <mergeCell ref="B228:H228"/>
    <mergeCell ref="B229:H229"/>
    <mergeCell ref="C51:H51"/>
    <mergeCell ref="A81:B81"/>
    <mergeCell ref="C81:H81"/>
    <mergeCell ref="A105:B105"/>
    <mergeCell ref="A76:B76"/>
    <mergeCell ref="F110:H110"/>
    <mergeCell ref="G125:H125"/>
    <mergeCell ref="A108:B108"/>
    <mergeCell ref="A90:B90"/>
    <mergeCell ref="A91:B91"/>
    <mergeCell ref="A94:B94"/>
    <mergeCell ref="A104:B104"/>
    <mergeCell ref="C185:F185"/>
    <mergeCell ref="C199:F199"/>
    <mergeCell ref="C201:F201"/>
    <mergeCell ref="G145:H145"/>
    <mergeCell ref="A118:E118"/>
    <mergeCell ref="F112:H112"/>
    <mergeCell ref="A54:C54"/>
    <mergeCell ref="A48:B48"/>
    <mergeCell ref="C48:E48"/>
    <mergeCell ref="G48:H48"/>
    <mergeCell ref="D54:H54"/>
    <mergeCell ref="A57:C59"/>
    <mergeCell ref="D57:H57"/>
    <mergeCell ref="D58:H58"/>
    <mergeCell ref="C49:E49"/>
    <mergeCell ref="A52:B52"/>
    <mergeCell ref="C52:E52"/>
    <mergeCell ref="A49:B49"/>
    <mergeCell ref="A53:H53"/>
    <mergeCell ref="A55:C55"/>
  </mergeCells>
  <hyperlinks>
    <hyperlink ref="C38"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66" max="16383" man="1"/>
    <brk id="136" max="16383" man="1"/>
    <brk id="249" max="16383" man="1"/>
    <brk id="293" max="16383" man="1"/>
    <brk id="33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93" t="s">
        <v>111</v>
      </c>
      <c r="C3" s="193"/>
      <c r="D3" s="193"/>
      <c r="E3" s="193"/>
      <c r="F3" s="193"/>
      <c r="G3" s="193"/>
      <c r="H3" s="193"/>
    </row>
    <row r="4" spans="1:9" x14ac:dyDescent="0.25">
      <c r="A4" s="2"/>
      <c r="B4" s="3" t="s">
        <v>112</v>
      </c>
      <c r="C4" s="3" t="s">
        <v>113</v>
      </c>
      <c r="D4" s="3" t="s">
        <v>71</v>
      </c>
      <c r="E4" s="3" t="s">
        <v>114</v>
      </c>
      <c r="F4" s="3" t="s">
        <v>120</v>
      </c>
      <c r="G4" s="3" t="s">
        <v>121</v>
      </c>
      <c r="H4" s="3" t="s">
        <v>115</v>
      </c>
    </row>
    <row r="5" spans="1:9" ht="15" customHeight="1" x14ac:dyDescent="0.25">
      <c r="A5" s="2"/>
      <c r="B5" s="5" t="s">
        <v>116</v>
      </c>
      <c r="C5" s="6"/>
      <c r="D5" s="5"/>
      <c r="E5" s="5"/>
      <c r="F5" s="7">
        <f>E5*1.6</f>
        <v>0</v>
      </c>
      <c r="G5" s="7" t="e">
        <f>H5/F5</f>
        <v>#DIV/0!</v>
      </c>
      <c r="H5" s="8"/>
    </row>
    <row r="6" spans="1:9" x14ac:dyDescent="0.25">
      <c r="A6" s="2"/>
      <c r="B6" s="5" t="s">
        <v>116</v>
      </c>
      <c r="C6" s="9"/>
      <c r="D6" s="5"/>
      <c r="E6" s="5"/>
      <c r="F6" s="7">
        <f t="shared" ref="F6:F11" si="0">E6*1.6</f>
        <v>0</v>
      </c>
      <c r="G6" s="7" t="e">
        <f t="shared" ref="G6:G11" si="1">H6/F6</f>
        <v>#DIV/0!</v>
      </c>
      <c r="H6" s="8"/>
    </row>
    <row r="7" spans="1:9" ht="15" customHeight="1" x14ac:dyDescent="0.25">
      <c r="A7" s="2"/>
      <c r="B7" s="5" t="s">
        <v>116</v>
      </c>
      <c r="C7" s="6"/>
      <c r="D7" s="5"/>
      <c r="E7" s="5"/>
      <c r="F7" s="7">
        <f t="shared" si="0"/>
        <v>0</v>
      </c>
      <c r="G7" s="7" t="e">
        <f t="shared" si="1"/>
        <v>#DIV/0!</v>
      </c>
      <c r="H7" s="8"/>
    </row>
    <row r="8" spans="1:9" x14ac:dyDescent="0.25">
      <c r="A8" s="2"/>
      <c r="B8" s="5" t="s">
        <v>116</v>
      </c>
      <c r="C8" s="9"/>
      <c r="D8" s="5"/>
      <c r="E8" s="5"/>
      <c r="F8" s="7">
        <f t="shared" si="0"/>
        <v>0</v>
      </c>
      <c r="G8" s="7" t="e">
        <f t="shared" si="1"/>
        <v>#DIV/0!</v>
      </c>
      <c r="H8" s="8"/>
    </row>
    <row r="9" spans="1:9" ht="15" customHeight="1" x14ac:dyDescent="0.25">
      <c r="A9" s="2"/>
      <c r="B9" s="5" t="s">
        <v>116</v>
      </c>
      <c r="C9" s="9"/>
      <c r="D9" s="5"/>
      <c r="E9" s="5"/>
      <c r="F9" s="7">
        <f t="shared" si="0"/>
        <v>0</v>
      </c>
      <c r="G9" s="7" t="e">
        <f t="shared" si="1"/>
        <v>#DIV/0!</v>
      </c>
      <c r="H9" s="8"/>
    </row>
    <row r="10" spans="1:9" ht="15" customHeight="1" x14ac:dyDescent="0.25">
      <c r="A10" s="2"/>
      <c r="B10" s="5" t="s">
        <v>117</v>
      </c>
      <c r="C10" s="6"/>
      <c r="D10" s="5"/>
      <c r="E10" s="5"/>
      <c r="F10" s="7">
        <f t="shared" si="0"/>
        <v>0</v>
      </c>
      <c r="G10" s="7" t="e">
        <f t="shared" si="1"/>
        <v>#DIV/0!</v>
      </c>
      <c r="H10" s="8"/>
    </row>
    <row r="11" spans="1:9" ht="15" customHeight="1" x14ac:dyDescent="0.25">
      <c r="A11" s="2"/>
      <c r="B11" s="5" t="s">
        <v>117</v>
      </c>
      <c r="C11" s="6"/>
      <c r="D11" s="5"/>
      <c r="E11" s="5"/>
      <c r="F11" s="7">
        <f t="shared" si="0"/>
        <v>0</v>
      </c>
      <c r="G11" s="7" t="e">
        <f t="shared" si="1"/>
        <v>#DIV/0!</v>
      </c>
      <c r="H11" s="8"/>
    </row>
    <row r="12" spans="1:9" ht="15" customHeight="1" x14ac:dyDescent="0.25">
      <c r="A12" s="2"/>
      <c r="B12" s="10" t="s">
        <v>118</v>
      </c>
      <c r="C12" s="5"/>
      <c r="D12" s="5"/>
      <c r="E12" s="5"/>
      <c r="F12" s="5"/>
      <c r="G12" s="11" t="e">
        <f>AVERAGE(G5:G11)</f>
        <v>#DIV/0!</v>
      </c>
      <c r="H12" s="5"/>
    </row>
    <row r="13" spans="1:9" ht="15" customHeight="1" x14ac:dyDescent="0.25">
      <c r="B13" s="10" t="s">
        <v>119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SACHIN</cp:lastModifiedBy>
  <cp:lastPrinted>2025-09-19T12:49:08Z</cp:lastPrinted>
  <dcterms:created xsi:type="dcterms:W3CDTF">2019-07-16T09:29:46Z</dcterms:created>
  <dcterms:modified xsi:type="dcterms:W3CDTF">2025-09-19T12:54:54Z</dcterms:modified>
</cp:coreProperties>
</file>