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PF\25-26\Sep 2025\Yes Bank\Pranita\21543 -Vrundavan Park\"/>
    </mc:Choice>
  </mc:AlternateContent>
  <bookViews>
    <workbookView xWindow="-105" yWindow="-105" windowWidth="23250" windowHeight="12450" tabRatio="745"/>
  </bookViews>
  <sheets>
    <sheet name="Report" sheetId="15" r:id="rId1"/>
    <sheet name="Valuation" sheetId="23" r:id="rId2"/>
  </sheets>
  <definedNames>
    <definedName name="_xlnm.Print_Area" localSheetId="0">Report!$A$1:$H$371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8" i="15" l="1"/>
  <c r="I180" i="15"/>
  <c r="K179" i="15"/>
  <c r="J175" i="15"/>
  <c r="J174" i="15"/>
  <c r="I172" i="15" l="1"/>
  <c r="I173" i="15"/>
  <c r="I174" i="15"/>
  <c r="I175" i="15"/>
  <c r="I171" i="15"/>
  <c r="I187" i="15"/>
  <c r="J76" i="15"/>
  <c r="J75" i="15"/>
  <c r="J74" i="15"/>
  <c r="J73" i="15"/>
  <c r="B94" i="15"/>
  <c r="H66" i="15"/>
  <c r="H94" i="15"/>
  <c r="D78" i="15" l="1"/>
  <c r="D76" i="15"/>
  <c r="D74" i="15"/>
  <c r="D72" i="15"/>
  <c r="J71" i="15"/>
  <c r="J72" i="15" s="1"/>
  <c r="J77" i="15" s="1"/>
  <c r="J78" i="15" s="1"/>
  <c r="C70" i="15" s="1"/>
  <c r="D77" i="15"/>
  <c r="D75" i="15"/>
  <c r="D73" i="15"/>
  <c r="D71" i="15"/>
  <c r="J69" i="15"/>
  <c r="J70" i="15"/>
  <c r="C69" i="15" s="1"/>
  <c r="J68" i="15"/>
  <c r="J98" i="15"/>
  <c r="J96" i="15"/>
  <c r="D104" i="15"/>
  <c r="D102" i="15"/>
  <c r="D100" i="15"/>
  <c r="D106" i="15"/>
  <c r="D105" i="15"/>
  <c r="D103" i="15"/>
  <c r="D101" i="15"/>
  <c r="J97" i="15"/>
  <c r="D99" i="15"/>
  <c r="J99" i="15"/>
  <c r="J100" i="15" s="1"/>
  <c r="J105" i="15" s="1"/>
  <c r="J106" i="15" s="1"/>
  <c r="J101" i="15"/>
  <c r="J103" i="15"/>
  <c r="J102" i="15"/>
  <c r="J104" i="15"/>
  <c r="I144" i="15"/>
  <c r="D179" i="15"/>
  <c r="C180" i="15"/>
  <c r="E69" i="15" l="1"/>
  <c r="D70" i="15"/>
  <c r="G69" i="15"/>
  <c r="D69" i="15"/>
  <c r="E97" i="15"/>
  <c r="D98" i="15"/>
  <c r="G97" i="15"/>
  <c r="D97" i="15"/>
  <c r="I27" i="15"/>
  <c r="E195" i="15"/>
  <c r="D195" i="15"/>
  <c r="C195" i="15"/>
  <c r="E194" i="15"/>
  <c r="D194" i="15"/>
  <c r="C194" i="15"/>
  <c r="A194" i="15"/>
  <c r="A195" i="15" s="1"/>
  <c r="E193" i="15"/>
  <c r="D193" i="15"/>
  <c r="C193" i="15"/>
  <c r="D187" i="15"/>
  <c r="D186" i="15"/>
  <c r="E189" i="15"/>
  <c r="D189" i="15"/>
  <c r="E188" i="15"/>
  <c r="D188" i="15"/>
  <c r="E187" i="15"/>
  <c r="E186" i="15"/>
  <c r="C189" i="15"/>
  <c r="C188" i="15"/>
  <c r="C187" i="15"/>
  <c r="C186" i="15"/>
  <c r="A187" i="15"/>
  <c r="A188" i="15" s="1"/>
  <c r="A189" i="15" s="1"/>
  <c r="E182" i="15"/>
  <c r="E181" i="15"/>
  <c r="E180" i="15"/>
  <c r="E179" i="15"/>
  <c r="D182" i="15"/>
  <c r="D181" i="15"/>
  <c r="C182" i="15"/>
  <c r="C181" i="15"/>
  <c r="C179" i="15"/>
  <c r="I179" i="15"/>
  <c r="I178" i="15"/>
  <c r="A180" i="15"/>
  <c r="A181" i="15" s="1"/>
  <c r="A182" i="15" s="1"/>
  <c r="E175" i="15"/>
  <c r="E174" i="15"/>
  <c r="E173" i="15"/>
  <c r="E172" i="15"/>
  <c r="E171" i="15"/>
  <c r="D175" i="15"/>
  <c r="D174" i="15"/>
  <c r="D173" i="15"/>
  <c r="D172" i="15"/>
  <c r="D171" i="15"/>
  <c r="C175" i="15"/>
  <c r="C174" i="15"/>
  <c r="C173" i="15"/>
  <c r="C172" i="15"/>
  <c r="C171" i="15"/>
  <c r="A172" i="15"/>
  <c r="A173" i="15" s="1"/>
  <c r="A174" i="15" s="1"/>
  <c r="A175" i="15" s="1"/>
  <c r="E167" i="15"/>
  <c r="E166" i="15"/>
  <c r="E165" i="15"/>
  <c r="E164" i="15"/>
  <c r="E163" i="15"/>
  <c r="D167" i="15"/>
  <c r="D166" i="15"/>
  <c r="D165" i="15"/>
  <c r="D164" i="15"/>
  <c r="D163" i="15"/>
  <c r="I163" i="15"/>
  <c r="J163" i="15"/>
  <c r="C167" i="15"/>
  <c r="C166" i="15"/>
  <c r="C165" i="15"/>
  <c r="C164" i="15"/>
  <c r="C163" i="15"/>
  <c r="C154" i="15"/>
  <c r="C153" i="15"/>
  <c r="C152" i="15"/>
  <c r="C151" i="15"/>
  <c r="E45" i="15"/>
  <c r="E46" i="15"/>
  <c r="E44" i="15"/>
  <c r="E43" i="15"/>
  <c r="I65" i="15" l="1"/>
  <c r="C67" i="15" s="1"/>
  <c r="I93" i="15"/>
  <c r="C95" i="15" s="1"/>
  <c r="F193" i="15"/>
  <c r="F195" i="15"/>
  <c r="H195" i="15" s="1"/>
  <c r="F194" i="15"/>
  <c r="H194" i="15" s="1"/>
  <c r="F172" i="15"/>
  <c r="H172" i="15" s="1"/>
  <c r="F175" i="15"/>
  <c r="H175" i="15" s="1"/>
  <c r="F174" i="15"/>
  <c r="H174" i="15" s="1"/>
  <c r="F171" i="15"/>
  <c r="F173" i="15"/>
  <c r="H173" i="15" s="1"/>
  <c r="C138" i="15" l="1"/>
  <c r="C141" i="15"/>
  <c r="H193" i="15"/>
  <c r="G141" i="15" s="1"/>
  <c r="E141" i="15"/>
  <c r="H171" i="15"/>
  <c r="G138" i="15" s="1"/>
  <c r="E138" i="15"/>
  <c r="B80" i="15" l="1"/>
  <c r="J87" i="15" l="1"/>
  <c r="J89" i="15"/>
  <c r="J88" i="15"/>
  <c r="J90" i="15"/>
  <c r="H80" i="15"/>
  <c r="D88" i="15" l="1"/>
  <c r="D87" i="15"/>
  <c r="J85" i="15"/>
  <c r="J86" i="15" s="1"/>
  <c r="J91" i="15" s="1"/>
  <c r="J92" i="15" s="1"/>
  <c r="C84" i="15" s="1"/>
  <c r="E83" i="15" s="1"/>
  <c r="J82" i="15"/>
  <c r="D91" i="15"/>
  <c r="J83" i="15"/>
  <c r="D92" i="15"/>
  <c r="D89" i="15"/>
  <c r="D90" i="15"/>
  <c r="J84" i="15"/>
  <c r="C83" i="15" s="1"/>
  <c r="D86" i="15"/>
  <c r="D85" i="15"/>
  <c r="D83" i="15" l="1"/>
  <c r="I79" i="15" s="1"/>
  <c r="C81" i="15" s="1"/>
  <c r="G83" i="15"/>
  <c r="D84" i="15"/>
  <c r="F188" i="15" l="1"/>
  <c r="H188" i="15" s="1"/>
  <c r="F189" i="15"/>
  <c r="H189" i="15" s="1"/>
  <c r="F187" i="15"/>
  <c r="H187" i="15" s="1"/>
  <c r="F186" i="15"/>
  <c r="F182" i="15"/>
  <c r="H182" i="15" s="1"/>
  <c r="F181" i="15"/>
  <c r="H181" i="15" s="1"/>
  <c r="F180" i="15"/>
  <c r="F179" i="15"/>
  <c r="F163" i="15"/>
  <c r="F164" i="15"/>
  <c r="H164" i="15" s="1"/>
  <c r="F165" i="15"/>
  <c r="H165" i="15" s="1"/>
  <c r="F166" i="15"/>
  <c r="H166" i="15" s="1"/>
  <c r="F167" i="15"/>
  <c r="H167" i="15" s="1"/>
  <c r="F151" i="15"/>
  <c r="F152" i="15"/>
  <c r="F153" i="15"/>
  <c r="H153" i="15" s="1"/>
  <c r="F154" i="15"/>
  <c r="H154" i="15" s="1"/>
  <c r="E14" i="15"/>
  <c r="E34" i="15"/>
  <c r="E36" i="15"/>
  <c r="E47" i="15"/>
  <c r="C140" i="15" l="1"/>
  <c r="H152" i="15"/>
  <c r="C133" i="15"/>
  <c r="C134" i="15" s="1"/>
  <c r="C137" i="15"/>
  <c r="H180" i="15"/>
  <c r="C139" i="15"/>
  <c r="H179" i="15"/>
  <c r="E139" i="15"/>
  <c r="H186" i="15"/>
  <c r="G140" i="15" s="1"/>
  <c r="E140" i="15"/>
  <c r="H151" i="15"/>
  <c r="G133" i="15" s="1"/>
  <c r="G134" i="15" s="1"/>
  <c r="E133" i="15"/>
  <c r="E134" i="15" s="1"/>
  <c r="H163" i="15"/>
  <c r="G137" i="15" s="1"/>
  <c r="E137" i="15"/>
  <c r="H204" i="15"/>
  <c r="E142" i="15" l="1"/>
  <c r="E143" i="15"/>
  <c r="C142" i="15"/>
  <c r="C143" i="15" s="1"/>
  <c r="G139" i="15"/>
  <c r="G142" i="15" s="1"/>
  <c r="I42" i="15"/>
  <c r="A232" i="15" l="1"/>
  <c r="A233" i="15" s="1"/>
  <c r="A234" i="15" s="1"/>
  <c r="A235" i="15" s="1"/>
  <c r="A236" i="15" s="1"/>
  <c r="A237" i="15" s="1"/>
  <c r="A164" i="15" l="1"/>
  <c r="A165" i="15" s="1"/>
  <c r="A166" i="15" s="1"/>
  <c r="A152" i="15"/>
  <c r="A153" i="15" s="1"/>
  <c r="A154" i="15" s="1"/>
  <c r="G143" i="15" l="1"/>
  <c r="A44" i="15" l="1"/>
  <c r="A45" i="15" s="1"/>
  <c r="A46" i="15" s="1"/>
  <c r="A47" i="15" s="1"/>
  <c r="D238" i="15" l="1"/>
  <c r="H52" i="15"/>
  <c r="O130" i="15"/>
  <c r="P130" i="15"/>
  <c r="D57" i="15" l="1"/>
  <c r="D64" i="15"/>
  <c r="D60" i="15"/>
  <c r="J56" i="15"/>
  <c r="C55" i="15" s="1"/>
  <c r="J54" i="15"/>
  <c r="D63" i="15"/>
  <c r="D59" i="15"/>
  <c r="J55" i="15"/>
  <c r="D62" i="15"/>
  <c r="D58" i="15"/>
  <c r="J57" i="15"/>
  <c r="J58" i="15" s="1"/>
  <c r="J63" i="15" s="1"/>
  <c r="D61" i="15"/>
  <c r="N130" i="15"/>
  <c r="P131" i="15"/>
  <c r="P132" i="15" s="1"/>
  <c r="P133" i="15" s="1"/>
  <c r="P134" i="15" s="1"/>
  <c r="P135" i="15" s="1"/>
  <c r="P136" i="15" s="1"/>
  <c r="P137" i="15" s="1"/>
  <c r="P138" i="15" s="1"/>
  <c r="P139" i="15" s="1"/>
  <c r="O131" i="15"/>
  <c r="O141" i="15"/>
  <c r="O119" i="15"/>
  <c r="P141" i="15"/>
  <c r="P119" i="15"/>
  <c r="D55" i="15" l="1"/>
  <c r="J59" i="15"/>
  <c r="J60" i="15" s="1"/>
  <c r="J61" i="15" s="1"/>
  <c r="J62" i="15" s="1"/>
  <c r="N131" i="15"/>
  <c r="O132" i="15"/>
  <c r="N132" i="15" s="1"/>
  <c r="N141" i="15"/>
  <c r="O142" i="15"/>
  <c r="P142" i="15"/>
  <c r="P143" i="15" s="1"/>
  <c r="P144" i="15" s="1"/>
  <c r="P145" i="15" s="1"/>
  <c r="P146" i="15" s="1"/>
  <c r="P147" i="15" s="1"/>
  <c r="P148" i="15" s="1"/>
  <c r="P149" i="15" s="1"/>
  <c r="P150" i="15" s="1"/>
  <c r="P120" i="15"/>
  <c r="P122" i="15" s="1"/>
  <c r="P123" i="15" s="1"/>
  <c r="P124" i="15" s="1"/>
  <c r="P125" i="15" s="1"/>
  <c r="P126" i="15" s="1"/>
  <c r="P127" i="15" s="1"/>
  <c r="P128" i="15" s="1"/>
  <c r="O120" i="15"/>
  <c r="N119" i="15"/>
  <c r="A167" i="15"/>
  <c r="J64" i="15" l="1"/>
  <c r="C56" i="15" s="1"/>
  <c r="O133" i="15"/>
  <c r="N133" i="15" s="1"/>
  <c r="N142" i="15"/>
  <c r="O143" i="15"/>
  <c r="N143" i="15" s="1"/>
  <c r="O122" i="15"/>
  <c r="N120" i="15"/>
  <c r="O134" i="15" l="1"/>
  <c r="N134" i="15" s="1"/>
  <c r="O144" i="15"/>
  <c r="N144" i="15" s="1"/>
  <c r="O123" i="15"/>
  <c r="N122" i="15"/>
  <c r="E55" i="15" l="1"/>
  <c r="I51" i="15" s="1"/>
  <c r="C53" i="15" s="1"/>
  <c r="G55" i="15"/>
  <c r="D56" i="15"/>
  <c r="O135" i="15"/>
  <c r="N135" i="15" s="1"/>
  <c r="O145" i="15"/>
  <c r="N145" i="15" s="1"/>
  <c r="O124" i="15"/>
  <c r="N123" i="15"/>
  <c r="O136" i="15" l="1"/>
  <c r="N136" i="15" s="1"/>
  <c r="O146" i="15"/>
  <c r="N146" i="15" s="1"/>
  <c r="O125" i="15"/>
  <c r="N124" i="15"/>
  <c r="O137" i="15" l="1"/>
  <c r="N137" i="15" s="1"/>
  <c r="O147" i="15"/>
  <c r="N147" i="15" s="1"/>
  <c r="O126" i="15"/>
  <c r="N125" i="15"/>
  <c r="O138" i="15" l="1"/>
  <c r="N138" i="15" s="1"/>
  <c r="O148" i="15"/>
  <c r="N148" i="15" s="1"/>
  <c r="N126" i="15"/>
  <c r="O139" i="15" l="1"/>
  <c r="N139" i="15" s="1"/>
  <c r="O149" i="15"/>
  <c r="N149" i="15" s="1"/>
  <c r="O127" i="15"/>
  <c r="O150" i="15" l="1"/>
  <c r="N150" i="15" s="1"/>
  <c r="O128" i="15"/>
  <c r="N127" i="15"/>
  <c r="N128" i="15" l="1"/>
  <c r="H222" i="15" l="1"/>
</calcChain>
</file>

<file path=xl/comments1.xml><?xml version="1.0" encoding="utf-8"?>
<comments xmlns="http://schemas.openxmlformats.org/spreadsheetml/2006/main">
  <authors>
    <author>SACHIN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Visit Date 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 xml:space="preserve">Visit Date 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 xml:space="preserve">Visitor Name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Met person &amp; No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mention it if provided by builder or else NA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</text>
    </comment>
    <comment ref="E197" authorId="0" shapeId="0">
      <text>
        <r>
          <rPr>
            <b/>
            <sz val="9"/>
            <color indexed="81"/>
            <rFont val="Tahoma"/>
            <family val="2"/>
          </rPr>
          <t>Proposed Structure</t>
        </r>
      </text>
    </comment>
  </commentList>
</comments>
</file>

<file path=xl/sharedStrings.xml><?xml version="1.0" encoding="utf-8"?>
<sst xmlns="http://schemas.openxmlformats.org/spreadsheetml/2006/main" count="444" uniqueCount="246">
  <si>
    <t>Undertaking :</t>
  </si>
  <si>
    <t>2) I/We have no direct or Indirect Interest in the property being valued</t>
  </si>
  <si>
    <t>Description</t>
  </si>
  <si>
    <t>1) We have personally visited the property &amp; identified the same based on the documents provided</t>
  </si>
  <si>
    <t>Type of Work</t>
  </si>
  <si>
    <t>Plinth</t>
  </si>
  <si>
    <t>3) The information furnished above is true and correct to my/our knowledge.</t>
  </si>
  <si>
    <t>5) Legal title of the property is not verified by us.</t>
  </si>
  <si>
    <t xml:space="preserve">Valuation Report </t>
  </si>
  <si>
    <t>Yes</t>
  </si>
  <si>
    <t>NA</t>
  </si>
  <si>
    <t xml:space="preserve">4)  The saleable area is as per Our Calculation.  </t>
  </si>
  <si>
    <t>Total</t>
  </si>
  <si>
    <t xml:space="preserve">Recommended rate of Parking </t>
  </si>
  <si>
    <t>Particulars</t>
  </si>
  <si>
    <t>Google Map :</t>
  </si>
  <si>
    <t>Sr.No.</t>
  </si>
  <si>
    <t>Details</t>
  </si>
  <si>
    <t>Name of the project</t>
  </si>
  <si>
    <t>Address as per the site visit</t>
  </si>
  <si>
    <t>Closest landmark</t>
  </si>
  <si>
    <t>Address as per the Sale brochure</t>
  </si>
  <si>
    <t>Address as per the plans &amp; permissions</t>
  </si>
  <si>
    <t>Address as per the legal documentation</t>
  </si>
  <si>
    <t>Date of APF initiation from YBL</t>
  </si>
  <si>
    <t>List of documents provided</t>
  </si>
  <si>
    <t>Queries communicated to YBL regarding discrepancies in documentation, details etc</t>
  </si>
  <si>
    <t>Date of query resolution from YBL</t>
  </si>
  <si>
    <t>Any further documentation that needs to be complied prior to start of disbursement in the project? Provide complete details.</t>
  </si>
  <si>
    <t>Date of contacting concerned developer personnel for site visit</t>
  </si>
  <si>
    <t>Date, day &amp; timing of Site visit</t>
  </si>
  <si>
    <t>Name of the person conducting the site visit &amp; contact details</t>
  </si>
  <si>
    <t>Details of Financial Institutions who's APF Approval Letters / Boards were displayed on site</t>
  </si>
  <si>
    <t>Details of sold v/s unsold units</t>
  </si>
  <si>
    <t>Has the developer availed any kind of construction / project finance? If yes, details are required.</t>
  </si>
  <si>
    <t>Developer name</t>
  </si>
  <si>
    <t>Developer group parent company</t>
  </si>
  <si>
    <t>Developer office address along with contact details</t>
  </si>
  <si>
    <t>Architect details ( Name, office address, mobile number, registration number )</t>
  </si>
  <si>
    <t>Authority jurisdiction for the project location</t>
  </si>
  <si>
    <t>Zoning Approval for the project location as per the MDP</t>
  </si>
  <si>
    <t>Does the proposed development match with the Zoning Approval? Detailed feedback</t>
  </si>
  <si>
    <t>Project type ( Residential / Mixed / Flats / Villas / Row Houses etc )</t>
  </si>
  <si>
    <t>Does the ongoing construction match with the Approved Site Layout? If no, details expected.</t>
  </si>
  <si>
    <t>Permissible TDR</t>
  </si>
  <si>
    <t>Project launch date</t>
  </si>
  <si>
    <t>Average weighted stage of construction for the project with construction stages of individual wings</t>
  </si>
  <si>
    <t>Phase, building &amp; wingwise naming &amp; numbering details</t>
  </si>
  <si>
    <t>Are there any deviations between the ongoing construction &amp; the available plans &amp; permissions. If yes, details are expected.</t>
  </si>
  <si>
    <t>Pricing comparisons ( Builder pricing v/s Resale v/s Nearby Projects with Rationale &amp; justification )</t>
  </si>
  <si>
    <t>Transaction documentation details ( Black / White percentages etc )</t>
  </si>
  <si>
    <t>Different types of payment schemes offered such as CLPP, TLPP, C &amp; TLPP, Interest Subvention Plans etc</t>
  </si>
  <si>
    <t>Schedule of Payment as per the developer</t>
  </si>
  <si>
    <t>Are there any discrepancies in the legal / technical documentation that may affect the business interests of YBL? If yes, please elaborate.</t>
  </si>
  <si>
    <t>Any evidences of social disturbances at the project site that may affect the business interests of YBL? If yes, please elaborate.</t>
  </si>
  <si>
    <t>Any notices or boards of litigation at project site / developer office that may affect the business interests of YBL? If yes, please elaborate.</t>
  </si>
  <si>
    <t>Any further documentation that needs to be tracked by the Financial Institution &amp; obtained from the customer / developer post project completion? Provide complete details.</t>
  </si>
  <si>
    <t>Declarations :-</t>
  </si>
  <si>
    <t>(a)</t>
  </si>
  <si>
    <t>Have you done APF technical for this project for any other Financial Institution?</t>
  </si>
  <si>
    <t>Have you done evaluation of this project for the Project / Construction Finance perspective for any Financial Insitution?</t>
  </si>
  <si>
    <t>(b)</t>
  </si>
  <si>
    <t>Physical &amp; social infrastructure availability details ( Bus stop, railway station, public park, main road, airport, hospital, public transport, school, market etc )</t>
  </si>
  <si>
    <t>Boundary details ( Are they matching as per the legal &amp; technical documentation )</t>
  </si>
  <si>
    <t>Phase, building &amp; wingwise structure details ( Approvals v/s proposed v/s constructed ( If 100 % complete ) ( Deviations to be pointed out )</t>
  </si>
  <si>
    <t>None</t>
  </si>
  <si>
    <t>As per Site Details :</t>
  </si>
  <si>
    <t>No</t>
  </si>
  <si>
    <t>Yes its comes under Residential zone</t>
  </si>
  <si>
    <t>Yes as per plan. But NA order not provided to verify.</t>
  </si>
  <si>
    <t>Permissions applicable v/s available (Detailed analysis)</t>
  </si>
  <si>
    <t>Building &amp; Wing</t>
  </si>
  <si>
    <t>No. of Units</t>
  </si>
  <si>
    <t>Total Carpet Area</t>
  </si>
  <si>
    <t>Total Saleable Area</t>
  </si>
  <si>
    <t xml:space="preserve">Approval Detail : Plan approval </t>
  </si>
  <si>
    <t>Dated</t>
  </si>
  <si>
    <t xml:space="preserve">O. Certificate No.: </t>
  </si>
  <si>
    <t>NA
Approved upto :</t>
  </si>
  <si>
    <t xml:space="preserve">Date of approval: </t>
  </si>
  <si>
    <t>Does the Plot Area match as per the legal documentation?</t>
  </si>
  <si>
    <t>Does the Plot Area match as per the Non Agriculture documentation?</t>
  </si>
  <si>
    <t>PHOTOGRAPHS OF PROPERTY :</t>
  </si>
  <si>
    <t>RERA Name &amp; No.</t>
  </si>
  <si>
    <t>Basement</t>
  </si>
  <si>
    <t>Podium</t>
  </si>
  <si>
    <t>Ground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</si>
  <si>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</si>
  <si>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</si>
  <si>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</si>
  <si>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</si>
  <si>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</si>
  <si>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</si>
  <si>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r>
      <rPr>
        <b/>
        <u/>
        <sz val="11"/>
        <rFont val="Times New Roman"/>
        <family val="1"/>
      </rPr>
      <t>Lifestyle Amenities :</t>
    </r>
    <r>
      <rPr>
        <sz val="11"/>
        <rFont val="Times New Roman"/>
        <family val="1"/>
      </rPr>
      <t xml:space="preserve">
Internal Paved roads.
Decorative compound Walls with security features
Power backup for lifts &amp; common areas
</t>
    </r>
    <r>
      <rPr>
        <b/>
        <u/>
        <sz val="11"/>
        <rFont val="Times New Roman"/>
        <family val="1"/>
      </rPr>
      <t>Modern Amenities ;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FLOORING</t>
    </r>
    <r>
      <rPr>
        <sz val="11"/>
        <rFont val="Times New Roman"/>
        <family val="1"/>
      </rPr>
      <t xml:space="preserve">
Vitrified flooring in all rooms
Anti-skid tiles in attached terrace area
</t>
    </r>
    <r>
      <rPr>
        <b/>
        <sz val="11"/>
        <rFont val="Times New Roman"/>
        <family val="1"/>
      </rPr>
      <t>KITCHEN</t>
    </r>
    <r>
      <rPr>
        <sz val="11"/>
        <rFont val="Times New Roman"/>
        <family val="1"/>
      </rPr>
      <t xml:space="preserve">
Granite kitchen platform
Stainless steel and sink mixture
</t>
    </r>
    <r>
      <rPr>
        <b/>
        <sz val="11"/>
        <rFont val="Times New Roman"/>
        <family val="1"/>
      </rPr>
      <t>TOILETS</t>
    </r>
    <r>
      <rPr>
        <sz val="11"/>
        <rFont val="Times New Roman"/>
        <family val="1"/>
      </rPr>
      <t xml:space="preserve">
Designer bathroom with branded sanitary ware
Concealed plumbing with premium C. P. fittings
Geyser connection to all bathrooms
</t>
    </r>
    <r>
      <rPr>
        <b/>
        <sz val="11"/>
        <rFont val="Times New Roman"/>
        <family val="1"/>
      </rPr>
      <t xml:space="preserve">WINDOWS
</t>
    </r>
    <r>
      <rPr>
        <sz val="11"/>
        <rFont val="Times New Roman"/>
        <family val="1"/>
      </rPr>
      <t xml:space="preserve">Powdered Aluminium Sliding windows
</t>
    </r>
    <r>
      <rPr>
        <b/>
        <sz val="11"/>
        <color indexed="8"/>
        <rFont val="Times New Roman"/>
        <family val="1"/>
      </rPr>
      <t/>
    </r>
  </si>
  <si>
    <r>
      <rPr>
        <b/>
        <sz val="11"/>
        <rFont val="Times New Roman"/>
        <family val="1"/>
      </rPr>
      <t>SECURITY</t>
    </r>
    <r>
      <rPr>
        <sz val="11"/>
        <rFont val="Times New Roman"/>
        <family val="1"/>
      </rPr>
      <t xml:space="preserve">
Modern security system with CCTV at security cabin
Intercom facility in each flat
</t>
    </r>
    <r>
      <rPr>
        <b/>
        <sz val="11"/>
        <rFont val="Times New Roman"/>
        <family val="1"/>
      </rPr>
      <t>ELECTRIFICATION</t>
    </r>
    <r>
      <rPr>
        <sz val="11"/>
        <rFont val="Times New Roman"/>
        <family val="1"/>
      </rPr>
      <t xml:space="preserve">
Branded concealed copper wiring with isolater / MCB TV, telephone &amp; internet points in all rooms
</t>
    </r>
    <r>
      <rPr>
        <b/>
        <sz val="11"/>
        <rFont val="Times New Roman"/>
        <family val="1"/>
      </rPr>
      <t>WALLS AND PAINTS</t>
    </r>
    <r>
      <rPr>
        <sz val="11"/>
        <rFont val="Times New Roman"/>
        <family val="1"/>
      </rPr>
      <t xml:space="preserve">
Gypsum finished internal walls with plastic paints</t>
    </r>
  </si>
  <si>
    <t>Shop</t>
  </si>
  <si>
    <t>At Booking</t>
  </si>
  <si>
    <t>Commecement</t>
  </si>
  <si>
    <t>1st Slab</t>
  </si>
  <si>
    <t>2nd Slab</t>
  </si>
  <si>
    <t>3rd Slab</t>
  </si>
  <si>
    <t>4th Slab</t>
  </si>
  <si>
    <t>5th Slab</t>
  </si>
  <si>
    <t>Completion of Brick work</t>
  </si>
  <si>
    <t>Completion of Plaster work</t>
  </si>
  <si>
    <t>Completion of Water Proofing</t>
  </si>
  <si>
    <t>Completion of Flooring, Doors &amp; Windows</t>
  </si>
  <si>
    <t>Painting, Electrical &amp; Sanitary Fittings</t>
  </si>
  <si>
    <t>On Possession</t>
  </si>
  <si>
    <t>Name of developer personnel for site visit coordination with contact details (Mobile, landline, email)</t>
  </si>
  <si>
    <t>Name of person met at site (Full Name, Designation, Mobile Number, Landline Number, email id)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</si>
  <si>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</si>
  <si>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</si>
  <si>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</si>
  <si>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</si>
  <si>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</si>
  <si>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</si>
  <si>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</si>
  <si>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</si>
  <si>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</si>
  <si>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</si>
  <si>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</si>
  <si>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</si>
  <si>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</si>
  <si>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</si>
  <si>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</si>
  <si>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</si>
  <si>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</si>
  <si>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</si>
  <si>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</si>
  <si>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</si>
  <si>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</si>
  <si>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</si>
  <si>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</si>
  <si>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Name of Engineer Visited the property</t>
  </si>
  <si>
    <t>Phase, building, wing, unit wise pricing details (Base pricing, floor rise, location / view specific, etc)</t>
  </si>
  <si>
    <t xml:space="preserve">Same </t>
  </si>
  <si>
    <t>Location Link</t>
  </si>
  <si>
    <t>Layout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</si>
  <si>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</si>
  <si>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 :</t>
  </si>
  <si>
    <t xml:space="preserve">Permissible FSI / FAR
</t>
  </si>
  <si>
    <t xml:space="preserve">Premium FSI / FAR
</t>
  </si>
  <si>
    <t>Ancillary FSI / FAR</t>
  </si>
  <si>
    <t>Total FSI</t>
  </si>
  <si>
    <t>As per Market Enquiry :</t>
  </si>
  <si>
    <t xml:space="preserve">All details payable </t>
  </si>
  <si>
    <t>Name / No of the Existing Building</t>
  </si>
  <si>
    <t xml:space="preserve">Remarks:  </t>
  </si>
  <si>
    <t xml:space="preserve">We considered  Saleable area as per our calculation.
</t>
  </si>
  <si>
    <t xml:space="preserve">We considered Carpet area as per Approved Plan.
</t>
  </si>
  <si>
    <t xml:space="preserve">We have considered rate by verifying it from market inquire.
</t>
  </si>
  <si>
    <t xml:space="preserve">Car parking is subjected to authentic documentation.
</t>
  </si>
  <si>
    <t>Recommended rate should be considered as all inclusive rate if other charges are not mentioned. (Excluding GST &amp; other government Taxes)</t>
  </si>
  <si>
    <t>Realizable Rate of the flat Per Sq. Ft. (on Saleable area)</t>
  </si>
  <si>
    <t>Grand Total</t>
  </si>
  <si>
    <t>Otla
Area</t>
  </si>
  <si>
    <t>Balcony Area</t>
  </si>
  <si>
    <t>Building Details Floor Wise</t>
  </si>
  <si>
    <t>Project Construction Start date</t>
  </si>
  <si>
    <t>As projected by the Developer</t>
  </si>
  <si>
    <t>As projected by the RERA</t>
  </si>
  <si>
    <t>Construction Details:</t>
  </si>
  <si>
    <t>Loft Area</t>
  </si>
  <si>
    <t>Valid Upto 
Date</t>
  </si>
  <si>
    <t xml:space="preserve">Approved Floor </t>
  </si>
  <si>
    <t>Proposed Floor</t>
  </si>
  <si>
    <t xml:space="preserve">Commencement Certificate No. 
Valid Up to: 
</t>
  </si>
  <si>
    <t>Flat No. 
(Approved  Plan)</t>
  </si>
  <si>
    <t>Saleable Area
Loading :</t>
  </si>
  <si>
    <t>Gross Carpet Area</t>
  </si>
  <si>
    <t>Attached Terrace Area</t>
  </si>
  <si>
    <r>
      <rPr>
        <sz val="11"/>
        <rFont val="Times New Roman"/>
        <family val="1"/>
      </rPr>
      <t xml:space="preserve">Proposed Amenities    </t>
    </r>
    <r>
      <rPr>
        <sz val="11"/>
        <color rgb="FFFF0000"/>
        <rFont val="Times New Roman"/>
        <family val="1"/>
      </rPr>
      <t xml:space="preserve">   </t>
    </r>
  </si>
  <si>
    <t>Carpet Area</t>
  </si>
  <si>
    <t>Net Plot Area (Sq.M)</t>
  </si>
  <si>
    <t>Plot Area (Sq.M)</t>
  </si>
  <si>
    <t>Ground Floor For Commercial &amp; Parking</t>
  </si>
  <si>
    <t xml:space="preserve">Details of Residential in Building     </t>
  </si>
  <si>
    <t xml:space="preserve">Details of Commercial in Building     </t>
  </si>
  <si>
    <t xml:space="preserve">Expected Completion Date </t>
  </si>
  <si>
    <t>Authorized Signatory
Name &amp; Seal of the Agency</t>
  </si>
  <si>
    <t>Date of documents delivery / Receipt</t>
  </si>
  <si>
    <t>Builtup Area (Sq.M)</t>
  </si>
  <si>
    <t xml:space="preserve">Layout Plan No. </t>
  </si>
  <si>
    <t>Approved Floor Plan No</t>
  </si>
  <si>
    <t xml:space="preserve">Fire Noc No
Valid Up to: 
</t>
  </si>
  <si>
    <t xml:space="preserve">Airport Noc No
Valid Up for: 
</t>
  </si>
  <si>
    <t xml:space="preserve">Environmental Clearance Certificate (EC) No
Valid Up for: 
</t>
  </si>
  <si>
    <t>Vrundavan Park</t>
  </si>
  <si>
    <t>19.283082,73.151985</t>
  </si>
  <si>
    <t>https://maps.app.goo.gl/tRLgNzFVmgz8Chh26</t>
  </si>
  <si>
    <t>Vrundavan Park
(P51700049309)</t>
  </si>
  <si>
    <t>Jai - Building No.1 
(Wing A &amp; B)</t>
  </si>
  <si>
    <t>Jui - Building No. 2 
(Wing A, B &amp; C)</t>
  </si>
  <si>
    <t>Vrundavan society</t>
  </si>
  <si>
    <t>Vrundavan Park , Near Vrundavan Society, Internal Road, Devrung, Devrung, Kalyan West, Tal. Bhiwandi, Dist.Thane 421302</t>
  </si>
  <si>
    <t>Vrundavan Park, S. No.94 Hissa No.19, 23,  25, Gaon -Devrung, Tal. Bhiwandi, Dist.Thane</t>
  </si>
  <si>
    <t>Proposed Residential &amp; Commercial Survey No.94/19, 94/23, 94/25 at Village - Devrung, Taluka - Bhiwandi, Dist -Thane</t>
  </si>
  <si>
    <t xml:space="preserve">Mr. Nikhil 9594940145
</t>
  </si>
  <si>
    <t>Mr. Mangesh Laxman Bapardekar</t>
  </si>
  <si>
    <t>M/s. Shree Vastunirman Developers</t>
  </si>
  <si>
    <t xml:space="preserve">Shop No 2 Sundaram Chs Opp Bhanusagar Cinema Valipeer Road Kalyan West 421301
</t>
  </si>
  <si>
    <t xml:space="preserve">Ar. Mrunal R Dhanawade (Archwaydesigns)
Office No.2, 1st Floor, Nilkanth Darshan Co. Op. Society Ltd., Plot No. 125/A4, Opp. Vijay Sales, Old Panvel 410206
</t>
  </si>
  <si>
    <t>Town Planning Thane</t>
  </si>
  <si>
    <t xml:space="preserve">SCHOOL :
St.Mary's English School - 0.80Km
Z.P School Bapgaon - 1.6Km
SHOPPING :
R Mart - 2.1Km
Durga super market -2.0Km
HOSPITALS :
Vrindavan Super Speciality Hospital -3.5Km
Vedant Kalyan Hospital -  4.4Km
PETROL PUMP :
Bharat Petroleum -1.3Km
Hindustan Petroleum  - 1.2Km
</t>
  </si>
  <si>
    <t>Entrance Gate
Parking
Lift
Meter Room
Society Office
Compound Wall
Open Gym
Childern Paly Area</t>
  </si>
  <si>
    <t>https://housing.com/in/buy/projects/page/293429-vrundavan-park-jai-by-shree-vastunirman-developers-in-kalyan-west</t>
  </si>
  <si>
    <t xml:space="preserve">Building No.1 (Wing A &amp; B) = G + 1st to 7th Floor
Building No.2 (Wing A, B &amp; C) = G + 1st to 7th Floor
</t>
  </si>
  <si>
    <t>BS/RKKN/BP/Mauje.Devrung/Tal.
Bhiwandi/SSTN/2516</t>
  </si>
  <si>
    <t xml:space="preserve">03/01/2023
</t>
  </si>
  <si>
    <t>MHSL/K-1/T-8/BP/Devrung-Bhiwandi/SR-40/2022</t>
  </si>
  <si>
    <t>Building No.1 = G + 1st to 7th Floor
Building No.2 = G + 1st to 7th Floor</t>
  </si>
  <si>
    <t>Building No.1 (Wing A &amp; B) = G + 1st to 7th Floor</t>
  </si>
  <si>
    <t>Building No.2 (Wing A, B &amp; C) = G + 1st to 7th Floor</t>
  </si>
  <si>
    <t>Building No.2 (Jui)</t>
  </si>
  <si>
    <t>Wing A</t>
  </si>
  <si>
    <t>Building No.1 (Jai)</t>
  </si>
  <si>
    <t>1BHK</t>
  </si>
  <si>
    <t>2BHK</t>
  </si>
  <si>
    <t>Ground Floor For Driver Room &amp; Parking</t>
  </si>
  <si>
    <t>1st to 7th Floor For Residential</t>
  </si>
  <si>
    <t>Enclosed Balcony Area</t>
  </si>
  <si>
    <t>Ground Floor For Parking</t>
  </si>
  <si>
    <t>Wing B</t>
  </si>
  <si>
    <t>1RK</t>
  </si>
  <si>
    <t>Wing C</t>
  </si>
  <si>
    <t>Building No.1 (Wing A &amp; B) = G + 1st to 7th Floor
Building No.2 (Wing A, B &amp; C) = G + 1st to 7th Floor</t>
  </si>
  <si>
    <t>Commercial Area Details : (Shop)</t>
  </si>
  <si>
    <t>Residential Area Details : (Flat)</t>
  </si>
  <si>
    <t>Flats = 147
Shop = 4</t>
  </si>
  <si>
    <t xml:space="preserve">We considered Gross carpet area = Net carpet + Encl Balcony + Balcony Area.
</t>
  </si>
  <si>
    <t>Sold = 64, Unsold = 87</t>
  </si>
  <si>
    <t>15/09/2025 &amp; 17/09/2025</t>
  </si>
  <si>
    <t>Approved Plan
C.C
RERA Certificate
Builder Profile
Cost Sheet</t>
  </si>
  <si>
    <t>Ground Floor For Society Office &amp; Parking</t>
  </si>
  <si>
    <t>16/09/2025, Tuesday @ 02:15 PM</t>
  </si>
  <si>
    <t>Feb 2023</t>
  </si>
  <si>
    <t>as per documnents</t>
  </si>
  <si>
    <t>Building No.2 (Wing B &amp; C) = G + 1st to 7th Floor</t>
  </si>
  <si>
    <t>Building No.2 (Wing A) = G + 1st to 7th Floor</t>
  </si>
  <si>
    <t>Building No.1 (Wing A) = G + 1st to 7th Floor</t>
  </si>
  <si>
    <t>Building No.1 (Wing B) = G + 1st to 7th Floor</t>
  </si>
  <si>
    <t>Bldg No.1 (Wing A &amp; B) &amp; Bldg No.2 (Wing B &amp; C) = Construction work is in process at the time of Visit (labour found).
Bldg No.2 (Wing A) = Work not yet started.</t>
  </si>
  <si>
    <t>as  per conformed with  builder  Wing A not started.</t>
  </si>
  <si>
    <t>as per site meet person 1BHK = 23 lAKH</t>
  </si>
  <si>
    <t>Dec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</si>
</sst>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78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Protection="1">
      <protection hidden="1"/>
    </xf>
    <xf numFmtId="0" fontId="8" fillId="0" borderId="16" xfId="0" applyFont="1" applyBorder="1" applyProtection="1">
      <protection hidden="1"/>
    </xf>
    <xf numFmtId="0" fontId="9" fillId="0" borderId="10" xfId="2" applyFont="1" applyBorder="1" applyProtection="1">
      <protection hidden="1"/>
    </xf>
    <xf numFmtId="0" fontId="4" fillId="0" borderId="22" xfId="2" applyFont="1" applyBorder="1" applyAlignment="1" applyProtection="1">
      <alignment horizontal="center" vertical="top"/>
      <protection locked="0"/>
    </xf>
    <xf numFmtId="0" fontId="4" fillId="0" borderId="1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0" xfId="0" applyFont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9" fillId="0" borderId="21" xfId="2" applyFont="1" applyBorder="1" applyProtection="1">
      <protection hidden="1"/>
    </xf>
    <xf numFmtId="0" fontId="9" fillId="0" borderId="23" xfId="2" applyFont="1" applyBorder="1" applyProtection="1">
      <protection hidden="1"/>
    </xf>
    <xf numFmtId="0" fontId="9" fillId="0" borderId="23" xfId="2" applyFont="1" applyBorder="1"/>
    <xf numFmtId="0" fontId="8" fillId="0" borderId="23" xfId="0" applyFont="1" applyBorder="1" applyProtection="1">
      <protection hidden="1"/>
    </xf>
    <xf numFmtId="1" fontId="6" fillId="0" borderId="23" xfId="0" applyNumberFormat="1" applyFont="1" applyBorder="1"/>
    <xf numFmtId="1" fontId="6" fillId="0" borderId="23" xfId="0" applyNumberFormat="1" applyFont="1" applyBorder="1" applyAlignment="1">
      <alignment horizontal="right"/>
    </xf>
    <xf numFmtId="1" fontId="6" fillId="0" borderId="19" xfId="0" applyNumberFormat="1" applyFont="1" applyBorder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vertical="top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14" fontId="2" fillId="0" borderId="0" xfId="0" applyNumberFormat="1" applyFont="1" applyAlignment="1">
      <alignment vertical="top"/>
    </xf>
    <xf numFmtId="9" fontId="10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4" fillId="0" borderId="6" xfId="2" applyFont="1" applyBorder="1" applyAlignment="1" applyProtection="1">
      <alignment horizontal="center" vertical="top"/>
      <protection locked="0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5" xfId="2" applyFont="1" applyBorder="1" applyAlignment="1" applyProtection="1">
      <alignment horizontal="center" vertical="top"/>
      <protection locked="0"/>
    </xf>
    <xf numFmtId="14" fontId="4" fillId="0" borderId="5" xfId="0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/>
    </xf>
    <xf numFmtId="0" fontId="10" fillId="0" borderId="1" xfId="2" applyFont="1" applyBorder="1" applyAlignment="1">
      <alignment vertical="top"/>
    </xf>
    <xf numFmtId="0" fontId="10" fillId="0" borderId="1" xfId="2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/>
    </xf>
    <xf numFmtId="165" fontId="9" fillId="0" borderId="0" xfId="0" applyNumberFormat="1" applyFont="1"/>
    <xf numFmtId="0" fontId="14" fillId="0" borderId="0" xfId="7"/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1" fontId="9" fillId="0" borderId="1" xfId="2" applyNumberFormat="1" applyFont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2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2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2" xfId="2" applyNumberFormat="1" applyFont="1" applyBorder="1" applyAlignment="1">
      <alignment horizontal="center" vertical="top" wrapText="1"/>
    </xf>
    <xf numFmtId="9" fontId="5" fillId="0" borderId="5" xfId="6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/>
    </xf>
    <xf numFmtId="0" fontId="4" fillId="0" borderId="10" xfId="2" applyFont="1" applyBorder="1" applyProtection="1">
      <protection hidden="1"/>
    </xf>
    <xf numFmtId="0" fontId="4" fillId="0" borderId="0" xfId="2" applyFont="1" applyProtection="1">
      <protection hidden="1"/>
    </xf>
    <xf numFmtId="0" fontId="4" fillId="0" borderId="1" xfId="2" applyFont="1" applyBorder="1" applyAlignment="1" applyProtection="1">
      <alignment horizontal="center" vertical="top" wrapText="1"/>
      <protection locked="0"/>
    </xf>
    <xf numFmtId="0" fontId="4" fillId="0" borderId="0" xfId="0" applyFont="1" applyProtection="1">
      <protection hidden="1"/>
    </xf>
    <xf numFmtId="0" fontId="4" fillId="0" borderId="1" xfId="2" applyFont="1" applyBorder="1" applyAlignment="1" applyProtection="1">
      <alignment horizontal="center" wrapText="1"/>
      <protection locked="0"/>
    </xf>
    <xf numFmtId="9" fontId="4" fillId="0" borderId="3" xfId="2" applyNumberFormat="1" applyFont="1" applyBorder="1" applyAlignment="1" applyProtection="1">
      <alignment horizontal="center" vertical="center" wrapText="1"/>
      <protection hidden="1"/>
    </xf>
    <xf numFmtId="1" fontId="4" fillId="0" borderId="1" xfId="2" applyNumberFormat="1" applyFont="1" applyBorder="1" applyAlignment="1" applyProtection="1">
      <alignment horizontal="center" wrapText="1"/>
      <protection locked="0"/>
    </xf>
    <xf numFmtId="0" fontId="4" fillId="0" borderId="18" xfId="2" applyFont="1" applyBorder="1" applyAlignment="1" applyProtection="1">
      <alignment horizontal="center" wrapText="1"/>
      <protection locked="0"/>
    </xf>
    <xf numFmtId="9" fontId="4" fillId="0" borderId="17" xfId="2" applyNumberFormat="1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Protection="1">
      <protection hidden="1"/>
    </xf>
    <xf numFmtId="0" fontId="4" fillId="0" borderId="21" xfId="2" applyFont="1" applyBorder="1" applyProtection="1">
      <protection hidden="1"/>
    </xf>
    <xf numFmtId="0" fontId="4" fillId="0" borderId="0" xfId="0" applyFont="1"/>
    <xf numFmtId="0" fontId="4" fillId="0" borderId="23" xfId="2" applyFont="1" applyBorder="1" applyProtection="1">
      <protection hidden="1"/>
    </xf>
    <xf numFmtId="0" fontId="4" fillId="0" borderId="23" xfId="2" applyFont="1" applyBorder="1"/>
    <xf numFmtId="0" fontId="4" fillId="0" borderId="23" xfId="0" applyFont="1" applyBorder="1" applyProtection="1">
      <protection hidden="1"/>
    </xf>
    <xf numFmtId="1" fontId="15" fillId="0" borderId="23" xfId="0" applyNumberFormat="1" applyFont="1" applyBorder="1"/>
    <xf numFmtId="1" fontId="15" fillId="0" borderId="23" xfId="0" applyNumberFormat="1" applyFont="1" applyBorder="1" applyAlignment="1">
      <alignment horizontal="right"/>
    </xf>
    <xf numFmtId="1" fontId="15" fillId="0" borderId="19" xfId="0" applyNumberFormat="1" applyFont="1" applyBorder="1"/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left"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28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31" xfId="2" applyFont="1" applyBorder="1" applyAlignment="1">
      <alignment horizontal="center" vertical="top" wrapText="1"/>
    </xf>
    <xf numFmtId="0" fontId="5" fillId="0" borderId="20" xfId="2" applyFont="1" applyBorder="1" applyAlignment="1" applyProtection="1">
      <alignment horizontal="center" vertical="top"/>
      <protection locked="0"/>
    </xf>
    <xf numFmtId="0" fontId="5" fillId="0" borderId="13" xfId="2" applyFont="1" applyBorder="1" applyAlignment="1" applyProtection="1">
      <alignment horizontal="center" vertical="top"/>
      <protection locked="0"/>
    </xf>
    <xf numFmtId="14" fontId="5" fillId="0" borderId="11" xfId="2" applyNumberFormat="1" applyFont="1" applyBorder="1" applyAlignment="1" applyProtection="1">
      <alignment horizontal="left" vertical="top" wrapText="1"/>
      <protection locked="0"/>
    </xf>
    <xf numFmtId="0" fontId="5" fillId="0" borderId="12" xfId="2" applyFont="1" applyBorder="1" applyAlignment="1" applyProtection="1">
      <alignment horizontal="left" vertical="top" wrapText="1"/>
      <protection locked="0"/>
    </xf>
    <xf numFmtId="0" fontId="5" fillId="0" borderId="14" xfId="2" applyFont="1" applyBorder="1" applyAlignment="1" applyProtection="1">
      <alignment horizontal="left" vertical="top" wrapText="1"/>
      <protection locked="0"/>
    </xf>
    <xf numFmtId="0" fontId="5" fillId="0" borderId="22" xfId="2" applyFont="1" applyBorder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top"/>
      <protection locked="0"/>
    </xf>
    <xf numFmtId="0" fontId="5" fillId="0" borderId="3" xfId="2" applyFont="1" applyBorder="1" applyAlignment="1" applyProtection="1">
      <alignment horizontal="left" vertical="top" wrapText="1"/>
      <protection locked="0"/>
    </xf>
    <xf numFmtId="0" fontId="5" fillId="0" borderId="4" xfId="2" applyFont="1" applyBorder="1" applyAlignment="1" applyProtection="1">
      <alignment horizontal="left" vertical="top" wrapText="1"/>
      <protection locked="0"/>
    </xf>
    <xf numFmtId="0" fontId="5" fillId="0" borderId="15" xfId="2" applyFont="1" applyBorder="1" applyAlignment="1" applyProtection="1">
      <alignment horizontal="left" vertical="top" wrapText="1"/>
      <protection locked="0"/>
    </xf>
    <xf numFmtId="0" fontId="4" fillId="0" borderId="24" xfId="2" applyFont="1" applyBorder="1" applyAlignment="1" applyProtection="1">
      <alignment horizontal="center" vertical="top" wrapText="1"/>
      <protection locked="0"/>
    </xf>
    <xf numFmtId="0" fontId="4" fillId="0" borderId="6" xfId="2" applyFont="1" applyBorder="1" applyAlignment="1" applyProtection="1">
      <alignment horizontal="center" vertical="top" wrapText="1"/>
      <protection locked="0"/>
    </xf>
    <xf numFmtId="0" fontId="4" fillId="0" borderId="3" xfId="2" applyFont="1" applyBorder="1" applyAlignment="1" applyProtection="1">
      <alignment horizontal="center" vertical="top" wrapText="1"/>
      <protection locked="0"/>
    </xf>
    <xf numFmtId="0" fontId="4" fillId="0" borderId="1" xfId="2" applyFont="1" applyBorder="1" applyAlignment="1" applyProtection="1">
      <alignment horizontal="center" vertical="top" wrapText="1"/>
      <protection locked="0"/>
    </xf>
    <xf numFmtId="0" fontId="4" fillId="0" borderId="25" xfId="2" applyFont="1" applyBorder="1" applyAlignment="1" applyProtection="1">
      <alignment horizontal="center" vertical="top" wrapText="1"/>
      <protection locked="0"/>
    </xf>
    <xf numFmtId="0" fontId="4" fillId="0" borderId="22" xfId="2" applyFont="1" applyBorder="1" applyAlignment="1" applyProtection="1">
      <alignment horizontal="center" vertical="top" wrapText="1"/>
      <protection locked="0"/>
    </xf>
    <xf numFmtId="9" fontId="4" fillId="0" borderId="1" xfId="2" applyNumberFormat="1" applyFont="1" applyBorder="1" applyAlignment="1" applyProtection="1">
      <alignment horizontal="center" vertical="center" wrapText="1"/>
      <protection hidden="1"/>
    </xf>
    <xf numFmtId="9" fontId="4" fillId="0" borderId="18" xfId="2" applyNumberFormat="1" applyFont="1" applyBorder="1" applyAlignment="1" applyProtection="1">
      <alignment horizontal="center" vertical="center" wrapText="1"/>
      <protection hidden="1"/>
    </xf>
    <xf numFmtId="9" fontId="4" fillId="0" borderId="7" xfId="2" applyNumberFormat="1" applyFont="1" applyBorder="1" applyAlignment="1" applyProtection="1">
      <alignment horizontal="center" vertical="center" wrapText="1"/>
      <protection hidden="1"/>
    </xf>
    <xf numFmtId="9" fontId="4" fillId="0" borderId="28" xfId="2" applyNumberFormat="1" applyFont="1" applyBorder="1" applyAlignment="1" applyProtection="1">
      <alignment horizontal="center" vertical="center" wrapText="1"/>
      <protection hidden="1"/>
    </xf>
    <xf numFmtId="9" fontId="4" fillId="0" borderId="9" xfId="2" applyNumberFormat="1" applyFont="1" applyBorder="1" applyAlignment="1" applyProtection="1">
      <alignment horizontal="center" vertical="center" wrapText="1"/>
      <protection hidden="1"/>
    </xf>
    <xf numFmtId="9" fontId="4" fillId="0" borderId="33" xfId="2" applyNumberFormat="1" applyFont="1" applyBorder="1" applyAlignment="1" applyProtection="1">
      <alignment horizontal="center" vertical="center" wrapText="1"/>
      <protection hidden="1"/>
    </xf>
    <xf numFmtId="9" fontId="4" fillId="0" borderId="27" xfId="2" applyNumberFormat="1" applyFont="1" applyBorder="1" applyAlignment="1" applyProtection="1">
      <alignment horizontal="center" vertical="center" wrapText="1"/>
      <protection hidden="1"/>
    </xf>
    <xf numFmtId="9" fontId="4" fillId="0" borderId="36" xfId="2" applyNumberFormat="1" applyFont="1" applyBorder="1" applyAlignment="1" applyProtection="1">
      <alignment horizontal="center" vertical="center" wrapText="1"/>
      <protection hidden="1"/>
    </xf>
    <xf numFmtId="0" fontId="4" fillId="0" borderId="26" xfId="2" applyFont="1" applyBorder="1" applyAlignment="1" applyProtection="1">
      <alignment horizontal="center" vertical="top" wrapText="1"/>
      <protection locked="0"/>
    </xf>
    <xf numFmtId="0" fontId="4" fillId="0" borderId="18" xfId="2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14" fontId="4" fillId="0" borderId="1" xfId="2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>
      <alignment horizontal="center" vertical="top" wrapText="1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1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1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2" fillId="0" borderId="3" xfId="2" applyNumberFormat="1" applyFont="1" applyBorder="1" applyAlignment="1" applyProtection="1">
      <alignment horizontal="center" vertical="center" wrapText="1"/>
      <protection locked="0"/>
    </xf>
    <xf numFmtId="1" fontId="2" fillId="0" borderId="4" xfId="2" applyNumberFormat="1" applyFont="1" applyBorder="1" applyAlignment="1" applyProtection="1">
      <alignment horizontal="center" vertical="center" wrapText="1"/>
      <protection locked="0"/>
    </xf>
    <xf numFmtId="1" fontId="2" fillId="0" borderId="6" xfId="2" applyNumberFormat="1" applyFont="1" applyBorder="1" applyAlignment="1" applyProtection="1">
      <alignment horizontal="center" vertical="center" wrapText="1"/>
      <protection locked="0"/>
    </xf>
    <xf numFmtId="1" fontId="2" fillId="3" borderId="3" xfId="2" applyNumberFormat="1" applyFont="1" applyFill="1" applyBorder="1" applyAlignment="1" applyProtection="1">
      <alignment horizontal="center" vertical="center" wrapText="1"/>
      <protection locked="0"/>
    </xf>
    <xf numFmtId="1" fontId="2" fillId="3" borderId="4" xfId="2" applyNumberFormat="1" applyFont="1" applyFill="1" applyBorder="1" applyAlignment="1" applyProtection="1">
      <alignment horizontal="center" vertical="center" wrapText="1"/>
      <protection locked="0"/>
    </xf>
    <xf numFmtId="1" fontId="2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/>
    </xf>
    <xf numFmtId="0" fontId="5" fillId="0" borderId="5" xfId="2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left" vertical="top" wrapText="1"/>
    </xf>
    <xf numFmtId="14" fontId="14" fillId="0" borderId="3" xfId="7" applyNumberForma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center"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 vertical="top" wrapText="1"/>
    </xf>
    <xf numFmtId="1" fontId="5" fillId="0" borderId="2" xfId="2" applyNumberFormat="1" applyFont="1" applyBorder="1" applyAlignment="1">
      <alignment horizontal="center" vertical="top" wrapText="1"/>
    </xf>
    <xf numFmtId="1" fontId="5" fillId="0" borderId="5" xfId="2" applyNumberFormat="1" applyFont="1" applyBorder="1" applyAlignment="1">
      <alignment horizontal="center" vertical="top" wrapText="1"/>
    </xf>
    <xf numFmtId="14" fontId="5" fillId="0" borderId="7" xfId="0" applyNumberFormat="1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 wrapText="1"/>
    </xf>
    <xf numFmtId="14" fontId="5" fillId="0" borderId="28" xfId="0" applyNumberFormat="1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left" vertical="top" wrapText="1"/>
    </xf>
    <xf numFmtId="14" fontId="4" fillId="0" borderId="28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7" xfId="2" applyNumberFormat="1" applyFont="1" applyBorder="1" applyAlignment="1">
      <alignment horizontal="center" vertical="top" wrapText="1"/>
    </xf>
    <xf numFmtId="1" fontId="5" fillId="0" borderId="29" xfId="2" applyNumberFormat="1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3" fillId="0" borderId="7" xfId="2" applyFont="1" applyBorder="1" applyAlignment="1">
      <alignment horizontal="left" vertical="top" wrapText="1"/>
    </xf>
    <xf numFmtId="0" fontId="3" fillId="0" borderId="28" xfId="2" applyFont="1" applyBorder="1" applyAlignment="1">
      <alignment horizontal="left" vertical="top" wrapText="1"/>
    </xf>
    <xf numFmtId="0" fontId="3" fillId="0" borderId="29" xfId="2" applyFont="1" applyBorder="1" applyAlignment="1">
      <alignment horizontal="left" vertical="top" wrapText="1"/>
    </xf>
    <xf numFmtId="0" fontId="3" fillId="0" borderId="3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2" applyNumberFormat="1" applyFont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1" fontId="5" fillId="0" borderId="3" xfId="2" applyNumberFormat="1" applyFont="1" applyBorder="1" applyAlignment="1" applyProtection="1">
      <alignment horizontal="center" vertical="center" wrapText="1"/>
      <protection locked="0"/>
    </xf>
    <xf numFmtId="1" fontId="5" fillId="0" borderId="4" xfId="2" applyNumberFormat="1" applyFont="1" applyBorder="1" applyAlignment="1" applyProtection="1">
      <alignment horizontal="center" vertical="center" wrapText="1"/>
      <protection locked="0"/>
    </xf>
    <xf numFmtId="1" fontId="5" fillId="0" borderId="6" xfId="2" applyNumberFormat="1" applyFont="1" applyBorder="1" applyAlignment="1" applyProtection="1">
      <alignment horizontal="center" vertical="center" wrapText="1"/>
      <protection locked="0"/>
    </xf>
    <xf numFmtId="1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5" xfId="2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1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4" fontId="4" fillId="0" borderId="29" xfId="0" applyNumberFormat="1" applyFont="1" applyBorder="1" applyAlignment="1">
      <alignment horizontal="left" vertical="top" wrapText="1"/>
    </xf>
    <xf numFmtId="14" fontId="4" fillId="0" borderId="30" xfId="0" applyNumberFormat="1" applyFont="1" applyBorder="1" applyAlignment="1">
      <alignment horizontal="left" vertical="top" wrapText="1"/>
    </xf>
    <xf numFmtId="14" fontId="4" fillId="0" borderId="31" xfId="0" applyNumberFormat="1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14" fontId="4" fillId="0" borderId="35" xfId="0" applyNumberFormat="1" applyFont="1" applyBorder="1" applyAlignment="1">
      <alignment horizontal="left" vertical="top" wrapText="1"/>
    </xf>
    <xf numFmtId="14" fontId="4" fillId="0" borderId="10" xfId="0" applyNumberFormat="1" applyFont="1" applyBorder="1" applyAlignment="1">
      <alignment horizontal="left" vertical="top" wrapText="1"/>
    </xf>
    <xf numFmtId="14" fontId="4" fillId="0" borderId="33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28" xfId="0" applyNumberFormat="1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31" xfId="0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1" fontId="5" fillId="3" borderId="3" xfId="2" applyNumberFormat="1" applyFont="1" applyFill="1" applyBorder="1" applyAlignment="1" applyProtection="1">
      <alignment horizontal="center" vertical="center" wrapText="1"/>
      <protection locked="0"/>
    </xf>
    <xf numFmtId="1" fontId="5" fillId="3" borderId="4" xfId="2" applyNumberFormat="1" applyFont="1" applyFill="1" applyBorder="1" applyAlignment="1" applyProtection="1">
      <alignment horizontal="center" vertical="center" wrapText="1"/>
      <protection locked="0"/>
    </xf>
    <xf numFmtId="1" fontId="5" fillId="3" borderId="6" xfId="2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1" fontId="4" fillId="0" borderId="32" xfId="0" applyNumberFormat="1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</cellXfs>
  <cellStyles count="8">
    <cellStyle name="Comma 2" xfId="5"/>
    <cellStyle name="Excel Built-in Normal" xfId="1"/>
    <cellStyle name="Excel Built-in Normal 2" xfId="3"/>
    <cellStyle name="Hyperlink" xfId="7" builtinId="8"/>
    <cellStyle name="Normal" xfId="0" builtinId="0"/>
    <cellStyle name="Normal 3" xfId="2"/>
    <cellStyle name="Normal 4" xfId="4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397565</xdr:colOff>
      <xdr:row>1</xdr:row>
      <xdr:rowOff>173934</xdr:rowOff>
    </xdr:from>
    <xdr:to>
      <xdr:col>18</xdr:col>
      <xdr:colOff>571739</xdr:colOff>
      <xdr:row>11</xdr:row>
      <xdr:rowOff>122483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9413" y="728869"/>
          <a:ext cx="5534797" cy="2781688"/>
        </a:xfrm>
        <a:prstGeom prst="rect">
          <a:avLst/>
        </a:prstGeom>
      </xdr:spPr>
    </xdr:pic>
    <xdr:clientData/>
  </xdr:twoCellAnchor>
  <xdr:twoCellAnchor>
    <xdr:from>
      <xdr:col>0</xdr:col>
      <xdr:colOff>666180</xdr:colOff>
      <xdr:row>329</xdr:row>
      <xdr:rowOff>184097</xdr:rowOff>
    </xdr:from>
    <xdr:to>
      <xdr:col>6</xdr:col>
      <xdr:colOff>766872</xdr:colOff>
      <xdr:row>363</xdr:row>
      <xdr:rowOff>91744</xdr:rowOff>
    </xdr:to>
    <xdr:grpSp>
      <xdr:nvGrpSpPr>
        <xdr:cNvPr id="3" name="Group 2"/>
        <xdr:cNvGrpSpPr/>
      </xdr:nvGrpSpPr>
      <xdr:grpSpPr>
        <a:xfrm>
          <a:off x="666180" y="77627950"/>
          <a:ext cx="5042486" cy="6944941"/>
          <a:chOff x="1089000" y="4350058"/>
          <a:chExt cx="4680000" cy="8054151"/>
        </a:xfrm>
      </xdr:grpSpPr>
      <xdr:pic>
        <xdr:nvPicPr>
          <xdr:cNvPr id="4" name="Picture 3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8305" t="15750" r="26316" b="18500"/>
          <a:stretch/>
        </xdr:blipFill>
        <xdr:spPr>
          <a:xfrm>
            <a:off x="1089000" y="8444209"/>
            <a:ext cx="468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5" name="Group 4"/>
          <xdr:cNvGrpSpPr/>
        </xdr:nvGrpSpPr>
        <xdr:grpSpPr>
          <a:xfrm>
            <a:off x="1089000" y="4350058"/>
            <a:ext cx="4680000" cy="3960000"/>
            <a:chOff x="1089000" y="4386634"/>
            <a:chExt cx="4680000" cy="3960000"/>
          </a:xfrm>
        </xdr:grpSpPr>
        <xdr:pic>
          <xdr:nvPicPr>
            <xdr:cNvPr id="6" name="Picture 5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3927" t="18250" r="22662" b="17750"/>
            <a:stretch/>
          </xdr:blipFill>
          <xdr:spPr>
            <a:xfrm>
              <a:off x="1089000" y="4386634"/>
              <a:ext cx="4680000" cy="39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7" name="Rectangle 6"/>
            <xdr:cNvSpPr/>
          </xdr:nvSpPr>
          <xdr:spPr>
            <a:xfrm rot="21436064">
              <a:off x="3091653" y="5233706"/>
              <a:ext cx="555678" cy="1365048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8" name="Rectangle 7"/>
            <xdr:cNvSpPr/>
          </xdr:nvSpPr>
          <xdr:spPr>
            <a:xfrm rot="4005259">
              <a:off x="2781593" y="6568017"/>
              <a:ext cx="555678" cy="1365048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9" name="TextBox 106"/>
            <xdr:cNvSpPr txBox="1"/>
          </xdr:nvSpPr>
          <xdr:spPr>
            <a:xfrm>
              <a:off x="2572574" y="4749689"/>
              <a:ext cx="1697837" cy="45134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FF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Vrundavan Park</a:t>
              </a:r>
            </a:p>
          </xdr:txBody>
        </xdr:sp>
      </xdr:grpSp>
    </xdr:grpSp>
    <xdr:clientData/>
  </xdr:twoCellAnchor>
  <xdr:twoCellAnchor>
    <xdr:from>
      <xdr:col>0</xdr:col>
      <xdr:colOff>78441</xdr:colOff>
      <xdr:row>285</xdr:row>
      <xdr:rowOff>134470</xdr:rowOff>
    </xdr:from>
    <xdr:to>
      <xdr:col>7</xdr:col>
      <xdr:colOff>358588</xdr:colOff>
      <xdr:row>306</xdr:row>
      <xdr:rowOff>30579</xdr:rowOff>
    </xdr:to>
    <xdr:grpSp>
      <xdr:nvGrpSpPr>
        <xdr:cNvPr id="10" name="Group 9"/>
        <xdr:cNvGrpSpPr/>
      </xdr:nvGrpSpPr>
      <xdr:grpSpPr>
        <a:xfrm>
          <a:off x="78441" y="69196323"/>
          <a:ext cx="5995147" cy="3896609"/>
          <a:chOff x="0" y="703111"/>
          <a:chExt cx="6858000" cy="5908705"/>
        </a:xfrm>
      </xdr:grpSpPr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03111"/>
            <a:ext cx="6858000" cy="59087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" name="Rectangle 11"/>
          <xdr:cNvSpPr/>
        </xdr:nvSpPr>
        <xdr:spPr>
          <a:xfrm rot="637120">
            <a:off x="1108793" y="4589719"/>
            <a:ext cx="1285434" cy="1027171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3" name="TextBox 111"/>
          <xdr:cNvSpPr txBox="1"/>
        </xdr:nvSpPr>
        <xdr:spPr>
          <a:xfrm rot="860483">
            <a:off x="566569" y="5613248"/>
            <a:ext cx="1548514" cy="7661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No.2 </a:t>
            </a:r>
          </a:p>
          <a:p>
            <a:pPr algn="ctr"/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(Wing A)</a:t>
            </a:r>
          </a:p>
        </xdr:txBody>
      </xdr:sp>
      <xdr:sp macro="" textlink="">
        <xdr:nvSpPr>
          <xdr:cNvPr id="14" name="Rectangle 13"/>
          <xdr:cNvSpPr/>
        </xdr:nvSpPr>
        <xdr:spPr>
          <a:xfrm rot="637120">
            <a:off x="2418377" y="4806839"/>
            <a:ext cx="1090661" cy="104404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5" name="Rectangle 14"/>
          <xdr:cNvSpPr/>
        </xdr:nvSpPr>
        <xdr:spPr>
          <a:xfrm rot="637120">
            <a:off x="3493924" y="5025286"/>
            <a:ext cx="1257607" cy="1037409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6" name="TextBox 114"/>
          <xdr:cNvSpPr txBox="1"/>
        </xdr:nvSpPr>
        <xdr:spPr>
          <a:xfrm rot="376019">
            <a:off x="2076095" y="5837483"/>
            <a:ext cx="1525957" cy="7661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No.2 </a:t>
            </a:r>
          </a:p>
          <a:p>
            <a:pPr algn="ctr"/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(Wing B)</a:t>
            </a:r>
          </a:p>
        </xdr:txBody>
      </xdr:sp>
      <xdr:sp macro="" textlink="">
        <xdr:nvSpPr>
          <xdr:cNvPr id="17" name="TextBox 115"/>
          <xdr:cNvSpPr txBox="1"/>
        </xdr:nvSpPr>
        <xdr:spPr>
          <a:xfrm>
            <a:off x="4743993" y="5443325"/>
            <a:ext cx="1549984" cy="7661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No.2 </a:t>
            </a:r>
          </a:p>
          <a:p>
            <a:pPr algn="ctr"/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(Wing C)</a:t>
            </a:r>
          </a:p>
        </xdr:txBody>
      </xdr:sp>
      <xdr:sp macro="" textlink="">
        <xdr:nvSpPr>
          <xdr:cNvPr id="18" name="Rectangle 17"/>
          <xdr:cNvSpPr/>
        </xdr:nvSpPr>
        <xdr:spPr>
          <a:xfrm rot="1324828">
            <a:off x="4505193" y="2814875"/>
            <a:ext cx="1357574" cy="1395502"/>
          </a:xfrm>
          <a:prstGeom prst="rect">
            <a:avLst/>
          </a:prstGeom>
          <a:noFill/>
          <a:ln w="3810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9" name="Rectangle 18"/>
          <xdr:cNvSpPr/>
        </xdr:nvSpPr>
        <xdr:spPr>
          <a:xfrm rot="1324828">
            <a:off x="5039039" y="1469087"/>
            <a:ext cx="1357574" cy="1447718"/>
          </a:xfrm>
          <a:prstGeom prst="rect">
            <a:avLst/>
          </a:prstGeom>
          <a:noFill/>
          <a:ln w="3810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0" name="TextBox 118"/>
          <xdr:cNvSpPr txBox="1"/>
        </xdr:nvSpPr>
        <xdr:spPr>
          <a:xfrm>
            <a:off x="3819970" y="1224464"/>
            <a:ext cx="1523303" cy="7661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00206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No.1 </a:t>
            </a:r>
          </a:p>
          <a:p>
            <a:r>
              <a:rPr lang="en-IN" sz="1400" b="1">
                <a:solidFill>
                  <a:srgbClr val="00206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(Wing B)</a:t>
            </a:r>
          </a:p>
        </xdr:txBody>
      </xdr:sp>
      <xdr:sp macro="" textlink="">
        <xdr:nvSpPr>
          <xdr:cNvPr id="21" name="TextBox 119"/>
          <xdr:cNvSpPr txBox="1"/>
        </xdr:nvSpPr>
        <xdr:spPr>
          <a:xfrm>
            <a:off x="3281585" y="2678858"/>
            <a:ext cx="1440770" cy="7661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00206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No.1 </a:t>
            </a:r>
          </a:p>
          <a:p>
            <a:r>
              <a:rPr lang="en-IN" sz="1400" b="1">
                <a:solidFill>
                  <a:srgbClr val="00206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(Wing A)</a:t>
            </a:r>
          </a:p>
        </xdr:txBody>
      </xdr:sp>
      <xdr:grpSp>
        <xdr:nvGrpSpPr>
          <xdr:cNvPr id="22" name="Group 21"/>
          <xdr:cNvGrpSpPr/>
        </xdr:nvGrpSpPr>
        <xdr:grpSpPr>
          <a:xfrm rot="1383486">
            <a:off x="1163243" y="1631864"/>
            <a:ext cx="743265" cy="1299809"/>
            <a:chOff x="808898" y="1402289"/>
            <a:chExt cx="743265" cy="1299809"/>
          </a:xfrm>
        </xdr:grpSpPr>
        <xdr:sp macro="" textlink="">
          <xdr:nvSpPr>
            <xdr:cNvPr id="23" name="Right Arrow 22"/>
            <xdr:cNvSpPr/>
          </xdr:nvSpPr>
          <xdr:spPr>
            <a:xfrm rot="14816514">
              <a:off x="980477" y="2130412"/>
              <a:ext cx="627567" cy="515805"/>
            </a:xfrm>
            <a:prstGeom prst="rightArrow">
              <a:avLst/>
            </a:prstGeom>
            <a:solidFill>
              <a:schemeClr val="tx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 sz="1400"/>
            </a:p>
          </xdr:txBody>
        </xdr:sp>
        <xdr:sp macro="" textlink="">
          <xdr:nvSpPr>
            <xdr:cNvPr id="24" name="TextBox 122"/>
            <xdr:cNvSpPr txBox="1"/>
          </xdr:nvSpPr>
          <xdr:spPr>
            <a:xfrm rot="20216514">
              <a:off x="808898" y="1402289"/>
              <a:ext cx="474784" cy="58477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32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endParaRPr lang="en-IN" sz="32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 editAs="oneCell">
    <xdr:from>
      <xdr:col>1</xdr:col>
      <xdr:colOff>840440</xdr:colOff>
      <xdr:row>306</xdr:row>
      <xdr:rowOff>134470</xdr:rowOff>
    </xdr:from>
    <xdr:to>
      <xdr:col>5</xdr:col>
      <xdr:colOff>806824</xdr:colOff>
      <xdr:row>327</xdr:row>
      <xdr:rowOff>42611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1234" y="71784882"/>
          <a:ext cx="3272119" cy="390864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507468</xdr:colOff>
      <xdr:row>4</xdr:row>
      <xdr:rowOff>332093</xdr:rowOff>
    </xdr:from>
    <xdr:to>
      <xdr:col>28</xdr:col>
      <xdr:colOff>292695</xdr:colOff>
      <xdr:row>12</xdr:row>
      <xdr:rowOff>273983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35932" y="1434272"/>
          <a:ext cx="7745406" cy="2690532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400050</xdr:colOff>
      <xdr:row>13</xdr:row>
      <xdr:rowOff>390525</xdr:rowOff>
    </xdr:from>
    <xdr:to>
      <xdr:col>22</xdr:col>
      <xdr:colOff>183396</xdr:colOff>
      <xdr:row>17</xdr:row>
      <xdr:rowOff>215764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05625" y="4657725"/>
          <a:ext cx="7559828" cy="1752845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361950</xdr:colOff>
      <xdr:row>29</xdr:row>
      <xdr:rowOff>110938</xdr:rowOff>
    </xdr:from>
    <xdr:to>
      <xdr:col>25</xdr:col>
      <xdr:colOff>112507</xdr:colOff>
      <xdr:row>39</xdr:row>
      <xdr:rowOff>393892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36274" y="11428879"/>
          <a:ext cx="8331062" cy="4048130"/>
        </a:xfrm>
        <a:prstGeom prst="rect">
          <a:avLst/>
        </a:prstGeom>
      </xdr:spPr>
    </xdr:pic>
    <xdr:clientData/>
  </xdr:twoCellAnchor>
  <xdr:twoCellAnchor editAs="oneCell">
    <xdr:from>
      <xdr:col>8</xdr:col>
      <xdr:colOff>832437</xdr:colOff>
      <xdr:row>92</xdr:row>
      <xdr:rowOff>96050</xdr:rowOff>
    </xdr:from>
    <xdr:to>
      <xdr:col>19</xdr:col>
      <xdr:colOff>453730</xdr:colOff>
      <xdr:row>104</xdr:row>
      <xdr:rowOff>70650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36651" y="26194550"/>
          <a:ext cx="5594829" cy="2260600"/>
        </a:xfrm>
        <a:prstGeom prst="rect">
          <a:avLst/>
        </a:prstGeom>
      </xdr:spPr>
    </xdr:pic>
    <xdr:clientData/>
  </xdr:twoCellAnchor>
  <xdr:twoCellAnchor editAs="oneCell">
    <xdr:from>
      <xdr:col>9</xdr:col>
      <xdr:colOff>403413</xdr:colOff>
      <xdr:row>24</xdr:row>
      <xdr:rowOff>201704</xdr:rowOff>
    </xdr:from>
    <xdr:to>
      <xdr:col>23</xdr:col>
      <xdr:colOff>254103</xdr:colOff>
      <xdr:row>27</xdr:row>
      <xdr:rowOff>490461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77737" y="9569822"/>
          <a:ext cx="7220958" cy="1476581"/>
        </a:xfrm>
        <a:prstGeom prst="rect">
          <a:avLst/>
        </a:prstGeom>
      </xdr:spPr>
    </xdr:pic>
    <xdr:clientData/>
  </xdr:twoCellAnchor>
  <xdr:twoCellAnchor editAs="oneCell">
    <xdr:from>
      <xdr:col>9</xdr:col>
      <xdr:colOff>261177</xdr:colOff>
      <xdr:row>183</xdr:row>
      <xdr:rowOff>135753</xdr:rowOff>
    </xdr:from>
    <xdr:to>
      <xdr:col>21</xdr:col>
      <xdr:colOff>59823</xdr:colOff>
      <xdr:row>192</xdr:row>
      <xdr:rowOff>103949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35501" y="47469400"/>
          <a:ext cx="5973087" cy="1682696"/>
        </a:xfrm>
        <a:prstGeom prst="rect">
          <a:avLst/>
        </a:prstGeom>
      </xdr:spPr>
    </xdr:pic>
    <xdr:clientData/>
  </xdr:twoCellAnchor>
  <xdr:twoCellAnchor editAs="oneCell">
    <xdr:from>
      <xdr:col>20</xdr:col>
      <xdr:colOff>428136</xdr:colOff>
      <xdr:row>186</xdr:row>
      <xdr:rowOff>118957</xdr:rowOff>
    </xdr:from>
    <xdr:to>
      <xdr:col>33</xdr:col>
      <xdr:colOff>337259</xdr:colOff>
      <xdr:row>202</xdr:row>
      <xdr:rowOff>176513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486045" y="48073002"/>
          <a:ext cx="7788896" cy="4681511"/>
        </a:xfrm>
        <a:prstGeom prst="rect">
          <a:avLst/>
        </a:prstGeom>
      </xdr:spPr>
    </xdr:pic>
    <xdr:clientData/>
  </xdr:twoCellAnchor>
  <xdr:twoCellAnchor editAs="oneCell">
    <xdr:from>
      <xdr:col>21</xdr:col>
      <xdr:colOff>543748</xdr:colOff>
      <xdr:row>157</xdr:row>
      <xdr:rowOff>96769</xdr:rowOff>
    </xdr:from>
    <xdr:to>
      <xdr:col>31</xdr:col>
      <xdr:colOff>250998</xdr:colOff>
      <xdr:row>173</xdr:row>
      <xdr:rowOff>67816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46141" y="42483019"/>
          <a:ext cx="5830464" cy="301904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134</xdr:row>
      <xdr:rowOff>114300</xdr:rowOff>
    </xdr:from>
    <xdr:to>
      <xdr:col>16</xdr:col>
      <xdr:colOff>181567</xdr:colOff>
      <xdr:row>149</xdr:row>
      <xdr:rowOff>83268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324850" y="31756350"/>
          <a:ext cx="2481174" cy="3197382"/>
        </a:xfrm>
        <a:prstGeom prst="rect">
          <a:avLst/>
        </a:prstGeom>
      </xdr:spPr>
    </xdr:pic>
    <xdr:clientData/>
  </xdr:twoCellAnchor>
  <xdr:twoCellAnchor editAs="oneCell">
    <xdr:from>
      <xdr:col>11</xdr:col>
      <xdr:colOff>542925</xdr:colOff>
      <xdr:row>229</xdr:row>
      <xdr:rowOff>133350</xdr:rowOff>
    </xdr:from>
    <xdr:to>
      <xdr:col>24</xdr:col>
      <xdr:colOff>248461</xdr:colOff>
      <xdr:row>241</xdr:row>
      <xdr:rowOff>48705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29725" y="56178450"/>
          <a:ext cx="5801535" cy="2849615"/>
        </a:xfrm>
        <a:prstGeom prst="rect">
          <a:avLst/>
        </a:prstGeom>
      </xdr:spPr>
    </xdr:pic>
    <xdr:clientData/>
  </xdr:twoCellAnchor>
  <xdr:twoCellAnchor editAs="oneCell">
    <xdr:from>
      <xdr:col>24</xdr:col>
      <xdr:colOff>504134</xdr:colOff>
      <xdr:row>195</xdr:row>
      <xdr:rowOff>92164</xdr:rowOff>
    </xdr:from>
    <xdr:to>
      <xdr:col>36</xdr:col>
      <xdr:colOff>306070</xdr:colOff>
      <xdr:row>203</xdr:row>
      <xdr:rowOff>240250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101322" y="49622164"/>
          <a:ext cx="7231436" cy="3219899"/>
        </a:xfrm>
        <a:prstGeom prst="rect">
          <a:avLst/>
        </a:prstGeom>
      </xdr:spPr>
    </xdr:pic>
    <xdr:clientData/>
  </xdr:twoCellAnchor>
  <xdr:twoCellAnchor editAs="oneCell">
    <xdr:from>
      <xdr:col>20</xdr:col>
      <xdr:colOff>428626</xdr:colOff>
      <xdr:row>167</xdr:row>
      <xdr:rowOff>108859</xdr:rowOff>
    </xdr:from>
    <xdr:to>
      <xdr:col>28</xdr:col>
      <xdr:colOff>57784</xdr:colOff>
      <xdr:row>185</xdr:row>
      <xdr:rowOff>169897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518697" y="44400109"/>
          <a:ext cx="4527730" cy="3490038"/>
        </a:xfrm>
        <a:prstGeom prst="rect">
          <a:avLst/>
        </a:prstGeom>
      </xdr:spPr>
    </xdr:pic>
    <xdr:clientData/>
  </xdr:twoCellAnchor>
  <xdr:twoCellAnchor editAs="oneCell">
    <xdr:from>
      <xdr:col>9</xdr:col>
      <xdr:colOff>322593</xdr:colOff>
      <xdr:row>144</xdr:row>
      <xdr:rowOff>59711</xdr:rowOff>
    </xdr:from>
    <xdr:to>
      <xdr:col>28</xdr:col>
      <xdr:colOff>276409</xdr:colOff>
      <xdr:row>167</xdr:row>
      <xdr:rowOff>163853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75906" y="39136024"/>
          <a:ext cx="10574191" cy="5223830"/>
        </a:xfrm>
        <a:prstGeom prst="rect">
          <a:avLst/>
        </a:prstGeom>
      </xdr:spPr>
    </xdr:pic>
    <xdr:clientData/>
  </xdr:twoCellAnchor>
  <xdr:twoCellAnchor editAs="oneCell">
    <xdr:from>
      <xdr:col>24</xdr:col>
      <xdr:colOff>370796</xdr:colOff>
      <xdr:row>175</xdr:row>
      <xdr:rowOff>37421</xdr:rowOff>
    </xdr:from>
    <xdr:to>
      <xdr:col>37</xdr:col>
      <xdr:colOff>586930</xdr:colOff>
      <xdr:row>190</xdr:row>
      <xdr:rowOff>88852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967984" y="45757421"/>
          <a:ext cx="8264759" cy="2908931"/>
        </a:xfrm>
        <a:prstGeom prst="rect">
          <a:avLst/>
        </a:prstGeom>
      </xdr:spPr>
    </xdr:pic>
    <xdr:clientData/>
  </xdr:twoCellAnchor>
  <xdr:twoCellAnchor editAs="oneCell">
    <xdr:from>
      <xdr:col>17</xdr:col>
      <xdr:colOff>156483</xdr:colOff>
      <xdr:row>165</xdr:row>
      <xdr:rowOff>54430</xdr:rowOff>
    </xdr:from>
    <xdr:to>
      <xdr:col>32</xdr:col>
      <xdr:colOff>72041</xdr:colOff>
      <xdr:row>178</xdr:row>
      <xdr:rowOff>73828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09590" y="43964680"/>
          <a:ext cx="9100380" cy="2495898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238</xdr:row>
      <xdr:rowOff>95250</xdr:rowOff>
    </xdr:from>
    <xdr:to>
      <xdr:col>7</xdr:col>
      <xdr:colOff>552450</xdr:colOff>
      <xdr:row>281</xdr:row>
      <xdr:rowOff>48525</xdr:rowOff>
    </xdr:to>
    <xdr:grpSp>
      <xdr:nvGrpSpPr>
        <xdr:cNvPr id="50" name="Group 49"/>
        <xdr:cNvGrpSpPr/>
      </xdr:nvGrpSpPr>
      <xdr:grpSpPr>
        <a:xfrm>
          <a:off x="142875" y="60203603"/>
          <a:ext cx="6124575" cy="8144775"/>
          <a:chOff x="142875" y="60140850"/>
          <a:chExt cx="6124575" cy="8144775"/>
        </a:xfrm>
      </xdr:grpSpPr>
      <xdr:grpSp>
        <xdr:nvGrpSpPr>
          <xdr:cNvPr id="54" name="Group 53"/>
          <xdr:cNvGrpSpPr/>
        </xdr:nvGrpSpPr>
        <xdr:grpSpPr>
          <a:xfrm>
            <a:off x="142875" y="60140850"/>
            <a:ext cx="6124575" cy="8134349"/>
            <a:chOff x="142875" y="54475673"/>
            <a:chExt cx="6131902" cy="8134349"/>
          </a:xfrm>
        </xdr:grpSpPr>
        <xdr:grpSp>
          <xdr:nvGrpSpPr>
            <xdr:cNvPr id="36" name="Group 35"/>
            <xdr:cNvGrpSpPr/>
          </xdr:nvGrpSpPr>
          <xdr:grpSpPr>
            <a:xfrm>
              <a:off x="142875" y="54475673"/>
              <a:ext cx="6131902" cy="8134349"/>
              <a:chOff x="-324067" y="427001"/>
              <a:chExt cx="7475015" cy="8464266"/>
            </a:xfrm>
          </xdr:grpSpPr>
          <xdr:pic>
            <xdr:nvPicPr>
              <xdr:cNvPr id="37" name="Picture 36" descr="https://vsjcllp.vsjadon.com/upload/insp-247943-152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783116" y="7344325"/>
                <a:ext cx="1158998" cy="1546942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8" name="Picture 37" descr="https://vsjcllp.vsjadon.com/upload/insp-247943-843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02710" y="3283262"/>
                <a:ext cx="2877714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9" name="Picture 38" descr="https://vsjcllp.vsjadon.com/upload/insp-247943-844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469222" y="5536035"/>
                <a:ext cx="1277872" cy="170560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0" name="Picture 39" descr="https://vsjcllp.vsjadon.com/upload/insp-247943-847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854181" y="5536035"/>
                <a:ext cx="1277872" cy="170560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1" name="Picture 40" descr="https://vsjcllp.vsjadon.com/upload/insp-247943-862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6971" y="5536035"/>
                <a:ext cx="1277872" cy="170560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2" name="Picture 41" descr="https://vsjcllp.vsjadon.com/upload/insp-247943-860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97030" y="5536035"/>
                <a:ext cx="1277872" cy="170560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3" name="Picture 42" descr="https://vsjcllp.vsjadon.com/upload/insp-247943-1022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-324067" y="427001"/>
                <a:ext cx="3681726" cy="276348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4" name="Picture 43" descr="https://vsjcllp.vsjadon.com/upload/insp-247943-880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58230" y="3283262"/>
                <a:ext cx="1618313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5" name="Picture 44" descr="https://vsjcllp.vsjadon.com/upload/insp-247943-916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469222" y="427001"/>
                <a:ext cx="3681726" cy="276348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6" name="Picture 45" descr="https://vsjcllp.vsjadon.com/upload/insp-247943-92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033281" y="7344325"/>
                <a:ext cx="1158998" cy="1546942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7" name="Picture 46" descr="https://vsjcllp.vsjadon.com/upload/insp-247943-874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006591" y="3283262"/>
                <a:ext cx="1618313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sp macro="" textlink="">
          <xdr:nvSpPr>
            <xdr:cNvPr id="48" name="TextBox 48"/>
            <xdr:cNvSpPr txBox="1"/>
          </xdr:nvSpPr>
          <xdr:spPr>
            <a:xfrm>
              <a:off x="2336556" y="54599497"/>
              <a:ext cx="756138" cy="328295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</a:t>
              </a:r>
              <a:r>
                <a:rPr lang="en-US" sz="8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No.1</a:t>
              </a:r>
              <a:r>
                <a:rPr lang="en-US" sz="8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 (Wing A)</a:t>
              </a:r>
              <a:endParaRPr lang="en-IN" sz="8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49" name="TextBox 48"/>
            <xdr:cNvSpPr txBox="1"/>
          </xdr:nvSpPr>
          <xdr:spPr>
            <a:xfrm>
              <a:off x="1179636" y="57252577"/>
              <a:ext cx="594793" cy="26930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6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</a:t>
              </a:r>
              <a:r>
                <a:rPr lang="en-US" sz="6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6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No.1</a:t>
              </a:r>
              <a:r>
                <a:rPr lang="en-US" sz="6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 (Wing B)</a:t>
              </a:r>
              <a:endParaRPr lang="en-IN" sz="6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51" name="TextBox 50"/>
            <xdr:cNvSpPr txBox="1"/>
          </xdr:nvSpPr>
          <xdr:spPr>
            <a:xfrm>
              <a:off x="142875" y="54475673"/>
              <a:ext cx="754673" cy="328295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</a:t>
              </a:r>
              <a:r>
                <a:rPr lang="en-US" sz="8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No.1</a:t>
              </a:r>
              <a:r>
                <a:rPr lang="en-US" sz="8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 (Wing B)</a:t>
              </a:r>
              <a:endParaRPr lang="en-IN" sz="8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52" name="TextBox 48"/>
            <xdr:cNvSpPr txBox="1"/>
          </xdr:nvSpPr>
          <xdr:spPr>
            <a:xfrm>
              <a:off x="4248883" y="54863266"/>
              <a:ext cx="1217001" cy="21031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</a:t>
              </a:r>
              <a:r>
                <a:rPr lang="en-US" sz="8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No.2</a:t>
              </a:r>
              <a:r>
                <a:rPr lang="en-US" sz="8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 (Wing B)</a:t>
              </a:r>
              <a:endParaRPr lang="en-IN" sz="8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53" name="TextBox 48"/>
            <xdr:cNvSpPr txBox="1"/>
          </xdr:nvSpPr>
          <xdr:spPr>
            <a:xfrm>
              <a:off x="2219325" y="57720767"/>
              <a:ext cx="1217001" cy="21031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</a:t>
              </a:r>
              <a:r>
                <a:rPr lang="en-US" sz="8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No.2</a:t>
              </a:r>
              <a:r>
                <a:rPr lang="en-US" sz="8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 (Wing C)</a:t>
              </a:r>
              <a:endParaRPr lang="en-IN" sz="8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pic>
        <xdr:nvPicPr>
          <xdr:cNvPr id="60" name="Picture 59" descr="https://vsjcllp.vsjadon.com/upload/insp-247943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900" y="66798825"/>
            <a:ext cx="1113939" cy="14868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293429-vrundavan-park-jai-by-shree-vastunirman-developers-in-kalyan-west" TargetMode="External"/><Relationship Id="rId1" Type="http://schemas.openxmlformats.org/officeDocument/2006/relationships/hyperlink" Target="https://maps.app.goo.gl/tRLgNzFVmgz8Chh26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2"/>
  <sheetViews>
    <sheetView tabSelected="1" view="pageBreakPreview" topLeftCell="A92" zoomScale="85" zoomScaleNormal="85" zoomScaleSheetLayoutView="85" zoomScalePageLayoutView="85" workbookViewId="0">
      <selection activeCell="K110" sqref="K110"/>
    </sheetView>
  </sheetViews>
  <sheetFormatPr defaultColWidth="9.140625" defaultRowHeight="15" x14ac:dyDescent="0.25"/>
  <cols>
    <col min="1" max="1" width="11.28515625" style="8" customWidth="1"/>
    <col min="2" max="2" width="13.28515625" style="8" customWidth="1"/>
    <col min="3" max="3" width="12.140625" style="8" customWidth="1"/>
    <col min="4" max="4" width="12.42578125" style="8" customWidth="1"/>
    <col min="5" max="5" width="11.7109375" style="8" customWidth="1"/>
    <col min="6" max="6" width="13.28515625" style="8" customWidth="1"/>
    <col min="7" max="7" width="11.5703125" style="8" customWidth="1"/>
    <col min="8" max="8" width="11.85546875" style="8" customWidth="1"/>
    <col min="9" max="9" width="14.42578125" style="8" customWidth="1"/>
    <col min="10" max="10" width="9.140625" style="8"/>
    <col min="11" max="11" width="20" style="8" customWidth="1"/>
    <col min="12" max="13" width="9.140625" style="8"/>
    <col min="14" max="16" width="0" style="8" hidden="1" customWidth="1"/>
    <col min="17" max="16384" width="9.140625" style="8"/>
  </cols>
  <sheetData>
    <row r="1" spans="1:9" ht="43.9" customHeight="1" x14ac:dyDescent="0.25">
      <c r="A1" s="168" t="s">
        <v>139</v>
      </c>
      <c r="B1" s="168"/>
      <c r="C1" s="168"/>
      <c r="D1" s="168"/>
      <c r="E1" s="168"/>
      <c r="F1" s="168"/>
      <c r="G1" s="168"/>
      <c r="H1" s="168"/>
    </row>
    <row r="2" spans="1:9" ht="13.9" x14ac:dyDescent="0.25">
      <c r="A2" s="169" t="s">
        <v>8</v>
      </c>
      <c r="B2" s="169"/>
      <c r="C2" s="169"/>
      <c r="D2" s="169"/>
      <c r="E2" s="169"/>
      <c r="F2" s="169"/>
      <c r="G2" s="169"/>
      <c r="H2" s="169"/>
    </row>
    <row r="3" spans="1:9" ht="13.9" x14ac:dyDescent="0.25">
      <c r="A3" s="9" t="s">
        <v>16</v>
      </c>
      <c r="B3" s="172" t="s">
        <v>14</v>
      </c>
      <c r="C3" s="172"/>
      <c r="D3" s="172"/>
      <c r="E3" s="171" t="s">
        <v>17</v>
      </c>
      <c r="F3" s="171"/>
      <c r="G3" s="171"/>
      <c r="H3" s="171"/>
    </row>
    <row r="4" spans="1:9" ht="15" customHeight="1" x14ac:dyDescent="0.25">
      <c r="A4" s="10">
        <v>1</v>
      </c>
      <c r="B4" s="170" t="s">
        <v>18</v>
      </c>
      <c r="C4" s="170"/>
      <c r="D4" s="170"/>
      <c r="E4" s="173" t="s">
        <v>188</v>
      </c>
      <c r="F4" s="173"/>
      <c r="G4" s="173"/>
      <c r="H4" s="173"/>
    </row>
    <row r="5" spans="1:9" ht="48.75" customHeight="1" x14ac:dyDescent="0.25">
      <c r="A5" s="119">
        <v>2</v>
      </c>
      <c r="B5" s="170" t="s">
        <v>19</v>
      </c>
      <c r="C5" s="170"/>
      <c r="D5" s="170"/>
      <c r="E5" s="159" t="s">
        <v>195</v>
      </c>
      <c r="F5" s="159"/>
      <c r="G5" s="159"/>
      <c r="H5" s="159"/>
    </row>
    <row r="6" spans="1:9" ht="15.75" customHeight="1" x14ac:dyDescent="0.25">
      <c r="A6" s="120"/>
      <c r="B6" s="170"/>
      <c r="C6" s="170"/>
      <c r="D6" s="170"/>
      <c r="E6" s="175" t="s">
        <v>140</v>
      </c>
      <c r="F6" s="176"/>
      <c r="G6" s="179" t="s">
        <v>189</v>
      </c>
      <c r="H6" s="179"/>
    </row>
    <row r="7" spans="1:9" ht="15.75" customHeight="1" x14ac:dyDescent="0.25">
      <c r="A7" s="120"/>
      <c r="B7" s="177" t="s">
        <v>137</v>
      </c>
      <c r="C7" s="178"/>
      <c r="D7" s="178"/>
      <c r="E7" s="174" t="s">
        <v>190</v>
      </c>
      <c r="F7" s="165"/>
      <c r="G7" s="165"/>
      <c r="H7" s="166"/>
    </row>
    <row r="8" spans="1:9" ht="33.75" customHeight="1" x14ac:dyDescent="0.25">
      <c r="A8" s="120"/>
      <c r="B8" s="258" t="s">
        <v>83</v>
      </c>
      <c r="C8" s="259"/>
      <c r="D8" s="260"/>
      <c r="E8" s="264" t="s">
        <v>191</v>
      </c>
      <c r="F8" s="265"/>
      <c r="G8" s="217" t="s">
        <v>192</v>
      </c>
      <c r="H8" s="218"/>
    </row>
    <row r="9" spans="1:9" ht="38.25" customHeight="1" x14ac:dyDescent="0.25">
      <c r="A9" s="120"/>
      <c r="B9" s="261"/>
      <c r="C9" s="262"/>
      <c r="D9" s="263"/>
      <c r="E9" s="266"/>
      <c r="F9" s="267"/>
      <c r="G9" s="217" t="s">
        <v>193</v>
      </c>
      <c r="H9" s="218"/>
    </row>
    <row r="10" spans="1:9" x14ac:dyDescent="0.25">
      <c r="A10" s="121"/>
      <c r="B10" s="170" t="s">
        <v>147</v>
      </c>
      <c r="C10" s="170"/>
      <c r="D10" s="170"/>
      <c r="E10" s="159" t="s">
        <v>10</v>
      </c>
      <c r="F10" s="159"/>
      <c r="G10" s="159"/>
      <c r="H10" s="159"/>
    </row>
    <row r="11" spans="1:9" x14ac:dyDescent="0.25">
      <c r="A11" s="10">
        <v>3</v>
      </c>
      <c r="B11" s="170" t="s">
        <v>20</v>
      </c>
      <c r="C11" s="170"/>
      <c r="D11" s="170"/>
      <c r="E11" s="159" t="s">
        <v>194</v>
      </c>
      <c r="F11" s="159"/>
      <c r="G11" s="159"/>
      <c r="H11" s="159"/>
    </row>
    <row r="12" spans="1:9" ht="32.25" customHeight="1" x14ac:dyDescent="0.25">
      <c r="A12" s="10">
        <v>4</v>
      </c>
      <c r="B12" s="170" t="s">
        <v>21</v>
      </c>
      <c r="C12" s="170"/>
      <c r="D12" s="170"/>
      <c r="E12" s="159" t="s">
        <v>196</v>
      </c>
      <c r="F12" s="159"/>
      <c r="G12" s="159"/>
      <c r="H12" s="159"/>
    </row>
    <row r="13" spans="1:9" ht="45" customHeight="1" x14ac:dyDescent="0.25">
      <c r="A13" s="10">
        <v>5</v>
      </c>
      <c r="B13" s="170" t="s">
        <v>22</v>
      </c>
      <c r="C13" s="170"/>
      <c r="D13" s="170"/>
      <c r="E13" s="159" t="s">
        <v>197</v>
      </c>
      <c r="F13" s="159"/>
      <c r="G13" s="159"/>
      <c r="H13" s="159"/>
      <c r="I13" s="219" t="s">
        <v>136</v>
      </c>
    </row>
    <row r="14" spans="1:9" ht="45" customHeight="1" x14ac:dyDescent="0.25">
      <c r="A14" s="10">
        <v>6</v>
      </c>
      <c r="B14" s="170" t="s">
        <v>23</v>
      </c>
      <c r="C14" s="170"/>
      <c r="D14" s="170"/>
      <c r="E14" s="134" t="str">
        <f>E13</f>
        <v>Proposed Residential &amp; Commercial Survey No.94/19, 94/23, 94/25 at Village - Devrung, Taluka - Bhiwandi, Dist -Thane</v>
      </c>
      <c r="F14" s="134"/>
      <c r="G14" s="134"/>
      <c r="H14" s="134"/>
      <c r="I14" s="219"/>
    </row>
    <row r="15" spans="1:9" ht="15" customHeight="1" x14ac:dyDescent="0.25">
      <c r="A15" s="10">
        <v>7</v>
      </c>
      <c r="B15" s="133" t="s">
        <v>24</v>
      </c>
      <c r="C15" s="133"/>
      <c r="D15" s="133"/>
      <c r="E15" s="159">
        <v>45915</v>
      </c>
      <c r="F15" s="159"/>
      <c r="G15" s="159"/>
      <c r="H15" s="159"/>
    </row>
    <row r="16" spans="1:9" ht="15" customHeight="1" x14ac:dyDescent="0.25">
      <c r="A16" s="10">
        <v>8</v>
      </c>
      <c r="B16" s="133" t="s">
        <v>181</v>
      </c>
      <c r="C16" s="133"/>
      <c r="D16" s="133"/>
      <c r="E16" s="159" t="s">
        <v>232</v>
      </c>
      <c r="F16" s="159"/>
      <c r="G16" s="159"/>
      <c r="H16" s="159"/>
    </row>
    <row r="17" spans="1:10" ht="77.25" customHeight="1" x14ac:dyDescent="0.25">
      <c r="A17" s="10">
        <v>9</v>
      </c>
      <c r="B17" s="133" t="s">
        <v>25</v>
      </c>
      <c r="C17" s="133"/>
      <c r="D17" s="133"/>
      <c r="E17" s="159" t="s">
        <v>233</v>
      </c>
      <c r="F17" s="159"/>
      <c r="G17" s="159"/>
      <c r="H17" s="159"/>
    </row>
    <row r="18" spans="1:10" ht="30.75" customHeight="1" x14ac:dyDescent="0.25">
      <c r="A18" s="10">
        <v>10</v>
      </c>
      <c r="B18" s="123" t="s">
        <v>26</v>
      </c>
      <c r="C18" s="123"/>
      <c r="D18" s="123"/>
      <c r="E18" s="145" t="s">
        <v>65</v>
      </c>
      <c r="F18" s="145"/>
      <c r="G18" s="145"/>
      <c r="H18" s="145"/>
    </row>
    <row r="19" spans="1:10" x14ac:dyDescent="0.25">
      <c r="A19" s="10">
        <v>11</v>
      </c>
      <c r="B19" s="170" t="s">
        <v>27</v>
      </c>
      <c r="C19" s="170"/>
      <c r="D19" s="170"/>
      <c r="E19" s="145" t="s">
        <v>65</v>
      </c>
      <c r="F19" s="145"/>
      <c r="G19" s="145"/>
      <c r="H19" s="145"/>
    </row>
    <row r="20" spans="1:10" ht="46.5" customHeight="1" x14ac:dyDescent="0.25">
      <c r="A20" s="10">
        <v>12</v>
      </c>
      <c r="B20" s="123" t="s">
        <v>28</v>
      </c>
      <c r="C20" s="123"/>
      <c r="D20" s="123"/>
      <c r="E20" s="145" t="s">
        <v>65</v>
      </c>
      <c r="F20" s="145"/>
      <c r="G20" s="145"/>
      <c r="H20" s="145"/>
    </row>
    <row r="21" spans="1:10" ht="47.25" customHeight="1" x14ac:dyDescent="0.25">
      <c r="A21" s="10">
        <v>13</v>
      </c>
      <c r="B21" s="123" t="s">
        <v>109</v>
      </c>
      <c r="C21" s="123"/>
      <c r="D21" s="123"/>
      <c r="E21" s="159" t="s">
        <v>198</v>
      </c>
      <c r="F21" s="159"/>
      <c r="G21" s="159"/>
      <c r="H21" s="159"/>
    </row>
    <row r="22" spans="1:10" ht="29.25" customHeight="1" x14ac:dyDescent="0.25">
      <c r="A22" s="10">
        <v>14</v>
      </c>
      <c r="B22" s="123" t="s">
        <v>29</v>
      </c>
      <c r="C22" s="123"/>
      <c r="D22" s="123"/>
      <c r="E22" s="159">
        <v>45916</v>
      </c>
      <c r="F22" s="159"/>
      <c r="G22" s="159"/>
      <c r="H22" s="159"/>
    </row>
    <row r="23" spans="1:10" ht="15" customHeight="1" x14ac:dyDescent="0.25">
      <c r="A23" s="10">
        <v>15</v>
      </c>
      <c r="B23" s="123" t="s">
        <v>30</v>
      </c>
      <c r="C23" s="123"/>
      <c r="D23" s="123"/>
      <c r="E23" s="159" t="s">
        <v>235</v>
      </c>
      <c r="F23" s="159"/>
      <c r="G23" s="159"/>
      <c r="H23" s="159"/>
      <c r="I23" s="220"/>
      <c r="J23" s="141"/>
    </row>
    <row r="24" spans="1:10" ht="30" customHeight="1" x14ac:dyDescent="0.25">
      <c r="A24" s="10">
        <v>16</v>
      </c>
      <c r="B24" s="123" t="s">
        <v>31</v>
      </c>
      <c r="C24" s="123"/>
      <c r="D24" s="123"/>
      <c r="E24" s="159" t="s">
        <v>199</v>
      </c>
      <c r="F24" s="159"/>
      <c r="G24" s="159"/>
      <c r="H24" s="159"/>
      <c r="I24" s="220"/>
      <c r="J24" s="141"/>
    </row>
    <row r="25" spans="1:10" ht="46.5" customHeight="1" x14ac:dyDescent="0.25">
      <c r="A25" s="10">
        <v>17</v>
      </c>
      <c r="B25" s="123" t="s">
        <v>110</v>
      </c>
      <c r="C25" s="123"/>
      <c r="D25" s="123"/>
      <c r="E25" s="159" t="s">
        <v>10</v>
      </c>
      <c r="F25" s="159"/>
      <c r="G25" s="159"/>
      <c r="H25" s="159"/>
      <c r="I25" s="220"/>
      <c r="J25" s="141"/>
    </row>
    <row r="26" spans="1:10" ht="31.5" customHeight="1" x14ac:dyDescent="0.25">
      <c r="A26" s="10">
        <v>18</v>
      </c>
      <c r="B26" s="123" t="s">
        <v>32</v>
      </c>
      <c r="C26" s="123"/>
      <c r="D26" s="123"/>
      <c r="E26" s="159" t="s">
        <v>65</v>
      </c>
      <c r="F26" s="159"/>
      <c r="G26" s="159"/>
      <c r="H26" s="159"/>
    </row>
    <row r="27" spans="1:10" x14ac:dyDescent="0.25">
      <c r="A27" s="10">
        <v>19</v>
      </c>
      <c r="B27" s="123" t="s">
        <v>33</v>
      </c>
      <c r="C27" s="123"/>
      <c r="D27" s="123"/>
      <c r="E27" s="159" t="s">
        <v>231</v>
      </c>
      <c r="F27" s="159"/>
      <c r="G27" s="159"/>
      <c r="H27" s="159"/>
      <c r="I27" s="8">
        <f>151-64</f>
        <v>87</v>
      </c>
    </row>
    <row r="28" spans="1:10" ht="45" customHeight="1" x14ac:dyDescent="0.25">
      <c r="A28" s="10">
        <v>20</v>
      </c>
      <c r="B28" s="123" t="s">
        <v>34</v>
      </c>
      <c r="C28" s="123"/>
      <c r="D28" s="123"/>
      <c r="E28" s="159" t="s">
        <v>65</v>
      </c>
      <c r="F28" s="159"/>
      <c r="G28" s="159"/>
      <c r="H28" s="159"/>
    </row>
    <row r="29" spans="1:10" x14ac:dyDescent="0.25">
      <c r="A29" s="10">
        <v>21</v>
      </c>
      <c r="B29" s="123" t="s">
        <v>35</v>
      </c>
      <c r="C29" s="123"/>
      <c r="D29" s="123"/>
      <c r="E29" s="159" t="s">
        <v>200</v>
      </c>
      <c r="F29" s="159"/>
      <c r="G29" s="159"/>
      <c r="H29" s="159"/>
    </row>
    <row r="30" spans="1:10" ht="15" customHeight="1" x14ac:dyDescent="0.25">
      <c r="A30" s="10">
        <v>22</v>
      </c>
      <c r="B30" s="123" t="s">
        <v>36</v>
      </c>
      <c r="C30" s="123"/>
      <c r="D30" s="123"/>
      <c r="E30" s="159" t="s">
        <v>200</v>
      </c>
      <c r="F30" s="159"/>
      <c r="G30" s="159"/>
      <c r="H30" s="159"/>
    </row>
    <row r="31" spans="1:10" ht="32.25" customHeight="1" x14ac:dyDescent="0.25">
      <c r="A31" s="10">
        <v>23</v>
      </c>
      <c r="B31" s="123" t="s">
        <v>37</v>
      </c>
      <c r="C31" s="123"/>
      <c r="D31" s="123"/>
      <c r="E31" s="159" t="s">
        <v>201</v>
      </c>
      <c r="F31" s="159"/>
      <c r="G31" s="159"/>
      <c r="H31" s="159"/>
    </row>
    <row r="32" spans="1:10" ht="63" customHeight="1" x14ac:dyDescent="0.25">
      <c r="A32" s="10">
        <v>24</v>
      </c>
      <c r="B32" s="123" t="s">
        <v>38</v>
      </c>
      <c r="C32" s="123"/>
      <c r="D32" s="123"/>
      <c r="E32" s="159" t="s">
        <v>202</v>
      </c>
      <c r="F32" s="159"/>
      <c r="G32" s="159"/>
      <c r="H32" s="159"/>
    </row>
    <row r="33" spans="1:10" x14ac:dyDescent="0.25">
      <c r="A33" s="10">
        <v>25</v>
      </c>
      <c r="B33" s="123" t="s">
        <v>39</v>
      </c>
      <c r="C33" s="123"/>
      <c r="D33" s="123"/>
      <c r="E33" s="159" t="s">
        <v>203</v>
      </c>
      <c r="F33" s="159"/>
      <c r="G33" s="159"/>
      <c r="H33" s="159"/>
      <c r="I33" s="146" t="s">
        <v>136</v>
      </c>
      <c r="J33" s="147"/>
    </row>
    <row r="34" spans="1:10" ht="30" customHeight="1" x14ac:dyDescent="0.25">
      <c r="A34" s="10">
        <v>26</v>
      </c>
      <c r="B34" s="123" t="s">
        <v>40</v>
      </c>
      <c r="C34" s="123"/>
      <c r="D34" s="123"/>
      <c r="E34" s="134" t="str">
        <f>E33</f>
        <v>Town Planning Thane</v>
      </c>
      <c r="F34" s="134"/>
      <c r="G34" s="134"/>
      <c r="H34" s="134"/>
      <c r="I34" s="146"/>
      <c r="J34" s="147"/>
    </row>
    <row r="35" spans="1:10" ht="33.75" customHeight="1" x14ac:dyDescent="0.25">
      <c r="A35" s="10">
        <v>27</v>
      </c>
      <c r="B35" s="123" t="s">
        <v>41</v>
      </c>
      <c r="C35" s="123"/>
      <c r="D35" s="123"/>
      <c r="E35" s="145" t="s">
        <v>68</v>
      </c>
      <c r="F35" s="145"/>
      <c r="G35" s="145"/>
      <c r="H35" s="145"/>
    </row>
    <row r="36" spans="1:10" ht="29.25" customHeight="1" x14ac:dyDescent="0.25">
      <c r="A36" s="10">
        <v>28</v>
      </c>
      <c r="B36" s="123" t="s">
        <v>42</v>
      </c>
      <c r="C36" s="123"/>
      <c r="D36" s="123"/>
      <c r="E36" s="145" t="str">
        <f>IF(AND(ISNUMBER(SEARCH("Flat",E198)),ISNUMBER(SEARCH("Shop",E198)),ISNUMBER(SEARCH("Office",E198))),"Residential + Commercial",IF(AND(ISNUMBER(SEARCH("Flat",E198)),ISNUMBER(SEARCH("Shop",E198))),"Residential + Commercial",IF(AND(ISNUMBER(SEARCH("Flat",E198)),ISNUMBER(SEARCH("Office",E198))),"Residential + Commercial",IF(AND(ISNUMBER(SEARCH("Shop",E198)),ISNUMBER(SEARCH("Office",E198))),"Commercial",IF(ISNUMBER(SEARCH("Shop",E198)),"Commercial",IF(ISNUMBER(SEARCH("Office",E198)),"Commercial",IF(ISNUMBER(SEARCH("Flat",E198)),"Residential")))))))</f>
        <v>Residential + Commercial</v>
      </c>
      <c r="F36" s="145"/>
      <c r="G36" s="145"/>
      <c r="H36" s="145"/>
    </row>
    <row r="37" spans="1:10" ht="15" customHeight="1" x14ac:dyDescent="0.25">
      <c r="A37" s="10">
        <v>29</v>
      </c>
      <c r="B37" s="123" t="s">
        <v>175</v>
      </c>
      <c r="C37" s="123"/>
      <c r="D37" s="123"/>
      <c r="E37" s="221">
        <v>3000</v>
      </c>
      <c r="F37" s="221"/>
      <c r="G37" s="221"/>
      <c r="H37" s="221"/>
    </row>
    <row r="38" spans="1:10" ht="31.5" customHeight="1" x14ac:dyDescent="0.25">
      <c r="A38" s="10">
        <v>30</v>
      </c>
      <c r="B38" s="123" t="s">
        <v>80</v>
      </c>
      <c r="C38" s="123"/>
      <c r="D38" s="123"/>
      <c r="E38" s="145" t="s">
        <v>9</v>
      </c>
      <c r="F38" s="145"/>
      <c r="G38" s="145"/>
      <c r="H38" s="145"/>
    </row>
    <row r="39" spans="1:10" ht="31.5" customHeight="1" x14ac:dyDescent="0.25">
      <c r="A39" s="10">
        <v>31</v>
      </c>
      <c r="B39" s="123" t="s">
        <v>81</v>
      </c>
      <c r="C39" s="123"/>
      <c r="D39" s="123"/>
      <c r="E39" s="145" t="s">
        <v>69</v>
      </c>
      <c r="F39" s="145"/>
      <c r="G39" s="145"/>
      <c r="H39" s="145"/>
    </row>
    <row r="40" spans="1:10" ht="47.25" customHeight="1" x14ac:dyDescent="0.25">
      <c r="A40" s="10">
        <v>32</v>
      </c>
      <c r="B40" s="123" t="s">
        <v>43</v>
      </c>
      <c r="C40" s="123"/>
      <c r="D40" s="123"/>
      <c r="E40" s="145" t="s">
        <v>9</v>
      </c>
      <c r="F40" s="145"/>
      <c r="G40" s="145"/>
      <c r="H40" s="145"/>
    </row>
    <row r="41" spans="1:10" x14ac:dyDescent="0.25">
      <c r="A41" s="135">
        <v>33</v>
      </c>
      <c r="B41" s="134" t="s">
        <v>174</v>
      </c>
      <c r="C41" s="134"/>
      <c r="D41" s="134"/>
      <c r="E41" s="134">
        <v>2865.0619999999999</v>
      </c>
      <c r="F41" s="134"/>
      <c r="G41" s="134"/>
      <c r="H41" s="134"/>
    </row>
    <row r="42" spans="1:10" x14ac:dyDescent="0.25">
      <c r="A42" s="228"/>
      <c r="B42" s="134" t="s">
        <v>182</v>
      </c>
      <c r="C42" s="134"/>
      <c r="D42" s="134"/>
      <c r="E42" s="134">
        <v>6441.9620000000004</v>
      </c>
      <c r="F42" s="134"/>
      <c r="G42" s="134"/>
      <c r="H42" s="134"/>
      <c r="I42" s="42">
        <f>E42/E41</f>
        <v>2.2484546582238014</v>
      </c>
    </row>
    <row r="43" spans="1:10" x14ac:dyDescent="0.25">
      <c r="A43" s="10">
        <v>34</v>
      </c>
      <c r="B43" s="134" t="s">
        <v>141</v>
      </c>
      <c r="C43" s="134"/>
      <c r="D43" s="134"/>
      <c r="E43" s="137">
        <f>3151.568/E41</f>
        <v>1.0999999301934829</v>
      </c>
      <c r="F43" s="137"/>
      <c r="G43" s="137"/>
      <c r="H43" s="137"/>
    </row>
    <row r="44" spans="1:10" ht="15" customHeight="1" x14ac:dyDescent="0.25">
      <c r="A44" s="10">
        <f>A43+1</f>
        <v>35</v>
      </c>
      <c r="B44" s="138" t="s">
        <v>142</v>
      </c>
      <c r="C44" s="139"/>
      <c r="D44" s="140"/>
      <c r="E44" s="137">
        <f>740/E41</f>
        <v>0.25828411392144396</v>
      </c>
      <c r="F44" s="137"/>
      <c r="G44" s="137"/>
      <c r="H44" s="137"/>
    </row>
    <row r="45" spans="1:10" x14ac:dyDescent="0.25">
      <c r="A45" s="10">
        <f t="shared" ref="A45:A47" si="0">A44+1</f>
        <v>36</v>
      </c>
      <c r="B45" s="134" t="s">
        <v>143</v>
      </c>
      <c r="C45" s="134"/>
      <c r="D45" s="134"/>
      <c r="E45" s="137">
        <f>2415.9/E41</f>
        <v>0.84322782543623842</v>
      </c>
      <c r="F45" s="137"/>
      <c r="G45" s="137"/>
      <c r="H45" s="137"/>
    </row>
    <row r="46" spans="1:10" ht="16.5" customHeight="1" x14ac:dyDescent="0.25">
      <c r="A46" s="10">
        <f t="shared" si="0"/>
        <v>37</v>
      </c>
      <c r="B46" s="134" t="s">
        <v>44</v>
      </c>
      <c r="C46" s="134"/>
      <c r="D46" s="134"/>
      <c r="E46" s="137">
        <f>134.938/E41</f>
        <v>4.7097759140988918E-2</v>
      </c>
      <c r="F46" s="137"/>
      <c r="G46" s="137"/>
      <c r="H46" s="137"/>
    </row>
    <row r="47" spans="1:10" ht="16.5" customHeight="1" x14ac:dyDescent="0.25">
      <c r="A47" s="10">
        <f t="shared" si="0"/>
        <v>38</v>
      </c>
      <c r="B47" s="134" t="s">
        <v>144</v>
      </c>
      <c r="C47" s="134"/>
      <c r="D47" s="134"/>
      <c r="E47" s="137">
        <f>SUM(E43:H46)</f>
        <v>2.2486096286921544</v>
      </c>
      <c r="F47" s="137"/>
      <c r="G47" s="137"/>
      <c r="H47" s="137"/>
    </row>
    <row r="48" spans="1:10" x14ac:dyDescent="0.25">
      <c r="A48" s="135">
        <v>39</v>
      </c>
      <c r="B48" s="134" t="s">
        <v>45</v>
      </c>
      <c r="C48" s="134"/>
      <c r="D48" s="134"/>
      <c r="E48" s="159">
        <v>44964</v>
      </c>
      <c r="F48" s="159"/>
      <c r="G48" s="159"/>
      <c r="H48" s="159"/>
    </row>
    <row r="49" spans="1:10" x14ac:dyDescent="0.25">
      <c r="A49" s="136"/>
      <c r="B49" s="134" t="s">
        <v>159</v>
      </c>
      <c r="C49" s="134"/>
      <c r="D49" s="134"/>
      <c r="E49" s="162" t="s">
        <v>236</v>
      </c>
      <c r="F49" s="162"/>
      <c r="G49" s="162"/>
      <c r="H49" s="162"/>
      <c r="I49" s="8" t="s">
        <v>237</v>
      </c>
    </row>
    <row r="50" spans="1:10" ht="15.75" thickBot="1" x14ac:dyDescent="0.3">
      <c r="A50" s="30">
        <v>40</v>
      </c>
      <c r="B50" s="158" t="s">
        <v>46</v>
      </c>
      <c r="C50" s="158"/>
      <c r="D50" s="158"/>
      <c r="E50" s="158"/>
      <c r="F50" s="158"/>
      <c r="G50" s="158"/>
      <c r="H50" s="158"/>
    </row>
    <row r="51" spans="1:10" ht="15" customHeight="1" x14ac:dyDescent="0.25">
      <c r="A51" s="93" t="s">
        <v>162</v>
      </c>
      <c r="B51" s="94"/>
      <c r="C51" s="95" t="s">
        <v>240</v>
      </c>
      <c r="D51" s="96"/>
      <c r="E51" s="96"/>
      <c r="F51" s="96"/>
      <c r="G51" s="96"/>
      <c r="H51" s="97"/>
      <c r="I51" s="59" t="str">
        <f ca="1">(IF(E55&gt;99%,"All work completed. Please provide OC.",IF(E55&gt;89.8%,"Plinth, RCC, Brick, Plaster, Flooring, Painting work Completed. Finishing work is in process.",IF(E55&lt;94%,(IF(C55=0,"Work not yet Started.",IF(D55=25%,"Piling work in process",IF(D55=50%,"Excavation work in process",IF(D55=100%,"Excavation work Completed. ","0")))&amp;(IF(C56=0%,"",IF(C56=J57,"Footing work is process",IF(C56=J58,"Footing work Completed",IF(C56=J59,"1st Basement Completed",IF(C56=J60,"1st &amp; 2nd Basement Completed",IF(C56=J61,"1st to 3rd Basement Completed",IF(C56=J62,"1st to 4th Basement Completed",IF(C56=J63,"Plinth work is process",IF(C56=J64,"Plinth work completed","0")))))))))))&amp;(IF(C57=(D52+F52+H52),", RCC Slab",IF(C57&gt;0,", RCC upto "&amp;C57&amp;" Slab",""))&amp;(IF(C58=H52,", Brickwork",IF(C58&gt;0,", Brickwork upto "&amp;C58&amp;" Floor",""))&amp;(IF(C59=H52,", Internal Plaster",IF(C59&gt;0,", Internal Plaster upto "&amp;C59&amp;" Floor",""))&amp;(IF(C60=H52,", External Plaster",IF(C60&gt;0,", External Plaster upto "&amp;C60&amp;" Floor",""))&amp;(IF(C61=H52,", Flooring",IF(C61&gt;0,", Flooring upto "&amp;C61&amp;" Floor",""))&amp;(IF(C62=H52,", Painting",IF(C62&gt;0,", Painting upto "&amp;C62&amp;" Floor",""))&amp;(IF(C63&gt;0,", Finishing upto "&amp;C63&amp;" Floor","")&amp;(IF(C57&gt;0.5," Completed",""))))))))))))))</f>
        <v>Excavation work Completed. Plinth work completed, RCC Slab, Brickwork, Internal Plaster, External Plaster, Flooring upto 6 Floor, Painting upto 5 Floor, Finishing upto 2 Floor Completed</v>
      </c>
      <c r="J51" s="11"/>
    </row>
    <row r="52" spans="1:10" x14ac:dyDescent="0.25">
      <c r="A52" s="5" t="s">
        <v>84</v>
      </c>
      <c r="B52" s="6">
        <v>0</v>
      </c>
      <c r="C52" s="6" t="s">
        <v>86</v>
      </c>
      <c r="D52" s="6">
        <v>1</v>
      </c>
      <c r="E52" s="31" t="s">
        <v>85</v>
      </c>
      <c r="F52" s="6">
        <v>0</v>
      </c>
      <c r="G52" s="6" t="s">
        <v>111</v>
      </c>
      <c r="H52" s="33">
        <f ca="1">--TRIM(RIGHT(SUBSTITUTE(LEFT(C51,_xlfn.AGGREGATE(16,6,FIND({0,1,2,3,4,5,6,7,8,9},C51,ROW(INDIRECT("1:"&amp;LEN(C51)))),1))," ",REPT(" ",LEN(C51))),LEN(C51)))</f>
        <v>7</v>
      </c>
      <c r="I52" s="60"/>
      <c r="J52" s="12"/>
    </row>
    <row r="53" spans="1:10" ht="45.75" customHeight="1" x14ac:dyDescent="0.25">
      <c r="A53" s="98" t="s">
        <v>112</v>
      </c>
      <c r="B53" s="99"/>
      <c r="C53" s="100" t="str">
        <f ca="1">I51</f>
        <v>Excavation work Completed. Plinth work completed, RCC Slab, Brickwork, Internal Plaster, External Plaster, Flooring upto 6 Floor, Painting upto 5 Floor, Finishing upto 2 Floor Completed</v>
      </c>
      <c r="D53" s="101"/>
      <c r="E53" s="101"/>
      <c r="F53" s="101"/>
      <c r="G53" s="101"/>
      <c r="H53" s="102"/>
      <c r="I53" s="60" t="s">
        <v>113</v>
      </c>
      <c r="J53" s="12"/>
    </row>
    <row r="54" spans="1:10" ht="15" customHeight="1" x14ac:dyDescent="0.25">
      <c r="A54" s="103" t="s">
        <v>4</v>
      </c>
      <c r="B54" s="104"/>
      <c r="C54" s="61" t="s">
        <v>114</v>
      </c>
      <c r="D54" s="61" t="s">
        <v>115</v>
      </c>
      <c r="E54" s="105" t="s">
        <v>116</v>
      </c>
      <c r="F54" s="104"/>
      <c r="G54" s="106" t="s">
        <v>117</v>
      </c>
      <c r="H54" s="107"/>
      <c r="I54" s="62" t="s">
        <v>118</v>
      </c>
      <c r="J54" s="13">
        <f ca="1">H52*25%</f>
        <v>1.75</v>
      </c>
    </row>
    <row r="55" spans="1:10" ht="15" customHeight="1" x14ac:dyDescent="0.25">
      <c r="A55" s="108" t="s">
        <v>119</v>
      </c>
      <c r="B55" s="106"/>
      <c r="C55" s="63">
        <f ca="1">J56</f>
        <v>7</v>
      </c>
      <c r="D55" s="64">
        <f ca="1">((100/H52)*C55)/100</f>
        <v>1</v>
      </c>
      <c r="E55" s="109">
        <f ca="1">(((C56/H52*20)+(30/(D52+F52+H52)*C57)+(10/(H52)*C58)+(5/(H52)*C59)+(5/H52*C60)+(10/H52*C61)+(5/H52*C62)+(5/H52*C63)+(10/H52*C64))/100)</f>
        <v>0.83571428571428574</v>
      </c>
      <c r="F55" s="109"/>
      <c r="G55" s="111">
        <f ca="1">((((C55/H52)*10)+((C56/H52)*20)+(30/(H52+F52+D52)*C57)+(10/H52*C58)+(5/H52*C59)+(5/H52*C60)+(10/H52*C61)+(5/H52*C62)+(5/H52*C63)+(0/H52*C64))/100)</f>
        <v>0.93571428571428572</v>
      </c>
      <c r="H55" s="112"/>
      <c r="I55" s="62" t="s">
        <v>87</v>
      </c>
      <c r="J55" s="14">
        <f ca="1">H52*50%</f>
        <v>3.5</v>
      </c>
    </row>
    <row r="56" spans="1:10" x14ac:dyDescent="0.25">
      <c r="A56" s="108" t="s">
        <v>5</v>
      </c>
      <c r="B56" s="106"/>
      <c r="C56" s="65">
        <f ca="1">J64</f>
        <v>7</v>
      </c>
      <c r="D56" s="64">
        <f ca="1">((100/H52)*C56)/100</f>
        <v>1</v>
      </c>
      <c r="E56" s="109"/>
      <c r="F56" s="109"/>
      <c r="G56" s="113"/>
      <c r="H56" s="114"/>
      <c r="I56" s="62" t="s">
        <v>88</v>
      </c>
      <c r="J56" s="14">
        <f ca="1">H52</f>
        <v>7</v>
      </c>
    </row>
    <row r="57" spans="1:10" ht="15" customHeight="1" x14ac:dyDescent="0.25">
      <c r="A57" s="108" t="s">
        <v>120</v>
      </c>
      <c r="B57" s="106"/>
      <c r="C57" s="65">
        <v>8</v>
      </c>
      <c r="D57" s="64">
        <f ca="1">((100/(D52+F52+H52))*C57)/100</f>
        <v>1</v>
      </c>
      <c r="E57" s="109"/>
      <c r="F57" s="109"/>
      <c r="G57" s="113"/>
      <c r="H57" s="114"/>
      <c r="I57" s="62" t="s">
        <v>89</v>
      </c>
      <c r="J57" s="15">
        <f ca="1">(IF(B52&gt;1,(H52/(B52+2)),H52/4))</f>
        <v>1.75</v>
      </c>
    </row>
    <row r="58" spans="1:10" ht="15" customHeight="1" x14ac:dyDescent="0.25">
      <c r="A58" s="108" t="s">
        <v>121</v>
      </c>
      <c r="B58" s="106" t="s">
        <v>122</v>
      </c>
      <c r="C58" s="63">
        <v>7</v>
      </c>
      <c r="D58" s="64">
        <f ca="1">((100/H52)*C58)/100</f>
        <v>1</v>
      </c>
      <c r="E58" s="109"/>
      <c r="F58" s="109"/>
      <c r="G58" s="113"/>
      <c r="H58" s="114"/>
      <c r="I58" s="62" t="s">
        <v>90</v>
      </c>
      <c r="J58" s="15">
        <f ca="1">(IF(B52&gt;1,(H52/(B52+2)+J57),H52/4+J57))</f>
        <v>3.5</v>
      </c>
    </row>
    <row r="59" spans="1:10" ht="15" customHeight="1" x14ac:dyDescent="0.25">
      <c r="A59" s="108" t="s">
        <v>123</v>
      </c>
      <c r="B59" s="106" t="s">
        <v>122</v>
      </c>
      <c r="C59" s="63">
        <v>7</v>
      </c>
      <c r="D59" s="64">
        <f ca="1">((100/H52)*C59)/100</f>
        <v>1</v>
      </c>
      <c r="E59" s="109"/>
      <c r="F59" s="109"/>
      <c r="G59" s="113"/>
      <c r="H59" s="114"/>
      <c r="I59" s="62" t="s">
        <v>124</v>
      </c>
      <c r="J59" s="15">
        <f>(IF(B52&gt;1,(H52/(B52+2)+J58),0))</f>
        <v>0</v>
      </c>
    </row>
    <row r="60" spans="1:10" ht="15" customHeight="1" x14ac:dyDescent="0.25">
      <c r="A60" s="108" t="s">
        <v>125</v>
      </c>
      <c r="B60" s="106" t="s">
        <v>126</v>
      </c>
      <c r="C60" s="63">
        <v>7</v>
      </c>
      <c r="D60" s="64">
        <f ca="1">((100/(H52))*C60)/100</f>
        <v>1</v>
      </c>
      <c r="E60" s="109"/>
      <c r="F60" s="109"/>
      <c r="G60" s="113"/>
      <c r="H60" s="114"/>
      <c r="I60" s="62" t="s">
        <v>127</v>
      </c>
      <c r="J60" s="15">
        <f>(IF(B52&gt;2,(H52/(B52+2)+J59),0))</f>
        <v>0</v>
      </c>
    </row>
    <row r="61" spans="1:10" ht="15" customHeight="1" x14ac:dyDescent="0.25">
      <c r="A61" s="108" t="s">
        <v>128</v>
      </c>
      <c r="B61" s="106" t="s">
        <v>128</v>
      </c>
      <c r="C61" s="63">
        <v>6</v>
      </c>
      <c r="D61" s="64">
        <f ca="1">((100/H52)*C61)/100</f>
        <v>0.85714285714285721</v>
      </c>
      <c r="E61" s="109"/>
      <c r="F61" s="109"/>
      <c r="G61" s="113"/>
      <c r="H61" s="114"/>
      <c r="I61" s="62" t="s">
        <v>129</v>
      </c>
      <c r="J61" s="16">
        <f>(IF(B52&gt;3,(H52/(B52+2)+J60),0))</f>
        <v>0</v>
      </c>
    </row>
    <row r="62" spans="1:10" ht="15" customHeight="1" x14ac:dyDescent="0.25">
      <c r="A62" s="108" t="s">
        <v>130</v>
      </c>
      <c r="B62" s="106"/>
      <c r="C62" s="63">
        <v>5</v>
      </c>
      <c r="D62" s="64">
        <f ca="1">((100/H52)*C62)/100</f>
        <v>0.7142857142857143</v>
      </c>
      <c r="E62" s="109"/>
      <c r="F62" s="109"/>
      <c r="G62" s="113"/>
      <c r="H62" s="114"/>
      <c r="I62" s="62" t="s">
        <v>131</v>
      </c>
      <c r="J62" s="15">
        <f>(IF(B52&gt;4,(H52/(B52+2)+J61),0))</f>
        <v>0</v>
      </c>
    </row>
    <row r="63" spans="1:10" ht="15" customHeight="1" x14ac:dyDescent="0.25">
      <c r="A63" s="108" t="s">
        <v>132</v>
      </c>
      <c r="B63" s="106" t="s">
        <v>132</v>
      </c>
      <c r="C63" s="63">
        <v>2</v>
      </c>
      <c r="D63" s="64">
        <f ca="1">((100/(H52))*C63)/100</f>
        <v>0.28571428571428575</v>
      </c>
      <c r="E63" s="109"/>
      <c r="F63" s="109"/>
      <c r="G63" s="113"/>
      <c r="H63" s="114"/>
      <c r="I63" s="62" t="s">
        <v>91</v>
      </c>
      <c r="J63" s="15">
        <f ca="1">(IF(B52=1,(H52/(B52+3)+J58),IF(B52=0,(H52/4+J58),IF(B52&gt;1,0))))</f>
        <v>5.25</v>
      </c>
    </row>
    <row r="64" spans="1:10" ht="15.75" customHeight="1" thickBot="1" x14ac:dyDescent="0.3">
      <c r="A64" s="117" t="s">
        <v>133</v>
      </c>
      <c r="B64" s="118"/>
      <c r="C64" s="66">
        <v>0</v>
      </c>
      <c r="D64" s="67">
        <f ca="1">((100/(H52))*C64)/100</f>
        <v>0</v>
      </c>
      <c r="E64" s="110"/>
      <c r="F64" s="110"/>
      <c r="G64" s="115"/>
      <c r="H64" s="116"/>
      <c r="I64" s="68" t="s">
        <v>92</v>
      </c>
      <c r="J64" s="17">
        <f ca="1">(IF(B52&gt;1.5,(H52/(B52+2)+J58+MAX(0,J59-J58)+MAX(0,J60-J59)+MAX(0,J61-J60)+MAX(0,J62-J61)+MAX(0,J63-J62)),IF(B52=1,(H52/(B52+3)+J63),IF(B52=0,H52/4+J63))))</f>
        <v>7</v>
      </c>
    </row>
    <row r="65" spans="1:12" ht="15" customHeight="1" x14ac:dyDescent="0.25">
      <c r="A65" s="93" t="s">
        <v>162</v>
      </c>
      <c r="B65" s="94"/>
      <c r="C65" s="95" t="s">
        <v>241</v>
      </c>
      <c r="D65" s="96"/>
      <c r="E65" s="96"/>
      <c r="F65" s="96"/>
      <c r="G65" s="96"/>
      <c r="H65" s="97"/>
      <c r="I65" s="59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Excavation work Completed. Plinth work completed, RCC Slab, Brickwork, Internal Plaster, External Plaster, Flooring upto 5 Floor, Painting upto 4 Floor, Finishing upto 2 Floor Completed</v>
      </c>
      <c r="J65" s="69"/>
      <c r="K65" s="70"/>
      <c r="L65" s="70"/>
    </row>
    <row r="66" spans="1:12" x14ac:dyDescent="0.25">
      <c r="A66" s="5" t="s">
        <v>84</v>
      </c>
      <c r="B66" s="6">
        <v>0</v>
      </c>
      <c r="C66" s="6" t="s">
        <v>86</v>
      </c>
      <c r="D66" s="6">
        <v>1</v>
      </c>
      <c r="E66" s="31" t="s">
        <v>85</v>
      </c>
      <c r="F66" s="6">
        <v>0</v>
      </c>
      <c r="G66" s="6" t="s">
        <v>111</v>
      </c>
      <c r="H66" s="33">
        <f ca="1">--TRIM(RIGHT(SUBSTITUTE(LEFT(C65,_xlfn.AGGREGATE(16,6,FIND({0,1,2,3,4,5,6,7,8,9},C65,ROW(INDIRECT("1:"&amp;LEN(C65)))),1))," ",REPT(" ",LEN(C65))),LEN(C65)))</f>
        <v>7</v>
      </c>
      <c r="I66" s="60"/>
      <c r="J66" s="71"/>
      <c r="K66" s="70"/>
      <c r="L66" s="70"/>
    </row>
    <row r="67" spans="1:12" ht="42.75" customHeight="1" x14ac:dyDescent="0.25">
      <c r="A67" s="98" t="s">
        <v>112</v>
      </c>
      <c r="B67" s="99"/>
      <c r="C67" s="100" t="str">
        <f ca="1">I65</f>
        <v>Excavation work Completed. Plinth work completed, RCC Slab, Brickwork, Internal Plaster, External Plaster, Flooring upto 5 Floor, Painting upto 4 Floor, Finishing upto 2 Floor Completed</v>
      </c>
      <c r="D67" s="101"/>
      <c r="E67" s="101"/>
      <c r="F67" s="101"/>
      <c r="G67" s="101"/>
      <c r="H67" s="102"/>
      <c r="I67" s="60" t="s">
        <v>113</v>
      </c>
      <c r="J67" s="71"/>
      <c r="K67" s="70"/>
      <c r="L67" s="70"/>
    </row>
    <row r="68" spans="1:12" x14ac:dyDescent="0.25">
      <c r="A68" s="103" t="s">
        <v>4</v>
      </c>
      <c r="B68" s="104"/>
      <c r="C68" s="61" t="s">
        <v>114</v>
      </c>
      <c r="D68" s="61" t="s">
        <v>115</v>
      </c>
      <c r="E68" s="105" t="s">
        <v>116</v>
      </c>
      <c r="F68" s="104"/>
      <c r="G68" s="106" t="s">
        <v>117</v>
      </c>
      <c r="H68" s="107"/>
      <c r="I68" s="62" t="s">
        <v>118</v>
      </c>
      <c r="J68" s="72">
        <f ca="1">H66*25%</f>
        <v>1.75</v>
      </c>
      <c r="K68" s="70"/>
      <c r="L68" s="70"/>
    </row>
    <row r="69" spans="1:12" x14ac:dyDescent="0.25">
      <c r="A69" s="108" t="s">
        <v>119</v>
      </c>
      <c r="B69" s="106"/>
      <c r="C69" s="63">
        <f ca="1">J70</f>
        <v>7</v>
      </c>
      <c r="D69" s="64">
        <f ca="1">((100/H66)*C69)/100</f>
        <v>1</v>
      </c>
      <c r="E69" s="109">
        <f ca="1">(((C70/H66*20)+(30/(D66+F66+H66)*C71)+(10/(H66)*C72)+(5/(H66)*C73)+(5/H66*C74)+(10/H66*C75)+(5/H66*C76)+(5/H66*C77)+(10/H66*C78))/100)</f>
        <v>0.81428571428571428</v>
      </c>
      <c r="F69" s="109"/>
      <c r="G69" s="111">
        <f ca="1">((((C69/H66)*10)+((C70/H66)*20)+(30/(H66+F66+D66)*C71)+(10/H66*C72)+(5/H66*C73)+(5/H66*C74)+(10/H66*C75)+(5/H66*C76)+(5/H66*C77)+(0/H66*C78))/100)</f>
        <v>0.91428571428571426</v>
      </c>
      <c r="H69" s="112"/>
      <c r="I69" s="62" t="s">
        <v>87</v>
      </c>
      <c r="J69" s="73">
        <f ca="1">H66*50%</f>
        <v>3.5</v>
      </c>
      <c r="K69" s="70"/>
      <c r="L69" s="70"/>
    </row>
    <row r="70" spans="1:12" x14ac:dyDescent="0.25">
      <c r="A70" s="108" t="s">
        <v>5</v>
      </c>
      <c r="B70" s="106"/>
      <c r="C70" s="65">
        <f ca="1">J78</f>
        <v>7</v>
      </c>
      <c r="D70" s="64">
        <f ca="1">((100/H66)*C70)/100</f>
        <v>1</v>
      </c>
      <c r="E70" s="109"/>
      <c r="F70" s="109"/>
      <c r="G70" s="113"/>
      <c r="H70" s="114"/>
      <c r="I70" s="62" t="s">
        <v>88</v>
      </c>
      <c r="J70" s="73">
        <f ca="1">H66</f>
        <v>7</v>
      </c>
      <c r="K70" s="70"/>
      <c r="L70" s="70"/>
    </row>
    <row r="71" spans="1:12" x14ac:dyDescent="0.25">
      <c r="A71" s="108" t="s">
        <v>120</v>
      </c>
      <c r="B71" s="106"/>
      <c r="C71" s="65">
        <v>8</v>
      </c>
      <c r="D71" s="64">
        <f ca="1">((100/(D66+F66+H66))*C71)/100</f>
        <v>1</v>
      </c>
      <c r="E71" s="109"/>
      <c r="F71" s="109"/>
      <c r="G71" s="113"/>
      <c r="H71" s="114"/>
      <c r="I71" s="62" t="s">
        <v>89</v>
      </c>
      <c r="J71" s="74">
        <f ca="1">(IF(B66&gt;1,(H66/(B66+2)),H66/4))</f>
        <v>1.75</v>
      </c>
      <c r="K71" s="70"/>
      <c r="L71" s="70"/>
    </row>
    <row r="72" spans="1:12" x14ac:dyDescent="0.25">
      <c r="A72" s="108" t="s">
        <v>121</v>
      </c>
      <c r="B72" s="106" t="s">
        <v>122</v>
      </c>
      <c r="C72" s="63">
        <v>7</v>
      </c>
      <c r="D72" s="64">
        <f ca="1">((100/H66)*C72)/100</f>
        <v>1</v>
      </c>
      <c r="E72" s="109"/>
      <c r="F72" s="109"/>
      <c r="G72" s="113"/>
      <c r="H72" s="114"/>
      <c r="I72" s="62" t="s">
        <v>90</v>
      </c>
      <c r="J72" s="74">
        <f ca="1">(IF(B66&gt;1,(H66/(B66+2)+J71),H66/4+J71))</f>
        <v>3.5</v>
      </c>
      <c r="K72" s="70"/>
      <c r="L72" s="70"/>
    </row>
    <row r="73" spans="1:12" x14ac:dyDescent="0.25">
      <c r="A73" s="108" t="s">
        <v>123</v>
      </c>
      <c r="B73" s="106" t="s">
        <v>122</v>
      </c>
      <c r="C73" s="63">
        <v>7</v>
      </c>
      <c r="D73" s="64">
        <f ca="1">((100/H66)*C73)/100</f>
        <v>1</v>
      </c>
      <c r="E73" s="109"/>
      <c r="F73" s="109"/>
      <c r="G73" s="113"/>
      <c r="H73" s="114"/>
      <c r="I73" s="62" t="s">
        <v>124</v>
      </c>
      <c r="J73" s="74">
        <f>(IF(B66&gt;1,(H66/(B66+2)+J72),0))</f>
        <v>0</v>
      </c>
      <c r="K73" s="70"/>
      <c r="L73" s="70"/>
    </row>
    <row r="74" spans="1:12" ht="15" customHeight="1" x14ac:dyDescent="0.25">
      <c r="A74" s="108" t="s">
        <v>125</v>
      </c>
      <c r="B74" s="106" t="s">
        <v>126</v>
      </c>
      <c r="C74" s="63">
        <v>7</v>
      </c>
      <c r="D74" s="64">
        <f ca="1">((100/(H66))*C74)/100</f>
        <v>1</v>
      </c>
      <c r="E74" s="109"/>
      <c r="F74" s="109"/>
      <c r="G74" s="113"/>
      <c r="H74" s="114"/>
      <c r="I74" s="62" t="s">
        <v>127</v>
      </c>
      <c r="J74" s="74">
        <f>(IF(B66&gt;2,(H66/(B66+2)+J73),0))</f>
        <v>0</v>
      </c>
      <c r="K74" s="70"/>
      <c r="L74" s="70"/>
    </row>
    <row r="75" spans="1:12" ht="15" customHeight="1" x14ac:dyDescent="0.25">
      <c r="A75" s="108" t="s">
        <v>128</v>
      </c>
      <c r="B75" s="106" t="s">
        <v>128</v>
      </c>
      <c r="C75" s="63">
        <v>5</v>
      </c>
      <c r="D75" s="64">
        <f ca="1">((100/H66)*C75)/100</f>
        <v>0.7142857142857143</v>
      </c>
      <c r="E75" s="109"/>
      <c r="F75" s="109"/>
      <c r="G75" s="113"/>
      <c r="H75" s="114"/>
      <c r="I75" s="62" t="s">
        <v>129</v>
      </c>
      <c r="J75" s="75">
        <f>(IF(B66&gt;3,(H66/(B66+2)+J74),0))</f>
        <v>0</v>
      </c>
      <c r="K75" s="70"/>
      <c r="L75" s="70"/>
    </row>
    <row r="76" spans="1:12" ht="15" customHeight="1" x14ac:dyDescent="0.25">
      <c r="A76" s="108" t="s">
        <v>130</v>
      </c>
      <c r="B76" s="106"/>
      <c r="C76" s="63">
        <v>4</v>
      </c>
      <c r="D76" s="64">
        <f ca="1">((100/H66)*C76)/100</f>
        <v>0.57142857142857151</v>
      </c>
      <c r="E76" s="109"/>
      <c r="F76" s="109"/>
      <c r="G76" s="113"/>
      <c r="H76" s="114"/>
      <c r="I76" s="62" t="s">
        <v>131</v>
      </c>
      <c r="J76" s="74">
        <f>(IF(B66&gt;4,(H66/(B66+2)+J75),0))</f>
        <v>0</v>
      </c>
      <c r="K76" s="70"/>
      <c r="L76" s="70"/>
    </row>
    <row r="77" spans="1:12" ht="15" customHeight="1" x14ac:dyDescent="0.25">
      <c r="A77" s="108" t="s">
        <v>132</v>
      </c>
      <c r="B77" s="106" t="s">
        <v>132</v>
      </c>
      <c r="C77" s="63">
        <v>2</v>
      </c>
      <c r="D77" s="64">
        <f ca="1">((100/(H66))*C77)/100</f>
        <v>0.28571428571428575</v>
      </c>
      <c r="E77" s="109"/>
      <c r="F77" s="109"/>
      <c r="G77" s="113"/>
      <c r="H77" s="114"/>
      <c r="I77" s="62" t="s">
        <v>91</v>
      </c>
      <c r="J77" s="74">
        <f ca="1">(IF(B66=1,(H66/(B66+3)+J72),IF(B66=0,(H66/4+J72),IF(B66&gt;1,0))))</f>
        <v>5.25</v>
      </c>
      <c r="K77" s="70"/>
      <c r="L77" s="70"/>
    </row>
    <row r="78" spans="1:12" ht="15.75" thickBot="1" x14ac:dyDescent="0.3">
      <c r="A78" s="117" t="s">
        <v>133</v>
      </c>
      <c r="B78" s="118"/>
      <c r="C78" s="66">
        <v>0</v>
      </c>
      <c r="D78" s="67">
        <f ca="1">((100/(H66))*C78)/100</f>
        <v>0</v>
      </c>
      <c r="E78" s="110"/>
      <c r="F78" s="110"/>
      <c r="G78" s="115"/>
      <c r="H78" s="116"/>
      <c r="I78" s="68" t="s">
        <v>92</v>
      </c>
      <c r="J78" s="76">
        <f ca="1">(IF(B66&gt;1.5,(H66/(B66+2)+J72+MAX(0,J73-J72)+MAX(0,J74-J73)+MAX(0,J75-J74)+MAX(0,J76-J75)+MAX(0,J77-J76)),IF(B66=1,(H66/(B66+3)+J77),IF(B66=0,H66/4+J77))))</f>
        <v>7</v>
      </c>
      <c r="K78" s="70"/>
      <c r="L78" s="70"/>
    </row>
    <row r="79" spans="1:12" x14ac:dyDescent="0.25">
      <c r="A79" s="93" t="s">
        <v>162</v>
      </c>
      <c r="B79" s="94"/>
      <c r="C79" s="95" t="s">
        <v>238</v>
      </c>
      <c r="D79" s="96"/>
      <c r="E79" s="96"/>
      <c r="F79" s="96"/>
      <c r="G79" s="96"/>
      <c r="H79" s="97"/>
      <c r="I79" s="4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Slab",IF(C85&gt;0,", RCC upto "&amp;C85&amp;" Slab",""))&amp;(IF(C86=H80,", Brickwork",IF(C86&gt;0,", Brickwork upto "&amp;C86&amp;" Floor",""))&amp;(IF(C87=H80,", Internal Plaster",IF(C87&gt;0,", Internal Plaster upto "&amp;C87&amp;" Floor",""))&amp;(IF(C88=H80,", External Plaster",IF(C88&gt;0,", External Plaster upto "&amp;C88&amp;" Floor",""))&amp;(IF(C89=H80,", Flooring",IF(C89&gt;0,", Flooring upto "&amp;C89&amp;" Floor",""))&amp;(IF(C90=H80,", Painting",IF(C90&gt;0,", Painting upto "&amp;C90&amp;" Floor",""))&amp;(IF(C91&gt;0,", Finishing upto "&amp;C91&amp;" Floor","")&amp;(IF(C85&gt;0.5," Completed",""))))))))))))))</f>
        <v>Excavation work Completed. Plinth work completed</v>
      </c>
      <c r="J79" s="11"/>
    </row>
    <row r="80" spans="1:12" x14ac:dyDescent="0.25">
      <c r="A80" s="5" t="s">
        <v>84</v>
      </c>
      <c r="B80" s="6">
        <f>IF(AND(ISNUMBER(SEARCH("1B",C79))),1,IF(AND(ISNUMBER(SEARCH("2B",C79))),2,IF(AND(ISNUMBER(SEARCH("3B",C79))),3,IF(AND(ISNUMBER(SEARCH("4B",C79))),4,IF(ISNUMBER(SEARCH("5B",C79)),5,0)))))</f>
        <v>0</v>
      </c>
      <c r="C80" s="6" t="s">
        <v>86</v>
      </c>
      <c r="D80" s="6">
        <v>1</v>
      </c>
      <c r="E80" s="31" t="s">
        <v>85</v>
      </c>
      <c r="F80" s="6">
        <v>0</v>
      </c>
      <c r="G80" s="6" t="s">
        <v>111</v>
      </c>
      <c r="H80" s="33">
        <f ca="1">--TRIM(RIGHT(SUBSTITUTE(LEFT(C79,_xlfn.AGGREGATE(16,6,FIND({0,1,2,3,4,5,6,7,8,9},C79,ROW(INDIRECT("1:"&amp;LEN(C79)))),1))," ",REPT(" ",LEN(C79))),LEN(C79)))</f>
        <v>7</v>
      </c>
      <c r="I80" s="7"/>
      <c r="J80" s="12"/>
    </row>
    <row r="81" spans="1:12" x14ac:dyDescent="0.25">
      <c r="A81" s="98" t="s">
        <v>112</v>
      </c>
      <c r="B81" s="99"/>
      <c r="C81" s="100" t="str">
        <f ca="1">I79</f>
        <v>Excavation work Completed. Plinth work completed</v>
      </c>
      <c r="D81" s="101"/>
      <c r="E81" s="101"/>
      <c r="F81" s="101"/>
      <c r="G81" s="101"/>
      <c r="H81" s="102"/>
      <c r="I81" s="7" t="s">
        <v>113</v>
      </c>
      <c r="J81" s="12"/>
    </row>
    <row r="82" spans="1:12" x14ac:dyDescent="0.25">
      <c r="A82" s="103" t="s">
        <v>4</v>
      </c>
      <c r="B82" s="104"/>
      <c r="C82" s="61" t="s">
        <v>114</v>
      </c>
      <c r="D82" s="61" t="s">
        <v>115</v>
      </c>
      <c r="E82" s="105" t="s">
        <v>116</v>
      </c>
      <c r="F82" s="104"/>
      <c r="G82" s="106" t="s">
        <v>117</v>
      </c>
      <c r="H82" s="107"/>
      <c r="I82" s="2" t="s">
        <v>118</v>
      </c>
      <c r="J82" s="13">
        <f ca="1">H80*25%</f>
        <v>1.75</v>
      </c>
    </row>
    <row r="83" spans="1:12" s="20" customFormat="1" x14ac:dyDescent="0.25">
      <c r="A83" s="108" t="s">
        <v>119</v>
      </c>
      <c r="B83" s="106"/>
      <c r="C83" s="63">
        <f ca="1">J84</f>
        <v>7</v>
      </c>
      <c r="D83" s="64">
        <f ca="1">((100/H80)*C83)/100</f>
        <v>1</v>
      </c>
      <c r="E83" s="109">
        <f ca="1">(((C84/H80*20)+(30/(D80+F80+H80)*C85)+(10/(H80)*C86)+(5/(H80)*C87)+(5/H80*C88)+(10/H80*C89)+(5/H80*C90)+(5/H80*C91)+(10/H80*C92))/100)</f>
        <v>0.2</v>
      </c>
      <c r="F83" s="109"/>
      <c r="G83" s="111">
        <f ca="1">((((C83/H80)*10)+((C84/H80)*20)+(30/(H80+F80+D80)*C85)+(10/H80*C86)+(5/H80*C87)+(5/H80*C88)+(10/H80*C89)+(5/H80*C90)+(5/H80*C91)+(0/H80*C92))/100)</f>
        <v>0.3</v>
      </c>
      <c r="H83" s="112"/>
      <c r="I83" s="2" t="s">
        <v>87</v>
      </c>
      <c r="J83" s="14">
        <f ca="1">H80*50%</f>
        <v>3.5</v>
      </c>
      <c r="K83" s="8"/>
      <c r="L83" s="8"/>
    </row>
    <row r="84" spans="1:12" s="20" customFormat="1" x14ac:dyDescent="0.25">
      <c r="A84" s="108" t="s">
        <v>5</v>
      </c>
      <c r="B84" s="106"/>
      <c r="C84" s="65">
        <f ca="1">J92</f>
        <v>7</v>
      </c>
      <c r="D84" s="64">
        <f ca="1">((100/H80)*C84)/100</f>
        <v>1</v>
      </c>
      <c r="E84" s="109"/>
      <c r="F84" s="109"/>
      <c r="G84" s="113"/>
      <c r="H84" s="114"/>
      <c r="I84" s="2" t="s">
        <v>88</v>
      </c>
      <c r="J84" s="14">
        <f ca="1">H80</f>
        <v>7</v>
      </c>
      <c r="K84" s="8"/>
      <c r="L84" s="8"/>
    </row>
    <row r="85" spans="1:12" ht="15.75" customHeight="1" x14ac:dyDescent="0.25">
      <c r="A85" s="108" t="s">
        <v>120</v>
      </c>
      <c r="B85" s="106"/>
      <c r="C85" s="65">
        <v>0</v>
      </c>
      <c r="D85" s="64">
        <f ca="1">((100/(D80+F80+H80))*C85)/100</f>
        <v>0</v>
      </c>
      <c r="E85" s="109"/>
      <c r="F85" s="109"/>
      <c r="G85" s="113"/>
      <c r="H85" s="114"/>
      <c r="I85" s="2" t="s">
        <v>89</v>
      </c>
      <c r="J85" s="15">
        <f ca="1">(IF(B80&gt;1,(H80/(B80+2)),H80/4))</f>
        <v>1.75</v>
      </c>
    </row>
    <row r="86" spans="1:12" x14ac:dyDescent="0.25">
      <c r="A86" s="108" t="s">
        <v>121</v>
      </c>
      <c r="B86" s="106" t="s">
        <v>122</v>
      </c>
      <c r="C86" s="63">
        <v>0</v>
      </c>
      <c r="D86" s="64">
        <f ca="1">((100/H80)*C86)/100</f>
        <v>0</v>
      </c>
      <c r="E86" s="109"/>
      <c r="F86" s="109"/>
      <c r="G86" s="113"/>
      <c r="H86" s="114"/>
      <c r="I86" s="2" t="s">
        <v>90</v>
      </c>
      <c r="J86" s="15">
        <f ca="1">(IF(B80&gt;1,(H80/(B80+2)+J85),H80/4+J85))</f>
        <v>3.5</v>
      </c>
    </row>
    <row r="87" spans="1:12" s="20" customFormat="1" x14ac:dyDescent="0.25">
      <c r="A87" s="108" t="s">
        <v>123</v>
      </c>
      <c r="B87" s="106" t="s">
        <v>122</v>
      </c>
      <c r="C87" s="63">
        <v>0</v>
      </c>
      <c r="D87" s="64">
        <f ca="1">((100/H80)*C87)/100</f>
        <v>0</v>
      </c>
      <c r="E87" s="109"/>
      <c r="F87" s="109"/>
      <c r="G87" s="113"/>
      <c r="H87" s="114"/>
      <c r="I87" s="2" t="s">
        <v>124</v>
      </c>
      <c r="J87" s="15">
        <f>(IF(B80&gt;1,(H80/(B80+2)+J86),0))</f>
        <v>0</v>
      </c>
      <c r="K87" s="8"/>
      <c r="L87" s="8"/>
    </row>
    <row r="88" spans="1:12" s="20" customFormat="1" x14ac:dyDescent="0.25">
      <c r="A88" s="108" t="s">
        <v>125</v>
      </c>
      <c r="B88" s="106" t="s">
        <v>126</v>
      </c>
      <c r="C88" s="63">
        <v>0</v>
      </c>
      <c r="D88" s="64">
        <f ca="1">((100/(H80))*C88)/100</f>
        <v>0</v>
      </c>
      <c r="E88" s="109"/>
      <c r="F88" s="109"/>
      <c r="G88" s="113"/>
      <c r="H88" s="114"/>
      <c r="I88" s="2" t="s">
        <v>127</v>
      </c>
      <c r="J88" s="15">
        <f>(IF(B80&gt;2,(H80/(B80+2)+J87),0))</f>
        <v>0</v>
      </c>
      <c r="K88" s="8"/>
      <c r="L88" s="8"/>
    </row>
    <row r="89" spans="1:12" s="20" customFormat="1" x14ac:dyDescent="0.25">
      <c r="A89" s="108" t="s">
        <v>128</v>
      </c>
      <c r="B89" s="106" t="s">
        <v>128</v>
      </c>
      <c r="C89" s="63">
        <v>0</v>
      </c>
      <c r="D89" s="64">
        <f ca="1">((100/H80)*C89)/100</f>
        <v>0</v>
      </c>
      <c r="E89" s="109"/>
      <c r="F89" s="109"/>
      <c r="G89" s="113"/>
      <c r="H89" s="114"/>
      <c r="I89" s="2" t="s">
        <v>129</v>
      </c>
      <c r="J89" s="16">
        <f>(IF(B80&gt;3,(H80/(B80+2)+J88),0))</f>
        <v>0</v>
      </c>
      <c r="K89" s="8"/>
      <c r="L89" s="8"/>
    </row>
    <row r="90" spans="1:12" x14ac:dyDescent="0.25">
      <c r="A90" s="108" t="s">
        <v>130</v>
      </c>
      <c r="B90" s="106"/>
      <c r="C90" s="63">
        <v>0</v>
      </c>
      <c r="D90" s="64">
        <f ca="1">((100/H80)*C90)/100</f>
        <v>0</v>
      </c>
      <c r="E90" s="109"/>
      <c r="F90" s="109"/>
      <c r="G90" s="113"/>
      <c r="H90" s="114"/>
      <c r="I90" s="2" t="s">
        <v>131</v>
      </c>
      <c r="J90" s="15">
        <f>(IF(B80&gt;4,(H80/(B80+2)+J89),0))</f>
        <v>0</v>
      </c>
    </row>
    <row r="91" spans="1:12" x14ac:dyDescent="0.25">
      <c r="A91" s="108" t="s">
        <v>132</v>
      </c>
      <c r="B91" s="106" t="s">
        <v>132</v>
      </c>
      <c r="C91" s="63">
        <v>0</v>
      </c>
      <c r="D91" s="64">
        <f ca="1">((100/(H80))*C91)/100</f>
        <v>0</v>
      </c>
      <c r="E91" s="109"/>
      <c r="F91" s="109"/>
      <c r="G91" s="113"/>
      <c r="H91" s="114"/>
      <c r="I91" s="2" t="s">
        <v>91</v>
      </c>
      <c r="J91" s="15">
        <f ca="1">(IF(B80=1,(H80/(B80+3)+J86),IF(B80=0,(H80/4+J86),IF(B80&gt;1,0))))</f>
        <v>5.25</v>
      </c>
    </row>
    <row r="92" spans="1:12" ht="15.75" thickBot="1" x14ac:dyDescent="0.3">
      <c r="A92" s="117" t="s">
        <v>133</v>
      </c>
      <c r="B92" s="118"/>
      <c r="C92" s="66">
        <v>0</v>
      </c>
      <c r="D92" s="67">
        <f ca="1">((100/(H80))*C92)/100</f>
        <v>0</v>
      </c>
      <c r="E92" s="110"/>
      <c r="F92" s="110"/>
      <c r="G92" s="115"/>
      <c r="H92" s="116"/>
      <c r="I92" s="3" t="s">
        <v>92</v>
      </c>
      <c r="J92" s="17">
        <f ca="1">(IF(B80&gt;1.5,(H80/(B80+2)+J86+MAX(0,J87-J86)+MAX(0,J88-J87)+MAX(0,J89-J88)+MAX(0,J90-J89)+MAX(0,J91-J90)),IF(B80=1,(H80/(B80+3)+J91),IF(B80=0,H80/4+J91))))</f>
        <v>7</v>
      </c>
    </row>
    <row r="93" spans="1:12" x14ac:dyDescent="0.25">
      <c r="A93" s="93" t="s">
        <v>162</v>
      </c>
      <c r="B93" s="94"/>
      <c r="C93" s="95" t="s">
        <v>239</v>
      </c>
      <c r="D93" s="96"/>
      <c r="E93" s="96"/>
      <c r="F93" s="96"/>
      <c r="G93" s="96"/>
      <c r="H93" s="97"/>
      <c r="I93" s="59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Slab",IF(C99&gt;0,", RCC upto "&amp;C99&amp;" Slab",""))&amp;(IF(C100=H94,", Brickwork",IF(C100&gt;0,", Brickwork upto "&amp;C100&amp;" Floor",""))&amp;(IF(C101=H94,", Internal Plaster",IF(C101&gt;0,", Internal Plaster upto "&amp;C101&amp;" Floor",""))&amp;(IF(C102=H94,", External Plaster",IF(C102&gt;0,", External Plaster upto "&amp;C102&amp;" Floor",""))&amp;(IF(C103=H94,", Flooring",IF(C103&gt;0,", Flooring upto "&amp;C103&amp;" Floor",""))&amp;(IF(C104=H94,", Painting",IF(C104&gt;0,", Painting upto "&amp;C104&amp;" Floor",""))&amp;(IF(C105&gt;0,", Finishing upto "&amp;C105&amp;" Floor","")&amp;(IF(C99&gt;0.5," Completed",""))))))))))))))</f>
        <v>Work not yet Started.</v>
      </c>
      <c r="J93" s="11"/>
    </row>
    <row r="94" spans="1:12" x14ac:dyDescent="0.25">
      <c r="A94" s="5" t="s">
        <v>84</v>
      </c>
      <c r="B94" s="6">
        <f>IF(AND(ISNUMBER(SEARCH("1B",C93))),1,IF(AND(ISNUMBER(SEARCH("2B",C93))),2,IF(AND(ISNUMBER(SEARCH("3B",C93))),3,IF(AND(ISNUMBER(SEARCH("4B",C93))),4,IF(ISNUMBER(SEARCH("5B",C93)),5,0)))))</f>
        <v>0</v>
      </c>
      <c r="C94" s="6" t="s">
        <v>86</v>
      </c>
      <c r="D94" s="6">
        <v>1</v>
      </c>
      <c r="E94" s="31" t="s">
        <v>85</v>
      </c>
      <c r="F94" s="6">
        <v>0</v>
      </c>
      <c r="G94" s="6" t="s">
        <v>111</v>
      </c>
      <c r="H94" s="33">
        <f ca="1">--TRIM(RIGHT(SUBSTITUTE(LEFT(C93,_xlfn.AGGREGATE(16,6,FIND({0,1,2,3,4,5,6,7,8,9},C93,ROW(INDIRECT("1:"&amp;LEN(C93)))),1))," ",REPT(" ",LEN(C93))),LEN(C93)))</f>
        <v>7</v>
      </c>
      <c r="I94" s="60"/>
      <c r="J94" s="12"/>
    </row>
    <row r="95" spans="1:12" x14ac:dyDescent="0.25">
      <c r="A95" s="98" t="s">
        <v>112</v>
      </c>
      <c r="B95" s="99"/>
      <c r="C95" s="100" t="str">
        <f ca="1">I93</f>
        <v>Work not yet Started.</v>
      </c>
      <c r="D95" s="101"/>
      <c r="E95" s="101"/>
      <c r="F95" s="101"/>
      <c r="G95" s="101"/>
      <c r="H95" s="102"/>
      <c r="I95" s="60" t="s">
        <v>113</v>
      </c>
      <c r="J95" s="12"/>
    </row>
    <row r="96" spans="1:12" x14ac:dyDescent="0.25">
      <c r="A96" s="103" t="s">
        <v>4</v>
      </c>
      <c r="B96" s="104"/>
      <c r="C96" s="61" t="s">
        <v>114</v>
      </c>
      <c r="D96" s="61" t="s">
        <v>115</v>
      </c>
      <c r="E96" s="105" t="s">
        <v>116</v>
      </c>
      <c r="F96" s="104"/>
      <c r="G96" s="106" t="s">
        <v>117</v>
      </c>
      <c r="H96" s="107"/>
      <c r="I96" s="62" t="s">
        <v>118</v>
      </c>
      <c r="J96" s="13">
        <f ca="1">H94*25%</f>
        <v>1.75</v>
      </c>
    </row>
    <row r="97" spans="1:12" x14ac:dyDescent="0.25">
      <c r="A97" s="108" t="s">
        <v>119</v>
      </c>
      <c r="B97" s="106"/>
      <c r="C97" s="63">
        <v>0</v>
      </c>
      <c r="D97" s="64">
        <f ca="1">((100/H94)*C97)/100</f>
        <v>0</v>
      </c>
      <c r="E97" s="109">
        <f ca="1">(((C98/H94*20)+(30/(D94+F94+H94)*C99)+(10/(H94)*C100)+(5/(H94)*C101)+(5/H94*C102)+(10/H94*C103)+(5/H94*C104)+(5/H94*C105)+(10/H94*C106))/100)</f>
        <v>0</v>
      </c>
      <c r="F97" s="109"/>
      <c r="G97" s="111">
        <f ca="1">((((C97/H94)*10)+((C98/H94)*20)+(30/(H94+F94+D94)*C99)+(10/H94*C100)+(5/H94*C101)+(5/H94*C102)+(10/H94*C103)+(5/H94*C104)+(5/H94*C105)+(0/H94*C106))/100)</f>
        <v>0</v>
      </c>
      <c r="H97" s="112"/>
      <c r="I97" s="62" t="s">
        <v>87</v>
      </c>
      <c r="J97" s="14">
        <f ca="1">H94*50%</f>
        <v>3.5</v>
      </c>
      <c r="L97" s="20"/>
    </row>
    <row r="98" spans="1:12" x14ac:dyDescent="0.25">
      <c r="A98" s="108" t="s">
        <v>5</v>
      </c>
      <c r="B98" s="106"/>
      <c r="C98" s="65">
        <v>0</v>
      </c>
      <c r="D98" s="64">
        <f ca="1">((100/H94)*C98)/100</f>
        <v>0</v>
      </c>
      <c r="E98" s="109"/>
      <c r="F98" s="109"/>
      <c r="G98" s="113"/>
      <c r="H98" s="114"/>
      <c r="I98" s="62" t="s">
        <v>88</v>
      </c>
      <c r="J98" s="14">
        <f ca="1">H94</f>
        <v>7</v>
      </c>
      <c r="L98" s="20"/>
    </row>
    <row r="99" spans="1:12" x14ac:dyDescent="0.25">
      <c r="A99" s="108" t="s">
        <v>120</v>
      </c>
      <c r="B99" s="106"/>
      <c r="C99" s="65">
        <v>0</v>
      </c>
      <c r="D99" s="64">
        <f ca="1">((100/(D94+F94+H94))*C99)/100</f>
        <v>0</v>
      </c>
      <c r="E99" s="109"/>
      <c r="F99" s="109"/>
      <c r="G99" s="113"/>
      <c r="H99" s="114"/>
      <c r="I99" s="62" t="s">
        <v>89</v>
      </c>
      <c r="J99" s="15">
        <f ca="1">(IF(B94&gt;1,(H94/(B94+2)),H94/4))</f>
        <v>1.75</v>
      </c>
    </row>
    <row r="100" spans="1:12" x14ac:dyDescent="0.25">
      <c r="A100" s="108" t="s">
        <v>121</v>
      </c>
      <c r="B100" s="106" t="s">
        <v>122</v>
      </c>
      <c r="C100" s="63">
        <v>0</v>
      </c>
      <c r="D100" s="64">
        <f ca="1">((100/H94)*C100)/100</f>
        <v>0</v>
      </c>
      <c r="E100" s="109"/>
      <c r="F100" s="109"/>
      <c r="G100" s="113"/>
      <c r="H100" s="114"/>
      <c r="I100" s="62" t="s">
        <v>90</v>
      </c>
      <c r="J100" s="15">
        <f ca="1">(IF(B94&gt;1,(H94/(B94+2)+J99),H94/4+J99))</f>
        <v>3.5</v>
      </c>
    </row>
    <row r="101" spans="1:12" x14ac:dyDescent="0.25">
      <c r="A101" s="108" t="s">
        <v>123</v>
      </c>
      <c r="B101" s="106" t="s">
        <v>122</v>
      </c>
      <c r="C101" s="63">
        <v>0</v>
      </c>
      <c r="D101" s="64">
        <f ca="1">((100/H94)*C101)/100</f>
        <v>0</v>
      </c>
      <c r="E101" s="109"/>
      <c r="F101" s="109"/>
      <c r="G101" s="113"/>
      <c r="H101" s="114"/>
      <c r="I101" s="62" t="s">
        <v>124</v>
      </c>
      <c r="J101" s="15">
        <f>(IF(B94&gt;1,(H94/(B94+2)+J100),0))</f>
        <v>0</v>
      </c>
      <c r="L101" s="20"/>
    </row>
    <row r="102" spans="1:12" ht="15" customHeight="1" x14ac:dyDescent="0.25">
      <c r="A102" s="108" t="s">
        <v>125</v>
      </c>
      <c r="B102" s="106" t="s">
        <v>126</v>
      </c>
      <c r="C102" s="63">
        <v>0</v>
      </c>
      <c r="D102" s="64">
        <f ca="1">((100/(H94))*C102)/100</f>
        <v>0</v>
      </c>
      <c r="E102" s="109"/>
      <c r="F102" s="109"/>
      <c r="G102" s="113"/>
      <c r="H102" s="114"/>
      <c r="I102" s="62" t="s">
        <v>127</v>
      </c>
      <c r="J102" s="15">
        <f>(IF(B94&gt;2,(H94/(B94+2)+J101),0))</f>
        <v>0</v>
      </c>
      <c r="L102" s="20"/>
    </row>
    <row r="103" spans="1:12" ht="15" customHeight="1" x14ac:dyDescent="0.25">
      <c r="A103" s="108" t="s">
        <v>128</v>
      </c>
      <c r="B103" s="106" t="s">
        <v>128</v>
      </c>
      <c r="C103" s="63">
        <v>0</v>
      </c>
      <c r="D103" s="64">
        <f ca="1">((100/H94)*C103)/100</f>
        <v>0</v>
      </c>
      <c r="E103" s="109"/>
      <c r="F103" s="109"/>
      <c r="G103" s="113"/>
      <c r="H103" s="114"/>
      <c r="I103" s="62" t="s">
        <v>129</v>
      </c>
      <c r="J103" s="16">
        <f>(IF(B94&gt;3,(H94/(B94+2)+J102),0))</f>
        <v>0</v>
      </c>
      <c r="L103" s="20"/>
    </row>
    <row r="104" spans="1:12" ht="15" customHeight="1" x14ac:dyDescent="0.25">
      <c r="A104" s="108" t="s">
        <v>130</v>
      </c>
      <c r="B104" s="106"/>
      <c r="C104" s="63">
        <v>0</v>
      </c>
      <c r="D104" s="64">
        <f ca="1">((100/H94)*C104)/100</f>
        <v>0</v>
      </c>
      <c r="E104" s="109"/>
      <c r="F104" s="109"/>
      <c r="G104" s="113"/>
      <c r="H104" s="114"/>
      <c r="I104" s="62" t="s">
        <v>131</v>
      </c>
      <c r="J104" s="15">
        <f>(IF(B94&gt;4,(H94/(B94+2)+J103),0))</f>
        <v>0</v>
      </c>
    </row>
    <row r="105" spans="1:12" ht="15" customHeight="1" x14ac:dyDescent="0.25">
      <c r="A105" s="108" t="s">
        <v>132</v>
      </c>
      <c r="B105" s="106" t="s">
        <v>132</v>
      </c>
      <c r="C105" s="63">
        <v>0</v>
      </c>
      <c r="D105" s="64">
        <f ca="1">((100/(H94))*C105)/100</f>
        <v>0</v>
      </c>
      <c r="E105" s="109"/>
      <c r="F105" s="109"/>
      <c r="G105" s="113"/>
      <c r="H105" s="114"/>
      <c r="I105" s="62" t="s">
        <v>91</v>
      </c>
      <c r="J105" s="15">
        <f ca="1">(IF(B94=1,(H94/(B94+3)+J100),IF(B94=0,(H94/4+J100),IF(B94&gt;1,0))))</f>
        <v>5.25</v>
      </c>
    </row>
    <row r="106" spans="1:12" ht="15.75" thickBot="1" x14ac:dyDescent="0.3">
      <c r="A106" s="117" t="s">
        <v>133</v>
      </c>
      <c r="B106" s="118"/>
      <c r="C106" s="66">
        <v>0</v>
      </c>
      <c r="D106" s="67">
        <f ca="1">((100/(H94))*C106)/100</f>
        <v>0</v>
      </c>
      <c r="E106" s="110"/>
      <c r="F106" s="110"/>
      <c r="G106" s="115"/>
      <c r="H106" s="116"/>
      <c r="I106" s="68" t="s">
        <v>92</v>
      </c>
      <c r="J106" s="17">
        <f ca="1">(IF(B94&gt;1.5,(H94/(B94+2)+J100+MAX(0,J101-J100)+MAX(0,J102-J101)+MAX(0,J103-J102)+MAX(0,J104-J103)+MAX(0,J105-J104)),IF(B94=1,(H94/(B94+3)+J105),IF(B94=0,H94/4+J105))))</f>
        <v>7</v>
      </c>
    </row>
    <row r="107" spans="1:12" x14ac:dyDescent="0.25">
      <c r="A107" s="243">
        <v>41</v>
      </c>
      <c r="B107" s="244" t="s">
        <v>179</v>
      </c>
      <c r="C107" s="245"/>
      <c r="D107" s="245"/>
      <c r="E107" s="248" t="s">
        <v>161</v>
      </c>
      <c r="F107" s="249"/>
      <c r="G107" s="250"/>
      <c r="H107" s="34">
        <v>46752</v>
      </c>
    </row>
    <row r="108" spans="1:12" x14ac:dyDescent="0.25">
      <c r="A108" s="136"/>
      <c r="B108" s="246"/>
      <c r="C108" s="247"/>
      <c r="D108" s="247"/>
      <c r="E108" s="159" t="s">
        <v>160</v>
      </c>
      <c r="F108" s="159"/>
      <c r="G108" s="159"/>
      <c r="H108" s="32" t="s">
        <v>245</v>
      </c>
    </row>
    <row r="109" spans="1:12" ht="31.5" customHeight="1" x14ac:dyDescent="0.25">
      <c r="A109" s="10">
        <v>42</v>
      </c>
      <c r="B109" s="123" t="s">
        <v>70</v>
      </c>
      <c r="C109" s="123"/>
      <c r="D109" s="123"/>
      <c r="E109" s="145" t="s">
        <v>10</v>
      </c>
      <c r="F109" s="145"/>
      <c r="G109" s="145"/>
      <c r="H109" s="145"/>
    </row>
    <row r="110" spans="1:12" ht="181.5" customHeight="1" x14ac:dyDescent="0.25">
      <c r="A110" s="10">
        <v>43</v>
      </c>
      <c r="B110" s="123" t="s">
        <v>62</v>
      </c>
      <c r="C110" s="123"/>
      <c r="D110" s="123"/>
      <c r="E110" s="159" t="s">
        <v>204</v>
      </c>
      <c r="F110" s="159"/>
      <c r="G110" s="159"/>
      <c r="H110" s="159"/>
    </row>
    <row r="111" spans="1:12" ht="124.5" customHeight="1" x14ac:dyDescent="0.25">
      <c r="A111" s="10">
        <v>44</v>
      </c>
      <c r="B111" s="167" t="s">
        <v>172</v>
      </c>
      <c r="C111" s="167"/>
      <c r="D111" s="167"/>
      <c r="E111" s="159" t="s">
        <v>205</v>
      </c>
      <c r="F111" s="159"/>
      <c r="G111" s="159"/>
      <c r="H111" s="159"/>
      <c r="I111" s="43" t="s">
        <v>206</v>
      </c>
    </row>
    <row r="112" spans="1:12" ht="45.75" customHeight="1" x14ac:dyDescent="0.25">
      <c r="A112" s="10">
        <v>45</v>
      </c>
      <c r="B112" s="123" t="s">
        <v>63</v>
      </c>
      <c r="C112" s="123"/>
      <c r="D112" s="123"/>
      <c r="E112" s="145" t="s">
        <v>9</v>
      </c>
      <c r="F112" s="145"/>
      <c r="G112" s="145"/>
      <c r="H112" s="145"/>
    </row>
    <row r="113" spans="1:16" x14ac:dyDescent="0.25">
      <c r="A113" s="237">
        <v>46</v>
      </c>
      <c r="B113" s="229" t="s">
        <v>64</v>
      </c>
      <c r="C113" s="230"/>
      <c r="D113" s="231"/>
      <c r="E113" s="163" t="s">
        <v>165</v>
      </c>
      <c r="F113" s="163"/>
      <c r="G113" s="163"/>
      <c r="H113" s="163"/>
    </row>
    <row r="114" spans="1:16" ht="33.75" customHeight="1" x14ac:dyDescent="0.25">
      <c r="A114" s="238"/>
      <c r="B114" s="232"/>
      <c r="C114" s="233"/>
      <c r="D114" s="234"/>
      <c r="E114" s="164" t="s">
        <v>207</v>
      </c>
      <c r="F114" s="165"/>
      <c r="G114" s="165"/>
      <c r="H114" s="166"/>
    </row>
    <row r="115" spans="1:16" x14ac:dyDescent="0.25">
      <c r="A115" s="238"/>
      <c r="B115" s="232"/>
      <c r="C115" s="233"/>
      <c r="D115" s="234"/>
      <c r="E115" s="186" t="s">
        <v>166</v>
      </c>
      <c r="F115" s="187"/>
      <c r="G115" s="187"/>
      <c r="H115" s="188"/>
    </row>
    <row r="116" spans="1:16" ht="15" customHeight="1" x14ac:dyDescent="0.25">
      <c r="A116" s="238"/>
      <c r="B116" s="232"/>
      <c r="C116" s="233"/>
      <c r="D116" s="233"/>
      <c r="E116" s="189" t="s">
        <v>212</v>
      </c>
      <c r="F116" s="190"/>
      <c r="G116" s="190"/>
      <c r="H116" s="191"/>
    </row>
    <row r="117" spans="1:16" ht="15" customHeight="1" x14ac:dyDescent="0.25">
      <c r="A117" s="239"/>
      <c r="B117" s="235"/>
      <c r="C117" s="236"/>
      <c r="D117" s="236"/>
      <c r="E117" s="240" t="s">
        <v>213</v>
      </c>
      <c r="F117" s="241"/>
      <c r="G117" s="241"/>
      <c r="H117" s="242"/>
    </row>
    <row r="118" spans="1:16" x14ac:dyDescent="0.25">
      <c r="A118" s="160" t="s">
        <v>75</v>
      </c>
      <c r="B118" s="160"/>
      <c r="C118" s="160"/>
      <c r="D118" s="160"/>
      <c r="E118" s="161"/>
      <c r="F118" s="161"/>
      <c r="G118" s="161"/>
      <c r="H118" s="161"/>
    </row>
    <row r="119" spans="1:16" ht="15" customHeight="1" x14ac:dyDescent="0.25">
      <c r="A119" s="124" t="s">
        <v>183</v>
      </c>
      <c r="B119" s="124"/>
      <c r="C119" s="126" t="s">
        <v>208</v>
      </c>
      <c r="D119" s="126"/>
      <c r="E119" s="126"/>
      <c r="F119" s="18" t="s">
        <v>76</v>
      </c>
      <c r="G119" s="125">
        <v>44847</v>
      </c>
      <c r="H119" s="126"/>
      <c r="N119" s="8" t="str">
        <f ca="1">O119&amp;" to "&amp;P119</f>
        <v>201 to 201</v>
      </c>
      <c r="O119" s="8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</f>
        <v>201</v>
      </c>
      <c r="P119" s="8">
        <f ca="1">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201</v>
      </c>
    </row>
    <row r="120" spans="1:16" ht="15" customHeight="1" x14ac:dyDescent="0.25">
      <c r="A120" s="124" t="s">
        <v>184</v>
      </c>
      <c r="B120" s="124"/>
      <c r="C120" s="126" t="s">
        <v>208</v>
      </c>
      <c r="D120" s="126"/>
      <c r="E120" s="126"/>
      <c r="F120" s="18" t="s">
        <v>76</v>
      </c>
      <c r="G120" s="125">
        <v>44847</v>
      </c>
      <c r="H120" s="126"/>
      <c r="N120" s="8" t="str">
        <f t="shared" ref="N120:N128" ca="1" si="1">O120&amp;" to "&amp;P120</f>
        <v>202 to 202</v>
      </c>
      <c r="O120" s="8">
        <f ca="1">O119+1</f>
        <v>202</v>
      </c>
      <c r="P120" s="8">
        <f ca="1">P119+1</f>
        <v>202</v>
      </c>
    </row>
    <row r="121" spans="1:16" ht="15" customHeight="1" x14ac:dyDescent="0.25">
      <c r="A121" s="198" t="s">
        <v>167</v>
      </c>
      <c r="B121" s="199"/>
      <c r="C121" s="126" t="s">
        <v>210</v>
      </c>
      <c r="D121" s="126"/>
      <c r="E121" s="126"/>
      <c r="F121" s="19" t="s">
        <v>76</v>
      </c>
      <c r="G121" s="126" t="s">
        <v>209</v>
      </c>
      <c r="H121" s="126"/>
    </row>
    <row r="122" spans="1:16" ht="30" customHeight="1" x14ac:dyDescent="0.25">
      <c r="A122" s="200"/>
      <c r="B122" s="201"/>
      <c r="C122" s="268" t="s">
        <v>211</v>
      </c>
      <c r="D122" s="269"/>
      <c r="E122" s="269"/>
      <c r="F122" s="269"/>
      <c r="G122" s="269"/>
      <c r="H122" s="270"/>
      <c r="N122" s="8" t="str">
        <f t="shared" ca="1" si="1"/>
        <v>203 to 203</v>
      </c>
      <c r="O122" s="8">
        <f ca="1">O120+1</f>
        <v>203</v>
      </c>
      <c r="P122" s="8">
        <f ca="1">P120+1</f>
        <v>203</v>
      </c>
    </row>
    <row r="123" spans="1:16" hidden="1" x14ac:dyDescent="0.25">
      <c r="A123" s="81" t="s">
        <v>185</v>
      </c>
      <c r="B123" s="82"/>
      <c r="C123" s="80"/>
      <c r="D123" s="80"/>
      <c r="E123" s="80"/>
      <c r="F123" s="37" t="s">
        <v>76</v>
      </c>
      <c r="G123" s="80"/>
      <c r="H123" s="80"/>
      <c r="N123" s="8" t="str">
        <f t="shared" ca="1" si="1"/>
        <v>204 to 204</v>
      </c>
      <c r="O123" s="8">
        <f t="shared" ref="O123:O128" ca="1" si="2">O122+1</f>
        <v>204</v>
      </c>
      <c r="P123" s="8">
        <f t="shared" ref="P123:P128" ca="1" si="3">P122+1</f>
        <v>204</v>
      </c>
    </row>
    <row r="124" spans="1:16" ht="15" hidden="1" customHeight="1" x14ac:dyDescent="0.25">
      <c r="A124" s="83"/>
      <c r="B124" s="84"/>
      <c r="C124" s="77"/>
      <c r="D124" s="78"/>
      <c r="E124" s="78"/>
      <c r="F124" s="78"/>
      <c r="G124" s="78"/>
      <c r="H124" s="79"/>
      <c r="N124" s="8" t="str">
        <f t="shared" ca="1" si="1"/>
        <v>205 to 205</v>
      </c>
      <c r="O124" s="8">
        <f t="shared" ca="1" si="2"/>
        <v>205</v>
      </c>
      <c r="P124" s="8">
        <f t="shared" ca="1" si="3"/>
        <v>205</v>
      </c>
    </row>
    <row r="125" spans="1:16" ht="15" hidden="1" customHeight="1" x14ac:dyDescent="0.25">
      <c r="A125" s="81" t="s">
        <v>187</v>
      </c>
      <c r="B125" s="82"/>
      <c r="C125" s="80"/>
      <c r="D125" s="80"/>
      <c r="E125" s="80"/>
      <c r="F125" s="37" t="s">
        <v>76</v>
      </c>
      <c r="G125" s="80"/>
      <c r="H125" s="80"/>
      <c r="N125" s="8" t="str">
        <f t="shared" ca="1" si="1"/>
        <v>206 to 206</v>
      </c>
      <c r="O125" s="8">
        <f t="shared" ca="1" si="2"/>
        <v>206</v>
      </c>
      <c r="P125" s="8">
        <f t="shared" ca="1" si="3"/>
        <v>206</v>
      </c>
    </row>
    <row r="126" spans="1:16" ht="15" hidden="1" customHeight="1" x14ac:dyDescent="0.25">
      <c r="A126" s="83"/>
      <c r="B126" s="84"/>
      <c r="C126" s="77"/>
      <c r="D126" s="78"/>
      <c r="E126" s="78"/>
      <c r="F126" s="78"/>
      <c r="G126" s="78"/>
      <c r="H126" s="79"/>
      <c r="I126" s="20"/>
      <c r="J126" s="20"/>
      <c r="K126" s="20"/>
      <c r="N126" s="8" t="str">
        <f t="shared" ca="1" si="1"/>
        <v>207 to 207</v>
      </c>
      <c r="O126" s="8">
        <f t="shared" ca="1" si="2"/>
        <v>207</v>
      </c>
      <c r="P126" s="8">
        <f t="shared" ca="1" si="3"/>
        <v>207</v>
      </c>
    </row>
    <row r="127" spans="1:16" ht="15" hidden="1" customHeight="1" x14ac:dyDescent="0.25">
      <c r="A127" s="81" t="s">
        <v>186</v>
      </c>
      <c r="B127" s="82"/>
      <c r="C127" s="87"/>
      <c r="D127" s="88"/>
      <c r="E127" s="89"/>
      <c r="F127" s="37" t="s">
        <v>76</v>
      </c>
      <c r="G127" s="80"/>
      <c r="H127" s="80"/>
      <c r="I127" s="20"/>
      <c r="J127" s="20"/>
      <c r="K127" s="20"/>
      <c r="N127" s="8" t="e">
        <f t="shared" si="1"/>
        <v>#REF!</v>
      </c>
      <c r="O127" s="8" t="e">
        <f>#REF!+1</f>
        <v>#REF!</v>
      </c>
      <c r="P127" s="8" t="e">
        <f>#REF!+1</f>
        <v>#REF!</v>
      </c>
    </row>
    <row r="128" spans="1:16" ht="30" hidden="1" x14ac:dyDescent="0.25">
      <c r="A128" s="85"/>
      <c r="B128" s="86"/>
      <c r="C128" s="90"/>
      <c r="D128" s="91"/>
      <c r="E128" s="92"/>
      <c r="F128" s="38" t="s">
        <v>164</v>
      </c>
      <c r="G128" s="80"/>
      <c r="H128" s="80"/>
      <c r="N128" s="8" t="e">
        <f t="shared" si="1"/>
        <v>#REF!</v>
      </c>
      <c r="O128" s="8" t="e">
        <f t="shared" si="2"/>
        <v>#REF!</v>
      </c>
      <c r="P128" s="8" t="e">
        <f t="shared" si="3"/>
        <v>#REF!</v>
      </c>
    </row>
    <row r="129" spans="1:16" hidden="1" x14ac:dyDescent="0.25">
      <c r="A129" s="83"/>
      <c r="B129" s="84"/>
      <c r="C129" s="77"/>
      <c r="D129" s="78"/>
      <c r="E129" s="78"/>
      <c r="F129" s="78"/>
      <c r="G129" s="78"/>
      <c r="H129" s="79"/>
    </row>
    <row r="130" spans="1:16" ht="15" customHeight="1" x14ac:dyDescent="0.25">
      <c r="A130" s="202" t="s">
        <v>77</v>
      </c>
      <c r="B130" s="202"/>
      <c r="C130" s="203" t="s">
        <v>78</v>
      </c>
      <c r="D130" s="160"/>
      <c r="E130" s="160" t="s">
        <v>79</v>
      </c>
      <c r="F130" s="36" t="s">
        <v>76</v>
      </c>
      <c r="G130" s="203" t="s">
        <v>10</v>
      </c>
      <c r="H130" s="203" t="s">
        <v>10</v>
      </c>
      <c r="N130" s="8" t="e">
        <f ca="1">O130&amp;" &amp; "&amp;P130</f>
        <v>#REF!</v>
      </c>
      <c r="O130" s="8" t="e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10^ROW(INDIRECT("1:"&amp;LEN((LEFT(A183,SUM(LEN(A183)-LEN(SUBSTITUTE(A183,{"0","1","2"},""))))))))/10))*100+1</f>
        <v>#REF!</v>
      </c>
      <c r="P130" s="8" t="e">
        <f ca="1">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",LEN(A183))),LEN(A183)))))))/10))*100+1</f>
        <v>#NUM!</v>
      </c>
    </row>
    <row r="131" spans="1:16" ht="15" customHeight="1" x14ac:dyDescent="0.25">
      <c r="A131" s="128" t="s">
        <v>227</v>
      </c>
      <c r="B131" s="128"/>
      <c r="C131" s="128"/>
      <c r="D131" s="128"/>
      <c r="E131" s="128"/>
      <c r="F131" s="128"/>
      <c r="G131" s="128"/>
      <c r="H131" s="128"/>
      <c r="I131" s="20"/>
      <c r="J131" s="20"/>
      <c r="K131" s="20"/>
      <c r="N131" s="8" t="e">
        <f t="shared" ref="N131:N139" ca="1" si="4">O131&amp;" &amp; "&amp;P131</f>
        <v>#REF!</v>
      </c>
      <c r="O131" s="8" t="e">
        <f ca="1">O130+1</f>
        <v>#REF!</v>
      </c>
      <c r="P131" s="8" t="e">
        <f ca="1">P130+1</f>
        <v>#NUM!</v>
      </c>
    </row>
    <row r="132" spans="1:16" ht="15" customHeight="1" x14ac:dyDescent="0.25">
      <c r="A132" s="129" t="s">
        <v>71</v>
      </c>
      <c r="B132" s="129"/>
      <c r="C132" s="127" t="s">
        <v>72</v>
      </c>
      <c r="D132" s="127"/>
      <c r="E132" s="130" t="s">
        <v>73</v>
      </c>
      <c r="F132" s="130"/>
      <c r="G132" s="130" t="s">
        <v>74</v>
      </c>
      <c r="H132" s="130"/>
      <c r="I132" s="20"/>
      <c r="J132" s="20"/>
      <c r="K132" s="20"/>
      <c r="N132" s="8" t="e">
        <f t="shared" ca="1" si="4"/>
        <v>#REF!</v>
      </c>
      <c r="O132" s="8" t="e">
        <f t="shared" ref="O132:O139" ca="1" si="5">O131+1</f>
        <v>#REF!</v>
      </c>
      <c r="P132" s="8" t="e">
        <f t="shared" ref="P132:P139" ca="1" si="6">P131+1</f>
        <v>#NUM!</v>
      </c>
    </row>
    <row r="133" spans="1:16" ht="15" customHeight="1" x14ac:dyDescent="0.25">
      <c r="A133" s="131" t="s">
        <v>214</v>
      </c>
      <c r="B133" s="132"/>
      <c r="C133" s="156">
        <f>COUNT(F151:F154)</f>
        <v>4</v>
      </c>
      <c r="D133" s="157"/>
      <c r="E133" s="182">
        <f>SUM(F151:F154)</f>
        <v>560.10473999999999</v>
      </c>
      <c r="F133" s="182"/>
      <c r="G133" s="182">
        <f>SUM(H151:H154)</f>
        <v>840.15710999999999</v>
      </c>
      <c r="H133" s="182"/>
      <c r="N133" s="8" t="e">
        <f t="shared" ca="1" si="4"/>
        <v>#REF!</v>
      </c>
      <c r="O133" s="8" t="e">
        <f t="shared" ca="1" si="5"/>
        <v>#REF!</v>
      </c>
      <c r="P133" s="8" t="e">
        <f t="shared" ca="1" si="6"/>
        <v>#NUM!</v>
      </c>
    </row>
    <row r="134" spans="1:16" ht="15" customHeight="1" x14ac:dyDescent="0.25">
      <c r="A134" s="204" t="s">
        <v>12</v>
      </c>
      <c r="B134" s="204"/>
      <c r="C134" s="192">
        <f t="shared" ref="C134:G134" si="7">SUM(C133)</f>
        <v>4</v>
      </c>
      <c r="D134" s="127"/>
      <c r="E134" s="130">
        <f t="shared" si="7"/>
        <v>560.10473999999999</v>
      </c>
      <c r="F134" s="130"/>
      <c r="G134" s="130">
        <f t="shared" si="7"/>
        <v>840.15710999999999</v>
      </c>
      <c r="H134" s="130"/>
      <c r="N134" s="8" t="e">
        <f t="shared" ca="1" si="4"/>
        <v>#REF!</v>
      </c>
      <c r="O134" s="8" t="e">
        <f t="shared" ca="1" si="5"/>
        <v>#REF!</v>
      </c>
      <c r="P134" s="8" t="e">
        <f t="shared" ca="1" si="6"/>
        <v>#NUM!</v>
      </c>
    </row>
    <row r="135" spans="1:16" ht="15" customHeight="1" x14ac:dyDescent="0.25">
      <c r="A135" s="128" t="s">
        <v>228</v>
      </c>
      <c r="B135" s="128"/>
      <c r="C135" s="128"/>
      <c r="D135" s="128"/>
      <c r="E135" s="128"/>
      <c r="F135" s="128"/>
      <c r="G135" s="128"/>
      <c r="H135" s="128"/>
      <c r="N135" s="8" t="e">
        <f t="shared" ca="1" si="4"/>
        <v>#REF!</v>
      </c>
      <c r="O135" s="8" t="e">
        <f t="shared" ca="1" si="5"/>
        <v>#REF!</v>
      </c>
      <c r="P135" s="8" t="e">
        <f t="shared" ca="1" si="6"/>
        <v>#NUM!</v>
      </c>
    </row>
    <row r="136" spans="1:16" ht="15" customHeight="1" x14ac:dyDescent="0.25">
      <c r="A136" s="129" t="s">
        <v>71</v>
      </c>
      <c r="B136" s="129"/>
      <c r="C136" s="127" t="s">
        <v>72</v>
      </c>
      <c r="D136" s="127"/>
      <c r="E136" s="130" t="s">
        <v>73</v>
      </c>
      <c r="F136" s="130"/>
      <c r="G136" s="130" t="s">
        <v>74</v>
      </c>
      <c r="H136" s="130"/>
      <c r="N136" s="8" t="e">
        <f t="shared" ca="1" si="4"/>
        <v>#REF!</v>
      </c>
      <c r="O136" s="8" t="e">
        <f t="shared" ca="1" si="5"/>
        <v>#REF!</v>
      </c>
      <c r="P136" s="8" t="e">
        <f t="shared" ca="1" si="6"/>
        <v>#NUM!</v>
      </c>
    </row>
    <row r="137" spans="1:16" ht="15" customHeight="1" x14ac:dyDescent="0.25">
      <c r="A137" s="274" t="s">
        <v>216</v>
      </c>
      <c r="B137" s="40" t="s">
        <v>215</v>
      </c>
      <c r="C137" s="156">
        <f>COUNT(F163:F167)*7</f>
        <v>35</v>
      </c>
      <c r="D137" s="157"/>
      <c r="E137" s="182">
        <f>SUM(F163:F167)*7</f>
        <v>14205.17007</v>
      </c>
      <c r="F137" s="182"/>
      <c r="G137" s="182">
        <f>SUM(H163:H167)*7</f>
        <v>20597.496601499999</v>
      </c>
      <c r="H137" s="182"/>
      <c r="N137" s="8" t="e">
        <f t="shared" ca="1" si="4"/>
        <v>#REF!</v>
      </c>
      <c r="O137" s="8" t="e">
        <f t="shared" ca="1" si="5"/>
        <v>#REF!</v>
      </c>
      <c r="P137" s="8" t="e">
        <f t="shared" ca="1" si="6"/>
        <v>#NUM!</v>
      </c>
    </row>
    <row r="138" spans="1:16" ht="15" customHeight="1" x14ac:dyDescent="0.25">
      <c r="A138" s="274"/>
      <c r="B138" s="40" t="s">
        <v>223</v>
      </c>
      <c r="C138" s="156">
        <f>COUNT(F171:F175)*7</f>
        <v>35</v>
      </c>
      <c r="D138" s="157"/>
      <c r="E138" s="182">
        <f>SUM(F171:F175)*7</f>
        <v>14205.170069999998</v>
      </c>
      <c r="F138" s="182"/>
      <c r="G138" s="182">
        <f>SUM(H171:H175)*7</f>
        <v>20597.496601499995</v>
      </c>
      <c r="H138" s="182"/>
      <c r="N138" s="8" t="e">
        <f t="shared" ca="1" si="4"/>
        <v>#REF!</v>
      </c>
      <c r="O138" s="8" t="e">
        <f t="shared" ca="1" si="5"/>
        <v>#REF!</v>
      </c>
      <c r="P138" s="8" t="e">
        <f t="shared" ca="1" si="6"/>
        <v>#NUM!</v>
      </c>
    </row>
    <row r="139" spans="1:16" ht="15" customHeight="1" x14ac:dyDescent="0.25">
      <c r="A139" s="275" t="s">
        <v>214</v>
      </c>
      <c r="B139" s="40" t="s">
        <v>215</v>
      </c>
      <c r="C139" s="156">
        <f>COUNT(F179:F182)*7</f>
        <v>28</v>
      </c>
      <c r="D139" s="157"/>
      <c r="E139" s="182">
        <f>SUM(F179:F182)*7</f>
        <v>8511.8751899999988</v>
      </c>
      <c r="F139" s="182"/>
      <c r="G139" s="182">
        <f>SUM(H179:H182)*7</f>
        <v>12342.219025499997</v>
      </c>
      <c r="H139" s="182"/>
      <c r="N139" s="8" t="e">
        <f t="shared" ca="1" si="4"/>
        <v>#REF!</v>
      </c>
      <c r="O139" s="8" t="e">
        <f t="shared" ca="1" si="5"/>
        <v>#REF!</v>
      </c>
      <c r="P139" s="8" t="e">
        <f t="shared" ca="1" si="6"/>
        <v>#NUM!</v>
      </c>
    </row>
    <row r="140" spans="1:16" x14ac:dyDescent="0.25">
      <c r="A140" s="276"/>
      <c r="B140" s="40" t="s">
        <v>223</v>
      </c>
      <c r="C140" s="156">
        <f>COUNT(F186:F189)*7</f>
        <v>28</v>
      </c>
      <c r="D140" s="157"/>
      <c r="E140" s="182">
        <f>SUM(F186:F189)*7</f>
        <v>9259.5157199999994</v>
      </c>
      <c r="F140" s="182"/>
      <c r="G140" s="182">
        <f>SUM(H186:H189)*7</f>
        <v>13426.297793999998</v>
      </c>
      <c r="H140" s="182"/>
    </row>
    <row r="141" spans="1:16" ht="15" customHeight="1" x14ac:dyDescent="0.25">
      <c r="A141" s="277"/>
      <c r="B141" s="40" t="s">
        <v>225</v>
      </c>
      <c r="C141" s="156">
        <f>COUNT(F193:F195)*7</f>
        <v>21</v>
      </c>
      <c r="D141" s="157"/>
      <c r="E141" s="182">
        <f>SUM(F193:F195)*7</f>
        <v>6944.6367899999996</v>
      </c>
      <c r="F141" s="182"/>
      <c r="G141" s="182">
        <f>SUM(H193:H195)*7</f>
        <v>10069.723345499999</v>
      </c>
      <c r="H141" s="182"/>
      <c r="N141" s="8" t="e">
        <f ca="1">O141&amp;",..,"&amp;P141</f>
        <v>#REF!</v>
      </c>
      <c r="O141" s="8" t="e">
        <f ca="1">(SUMPRODUCT(MID(0&amp;(LEFT(#REF!,SUM(LEN(#REF!)-LEN(SUBSTITUTE(#REF!,{"0","1","2","3"},""))))), LARGE(INDEX(ISNUMBER(--MID((LEFT(#REF!,SUM(LEN(#REF!)-LEN(SUBSTITUTE(#REF!,{"0","1","2","3"},""))))), ROW(INDIRECT("1:"&amp;LEN((LEFT(#REF!,SUM(LEN(#REF!)-LEN(SUBSTITUTE(#REF!,{"0","1","2","3"},"")))))))), 1)) * ROW(INDIRECT("1:"&amp;LEN((LEFT(#REF!,SUM(LEN(#REF!)-LEN(SUBSTITUTE(#REF!,{"0","1","2","3"},"")))))))), 0), ROW(INDIRECT("1:"&amp;LEN((LEFT(#REF!,SUM(LEN(#REF!)-LEN(SUBSTITUTE(#REF!,{"0","1","2","3"},"")))))))))+1, 1) * 10^ROW(INDIRECT("1:"&amp;LEN((LEFT(#REF!,SUM(LEN(#REF!)-LEN(SUBSTITUTE(#REF!,{"0","1","2","3"},""))))))))/10))*100+1</f>
        <v>#REF!</v>
      </c>
      <c r="P141" s="8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42" spans="1:16" ht="15" customHeight="1" x14ac:dyDescent="0.25">
      <c r="A142" s="204" t="s">
        <v>12</v>
      </c>
      <c r="B142" s="204"/>
      <c r="C142" s="192">
        <f t="shared" ref="C142:G142" si="8">SUM(C137:D141)</f>
        <v>147</v>
      </c>
      <c r="D142" s="127"/>
      <c r="E142" s="130">
        <f t="shared" si="8"/>
        <v>53126.367839999999</v>
      </c>
      <c r="F142" s="130"/>
      <c r="G142" s="130">
        <f t="shared" si="8"/>
        <v>77033.233367999972</v>
      </c>
      <c r="H142" s="130"/>
      <c r="N142" s="8" t="e">
        <f t="shared" ref="N142:N150" ca="1" si="9">O142&amp;",..,"&amp;P142</f>
        <v>#REF!</v>
      </c>
      <c r="O142" s="8" t="e">
        <f ca="1">O141+1</f>
        <v>#REF!</v>
      </c>
      <c r="P142" s="8" t="e">
        <f ca="1">P141+1</f>
        <v>#REF!</v>
      </c>
    </row>
    <row r="143" spans="1:16" x14ac:dyDescent="0.25">
      <c r="A143" s="204" t="s">
        <v>155</v>
      </c>
      <c r="B143" s="204"/>
      <c r="C143" s="192">
        <f>C134+C142</f>
        <v>151</v>
      </c>
      <c r="D143" s="127"/>
      <c r="E143" s="130">
        <f>E134+E142</f>
        <v>53686.472580000001</v>
      </c>
      <c r="F143" s="130"/>
      <c r="G143" s="130">
        <f>G134+G142</f>
        <v>77873.390477999972</v>
      </c>
      <c r="H143" s="130"/>
      <c r="N143" s="8" t="e">
        <f t="shared" ca="1" si="9"/>
        <v>#REF!</v>
      </c>
      <c r="O143" s="8" t="e">
        <f t="shared" ref="O143:O150" ca="1" si="10">O142+1</f>
        <v>#REF!</v>
      </c>
      <c r="P143" s="8" t="e">
        <f t="shared" ref="P143:P150" ca="1" si="11">P142+1</f>
        <v>#REF!</v>
      </c>
    </row>
    <row r="144" spans="1:16" ht="15" customHeight="1" x14ac:dyDescent="0.25">
      <c r="A144" s="195" t="s">
        <v>158</v>
      </c>
      <c r="B144" s="195"/>
      <c r="C144" s="195"/>
      <c r="D144" s="195"/>
      <c r="E144" s="195"/>
      <c r="F144" s="195"/>
      <c r="G144" s="195"/>
      <c r="H144" s="195"/>
      <c r="I144" s="26">
        <f>123+28</f>
        <v>151</v>
      </c>
      <c r="N144" s="8" t="e">
        <f t="shared" ca="1" si="9"/>
        <v>#REF!</v>
      </c>
      <c r="O144" s="8" t="e">
        <f t="shared" ca="1" si="10"/>
        <v>#REF!</v>
      </c>
      <c r="P144" s="8" t="e">
        <f t="shared" ca="1" si="11"/>
        <v>#REF!</v>
      </c>
    </row>
    <row r="145" spans="1:16" ht="15" customHeight="1" x14ac:dyDescent="0.25">
      <c r="A145" s="196" t="s">
        <v>178</v>
      </c>
      <c r="B145" s="196"/>
      <c r="C145" s="196"/>
      <c r="D145" s="196"/>
      <c r="E145" s="196"/>
      <c r="F145" s="196"/>
      <c r="G145" s="196"/>
      <c r="H145" s="196"/>
      <c r="N145" s="8" t="e">
        <f t="shared" ca="1" si="9"/>
        <v>#REF!</v>
      </c>
      <c r="O145" s="8" t="e">
        <f t="shared" ca="1" si="10"/>
        <v>#REF!</v>
      </c>
      <c r="P145" s="8" t="e">
        <f t="shared" ca="1" si="11"/>
        <v>#REF!</v>
      </c>
    </row>
    <row r="146" spans="1:16" ht="44.25" customHeight="1" x14ac:dyDescent="0.25">
      <c r="A146" s="183" t="s">
        <v>168</v>
      </c>
      <c r="B146" s="205" t="s">
        <v>2</v>
      </c>
      <c r="C146" s="183" t="s">
        <v>173</v>
      </c>
      <c r="D146" s="183" t="s">
        <v>156</v>
      </c>
      <c r="E146" s="184" t="s">
        <v>163</v>
      </c>
      <c r="F146" s="183" t="s">
        <v>170</v>
      </c>
      <c r="G146" s="184" t="s">
        <v>171</v>
      </c>
      <c r="H146" s="55" t="s">
        <v>169</v>
      </c>
      <c r="N146" s="8" t="e">
        <f t="shared" ca="1" si="9"/>
        <v>#REF!</v>
      </c>
      <c r="O146" s="8" t="e">
        <f t="shared" ca="1" si="10"/>
        <v>#REF!</v>
      </c>
      <c r="P146" s="8" t="e">
        <f t="shared" ca="1" si="11"/>
        <v>#REF!</v>
      </c>
    </row>
    <row r="147" spans="1:16" ht="15" customHeight="1" x14ac:dyDescent="0.25">
      <c r="A147" s="183"/>
      <c r="B147" s="205"/>
      <c r="C147" s="183"/>
      <c r="D147" s="183"/>
      <c r="E147" s="185"/>
      <c r="F147" s="183"/>
      <c r="G147" s="185"/>
      <c r="H147" s="56">
        <v>0.5</v>
      </c>
      <c r="N147" s="8" t="e">
        <f t="shared" ca="1" si="9"/>
        <v>#REF!</v>
      </c>
      <c r="O147" s="8" t="e">
        <f t="shared" ca="1" si="10"/>
        <v>#REF!</v>
      </c>
      <c r="P147" s="8" t="e">
        <f t="shared" ca="1" si="11"/>
        <v>#REF!</v>
      </c>
    </row>
    <row r="148" spans="1:16" ht="15" customHeight="1" x14ac:dyDescent="0.25">
      <c r="A148" s="142" t="s">
        <v>214</v>
      </c>
      <c r="B148" s="142"/>
      <c r="C148" s="142"/>
      <c r="D148" s="142"/>
      <c r="E148" s="142"/>
      <c r="F148" s="142"/>
      <c r="G148" s="143"/>
      <c r="H148" s="142"/>
      <c r="N148" s="8" t="e">
        <f t="shared" ca="1" si="9"/>
        <v>#REF!</v>
      </c>
      <c r="O148" s="8" t="e">
        <f t="shared" ca="1" si="10"/>
        <v>#REF!</v>
      </c>
      <c r="P148" s="8" t="e">
        <f t="shared" ca="1" si="11"/>
        <v>#REF!</v>
      </c>
    </row>
    <row r="149" spans="1:16" ht="15" customHeight="1" x14ac:dyDescent="0.25">
      <c r="A149" s="271" t="s">
        <v>215</v>
      </c>
      <c r="B149" s="272"/>
      <c r="C149" s="272"/>
      <c r="D149" s="272"/>
      <c r="E149" s="272"/>
      <c r="F149" s="272"/>
      <c r="G149" s="272"/>
      <c r="H149" s="273"/>
      <c r="N149" s="8" t="e">
        <f t="shared" ca="1" si="9"/>
        <v>#REF!</v>
      </c>
      <c r="O149" s="8" t="e">
        <f t="shared" ca="1" si="10"/>
        <v>#REF!</v>
      </c>
      <c r="P149" s="8" t="e">
        <f t="shared" ca="1" si="11"/>
        <v>#REF!</v>
      </c>
    </row>
    <row r="150" spans="1:16" ht="15" customHeight="1" x14ac:dyDescent="0.25">
      <c r="A150" s="207" t="s">
        <v>176</v>
      </c>
      <c r="B150" s="208"/>
      <c r="C150" s="208"/>
      <c r="D150" s="208"/>
      <c r="E150" s="208"/>
      <c r="F150" s="208"/>
      <c r="G150" s="208"/>
      <c r="H150" s="209"/>
      <c r="N150" s="8" t="e">
        <f t="shared" ca="1" si="9"/>
        <v>#REF!</v>
      </c>
      <c r="O150" s="8" t="e">
        <f t="shared" ca="1" si="10"/>
        <v>#REF!</v>
      </c>
      <c r="P150" s="8" t="e">
        <f t="shared" ca="1" si="11"/>
        <v>#REF!</v>
      </c>
    </row>
    <row r="151" spans="1:16" ht="15" customHeight="1" x14ac:dyDescent="0.25">
      <c r="A151" s="57">
        <v>1</v>
      </c>
      <c r="B151" s="48" t="s">
        <v>95</v>
      </c>
      <c r="C151" s="58">
        <f>(6.1975)*(10.764)</f>
        <v>66.709889999999987</v>
      </c>
      <c r="D151" s="49">
        <v>0</v>
      </c>
      <c r="E151" s="49">
        <v>0</v>
      </c>
      <c r="F151" s="49">
        <f>C151+D151+E151</f>
        <v>66.709889999999987</v>
      </c>
      <c r="G151" s="49">
        <v>0</v>
      </c>
      <c r="H151" s="49">
        <f>F151*(($H$147)+1)+G151</f>
        <v>100.06483499999999</v>
      </c>
    </row>
    <row r="152" spans="1:16" x14ac:dyDescent="0.25">
      <c r="A152" s="57">
        <f>A151+1</f>
        <v>2</v>
      </c>
      <c r="B152" s="48" t="s">
        <v>95</v>
      </c>
      <c r="C152" s="58">
        <f>(14.98)*(10.764)</f>
        <v>161.24472</v>
      </c>
      <c r="D152" s="49">
        <v>0</v>
      </c>
      <c r="E152" s="49">
        <v>0</v>
      </c>
      <c r="F152" s="49">
        <f t="shared" ref="F152:F154" si="12">C152+D152+E152</f>
        <v>161.24472</v>
      </c>
      <c r="G152" s="49">
        <v>0</v>
      </c>
      <c r="H152" s="49">
        <f>F152*(($H$147)+1)+G152</f>
        <v>241.86707999999999</v>
      </c>
    </row>
    <row r="153" spans="1:16" x14ac:dyDescent="0.25">
      <c r="A153" s="57">
        <f>A152+1</f>
        <v>3</v>
      </c>
      <c r="B153" s="48" t="s">
        <v>95</v>
      </c>
      <c r="C153" s="58">
        <f>(19.46)*(10.764)</f>
        <v>209.46744000000001</v>
      </c>
      <c r="D153" s="49">
        <v>0</v>
      </c>
      <c r="E153" s="49">
        <v>0</v>
      </c>
      <c r="F153" s="49">
        <f t="shared" si="12"/>
        <v>209.46744000000001</v>
      </c>
      <c r="G153" s="49">
        <v>0</v>
      </c>
      <c r="H153" s="49">
        <f>F153*(($H$147)+1)+G153</f>
        <v>314.20116000000002</v>
      </c>
    </row>
    <row r="154" spans="1:16" ht="15" customHeight="1" x14ac:dyDescent="0.25">
      <c r="A154" s="57">
        <f>A153+1</f>
        <v>4</v>
      </c>
      <c r="B154" s="48" t="s">
        <v>95</v>
      </c>
      <c r="C154" s="58">
        <f>(11.3975)*(10.764)</f>
        <v>122.68269000000001</v>
      </c>
      <c r="D154" s="49">
        <v>0</v>
      </c>
      <c r="E154" s="49">
        <v>0</v>
      </c>
      <c r="F154" s="49">
        <f t="shared" si="12"/>
        <v>122.68269000000001</v>
      </c>
      <c r="G154" s="49">
        <v>0</v>
      </c>
      <c r="H154" s="49">
        <f>F154*(($H$147)+1)+G154</f>
        <v>184.02403500000003</v>
      </c>
    </row>
    <row r="155" spans="1:16" x14ac:dyDescent="0.25">
      <c r="A155" s="215"/>
      <c r="B155" s="215"/>
      <c r="C155" s="215"/>
      <c r="D155" s="215"/>
      <c r="E155" s="215"/>
      <c r="F155" s="215"/>
      <c r="G155" s="216"/>
      <c r="H155" s="215"/>
    </row>
    <row r="156" spans="1:16" x14ac:dyDescent="0.25">
      <c r="A156" s="206" t="s">
        <v>177</v>
      </c>
      <c r="B156" s="206"/>
      <c r="C156" s="206"/>
      <c r="D156" s="206"/>
      <c r="E156" s="206"/>
      <c r="F156" s="206"/>
      <c r="G156" s="206"/>
      <c r="H156" s="206"/>
    </row>
    <row r="157" spans="1:16" ht="42.75" x14ac:dyDescent="0.25">
      <c r="A157" s="183" t="s">
        <v>168</v>
      </c>
      <c r="B157" s="205" t="s">
        <v>2</v>
      </c>
      <c r="C157" s="183" t="s">
        <v>173</v>
      </c>
      <c r="D157" s="183" t="s">
        <v>221</v>
      </c>
      <c r="E157" s="183" t="s">
        <v>157</v>
      </c>
      <c r="F157" s="184" t="s">
        <v>170</v>
      </c>
      <c r="G157" s="193" t="s">
        <v>171</v>
      </c>
      <c r="H157" s="55" t="s">
        <v>169</v>
      </c>
    </row>
    <row r="158" spans="1:16" x14ac:dyDescent="0.25">
      <c r="A158" s="183"/>
      <c r="B158" s="205"/>
      <c r="C158" s="183"/>
      <c r="D158" s="183"/>
      <c r="E158" s="183"/>
      <c r="F158" s="185"/>
      <c r="G158" s="194"/>
      <c r="H158" s="56">
        <v>0.45</v>
      </c>
    </row>
    <row r="159" spans="1:16" x14ac:dyDescent="0.25">
      <c r="A159" s="142" t="s">
        <v>216</v>
      </c>
      <c r="B159" s="142"/>
      <c r="C159" s="142"/>
      <c r="D159" s="142"/>
      <c r="E159" s="142"/>
      <c r="F159" s="142"/>
      <c r="G159" s="143"/>
      <c r="H159" s="142"/>
    </row>
    <row r="160" spans="1:16" x14ac:dyDescent="0.25">
      <c r="A160" s="271" t="s">
        <v>215</v>
      </c>
      <c r="B160" s="272"/>
      <c r="C160" s="272"/>
      <c r="D160" s="272"/>
      <c r="E160" s="272"/>
      <c r="F160" s="272"/>
      <c r="G160" s="272"/>
      <c r="H160" s="273"/>
    </row>
    <row r="161" spans="1:10" x14ac:dyDescent="0.25">
      <c r="A161" s="207" t="s">
        <v>219</v>
      </c>
      <c r="B161" s="208"/>
      <c r="C161" s="208"/>
      <c r="D161" s="208"/>
      <c r="E161" s="208"/>
      <c r="F161" s="208"/>
      <c r="G161" s="208"/>
      <c r="H161" s="209"/>
    </row>
    <row r="162" spans="1:10" x14ac:dyDescent="0.25">
      <c r="A162" s="207" t="s">
        <v>220</v>
      </c>
      <c r="B162" s="208"/>
      <c r="C162" s="208"/>
      <c r="D162" s="208"/>
      <c r="E162" s="208"/>
      <c r="F162" s="208"/>
      <c r="G162" s="208"/>
      <c r="H162" s="209"/>
    </row>
    <row r="163" spans="1:10" x14ac:dyDescent="0.25">
      <c r="A163" s="21">
        <v>1</v>
      </c>
      <c r="B163" s="44" t="s">
        <v>217</v>
      </c>
      <c r="C163" s="45">
        <f>(25.915)*(10.764)</f>
        <v>278.94905999999997</v>
      </c>
      <c r="D163" s="44">
        <f>(2.8575)*10.764</f>
        <v>30.758129999999998</v>
      </c>
      <c r="E163" s="44">
        <f>(1.95)*10.764</f>
        <v>20.989799999999999</v>
      </c>
      <c r="F163" s="1">
        <f t="shared" ref="F163:F167" si="13">C163+D163+E163</f>
        <v>330.69698999999997</v>
      </c>
      <c r="G163" s="1">
        <v>0</v>
      </c>
      <c r="H163" s="1">
        <f>F163*(($H$158)+1)+(IF(G163&lt;101,G163,IF(G163&lt;201,G163/2,IF(G163&lt;=301,G163/3,G163/4))))</f>
        <v>479.51063549999992</v>
      </c>
      <c r="I163" s="8">
        <f>4*2.8+2.7*1.95+1.9*2+1.5*1.1+1.1*1.2+0.9*1.1</f>
        <v>24.224999999999998</v>
      </c>
      <c r="J163" s="8">
        <f>2.7</f>
        <v>2.7</v>
      </c>
    </row>
    <row r="164" spans="1:10" x14ac:dyDescent="0.25">
      <c r="A164" s="21">
        <f>A163+1</f>
        <v>2</v>
      </c>
      <c r="B164" s="44" t="s">
        <v>217</v>
      </c>
      <c r="C164" s="45">
        <f>(25.915)*(10.764)</f>
        <v>278.94905999999997</v>
      </c>
      <c r="D164" s="44">
        <f>(2.8575)*10.764</f>
        <v>30.758129999999998</v>
      </c>
      <c r="E164" s="44">
        <f>(1.95)*10.764</f>
        <v>20.989799999999999</v>
      </c>
      <c r="F164" s="1">
        <f t="shared" si="13"/>
        <v>330.69698999999997</v>
      </c>
      <c r="G164" s="1">
        <v>0</v>
      </c>
      <c r="H164" s="1">
        <f>F164*(($H$158)+1)+(IF(G164&lt;101,G164,IF(G164&lt;201,G164/2,IF(G164&lt;=301,G164/3,G164/4))))</f>
        <v>479.51063549999992</v>
      </c>
    </row>
    <row r="165" spans="1:10" x14ac:dyDescent="0.25">
      <c r="A165" s="21">
        <f>A164+1</f>
        <v>3</v>
      </c>
      <c r="B165" s="44" t="s">
        <v>217</v>
      </c>
      <c r="C165" s="45">
        <f>(25.915)*(10.764)</f>
        <v>278.94905999999997</v>
      </c>
      <c r="D165" s="44">
        <f>(2.9325)*10.764</f>
        <v>31.565429999999999</v>
      </c>
      <c r="E165" s="44">
        <f>(1.95)*10.764</f>
        <v>20.989799999999999</v>
      </c>
      <c r="F165" s="1">
        <f t="shared" si="13"/>
        <v>331.50428999999997</v>
      </c>
      <c r="G165" s="1">
        <v>0</v>
      </c>
      <c r="H165" s="1">
        <f>F165*(($H$158)+1)+(IF(G165&lt;101,G165,IF(G165&lt;201,G165/2,IF(G165&lt;=301,G165/3,G165/4))))</f>
        <v>480.68122049999994</v>
      </c>
    </row>
    <row r="166" spans="1:10" x14ac:dyDescent="0.25">
      <c r="A166" s="21">
        <f>A165+1</f>
        <v>4</v>
      </c>
      <c r="B166" s="44" t="s">
        <v>218</v>
      </c>
      <c r="C166" s="45">
        <f>(38.4025)*(10.764)</f>
        <v>413.36451</v>
      </c>
      <c r="D166" s="44">
        <f>(6.31)*10.764</f>
        <v>67.920839999999998</v>
      </c>
      <c r="E166" s="44">
        <f>(3.43)*10.764</f>
        <v>36.920519999999996</v>
      </c>
      <c r="F166" s="1">
        <f t="shared" si="13"/>
        <v>518.20587</v>
      </c>
      <c r="G166" s="1">
        <v>0</v>
      </c>
      <c r="H166" s="1">
        <f>F166*(($H$158)+1)+(IF(G166&lt;101,G166,IF(G166&lt;201,G166/2,IF(G166&lt;=301,G166/3,G166/4))))</f>
        <v>751.39851149999993</v>
      </c>
    </row>
    <row r="167" spans="1:10" x14ac:dyDescent="0.25">
      <c r="A167" s="22">
        <f t="shared" ref="A167" si="14">A166+1</f>
        <v>5</v>
      </c>
      <c r="B167" s="44" t="s">
        <v>218</v>
      </c>
      <c r="C167" s="45">
        <f>(38.4025)*(10.764)</f>
        <v>413.36451</v>
      </c>
      <c r="D167" s="44">
        <f>(6.31)*10.764</f>
        <v>67.920839999999998</v>
      </c>
      <c r="E167" s="44">
        <f>(3.43)*10.764</f>
        <v>36.920519999999996</v>
      </c>
      <c r="F167" s="1">
        <f t="shared" si="13"/>
        <v>518.20587</v>
      </c>
      <c r="G167" s="1">
        <v>0</v>
      </c>
      <c r="H167" s="1">
        <f>F167*(($H$158)+1)+(IF(G167&lt;101,G167,IF(G167&lt;201,G167/2,IF(G167&lt;=301,G167/3,G167/4))))</f>
        <v>751.39851149999993</v>
      </c>
    </row>
    <row r="168" spans="1:10" x14ac:dyDescent="0.25">
      <c r="A168" s="151" t="s">
        <v>223</v>
      </c>
      <c r="B168" s="152"/>
      <c r="C168" s="152"/>
      <c r="D168" s="152"/>
      <c r="E168" s="152"/>
      <c r="F168" s="152"/>
      <c r="G168" s="152"/>
      <c r="H168" s="153"/>
    </row>
    <row r="169" spans="1:10" x14ac:dyDescent="0.25">
      <c r="A169" s="148" t="s">
        <v>222</v>
      </c>
      <c r="B169" s="149"/>
      <c r="C169" s="149"/>
      <c r="D169" s="149"/>
      <c r="E169" s="149"/>
      <c r="F169" s="149"/>
      <c r="G169" s="149"/>
      <c r="H169" s="150"/>
      <c r="I169" s="141"/>
      <c r="J169" s="141"/>
    </row>
    <row r="170" spans="1:10" x14ac:dyDescent="0.25">
      <c r="A170" s="148" t="s">
        <v>220</v>
      </c>
      <c r="B170" s="149"/>
      <c r="C170" s="149"/>
      <c r="D170" s="149"/>
      <c r="E170" s="149"/>
      <c r="F170" s="149"/>
      <c r="G170" s="149"/>
      <c r="H170" s="150"/>
      <c r="I170" s="8">
        <v>4800</v>
      </c>
    </row>
    <row r="171" spans="1:10" x14ac:dyDescent="0.25">
      <c r="A171" s="39">
        <v>1</v>
      </c>
      <c r="B171" s="44" t="s">
        <v>218</v>
      </c>
      <c r="C171" s="45">
        <f>(38.4025)*(10.764)</f>
        <v>413.36451</v>
      </c>
      <c r="D171" s="44">
        <f>(6.31)*10.764</f>
        <v>67.920839999999998</v>
      </c>
      <c r="E171" s="44">
        <f>(3.43)*10.764</f>
        <v>36.920519999999996</v>
      </c>
      <c r="F171" s="1">
        <f t="shared" ref="F171:F175" si="15">C171+D171+E171</f>
        <v>518.20587</v>
      </c>
      <c r="G171" s="1">
        <v>0</v>
      </c>
      <c r="H171" s="1">
        <f>F171*(($H$158)+1)+(IF(G171&lt;101,G171,IF(G171&lt;201,G171/2,IF(G171&lt;=301,G171/3,G171/4))))</f>
        <v>751.39851149999993</v>
      </c>
      <c r="I171" s="8">
        <f>H171*$I$170</f>
        <v>3606712.8551999996</v>
      </c>
    </row>
    <row r="172" spans="1:10" x14ac:dyDescent="0.25">
      <c r="A172" s="39">
        <f>A171+1</f>
        <v>2</v>
      </c>
      <c r="B172" s="44" t="s">
        <v>218</v>
      </c>
      <c r="C172" s="45">
        <f>(38.4025)*(10.764)</f>
        <v>413.36451</v>
      </c>
      <c r="D172" s="44">
        <f>(6.31)*10.764</f>
        <v>67.920839999999998</v>
      </c>
      <c r="E172" s="44">
        <f>(3.43)*10.764</f>
        <v>36.920519999999996</v>
      </c>
      <c r="F172" s="1">
        <f t="shared" si="15"/>
        <v>518.20587</v>
      </c>
      <c r="G172" s="1">
        <v>0</v>
      </c>
      <c r="H172" s="1">
        <f>F172*(($H$158)+1)+(IF(G172&lt;101,G172,IF(G172&lt;201,G172/2,IF(G172&lt;=301,G172/3,G172/4))))</f>
        <v>751.39851149999993</v>
      </c>
      <c r="I172" s="8">
        <f t="shared" ref="I172:I175" si="16">H172*$I$170</f>
        <v>3606712.8551999996</v>
      </c>
    </row>
    <row r="173" spans="1:10" x14ac:dyDescent="0.25">
      <c r="A173" s="39">
        <f>A172+1</f>
        <v>3</v>
      </c>
      <c r="B173" s="44" t="s">
        <v>217</v>
      </c>
      <c r="C173" s="45">
        <f>(25.915)*(10.764)</f>
        <v>278.94905999999997</v>
      </c>
      <c r="D173" s="44">
        <f>(2.9325)*10.764</f>
        <v>31.565429999999999</v>
      </c>
      <c r="E173" s="44">
        <f>(1.95)*10.764</f>
        <v>20.989799999999999</v>
      </c>
      <c r="F173" s="1">
        <f t="shared" si="15"/>
        <v>331.50428999999997</v>
      </c>
      <c r="G173" s="1">
        <v>0</v>
      </c>
      <c r="H173" s="1">
        <f>F173*(($H$158)+1)+(IF(G173&lt;101,G173,IF(G173&lt;201,G173/2,IF(G173&lt;=301,G173/3,G173/4))))</f>
        <v>480.68122049999994</v>
      </c>
      <c r="I173" s="8">
        <f t="shared" si="16"/>
        <v>2307269.8583999998</v>
      </c>
    </row>
    <row r="174" spans="1:10" x14ac:dyDescent="0.25">
      <c r="A174" s="39">
        <f>A173+1</f>
        <v>4</v>
      </c>
      <c r="B174" s="44" t="s">
        <v>217</v>
      </c>
      <c r="C174" s="45">
        <f>(25.915)*(10.764)</f>
        <v>278.94905999999997</v>
      </c>
      <c r="D174" s="44">
        <f>(2.8575)*10.764</f>
        <v>30.758129999999998</v>
      </c>
      <c r="E174" s="44">
        <f>(1.95)*10.764</f>
        <v>20.989799999999999</v>
      </c>
      <c r="F174" s="1">
        <f t="shared" si="15"/>
        <v>330.69698999999997</v>
      </c>
      <c r="G174" s="1">
        <v>0</v>
      </c>
      <c r="H174" s="1">
        <f>F174*(($H$158)+1)+(IF(G174&lt;101,G174,IF(G174&lt;201,G174/2,IF(G174&lt;=301,G174/3,G174/4))))</f>
        <v>479.51063549999992</v>
      </c>
      <c r="I174" s="26">
        <f t="shared" si="16"/>
        <v>2301651.0503999996</v>
      </c>
      <c r="J174" s="26">
        <f>2250000/H174</f>
        <v>4692.2838273521475</v>
      </c>
    </row>
    <row r="175" spans="1:10" x14ac:dyDescent="0.25">
      <c r="A175" s="41">
        <f t="shared" ref="A175" si="17">A174+1</f>
        <v>5</v>
      </c>
      <c r="B175" s="44" t="s">
        <v>217</v>
      </c>
      <c r="C175" s="45">
        <f>(25.915)*(10.764)</f>
        <v>278.94905999999997</v>
      </c>
      <c r="D175" s="44">
        <f>(2.8575)*10.764</f>
        <v>30.758129999999998</v>
      </c>
      <c r="E175" s="44">
        <f>(1.95)*10.764</f>
        <v>20.989799999999999</v>
      </c>
      <c r="F175" s="1">
        <f t="shared" si="15"/>
        <v>330.69698999999997</v>
      </c>
      <c r="G175" s="1">
        <v>0</v>
      </c>
      <c r="H175" s="1">
        <f>F175*(($H$158)+1)+(IF(G175&lt;101,G175,IF(G175&lt;201,G175/2,IF(G175&lt;=301,G175/3,G175/4))))</f>
        <v>479.51063549999992</v>
      </c>
      <c r="I175" s="8">
        <f t="shared" si="16"/>
        <v>2301651.0503999996</v>
      </c>
      <c r="J175" s="26">
        <f>2300000/H175</f>
        <v>4796.5568012933063</v>
      </c>
    </row>
    <row r="176" spans="1:10" x14ac:dyDescent="0.25">
      <c r="A176" s="213" t="s">
        <v>214</v>
      </c>
      <c r="B176" s="213"/>
      <c r="C176" s="213"/>
      <c r="D176" s="213"/>
      <c r="E176" s="213"/>
      <c r="F176" s="213"/>
      <c r="G176" s="214"/>
      <c r="H176" s="213"/>
    </row>
    <row r="177" spans="1:11" x14ac:dyDescent="0.25">
      <c r="A177" s="151" t="s">
        <v>215</v>
      </c>
      <c r="B177" s="152"/>
      <c r="C177" s="152"/>
      <c r="D177" s="152"/>
      <c r="E177" s="152"/>
      <c r="F177" s="152"/>
      <c r="G177" s="152"/>
      <c r="H177" s="153"/>
      <c r="K177" s="26" t="s">
        <v>244</v>
      </c>
    </row>
    <row r="178" spans="1:11" x14ac:dyDescent="0.25">
      <c r="A178" s="210" t="s">
        <v>220</v>
      </c>
      <c r="B178" s="211"/>
      <c r="C178" s="211"/>
      <c r="D178" s="211"/>
      <c r="E178" s="211"/>
      <c r="F178" s="211"/>
      <c r="G178" s="211"/>
      <c r="H178" s="212"/>
      <c r="I178" s="8">
        <f>4*2.8+1.9*2+2.7*1.95+1.1*1.2+1.6*1.1+1.1*1.1</f>
        <v>24.555000000000003</v>
      </c>
      <c r="K178" s="26">
        <f>2300000-(2300000*0.08)</f>
        <v>2116000</v>
      </c>
    </row>
    <row r="179" spans="1:11" x14ac:dyDescent="0.25">
      <c r="A179" s="50">
        <v>1</v>
      </c>
      <c r="B179" s="51" t="s">
        <v>217</v>
      </c>
      <c r="C179" s="52">
        <f>(25.915)*10.764</f>
        <v>278.94905999999997</v>
      </c>
      <c r="D179" s="51">
        <f>(2.8575)*10.764</f>
        <v>30.758129999999998</v>
      </c>
      <c r="E179" s="51">
        <f>(1.95)*10.764</f>
        <v>20.989799999999999</v>
      </c>
      <c r="F179" s="53">
        <f t="shared" ref="F179:F182" si="18">C179+D179+E179</f>
        <v>330.69698999999997</v>
      </c>
      <c r="G179" s="54">
        <v>0</v>
      </c>
      <c r="H179" s="54">
        <f>F179*(($H$158)+1)+(IF(G179&lt;101,G179,IF(G179&lt;201,G179/2,IF(G179&lt;=301,G179/3,G179/4))))</f>
        <v>479.51063549999992</v>
      </c>
      <c r="I179" s="8">
        <f>4*2.8+1.9*2+1.1*1.2+1.1*1.2+1.1*1.1</f>
        <v>18.850000000000001</v>
      </c>
      <c r="K179" s="26">
        <f>2377280/H179</f>
        <v>4957.7211098167609</v>
      </c>
    </row>
    <row r="180" spans="1:11" x14ac:dyDescent="0.25">
      <c r="A180" s="50">
        <f>A179+1</f>
        <v>2</v>
      </c>
      <c r="B180" s="51" t="s">
        <v>224</v>
      </c>
      <c r="C180" s="52">
        <f>(4*2.8+1.9*2+1.1*1.2+1.1*1.2+1.1*1.1)*10.764</f>
        <v>202.9014</v>
      </c>
      <c r="D180" s="51">
        <v>0</v>
      </c>
      <c r="E180" s="51">
        <f>(1.95)*10.764</f>
        <v>20.989799999999999</v>
      </c>
      <c r="F180" s="53">
        <f t="shared" si="18"/>
        <v>223.8912</v>
      </c>
      <c r="G180" s="54">
        <v>0</v>
      </c>
      <c r="H180" s="54">
        <f>F180*(($H$158)+1)+(IF(G180&lt;101,G180,IF(G180&lt;201,G180/2,IF(G180&lt;=301,G180/3,G180/4))))</f>
        <v>324.64224000000002</v>
      </c>
      <c r="I180" s="141">
        <f>H180*4800</f>
        <v>1558282.7520000001</v>
      </c>
      <c r="J180" s="141"/>
    </row>
    <row r="181" spans="1:11" x14ac:dyDescent="0.25">
      <c r="A181" s="50">
        <f>A180+1</f>
        <v>3</v>
      </c>
      <c r="B181" s="51" t="s">
        <v>217</v>
      </c>
      <c r="C181" s="52">
        <f>(25.915)*10.764</f>
        <v>278.94905999999997</v>
      </c>
      <c r="D181" s="51">
        <f>(2.8575)*10.764</f>
        <v>30.758129999999998</v>
      </c>
      <c r="E181" s="51">
        <f>(1.95)*10.764</f>
        <v>20.989799999999999</v>
      </c>
      <c r="F181" s="53">
        <f t="shared" si="18"/>
        <v>330.69698999999997</v>
      </c>
      <c r="G181" s="54">
        <v>0</v>
      </c>
      <c r="H181" s="54">
        <f>F181*(($H$158)+1)+(IF(G181&lt;101,G181,IF(G181&lt;201,G181/2,IF(G181&lt;=301,G181/3,G181/4))))</f>
        <v>479.51063549999992</v>
      </c>
    </row>
    <row r="182" spans="1:11" x14ac:dyDescent="0.25">
      <c r="A182" s="50">
        <f>A181+1</f>
        <v>4</v>
      </c>
      <c r="B182" s="51" t="s">
        <v>217</v>
      </c>
      <c r="C182" s="52">
        <f>(25.915)*10.764</f>
        <v>278.94905999999997</v>
      </c>
      <c r="D182" s="51">
        <f>(2.8575)*10.764</f>
        <v>30.758129999999998</v>
      </c>
      <c r="E182" s="51">
        <f>(1.95)*10.764</f>
        <v>20.989799999999999</v>
      </c>
      <c r="F182" s="53">
        <f t="shared" si="18"/>
        <v>330.69698999999997</v>
      </c>
      <c r="G182" s="54">
        <v>0</v>
      </c>
      <c r="H182" s="54">
        <f>F182*(($H$158)+1)+(IF(G182&lt;101,G182,IF(G182&lt;201,G182/2,IF(G182&lt;=301,G182/3,G182/4))))</f>
        <v>479.51063549999992</v>
      </c>
    </row>
    <row r="183" spans="1:11" x14ac:dyDescent="0.25">
      <c r="A183" s="151" t="s">
        <v>223</v>
      </c>
      <c r="B183" s="152"/>
      <c r="C183" s="152"/>
      <c r="D183" s="152"/>
      <c r="E183" s="152"/>
      <c r="F183" s="152"/>
      <c r="G183" s="152"/>
      <c r="H183" s="153"/>
    </row>
    <row r="184" spans="1:11" x14ac:dyDescent="0.25">
      <c r="A184" s="148" t="s">
        <v>222</v>
      </c>
      <c r="B184" s="149"/>
      <c r="C184" s="149"/>
      <c r="D184" s="149"/>
      <c r="E184" s="149"/>
      <c r="F184" s="149"/>
      <c r="G184" s="149"/>
      <c r="H184" s="150"/>
    </row>
    <row r="185" spans="1:11" x14ac:dyDescent="0.25">
      <c r="A185" s="148" t="s">
        <v>220</v>
      </c>
      <c r="B185" s="149"/>
      <c r="C185" s="149"/>
      <c r="D185" s="149"/>
      <c r="E185" s="149"/>
      <c r="F185" s="149"/>
      <c r="G185" s="149"/>
      <c r="H185" s="150"/>
      <c r="I185" s="141"/>
      <c r="J185" s="141"/>
    </row>
    <row r="186" spans="1:11" x14ac:dyDescent="0.25">
      <c r="A186" s="39">
        <v>1</v>
      </c>
      <c r="B186" s="44" t="s">
        <v>217</v>
      </c>
      <c r="C186" s="45">
        <f>(25.915)*10.764</f>
        <v>278.94905999999997</v>
      </c>
      <c r="D186" s="47">
        <f>(2.8575)*10.764</f>
        <v>30.758129999999998</v>
      </c>
      <c r="E186" s="47">
        <f>(1.95)*10.764</f>
        <v>20.989799999999999</v>
      </c>
      <c r="F186" s="1">
        <f t="shared" ref="F186:F189" si="19">C186+D186+E186</f>
        <v>330.69698999999997</v>
      </c>
      <c r="G186" s="1">
        <v>0</v>
      </c>
      <c r="H186" s="1">
        <f>F186*(($H$158)+1)+(IF(G186&lt;101,G186,IF(G186&lt;201,G186/2,IF(G186&lt;=301,G186/3,G186/4))))</f>
        <v>479.51063549999992</v>
      </c>
    </row>
    <row r="187" spans="1:11" x14ac:dyDescent="0.25">
      <c r="A187" s="39">
        <f>A186+1</f>
        <v>2</v>
      </c>
      <c r="B187" s="44" t="s">
        <v>217</v>
      </c>
      <c r="C187" s="46">
        <f>(25.915)*10.764</f>
        <v>278.94905999999997</v>
      </c>
      <c r="D187" s="47">
        <f>(2.8575)*10.764</f>
        <v>30.758129999999998</v>
      </c>
      <c r="E187" s="47">
        <f>(1.95)*10.764</f>
        <v>20.989799999999999</v>
      </c>
      <c r="F187" s="1">
        <f t="shared" si="19"/>
        <v>330.69698999999997</v>
      </c>
      <c r="G187" s="1">
        <v>0</v>
      </c>
      <c r="H187" s="1">
        <f>F187*(($H$158)+1)+(IF(G187&lt;101,G187,IF(G187&lt;201,G187/2,IF(G187&lt;=301,G187/3,G187/4))))</f>
        <v>479.51063549999992</v>
      </c>
      <c r="I187" s="8">
        <f>2200000/H187</f>
        <v>4588.0108534109886</v>
      </c>
    </row>
    <row r="188" spans="1:11" x14ac:dyDescent="0.25">
      <c r="A188" s="39">
        <f>A187+1</f>
        <v>3</v>
      </c>
      <c r="B188" s="44" t="s">
        <v>217</v>
      </c>
      <c r="C188" s="45">
        <f>(25.915)*10.764</f>
        <v>278.94905999999997</v>
      </c>
      <c r="D188" s="47">
        <f>(2.8575)*10.764</f>
        <v>30.758129999999998</v>
      </c>
      <c r="E188" s="47">
        <f>(1.95)*10.764</f>
        <v>20.989799999999999</v>
      </c>
      <c r="F188" s="1">
        <f>C188+D188+E188</f>
        <v>330.69698999999997</v>
      </c>
      <c r="G188" s="1">
        <v>0</v>
      </c>
      <c r="H188" s="1">
        <f>F188*(($H$158)+1)+(IF(G188&lt;101,G188,IF(G188&lt;201,G188/2,IF(G188&lt;=301,G188/3,G188/4))))</f>
        <v>479.51063549999992</v>
      </c>
      <c r="I188" s="146"/>
      <c r="J188" s="147"/>
    </row>
    <row r="189" spans="1:11" x14ac:dyDescent="0.25">
      <c r="A189" s="39">
        <f>A188+1</f>
        <v>4</v>
      </c>
      <c r="B189" s="44" t="s">
        <v>217</v>
      </c>
      <c r="C189" s="45">
        <f>(25.915)*10.764</f>
        <v>278.94905999999997</v>
      </c>
      <c r="D189" s="47">
        <f>(2.8575)*10.764</f>
        <v>30.758129999999998</v>
      </c>
      <c r="E189" s="47">
        <f>(1.95)*10.764</f>
        <v>20.989799999999999</v>
      </c>
      <c r="F189" s="1">
        <f t="shared" si="19"/>
        <v>330.69698999999997</v>
      </c>
      <c r="G189" s="1">
        <v>0</v>
      </c>
      <c r="H189" s="1">
        <f>F189*(($H$158)+1)+(IF(G189&lt;101,G189,IF(G189&lt;201,G189/2,IF(G189&lt;=301,G189/3,G189/4))))</f>
        <v>479.51063549999992</v>
      </c>
    </row>
    <row r="190" spans="1:11" x14ac:dyDescent="0.25">
      <c r="A190" s="151" t="s">
        <v>225</v>
      </c>
      <c r="B190" s="152"/>
      <c r="C190" s="152"/>
      <c r="D190" s="152"/>
      <c r="E190" s="152"/>
      <c r="F190" s="152"/>
      <c r="G190" s="152"/>
      <c r="H190" s="153"/>
    </row>
    <row r="191" spans="1:11" x14ac:dyDescent="0.25">
      <c r="A191" s="148" t="s">
        <v>234</v>
      </c>
      <c r="B191" s="149"/>
      <c r="C191" s="149"/>
      <c r="D191" s="149"/>
      <c r="E191" s="149"/>
      <c r="F191" s="149"/>
      <c r="G191" s="149"/>
      <c r="H191" s="150"/>
    </row>
    <row r="192" spans="1:11" x14ac:dyDescent="0.25">
      <c r="A192" s="148" t="s">
        <v>220</v>
      </c>
      <c r="B192" s="149"/>
      <c r="C192" s="149"/>
      <c r="D192" s="149"/>
      <c r="E192" s="149"/>
      <c r="F192" s="149"/>
      <c r="G192" s="149"/>
      <c r="H192" s="150"/>
    </row>
    <row r="193" spans="1:8" x14ac:dyDescent="0.25">
      <c r="A193" s="39">
        <v>1</v>
      </c>
      <c r="B193" s="44" t="s">
        <v>217</v>
      </c>
      <c r="C193" s="45">
        <f>(25.915)*10.764</f>
        <v>278.94905999999997</v>
      </c>
      <c r="D193" s="47">
        <f>(2.8575)*10.764</f>
        <v>30.758129999999998</v>
      </c>
      <c r="E193" s="47">
        <f>(1.95)*10.764</f>
        <v>20.989799999999999</v>
      </c>
      <c r="F193" s="1">
        <f t="shared" ref="F193:F194" si="20">C193+D193+E193</f>
        <v>330.69698999999997</v>
      </c>
      <c r="G193" s="1">
        <v>0</v>
      </c>
      <c r="H193" s="1">
        <f>F193*(($H$158)+1)+(IF(G193&lt;101,G193,IF(G193&lt;201,G193/2,IF(G193&lt;=301,G193/3,G193/4))))</f>
        <v>479.51063549999992</v>
      </c>
    </row>
    <row r="194" spans="1:8" x14ac:dyDescent="0.25">
      <c r="A194" s="39">
        <f>A193+1</f>
        <v>2</v>
      </c>
      <c r="B194" s="44" t="s">
        <v>217</v>
      </c>
      <c r="C194" s="46">
        <f>(25.915)*10.764</f>
        <v>278.94905999999997</v>
      </c>
      <c r="D194" s="47">
        <f>(2.8575)*10.764</f>
        <v>30.758129999999998</v>
      </c>
      <c r="E194" s="47">
        <f>(1.95)*10.764</f>
        <v>20.989799999999999</v>
      </c>
      <c r="F194" s="1">
        <f t="shared" si="20"/>
        <v>330.69698999999997</v>
      </c>
      <c r="G194" s="1">
        <v>0</v>
      </c>
      <c r="H194" s="1">
        <f>F194*(($H$158)+1)+(IF(G194&lt;101,G194,IF(G194&lt;201,G194/2,IF(G194&lt;=301,G194/3,G194/4))))</f>
        <v>479.51063549999992</v>
      </c>
    </row>
    <row r="195" spans="1:8" x14ac:dyDescent="0.25">
      <c r="A195" s="39">
        <f>A194+1</f>
        <v>3</v>
      </c>
      <c r="B195" s="44" t="s">
        <v>217</v>
      </c>
      <c r="C195" s="45">
        <f>(25.915)*10.764</f>
        <v>278.94905999999997</v>
      </c>
      <c r="D195" s="47">
        <f>(2.8575)*10.764</f>
        <v>30.758129999999998</v>
      </c>
      <c r="E195" s="47">
        <f>(1.95)*10.764</f>
        <v>20.989799999999999</v>
      </c>
      <c r="F195" s="1">
        <f>C195+D195+E195</f>
        <v>330.69698999999997</v>
      </c>
      <c r="G195" s="1">
        <v>0</v>
      </c>
      <c r="H195" s="1">
        <f>F195*(($H$158)+1)+(IF(G195&lt;101,G195,IF(G195&lt;201,G195/2,IF(G195&lt;=301,G195/3,G195/4))))</f>
        <v>479.51063549999992</v>
      </c>
    </row>
    <row r="196" spans="1:8" x14ac:dyDescent="0.25">
      <c r="A196" s="154"/>
      <c r="B196" s="154"/>
      <c r="C196" s="154"/>
      <c r="D196" s="154"/>
      <c r="E196" s="154"/>
      <c r="F196" s="154"/>
      <c r="G196" s="154"/>
      <c r="H196" s="154"/>
    </row>
    <row r="197" spans="1:8" ht="36.75" customHeight="1" x14ac:dyDescent="0.25">
      <c r="A197" s="10">
        <v>48</v>
      </c>
      <c r="B197" s="123" t="s">
        <v>47</v>
      </c>
      <c r="C197" s="123"/>
      <c r="D197" s="123"/>
      <c r="E197" s="159" t="s">
        <v>226</v>
      </c>
      <c r="F197" s="159"/>
      <c r="G197" s="159"/>
      <c r="H197" s="159"/>
    </row>
    <row r="198" spans="1:8" ht="51" customHeight="1" x14ac:dyDescent="0.25">
      <c r="A198" s="10">
        <v>49</v>
      </c>
      <c r="B198" s="123" t="s">
        <v>135</v>
      </c>
      <c r="C198" s="123"/>
      <c r="D198" s="123"/>
      <c r="E198" s="159" t="s">
        <v>229</v>
      </c>
      <c r="F198" s="159"/>
      <c r="G198" s="159"/>
      <c r="H198" s="159"/>
    </row>
    <row r="199" spans="1:8" ht="47.25" customHeight="1" x14ac:dyDescent="0.25">
      <c r="A199" s="10">
        <v>50</v>
      </c>
      <c r="B199" s="123" t="s">
        <v>48</v>
      </c>
      <c r="C199" s="123"/>
      <c r="D199" s="123"/>
      <c r="E199" s="145" t="s">
        <v>67</v>
      </c>
      <c r="F199" s="145"/>
      <c r="G199" s="145"/>
      <c r="H199" s="145"/>
    </row>
    <row r="200" spans="1:8" x14ac:dyDescent="0.25">
      <c r="A200" s="144">
        <v>51</v>
      </c>
      <c r="B200" s="123" t="s">
        <v>49</v>
      </c>
      <c r="C200" s="123"/>
      <c r="D200" s="123"/>
      <c r="E200" s="155" t="s">
        <v>66</v>
      </c>
      <c r="F200" s="155"/>
      <c r="G200" s="155"/>
      <c r="H200" s="155"/>
    </row>
    <row r="201" spans="1:8" ht="32.25" customHeight="1" x14ac:dyDescent="0.25">
      <c r="A201" s="144"/>
      <c r="B201" s="123"/>
      <c r="C201" s="123"/>
      <c r="D201" s="123"/>
      <c r="E201" s="134" t="s">
        <v>154</v>
      </c>
      <c r="F201" s="134"/>
      <c r="G201" s="134"/>
      <c r="H201" s="29">
        <v>4800</v>
      </c>
    </row>
    <row r="202" spans="1:8" ht="30.75" customHeight="1" x14ac:dyDescent="0.25">
      <c r="A202" s="10">
        <v>52</v>
      </c>
      <c r="B202" s="123" t="s">
        <v>50</v>
      </c>
      <c r="C202" s="123"/>
      <c r="D202" s="123"/>
      <c r="E202" s="159" t="s">
        <v>67</v>
      </c>
      <c r="F202" s="159"/>
      <c r="G202" s="159"/>
      <c r="H202" s="159"/>
    </row>
    <row r="203" spans="1:8" x14ac:dyDescent="0.25">
      <c r="A203" s="144">
        <v>53</v>
      </c>
      <c r="B203" s="123" t="s">
        <v>146</v>
      </c>
      <c r="C203" s="123"/>
      <c r="D203" s="123"/>
      <c r="E203" s="122" t="s">
        <v>145</v>
      </c>
      <c r="F203" s="122"/>
      <c r="G203" s="122"/>
      <c r="H203" s="122"/>
    </row>
    <row r="204" spans="1:8" ht="29.25" customHeight="1" x14ac:dyDescent="0.25">
      <c r="A204" s="144"/>
      <c r="B204" s="123"/>
      <c r="C204" s="123"/>
      <c r="D204" s="123"/>
      <c r="E204" s="134" t="s">
        <v>154</v>
      </c>
      <c r="F204" s="134"/>
      <c r="G204" s="134"/>
      <c r="H204" s="29">
        <f>H201</f>
        <v>4800</v>
      </c>
    </row>
    <row r="205" spans="1:8" x14ac:dyDescent="0.25">
      <c r="A205" s="144"/>
      <c r="B205" s="123"/>
      <c r="C205" s="123"/>
      <c r="D205" s="123"/>
      <c r="E205" s="123" t="s">
        <v>13</v>
      </c>
      <c r="F205" s="123"/>
      <c r="G205" s="123"/>
      <c r="H205" s="29">
        <v>150000</v>
      </c>
    </row>
    <row r="206" spans="1:8" ht="50.25" customHeight="1" x14ac:dyDescent="0.25">
      <c r="A206" s="10">
        <v>54</v>
      </c>
      <c r="B206" s="123" t="s">
        <v>51</v>
      </c>
      <c r="C206" s="123"/>
      <c r="D206" s="123"/>
      <c r="E206" s="145" t="s">
        <v>10</v>
      </c>
      <c r="F206" s="145"/>
      <c r="G206" s="145"/>
      <c r="H206" s="145"/>
    </row>
    <row r="207" spans="1:8" x14ac:dyDescent="0.25">
      <c r="A207" s="119">
        <v>55</v>
      </c>
      <c r="B207" s="251" t="s">
        <v>52</v>
      </c>
      <c r="C207" s="252"/>
      <c r="D207" s="253"/>
      <c r="E207" s="145" t="s">
        <v>10</v>
      </c>
      <c r="F207" s="145"/>
      <c r="G207" s="145"/>
      <c r="H207" s="145"/>
    </row>
    <row r="208" spans="1:8" hidden="1" x14ac:dyDescent="0.25">
      <c r="A208" s="120"/>
      <c r="B208" s="254"/>
      <c r="C208" s="255"/>
      <c r="D208" s="256"/>
      <c r="E208" s="181" t="s">
        <v>96</v>
      </c>
      <c r="F208" s="181"/>
      <c r="G208" s="181"/>
      <c r="H208" s="28">
        <v>0.1</v>
      </c>
    </row>
    <row r="209" spans="1:8" hidden="1" x14ac:dyDescent="0.25">
      <c r="A209" s="120"/>
      <c r="B209" s="254"/>
      <c r="C209" s="255"/>
      <c r="D209" s="256"/>
      <c r="E209" s="181" t="s">
        <v>97</v>
      </c>
      <c r="F209" s="181"/>
      <c r="G209" s="181"/>
      <c r="H209" s="28">
        <v>0.2</v>
      </c>
    </row>
    <row r="210" spans="1:8" ht="50.25" hidden="1" customHeight="1" x14ac:dyDescent="0.25">
      <c r="A210" s="120"/>
      <c r="B210" s="254"/>
      <c r="C210" s="255"/>
      <c r="D210" s="256"/>
      <c r="E210" s="181" t="s">
        <v>5</v>
      </c>
      <c r="F210" s="181"/>
      <c r="G210" s="181"/>
      <c r="H210" s="28">
        <v>0.15</v>
      </c>
    </row>
    <row r="211" spans="1:8" ht="50.25" hidden="1" customHeight="1" x14ac:dyDescent="0.25">
      <c r="A211" s="120"/>
      <c r="B211" s="254"/>
      <c r="C211" s="255"/>
      <c r="D211" s="256"/>
      <c r="E211" s="181" t="s">
        <v>98</v>
      </c>
      <c r="F211" s="181"/>
      <c r="G211" s="181"/>
      <c r="H211" s="28">
        <v>0.05</v>
      </c>
    </row>
    <row r="212" spans="1:8" ht="60" hidden="1" customHeight="1" x14ac:dyDescent="0.25">
      <c r="A212" s="120"/>
      <c r="B212" s="254"/>
      <c r="C212" s="255"/>
      <c r="D212" s="256"/>
      <c r="E212" s="181" t="s">
        <v>99</v>
      </c>
      <c r="F212" s="181"/>
      <c r="G212" s="181"/>
      <c r="H212" s="28">
        <v>0.05</v>
      </c>
    </row>
    <row r="213" spans="1:8" hidden="1" x14ac:dyDescent="0.25">
      <c r="A213" s="120"/>
      <c r="B213" s="254"/>
      <c r="C213" s="255"/>
      <c r="D213" s="256"/>
      <c r="E213" s="181" t="s">
        <v>100</v>
      </c>
      <c r="F213" s="181"/>
      <c r="G213" s="181"/>
      <c r="H213" s="28">
        <v>0.05</v>
      </c>
    </row>
    <row r="214" spans="1:8" ht="36.75" hidden="1" customHeight="1" x14ac:dyDescent="0.25">
      <c r="A214" s="120"/>
      <c r="B214" s="254"/>
      <c r="C214" s="255"/>
      <c r="D214" s="256"/>
      <c r="E214" s="181" t="s">
        <v>101</v>
      </c>
      <c r="F214" s="181"/>
      <c r="G214" s="181"/>
      <c r="H214" s="28">
        <v>0.05</v>
      </c>
    </row>
    <row r="215" spans="1:8" ht="51" hidden="1" customHeight="1" x14ac:dyDescent="0.25">
      <c r="A215" s="120"/>
      <c r="B215" s="254"/>
      <c r="C215" s="255"/>
      <c r="D215" s="256"/>
      <c r="E215" s="181" t="s">
        <v>102</v>
      </c>
      <c r="F215" s="181"/>
      <c r="G215" s="181"/>
      <c r="H215" s="28">
        <v>0.05</v>
      </c>
    </row>
    <row r="216" spans="1:8" hidden="1" x14ac:dyDescent="0.25">
      <c r="A216" s="120"/>
      <c r="B216" s="254"/>
      <c r="C216" s="255"/>
      <c r="D216" s="256"/>
      <c r="E216" s="181" t="s">
        <v>103</v>
      </c>
      <c r="F216" s="181"/>
      <c r="G216" s="181"/>
      <c r="H216" s="28">
        <v>0.05</v>
      </c>
    </row>
    <row r="217" spans="1:8" hidden="1" x14ac:dyDescent="0.25">
      <c r="A217" s="120"/>
      <c r="B217" s="254"/>
      <c r="C217" s="255"/>
      <c r="D217" s="256"/>
      <c r="E217" s="181" t="s">
        <v>104</v>
      </c>
      <c r="F217" s="181"/>
      <c r="G217" s="181"/>
      <c r="H217" s="28">
        <v>0.05</v>
      </c>
    </row>
    <row r="218" spans="1:8" hidden="1" x14ac:dyDescent="0.25">
      <c r="A218" s="120"/>
      <c r="B218" s="254"/>
      <c r="C218" s="255"/>
      <c r="D218" s="256"/>
      <c r="E218" s="181" t="s">
        <v>105</v>
      </c>
      <c r="F218" s="181"/>
      <c r="G218" s="181"/>
      <c r="H218" s="28">
        <v>0.05</v>
      </c>
    </row>
    <row r="219" spans="1:8" hidden="1" x14ac:dyDescent="0.25">
      <c r="A219" s="120"/>
      <c r="B219" s="254"/>
      <c r="C219" s="255"/>
      <c r="D219" s="256"/>
      <c r="E219" s="181" t="s">
        <v>106</v>
      </c>
      <c r="F219" s="181"/>
      <c r="G219" s="181"/>
      <c r="H219" s="28">
        <v>0.05</v>
      </c>
    </row>
    <row r="220" spans="1:8" hidden="1" x14ac:dyDescent="0.25">
      <c r="A220" s="120"/>
      <c r="B220" s="254"/>
      <c r="C220" s="255"/>
      <c r="D220" s="256"/>
      <c r="E220" s="181" t="s">
        <v>107</v>
      </c>
      <c r="F220" s="181"/>
      <c r="G220" s="181"/>
      <c r="H220" s="28">
        <v>0.05</v>
      </c>
    </row>
    <row r="221" spans="1:8" hidden="1" x14ac:dyDescent="0.25">
      <c r="A221" s="120"/>
      <c r="B221" s="254"/>
      <c r="C221" s="255"/>
      <c r="D221" s="256"/>
      <c r="E221" s="181" t="s">
        <v>108</v>
      </c>
      <c r="F221" s="181"/>
      <c r="G221" s="181"/>
      <c r="H221" s="28">
        <v>0.05</v>
      </c>
    </row>
    <row r="222" spans="1:8" hidden="1" x14ac:dyDescent="0.25">
      <c r="A222" s="121"/>
      <c r="B222" s="246"/>
      <c r="C222" s="247"/>
      <c r="D222" s="257"/>
      <c r="E222" s="181" t="s">
        <v>12</v>
      </c>
      <c r="F222" s="181"/>
      <c r="G222" s="181"/>
      <c r="H222" s="28">
        <f>SUM(H208:H221)</f>
        <v>1.0000000000000004</v>
      </c>
    </row>
    <row r="223" spans="1:8" ht="46.5" customHeight="1" x14ac:dyDescent="0.25">
      <c r="A223" s="10">
        <v>56</v>
      </c>
      <c r="B223" s="123" t="s">
        <v>53</v>
      </c>
      <c r="C223" s="123"/>
      <c r="D223" s="123"/>
      <c r="E223" s="145" t="s">
        <v>65</v>
      </c>
      <c r="F223" s="145"/>
      <c r="G223" s="145"/>
      <c r="H223" s="145"/>
    </row>
    <row r="224" spans="1:8" ht="46.5" customHeight="1" x14ac:dyDescent="0.25">
      <c r="A224" s="10">
        <v>57</v>
      </c>
      <c r="B224" s="123" t="s">
        <v>54</v>
      </c>
      <c r="C224" s="123"/>
      <c r="D224" s="123"/>
      <c r="E224" s="145" t="s">
        <v>65</v>
      </c>
      <c r="F224" s="145"/>
      <c r="G224" s="145"/>
      <c r="H224" s="145"/>
    </row>
    <row r="225" spans="1:9" ht="46.5" customHeight="1" x14ac:dyDescent="0.25">
      <c r="A225" s="10">
        <v>58</v>
      </c>
      <c r="B225" s="123" t="s">
        <v>55</v>
      </c>
      <c r="C225" s="123"/>
      <c r="D225" s="123"/>
      <c r="E225" s="145" t="s">
        <v>65</v>
      </c>
      <c r="F225" s="145"/>
      <c r="G225" s="145"/>
      <c r="H225" s="145"/>
    </row>
    <row r="226" spans="1:9" ht="46.5" customHeight="1" x14ac:dyDescent="0.25">
      <c r="A226" s="10">
        <v>59</v>
      </c>
      <c r="B226" s="123" t="s">
        <v>56</v>
      </c>
      <c r="C226" s="123"/>
      <c r="D226" s="123"/>
      <c r="E226" s="145" t="s">
        <v>65</v>
      </c>
      <c r="F226" s="145"/>
      <c r="G226" s="145"/>
      <c r="H226" s="145"/>
    </row>
    <row r="227" spans="1:9" x14ac:dyDescent="0.25">
      <c r="A227" s="10">
        <v>60</v>
      </c>
      <c r="B227" s="123" t="s">
        <v>57</v>
      </c>
      <c r="C227" s="123"/>
      <c r="D227" s="123"/>
      <c r="E227" s="123"/>
      <c r="F227" s="123"/>
      <c r="G227" s="123"/>
      <c r="H227" s="123"/>
    </row>
    <row r="228" spans="1:9" ht="34.5" customHeight="1" x14ac:dyDescent="0.25">
      <c r="A228" s="10" t="s">
        <v>58</v>
      </c>
      <c r="B228" s="123" t="s">
        <v>59</v>
      </c>
      <c r="C228" s="123"/>
      <c r="D228" s="123"/>
      <c r="E228" s="145" t="s">
        <v>65</v>
      </c>
      <c r="F228" s="145"/>
      <c r="G228" s="145"/>
      <c r="H228" s="145"/>
    </row>
    <row r="229" spans="1:9" ht="46.5" customHeight="1" x14ac:dyDescent="0.25">
      <c r="A229" s="30" t="s">
        <v>61</v>
      </c>
      <c r="B229" s="158" t="s">
        <v>60</v>
      </c>
      <c r="C229" s="158"/>
      <c r="D229" s="158"/>
      <c r="E229" s="180" t="s">
        <v>67</v>
      </c>
      <c r="F229" s="180"/>
      <c r="G229" s="180"/>
      <c r="H229" s="180"/>
    </row>
    <row r="230" spans="1:9" x14ac:dyDescent="0.25">
      <c r="A230" s="226" t="s">
        <v>148</v>
      </c>
      <c r="B230" s="226"/>
      <c r="C230" s="226"/>
      <c r="D230" s="226"/>
      <c r="E230" s="226"/>
      <c r="F230" s="226"/>
      <c r="G230" s="226"/>
      <c r="H230" s="226"/>
    </row>
    <row r="231" spans="1:9" ht="45.75" customHeight="1" x14ac:dyDescent="0.25">
      <c r="A231" s="35">
        <v>1</v>
      </c>
      <c r="B231" s="226" t="s">
        <v>242</v>
      </c>
      <c r="C231" s="226"/>
      <c r="D231" s="226"/>
      <c r="E231" s="226"/>
      <c r="F231" s="226"/>
      <c r="G231" s="226"/>
      <c r="H231" s="226"/>
      <c r="I231" s="8" t="s">
        <v>243</v>
      </c>
    </row>
    <row r="232" spans="1:9" x14ac:dyDescent="0.25">
      <c r="A232" s="35">
        <f t="shared" ref="A232:A237" si="21">A231+1</f>
        <v>2</v>
      </c>
      <c r="B232" s="226" t="s">
        <v>149</v>
      </c>
      <c r="C232" s="226"/>
      <c r="D232" s="226"/>
      <c r="E232" s="226"/>
      <c r="F232" s="226"/>
      <c r="G232" s="226"/>
      <c r="H232" s="226"/>
    </row>
    <row r="233" spans="1:9" x14ac:dyDescent="0.25">
      <c r="A233" s="35">
        <f t="shared" si="21"/>
        <v>3</v>
      </c>
      <c r="B233" s="226" t="s">
        <v>150</v>
      </c>
      <c r="C233" s="226"/>
      <c r="D233" s="226"/>
      <c r="E233" s="226"/>
      <c r="F233" s="226"/>
      <c r="G233" s="226"/>
      <c r="H233" s="226"/>
    </row>
    <row r="234" spans="1:9" x14ac:dyDescent="0.25">
      <c r="A234" s="35">
        <f t="shared" si="21"/>
        <v>4</v>
      </c>
      <c r="B234" s="226" t="s">
        <v>230</v>
      </c>
      <c r="C234" s="226"/>
      <c r="D234" s="226"/>
      <c r="E234" s="226"/>
      <c r="F234" s="226"/>
      <c r="G234" s="226"/>
      <c r="H234" s="226"/>
    </row>
    <row r="235" spans="1:9" x14ac:dyDescent="0.25">
      <c r="A235" s="35">
        <f t="shared" si="21"/>
        <v>5</v>
      </c>
      <c r="B235" s="226" t="s">
        <v>151</v>
      </c>
      <c r="C235" s="226"/>
      <c r="D235" s="226"/>
      <c r="E235" s="226"/>
      <c r="F235" s="226"/>
      <c r="G235" s="226"/>
      <c r="H235" s="226"/>
    </row>
    <row r="236" spans="1:9" x14ac:dyDescent="0.25">
      <c r="A236" s="35">
        <f t="shared" si="21"/>
        <v>6</v>
      </c>
      <c r="B236" s="226" t="s">
        <v>152</v>
      </c>
      <c r="C236" s="226"/>
      <c r="D236" s="226"/>
      <c r="E236" s="226"/>
      <c r="F236" s="226"/>
      <c r="G236" s="226"/>
      <c r="H236" s="226"/>
    </row>
    <row r="237" spans="1:9" ht="35.25" customHeight="1" x14ac:dyDescent="0.25">
      <c r="A237" s="35">
        <f t="shared" si="21"/>
        <v>7</v>
      </c>
      <c r="B237" s="226" t="s">
        <v>153</v>
      </c>
      <c r="C237" s="226"/>
      <c r="D237" s="226"/>
      <c r="E237" s="226"/>
      <c r="F237" s="226"/>
      <c r="G237" s="226"/>
      <c r="H237" s="226"/>
    </row>
    <row r="238" spans="1:9" x14ac:dyDescent="0.25">
      <c r="A238" s="23" t="s">
        <v>82</v>
      </c>
      <c r="B238" s="24"/>
      <c r="C238" s="24"/>
      <c r="D238" s="227" t="str">
        <f>E4</f>
        <v>Vrundavan Park</v>
      </c>
      <c r="E238" s="227"/>
      <c r="F238" s="227"/>
      <c r="G238" s="227"/>
      <c r="H238" s="227"/>
    </row>
    <row r="239" spans="1:9" x14ac:dyDescent="0.25">
      <c r="A239" s="24"/>
      <c r="B239" s="24"/>
      <c r="C239" s="24"/>
      <c r="D239" s="24"/>
      <c r="E239" s="24"/>
      <c r="F239" s="24"/>
      <c r="G239" s="24"/>
      <c r="H239" s="24"/>
    </row>
    <row r="240" spans="1:9" x14ac:dyDescent="0.25">
      <c r="A240" s="24"/>
      <c r="B240" s="24"/>
      <c r="C240" s="24"/>
      <c r="D240" s="24"/>
      <c r="E240" s="24"/>
      <c r="F240" s="24"/>
      <c r="G240" s="24"/>
      <c r="H240" s="24"/>
    </row>
    <row r="259" spans="3:9" x14ac:dyDescent="0.25">
      <c r="C259" s="25"/>
      <c r="F259" s="197"/>
      <c r="G259" s="197"/>
    </row>
    <row r="270" spans="3:9" x14ac:dyDescent="0.25">
      <c r="I270"/>
    </row>
    <row r="285" spans="1:1" x14ac:dyDescent="0.25">
      <c r="A285" s="26" t="s">
        <v>138</v>
      </c>
    </row>
    <row r="329" spans="1:8" x14ac:dyDescent="0.25">
      <c r="A329" s="26" t="s">
        <v>15</v>
      </c>
      <c r="B329" s="24"/>
      <c r="C329" s="24"/>
      <c r="D329" s="27"/>
      <c r="E329" s="23"/>
      <c r="F329" s="24"/>
      <c r="G329" s="24"/>
      <c r="H329" s="24"/>
    </row>
    <row r="330" spans="1:8" x14ac:dyDescent="0.25">
      <c r="A330" s="24"/>
      <c r="B330" s="24"/>
      <c r="C330" s="24"/>
      <c r="D330" s="24"/>
      <c r="E330" s="24"/>
      <c r="F330" s="24"/>
      <c r="G330" s="24"/>
      <c r="H330" s="24"/>
    </row>
    <row r="331" spans="1:8" x14ac:dyDescent="0.25">
      <c r="A331" s="24"/>
      <c r="B331" s="24"/>
      <c r="C331" s="24"/>
      <c r="D331" s="24"/>
      <c r="E331" s="24"/>
      <c r="F331" s="24"/>
      <c r="G331" s="24"/>
      <c r="H331" s="24"/>
    </row>
    <row r="332" spans="1:8" ht="59.25" customHeight="1" x14ac:dyDescent="0.25"/>
    <row r="350" spans="3:7" x14ac:dyDescent="0.25">
      <c r="C350" s="25"/>
      <c r="F350" s="197"/>
      <c r="G350" s="197"/>
    </row>
    <row r="365" spans="1:8" x14ac:dyDescent="0.25">
      <c r="A365" s="170" t="s">
        <v>0</v>
      </c>
      <c r="B365" s="170"/>
      <c r="C365" s="170"/>
      <c r="D365" s="170"/>
      <c r="E365" s="170"/>
      <c r="F365" s="170"/>
      <c r="G365" s="170"/>
      <c r="H365" s="170"/>
    </row>
    <row r="366" spans="1:8" x14ac:dyDescent="0.25">
      <c r="A366" s="170" t="s">
        <v>3</v>
      </c>
      <c r="B366" s="170"/>
      <c r="C366" s="170"/>
      <c r="D366" s="170"/>
      <c r="E366" s="170"/>
      <c r="F366" s="170"/>
      <c r="G366" s="170"/>
      <c r="H366" s="170"/>
    </row>
    <row r="367" spans="1:8" x14ac:dyDescent="0.25">
      <c r="A367" s="170" t="s">
        <v>1</v>
      </c>
      <c r="B367" s="170"/>
      <c r="C367" s="170"/>
      <c r="D367" s="170"/>
      <c r="E367" s="170"/>
      <c r="F367" s="170"/>
      <c r="G367" s="170"/>
      <c r="H367" s="170"/>
    </row>
    <row r="368" spans="1:8" x14ac:dyDescent="0.25">
      <c r="A368" s="170" t="s">
        <v>6</v>
      </c>
      <c r="B368" s="170"/>
      <c r="C368" s="170"/>
      <c r="D368" s="170"/>
      <c r="E368" s="170"/>
      <c r="F368" s="170"/>
      <c r="G368" s="170"/>
      <c r="H368" s="170"/>
    </row>
    <row r="369" spans="1:8" x14ac:dyDescent="0.25">
      <c r="A369" s="133" t="s">
        <v>11</v>
      </c>
      <c r="B369" s="133"/>
      <c r="C369" s="133"/>
      <c r="D369" s="133"/>
      <c r="E369" s="133"/>
      <c r="F369" s="133"/>
      <c r="G369" s="133"/>
      <c r="H369" s="133"/>
    </row>
    <row r="370" spans="1:8" x14ac:dyDescent="0.25">
      <c r="A370" s="133" t="s">
        <v>7</v>
      </c>
      <c r="B370" s="133"/>
      <c r="C370" s="133"/>
      <c r="D370" s="133"/>
      <c r="E370" s="133"/>
      <c r="F370" s="133"/>
      <c r="G370" s="133"/>
      <c r="H370" s="133"/>
    </row>
    <row r="371" spans="1:8" ht="66.75" customHeight="1" x14ac:dyDescent="0.25">
      <c r="A371" s="224" t="s">
        <v>134</v>
      </c>
      <c r="B371" s="225"/>
      <c r="C371" s="222" t="s">
        <v>199</v>
      </c>
      <c r="D371" s="222"/>
      <c r="E371" s="222" t="s">
        <v>180</v>
      </c>
      <c r="F371" s="222"/>
      <c r="G371" s="223"/>
      <c r="H371" s="223"/>
    </row>
    <row r="372" spans="1:8" x14ac:dyDescent="0.25">
      <c r="A372" s="26"/>
    </row>
  </sheetData>
  <mergeCells count="383">
    <mergeCell ref="A93:B93"/>
    <mergeCell ref="C93:H93"/>
    <mergeCell ref="A95:B95"/>
    <mergeCell ref="C95:H95"/>
    <mergeCell ref="G82:H82"/>
    <mergeCell ref="A96:B96"/>
    <mergeCell ref="E96:F96"/>
    <mergeCell ref="G96:H96"/>
    <mergeCell ref="A97:B97"/>
    <mergeCell ref="E97:F106"/>
    <mergeCell ref="G97:H106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207:A222"/>
    <mergeCell ref="B207:D222"/>
    <mergeCell ref="E207:H207"/>
    <mergeCell ref="B8:D9"/>
    <mergeCell ref="G9:H9"/>
    <mergeCell ref="E8:F9"/>
    <mergeCell ref="C122:H122"/>
    <mergeCell ref="A150:H150"/>
    <mergeCell ref="A149:H149"/>
    <mergeCell ref="A160:H160"/>
    <mergeCell ref="A161:H161"/>
    <mergeCell ref="A137:A138"/>
    <mergeCell ref="C138:D138"/>
    <mergeCell ref="E138:F138"/>
    <mergeCell ref="G138:H138"/>
    <mergeCell ref="A139:A141"/>
    <mergeCell ref="C139:D139"/>
    <mergeCell ref="E139:F139"/>
    <mergeCell ref="G139:H139"/>
    <mergeCell ref="C140:D140"/>
    <mergeCell ref="E140:F140"/>
    <mergeCell ref="G140:H140"/>
    <mergeCell ref="C141:D141"/>
    <mergeCell ref="E141:F141"/>
    <mergeCell ref="A41:A42"/>
    <mergeCell ref="B113:D117"/>
    <mergeCell ref="A113:A117"/>
    <mergeCell ref="E117:H117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E110:H110"/>
    <mergeCell ref="A107:A108"/>
    <mergeCell ref="B107:D108"/>
    <mergeCell ref="E107:G107"/>
    <mergeCell ref="E108:G108"/>
    <mergeCell ref="E45:H45"/>
    <mergeCell ref="B46:D46"/>
    <mergeCell ref="E46:H46"/>
    <mergeCell ref="B224:D224"/>
    <mergeCell ref="E228:H228"/>
    <mergeCell ref="A369:H369"/>
    <mergeCell ref="A367:H367"/>
    <mergeCell ref="E371:F371"/>
    <mergeCell ref="G371:H371"/>
    <mergeCell ref="E40:H40"/>
    <mergeCell ref="A371:B371"/>
    <mergeCell ref="C371:D371"/>
    <mergeCell ref="A230:H230"/>
    <mergeCell ref="B231:H231"/>
    <mergeCell ref="B232:H232"/>
    <mergeCell ref="B233:H233"/>
    <mergeCell ref="B234:H234"/>
    <mergeCell ref="B235:H235"/>
    <mergeCell ref="B236:H236"/>
    <mergeCell ref="B237:H237"/>
    <mergeCell ref="D238:H238"/>
    <mergeCell ref="A370:H370"/>
    <mergeCell ref="A365:H365"/>
    <mergeCell ref="A368:H368"/>
    <mergeCell ref="F259:G259"/>
    <mergeCell ref="C130:E130"/>
    <mergeCell ref="A203:A205"/>
    <mergeCell ref="G8:H8"/>
    <mergeCell ref="I13:I14"/>
    <mergeCell ref="I24:J24"/>
    <mergeCell ref="I23:J23"/>
    <mergeCell ref="I25:J25"/>
    <mergeCell ref="I33:J34"/>
    <mergeCell ref="E30:H30"/>
    <mergeCell ref="E39:H39"/>
    <mergeCell ref="E26:H26"/>
    <mergeCell ref="E24:H24"/>
    <mergeCell ref="E31:H31"/>
    <mergeCell ref="E32:H32"/>
    <mergeCell ref="E33:H33"/>
    <mergeCell ref="E37:H37"/>
    <mergeCell ref="E38:H38"/>
    <mergeCell ref="E36:H36"/>
    <mergeCell ref="E28:H28"/>
    <mergeCell ref="E29:H29"/>
    <mergeCell ref="D146:D147"/>
    <mergeCell ref="A146:A147"/>
    <mergeCell ref="B146:B147"/>
    <mergeCell ref="A156:H156"/>
    <mergeCell ref="A162:H162"/>
    <mergeCell ref="A168:H168"/>
    <mergeCell ref="A169:H169"/>
    <mergeCell ref="A178:H178"/>
    <mergeCell ref="A176:H176"/>
    <mergeCell ref="A177:H177"/>
    <mergeCell ref="A155:H155"/>
    <mergeCell ref="A157:A158"/>
    <mergeCell ref="B157:B158"/>
    <mergeCell ref="C143:D143"/>
    <mergeCell ref="E142:F142"/>
    <mergeCell ref="A121:B122"/>
    <mergeCell ref="A136:B136"/>
    <mergeCell ref="G137:H137"/>
    <mergeCell ref="A135:H135"/>
    <mergeCell ref="A130:B130"/>
    <mergeCell ref="G130:H130"/>
    <mergeCell ref="E136:F136"/>
    <mergeCell ref="G136:H136"/>
    <mergeCell ref="C121:E121"/>
    <mergeCell ref="E143:F143"/>
    <mergeCell ref="G143:H143"/>
    <mergeCell ref="G121:H121"/>
    <mergeCell ref="A134:B134"/>
    <mergeCell ref="C134:D134"/>
    <mergeCell ref="E134:F134"/>
    <mergeCell ref="G134:H134"/>
    <mergeCell ref="G141:H141"/>
    <mergeCell ref="A142:B142"/>
    <mergeCell ref="A143:B143"/>
    <mergeCell ref="A123:B124"/>
    <mergeCell ref="G127:H127"/>
    <mergeCell ref="G128:H128"/>
    <mergeCell ref="A144:H144"/>
    <mergeCell ref="A145:H145"/>
    <mergeCell ref="G146:G147"/>
    <mergeCell ref="A148:H148"/>
    <mergeCell ref="A366:H366"/>
    <mergeCell ref="E224:H224"/>
    <mergeCell ref="E222:G222"/>
    <mergeCell ref="B228:D228"/>
    <mergeCell ref="E221:G221"/>
    <mergeCell ref="E225:H225"/>
    <mergeCell ref="B223:D223"/>
    <mergeCell ref="E223:H223"/>
    <mergeCell ref="E217:G217"/>
    <mergeCell ref="E220:G220"/>
    <mergeCell ref="E211:G211"/>
    <mergeCell ref="B225:D225"/>
    <mergeCell ref="F350:G350"/>
    <mergeCell ref="E218:G218"/>
    <mergeCell ref="E209:G209"/>
    <mergeCell ref="E214:G214"/>
    <mergeCell ref="B202:D202"/>
    <mergeCell ref="C157:C158"/>
    <mergeCell ref="D157:D158"/>
    <mergeCell ref="C146:C147"/>
    <mergeCell ref="C119:E119"/>
    <mergeCell ref="A120:B120"/>
    <mergeCell ref="C120:E120"/>
    <mergeCell ref="E112:H112"/>
    <mergeCell ref="E109:H109"/>
    <mergeCell ref="B200:D201"/>
    <mergeCell ref="B229:D229"/>
    <mergeCell ref="B227:H227"/>
    <mergeCell ref="E219:G219"/>
    <mergeCell ref="E204:G204"/>
    <mergeCell ref="B203:D205"/>
    <mergeCell ref="E212:G212"/>
    <mergeCell ref="E208:G208"/>
    <mergeCell ref="C137:D137"/>
    <mergeCell ref="E137:F137"/>
    <mergeCell ref="C142:D142"/>
    <mergeCell ref="E205:G205"/>
    <mergeCell ref="G142:H142"/>
    <mergeCell ref="E157:E158"/>
    <mergeCell ref="F157:F158"/>
    <mergeCell ref="E215:G215"/>
    <mergeCell ref="G157:G158"/>
    <mergeCell ref="B197:D197"/>
    <mergeCell ref="B198:D198"/>
    <mergeCell ref="B47:D47"/>
    <mergeCell ref="E47:H47"/>
    <mergeCell ref="E229:H229"/>
    <mergeCell ref="E210:G210"/>
    <mergeCell ref="B226:D226"/>
    <mergeCell ref="E213:G213"/>
    <mergeCell ref="E216:G216"/>
    <mergeCell ref="E133:F133"/>
    <mergeCell ref="G133:H133"/>
    <mergeCell ref="F146:F147"/>
    <mergeCell ref="E197:H197"/>
    <mergeCell ref="E202:H202"/>
    <mergeCell ref="E198:H198"/>
    <mergeCell ref="E146:E147"/>
    <mergeCell ref="G120:H120"/>
    <mergeCell ref="E54:F54"/>
    <mergeCell ref="E115:H115"/>
    <mergeCell ref="E116:H116"/>
    <mergeCell ref="C53:H53"/>
    <mergeCell ref="A54:B54"/>
    <mergeCell ref="C79:H79"/>
    <mergeCell ref="C81:H81"/>
    <mergeCell ref="A82:B82"/>
    <mergeCell ref="E82:F82"/>
    <mergeCell ref="G6:H6"/>
    <mergeCell ref="B10:D10"/>
    <mergeCell ref="E10:H10"/>
    <mergeCell ref="B26:D26"/>
    <mergeCell ref="B24:D24"/>
    <mergeCell ref="E27:H27"/>
    <mergeCell ref="E16:H16"/>
    <mergeCell ref="A59:B59"/>
    <mergeCell ref="B29:D29"/>
    <mergeCell ref="E48:H48"/>
    <mergeCell ref="E34:H34"/>
    <mergeCell ref="B48:D48"/>
    <mergeCell ref="B36:D36"/>
    <mergeCell ref="B35:D35"/>
    <mergeCell ref="E35:H35"/>
    <mergeCell ref="B30:D30"/>
    <mergeCell ref="B31:D31"/>
    <mergeCell ref="B32:D32"/>
    <mergeCell ref="B33:D33"/>
    <mergeCell ref="B34:D34"/>
    <mergeCell ref="B45:D45"/>
    <mergeCell ref="E17:H17"/>
    <mergeCell ref="B25:D25"/>
    <mergeCell ref="E25:H25"/>
    <mergeCell ref="B18:D18"/>
    <mergeCell ref="B21:D21"/>
    <mergeCell ref="B19:D19"/>
    <mergeCell ref="B20:D20"/>
    <mergeCell ref="B22:D22"/>
    <mergeCell ref="E22:H22"/>
    <mergeCell ref="B23:D23"/>
    <mergeCell ref="E23:H23"/>
    <mergeCell ref="E18:H18"/>
    <mergeCell ref="E19:H19"/>
    <mergeCell ref="E20:H20"/>
    <mergeCell ref="E21:H21"/>
    <mergeCell ref="E44:H44"/>
    <mergeCell ref="A1:H1"/>
    <mergeCell ref="A2:H2"/>
    <mergeCell ref="E13:H13"/>
    <mergeCell ref="E14:H14"/>
    <mergeCell ref="E15:H15"/>
    <mergeCell ref="B14:D14"/>
    <mergeCell ref="B15:D15"/>
    <mergeCell ref="B5:D6"/>
    <mergeCell ref="B4:D4"/>
    <mergeCell ref="B11:D11"/>
    <mergeCell ref="B12:D12"/>
    <mergeCell ref="E11:H11"/>
    <mergeCell ref="E12:H12"/>
    <mergeCell ref="E3:H3"/>
    <mergeCell ref="B3:D3"/>
    <mergeCell ref="B13:D13"/>
    <mergeCell ref="E4:H4"/>
    <mergeCell ref="E7:H7"/>
    <mergeCell ref="E6:F6"/>
    <mergeCell ref="E5:H5"/>
    <mergeCell ref="B7:D7"/>
    <mergeCell ref="B37:D37"/>
    <mergeCell ref="B40:D40"/>
    <mergeCell ref="B39:D39"/>
    <mergeCell ref="B38:D38"/>
    <mergeCell ref="E200:H200"/>
    <mergeCell ref="B206:D206"/>
    <mergeCell ref="E206:H206"/>
    <mergeCell ref="E226:H226"/>
    <mergeCell ref="B109:D109"/>
    <mergeCell ref="C133:D133"/>
    <mergeCell ref="B50:H50"/>
    <mergeCell ref="E111:H111"/>
    <mergeCell ref="A57:B57"/>
    <mergeCell ref="A58:B58"/>
    <mergeCell ref="A63:B63"/>
    <mergeCell ref="B43:D43"/>
    <mergeCell ref="A118:H118"/>
    <mergeCell ref="E49:H49"/>
    <mergeCell ref="A51:B51"/>
    <mergeCell ref="A62:B62"/>
    <mergeCell ref="E113:H113"/>
    <mergeCell ref="E114:H114"/>
    <mergeCell ref="B112:D112"/>
    <mergeCell ref="B111:D111"/>
    <mergeCell ref="B110:D110"/>
    <mergeCell ref="A81:B81"/>
    <mergeCell ref="I169:J169"/>
    <mergeCell ref="E201:G201"/>
    <mergeCell ref="A159:H159"/>
    <mergeCell ref="A200:A201"/>
    <mergeCell ref="E199:H199"/>
    <mergeCell ref="I188:J188"/>
    <mergeCell ref="I180:J180"/>
    <mergeCell ref="I185:J185"/>
    <mergeCell ref="B199:D199"/>
    <mergeCell ref="A185:H185"/>
    <mergeCell ref="A190:H190"/>
    <mergeCell ref="A192:H192"/>
    <mergeCell ref="A170:H170"/>
    <mergeCell ref="A184:H184"/>
    <mergeCell ref="A191:H191"/>
    <mergeCell ref="A183:H183"/>
    <mergeCell ref="A196:H196"/>
    <mergeCell ref="A5:A10"/>
    <mergeCell ref="E203:H203"/>
    <mergeCell ref="B28:D28"/>
    <mergeCell ref="A119:B119"/>
    <mergeCell ref="G119:H119"/>
    <mergeCell ref="C136:D136"/>
    <mergeCell ref="A131:H131"/>
    <mergeCell ref="A132:B132"/>
    <mergeCell ref="C132:D132"/>
    <mergeCell ref="E132:F132"/>
    <mergeCell ref="G132:H132"/>
    <mergeCell ref="A133:B133"/>
    <mergeCell ref="B27:D27"/>
    <mergeCell ref="B16:D16"/>
    <mergeCell ref="B17:D17"/>
    <mergeCell ref="B41:D41"/>
    <mergeCell ref="E41:H41"/>
    <mergeCell ref="B42:D42"/>
    <mergeCell ref="E42:H42"/>
    <mergeCell ref="A48:A49"/>
    <mergeCell ref="B49:D49"/>
    <mergeCell ref="E43:H43"/>
    <mergeCell ref="B44:D44"/>
    <mergeCell ref="A79:B79"/>
    <mergeCell ref="A64:B64"/>
    <mergeCell ref="C51:H51"/>
    <mergeCell ref="A53:B53"/>
    <mergeCell ref="A60:B60"/>
    <mergeCell ref="G54:H54"/>
    <mergeCell ref="A55:B55"/>
    <mergeCell ref="E55:F64"/>
    <mergeCell ref="A61:B61"/>
    <mergeCell ref="G55:H64"/>
    <mergeCell ref="A56:B56"/>
    <mergeCell ref="A65:B65"/>
    <mergeCell ref="C65:H65"/>
    <mergeCell ref="A67:B67"/>
    <mergeCell ref="C67:H67"/>
    <mergeCell ref="A68:B68"/>
    <mergeCell ref="E68:F68"/>
    <mergeCell ref="G68:H68"/>
    <mergeCell ref="A69:B69"/>
    <mergeCell ref="E69:F78"/>
    <mergeCell ref="G69:H78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C124:H124"/>
    <mergeCell ref="C126:H126"/>
    <mergeCell ref="C123:E123"/>
    <mergeCell ref="G123:H123"/>
    <mergeCell ref="A125:B126"/>
    <mergeCell ref="C125:E125"/>
    <mergeCell ref="G125:H125"/>
    <mergeCell ref="A127:B129"/>
    <mergeCell ref="C129:H129"/>
    <mergeCell ref="C127:E128"/>
  </mergeCells>
  <dataValidations count="3">
    <dataValidation type="list" allowBlank="1" showInputMessage="1" showErrorMessage="1" sqref="H158 H147">
      <formula1>".45,.50,.55,.60"</formula1>
    </dataValidation>
    <dataValidation type="list" allowBlank="1" showInputMessage="1" showErrorMessage="1" sqref="E18:H18">
      <formula1>"None,Yes"</formula1>
    </dataValidation>
    <dataValidation type="list" allowBlank="1" showInputMessage="1" showErrorMessage="1" sqref="B237:H237">
      <formula1>"Recommended rate should be considered as all inclusive rate if other charges are not mentioned. (Excluding GST &amp; other government Taxes),Other charges can be considered from cost sheet. "</formula1>
    </dataValidation>
  </dataValidations>
  <hyperlinks>
    <hyperlink ref="E7" r:id="rId1"/>
    <hyperlink ref="I111" r:id="rId2"/>
  </hyperlinks>
  <printOptions horizontalCentered="1"/>
  <pageMargins left="0.23622047244094491" right="0.23622047244094491" top="0.74803149606299213" bottom="0.59055118110236227" header="0.19685039370078741" footer="0.19685039370078741"/>
  <pageSetup paperSize="9" fitToHeight="0" orientation="portrait" r:id="rId3"/>
  <headerFooter>
    <oddHeader>&amp;C&amp;"Times New Roman,Bold"&amp;20&amp;G</oddHeader>
    <oddFooter>&amp;L&amp;"Times New Roman,Bold"Ref No: &amp;F&amp;R&amp;P</oddFooter>
  </headerFooter>
  <rowBreaks count="7" manualBreakCount="7">
    <brk id="50" max="7" man="1"/>
    <brk id="92" max="7" man="1"/>
    <brk id="117" max="7" man="1"/>
    <brk id="167" max="7" man="1"/>
    <brk id="237" max="7" man="1"/>
    <brk id="284" max="7" man="1"/>
    <brk id="328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9:O10"/>
  <sheetViews>
    <sheetView workbookViewId="0">
      <selection activeCell="L12" sqref="L12"/>
    </sheetView>
  </sheetViews>
  <sheetFormatPr defaultRowHeight="15" x14ac:dyDescent="0.25"/>
  <sheetData>
    <row r="9" spans="11:15" x14ac:dyDescent="0.25">
      <c r="K9" s="159" t="s">
        <v>93</v>
      </c>
      <c r="L9" s="159"/>
      <c r="M9" s="159"/>
      <c r="N9" s="159"/>
      <c r="O9" s="159"/>
    </row>
    <row r="10" spans="11:15" x14ac:dyDescent="0.25">
      <c r="K10" s="159" t="s">
        <v>94</v>
      </c>
      <c r="L10" s="159"/>
      <c r="M10" s="159"/>
      <c r="N10" s="159"/>
      <c r="O10" s="159"/>
    </row>
  </sheetData>
  <mergeCells count="2">
    <mergeCell ref="K9:O9"/>
    <mergeCell ref="K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VSJC-06</cp:lastModifiedBy>
  <cp:lastPrinted>2025-09-18T07:07:42Z</cp:lastPrinted>
  <dcterms:created xsi:type="dcterms:W3CDTF">2013-11-23T05:32:33Z</dcterms:created>
  <dcterms:modified xsi:type="dcterms:W3CDTF">2025-09-18T07:07:53Z</dcterms:modified>
</cp:coreProperties>
</file>