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D:\Gaurav\Sep 25\OLD\AXIS\"/>
    </mc:Choice>
  </mc:AlternateContent>
  <xr:revisionPtr revIDLastSave="0" documentId="13_ncr:1_{BF499CC1-823C-428D-9F42-2607931BE311}" xr6:coauthVersionLast="36" xr6:coauthVersionMax="36" xr10:uidLastSave="{00000000-0000-0000-0000-000000000000}"/>
  <bookViews>
    <workbookView xWindow="0" yWindow="0" windowWidth="20490" windowHeight="6825" xr2:uid="{00000000-000D-0000-FFFF-FFFF00000000}"/>
  </bookViews>
  <sheets>
    <sheet name="Report" sheetId="1" r:id="rId1"/>
    <sheet name="VALUATION" sheetId="7" r:id="rId2"/>
    <sheet name="Note" sheetId="6" r:id="rId3"/>
  </sheets>
  <definedNames>
    <definedName name="_xlnm.Print_Area" localSheetId="0">Report!$A$1:$H$280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5" i="1" l="1"/>
  <c r="J84" i="1"/>
  <c r="J83" i="1"/>
  <c r="J82" i="1"/>
  <c r="H75" i="1"/>
  <c r="D87" i="1" l="1"/>
  <c r="D81" i="1"/>
  <c r="J80" i="1"/>
  <c r="D86" i="1"/>
  <c r="D80" i="1"/>
  <c r="J79" i="1"/>
  <c r="C78" i="1" s="1"/>
  <c r="D78" i="1" s="1"/>
  <c r="D85" i="1"/>
  <c r="J78" i="1"/>
  <c r="D84" i="1"/>
  <c r="D83" i="1"/>
  <c r="J77" i="1"/>
  <c r="D82" i="1"/>
  <c r="A180" i="1"/>
  <c r="A181" i="1" s="1"/>
  <c r="A182" i="1" s="1"/>
  <c r="A183" i="1" s="1"/>
  <c r="A184" i="1" s="1"/>
  <c r="A185" i="1" s="1"/>
  <c r="A186" i="1" s="1"/>
  <c r="A171" i="1"/>
  <c r="A172" i="1" s="1"/>
  <c r="A173" i="1" s="1"/>
  <c r="A174" i="1" s="1"/>
  <c r="A175" i="1" s="1"/>
  <c r="A176" i="1" s="1"/>
  <c r="A177" i="1" s="1"/>
  <c r="A151" i="1"/>
  <c r="A152" i="1" s="1"/>
  <c r="A153" i="1" s="1"/>
  <c r="A154" i="1" s="1"/>
  <c r="A155" i="1" s="1"/>
  <c r="A156" i="1" s="1"/>
  <c r="A157" i="1" s="1"/>
  <c r="A158" i="1" s="1"/>
  <c r="A141" i="1"/>
  <c r="A142" i="1" s="1"/>
  <c r="A143" i="1" s="1"/>
  <c r="A144" i="1" s="1"/>
  <c r="A145" i="1" s="1"/>
  <c r="A146" i="1" s="1"/>
  <c r="J81" i="1" l="1"/>
  <c r="J86" i="1" s="1"/>
  <c r="J87" i="1" s="1"/>
  <c r="C79" i="1"/>
  <c r="E3" i="1"/>
  <c r="D79" i="1" l="1"/>
  <c r="E78" i="1"/>
  <c r="I74" i="1" s="1"/>
  <c r="C76" i="1" s="1"/>
  <c r="G78" i="1"/>
  <c r="J100" i="1"/>
  <c r="J99" i="1"/>
  <c r="J98" i="1"/>
  <c r="J97" i="1"/>
  <c r="H90" i="1"/>
  <c r="J95" i="1" l="1"/>
  <c r="E93" i="1" s="1"/>
  <c r="J94" i="1"/>
  <c r="G93" i="1"/>
  <c r="D93" i="1"/>
  <c r="D102" i="1"/>
  <c r="D101" i="1"/>
  <c r="D100" i="1"/>
  <c r="D99" i="1"/>
  <c r="D98" i="1"/>
  <c r="D97" i="1"/>
  <c r="D96" i="1"/>
  <c r="D95" i="1"/>
  <c r="D94" i="1"/>
  <c r="J93" i="1"/>
  <c r="J92" i="1"/>
  <c r="D158" i="1"/>
  <c r="J158" i="1" s="1"/>
  <c r="D157" i="1"/>
  <c r="J157" i="1" s="1"/>
  <c r="D153" i="1"/>
  <c r="J153" i="1" s="1"/>
  <c r="D152" i="1"/>
  <c r="J152" i="1" s="1"/>
  <c r="D151" i="1"/>
  <c r="J151" i="1" s="1"/>
  <c r="D150" i="1"/>
  <c r="J150" i="1" s="1"/>
  <c r="D140" i="1"/>
  <c r="J140" i="1" s="1"/>
  <c r="J96" i="1" l="1"/>
  <c r="J101" i="1" s="1"/>
  <c r="J102" i="1" s="1"/>
  <c r="I130" i="1"/>
  <c r="F132" i="1"/>
  <c r="F131" i="1"/>
  <c r="F130" i="1"/>
  <c r="I89" i="1" l="1"/>
  <c r="C91" i="1" s="1"/>
  <c r="D161" i="1"/>
  <c r="J161" i="1" s="1"/>
  <c r="D156" i="1"/>
  <c r="J156" i="1" s="1"/>
  <c r="D155" i="1"/>
  <c r="J155" i="1" s="1"/>
  <c r="D154" i="1"/>
  <c r="J154" i="1" s="1"/>
  <c r="D146" i="1"/>
  <c r="J146" i="1" s="1"/>
  <c r="D145" i="1"/>
  <c r="J145" i="1" s="1"/>
  <c r="D144" i="1"/>
  <c r="J144" i="1" s="1"/>
  <c r="D143" i="1"/>
  <c r="J143" i="1" s="1"/>
  <c r="D142" i="1"/>
  <c r="J142" i="1" s="1"/>
  <c r="D141" i="1"/>
  <c r="J141" i="1" s="1"/>
  <c r="C48" i="1"/>
  <c r="G48" i="1"/>
  <c r="G47" i="1"/>
  <c r="C130" i="1" l="1"/>
  <c r="D130" i="1"/>
  <c r="D131" i="1"/>
  <c r="C131" i="1"/>
  <c r="J114" i="1"/>
  <c r="J113" i="1"/>
  <c r="J71" i="1"/>
  <c r="J70" i="1"/>
  <c r="H61" i="1"/>
  <c r="H104" i="1"/>
  <c r="D115" i="1" l="1"/>
  <c r="D111" i="1"/>
  <c r="D114" i="1"/>
  <c r="D110" i="1"/>
  <c r="D113" i="1"/>
  <c r="D116" i="1"/>
  <c r="D112" i="1"/>
  <c r="J106" i="1"/>
  <c r="J109" i="1"/>
  <c r="J110" i="1" s="1"/>
  <c r="J115" i="1" s="1"/>
  <c r="C109" i="1"/>
  <c r="D109" i="1" s="1"/>
  <c r="J108" i="1"/>
  <c r="C107" i="1" s="1"/>
  <c r="J107" i="1"/>
  <c r="D73" i="1"/>
  <c r="D69" i="1"/>
  <c r="J65" i="1"/>
  <c r="C64" i="1" s="1"/>
  <c r="J63" i="1"/>
  <c r="J64" i="1"/>
  <c r="D72" i="1"/>
  <c r="D68" i="1"/>
  <c r="D71" i="1"/>
  <c r="D67" i="1"/>
  <c r="J66" i="1"/>
  <c r="J67" i="1" s="1"/>
  <c r="J72" i="1" s="1"/>
  <c r="C65" i="1" s="1"/>
  <c r="D66" i="1"/>
  <c r="D70" i="1"/>
  <c r="J116" i="1" l="1"/>
  <c r="C108" i="1" s="1"/>
  <c r="J111" i="1"/>
  <c r="J112" i="1" s="1"/>
  <c r="D107" i="1"/>
  <c r="J68" i="1"/>
  <c r="J69" i="1" s="1"/>
  <c r="D64" i="1"/>
  <c r="E107" i="1" l="1"/>
  <c r="I103" i="1" s="1"/>
  <c r="C105" i="1" s="1"/>
  <c r="D108" i="1"/>
  <c r="G107" i="1"/>
  <c r="J73" i="1"/>
  <c r="E64" i="1" l="1"/>
  <c r="D65" i="1"/>
  <c r="G64" i="1"/>
  <c r="G88" i="1" s="1"/>
  <c r="I60" i="1" l="1"/>
  <c r="C62" i="1" s="1"/>
  <c r="C88" i="1"/>
  <c r="F11" i="7"/>
  <c r="G11" i="7" s="1"/>
  <c r="F10" i="7"/>
  <c r="G10" i="7" s="1"/>
  <c r="F9" i="7"/>
  <c r="G9" i="7" s="1"/>
  <c r="F8" i="7"/>
  <c r="G8" i="7" s="1"/>
  <c r="F7" i="7"/>
  <c r="G7" i="7" s="1"/>
  <c r="F6" i="7"/>
  <c r="G6" i="7" s="1"/>
  <c r="F5" i="7"/>
  <c r="G5" i="7" s="1"/>
  <c r="G12" i="7" s="1"/>
  <c r="D162" i="1" l="1"/>
  <c r="J162" i="1" s="1"/>
  <c r="G179" i="1" l="1"/>
  <c r="G170" i="1"/>
  <c r="E186" i="1"/>
  <c r="D186" i="1"/>
  <c r="J186" i="1" s="1"/>
  <c r="E185" i="1"/>
  <c r="D185" i="1"/>
  <c r="J185" i="1" s="1"/>
  <c r="D184" i="1"/>
  <c r="J184" i="1" s="1"/>
  <c r="D175" i="1"/>
  <c r="J175" i="1" s="1"/>
  <c r="E182" i="1"/>
  <c r="E183" i="1"/>
  <c r="D183" i="1"/>
  <c r="J183" i="1" s="1"/>
  <c r="D182" i="1"/>
  <c r="J182" i="1" s="1"/>
  <c r="D181" i="1"/>
  <c r="J181" i="1" s="1"/>
  <c r="D180" i="1"/>
  <c r="J180" i="1" s="1"/>
  <c r="E179" i="1"/>
  <c r="D179" i="1"/>
  <c r="J179" i="1" s="1"/>
  <c r="D177" i="1"/>
  <c r="J177" i="1" s="1"/>
  <c r="E177" i="1"/>
  <c r="E176" i="1"/>
  <c r="D176" i="1"/>
  <c r="J176" i="1" s="1"/>
  <c r="E175" i="1"/>
  <c r="E174" i="1"/>
  <c r="D174" i="1"/>
  <c r="J174" i="1" s="1"/>
  <c r="E173" i="1"/>
  <c r="D173" i="1"/>
  <c r="J173" i="1" s="1"/>
  <c r="E172" i="1"/>
  <c r="D172" i="1"/>
  <c r="J172" i="1" s="1"/>
  <c r="E171" i="1"/>
  <c r="D171" i="1"/>
  <c r="J171" i="1" s="1"/>
  <c r="E170" i="1"/>
  <c r="D170" i="1"/>
  <c r="J170" i="1" s="1"/>
  <c r="D168" i="1"/>
  <c r="J168" i="1" s="1"/>
  <c r="D167" i="1"/>
  <c r="J167" i="1" s="1"/>
  <c r="D166" i="1"/>
  <c r="J166" i="1" s="1"/>
  <c r="D165" i="1"/>
  <c r="J165" i="1" s="1"/>
  <c r="D164" i="1"/>
  <c r="D163" i="1"/>
  <c r="J163" i="1" s="1"/>
  <c r="G150" i="1"/>
  <c r="D132" i="1" l="1"/>
  <c r="J164" i="1"/>
  <c r="C132" i="1"/>
  <c r="C133" i="1" s="1"/>
  <c r="G140" i="1"/>
  <c r="C14" i="1" l="1"/>
  <c r="E7" i="1" l="1"/>
  <c r="E41" i="1" l="1"/>
  <c r="D200" i="1" l="1"/>
  <c r="F127" i="1"/>
  <c r="C47" i="1"/>
  <c r="E42" i="1"/>
  <c r="D52" i="1" s="1"/>
  <c r="D133" i="1" l="1"/>
  <c r="F133" i="1"/>
</calcChain>
</file>

<file path=xl/sharedStrings.xml><?xml version="1.0" encoding="utf-8"?>
<sst xmlns="http://schemas.openxmlformats.org/spreadsheetml/2006/main" count="408" uniqueCount="229">
  <si>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</si>
  <si>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</si>
  <si>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</si>
  <si>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</si>
  <si>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</si>
  <si>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</si>
  <si>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</si>
  <si>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</si>
  <si>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</si>
  <si>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</si>
  <si>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</si>
  <si>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</si>
  <si>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</si>
  <si>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</si>
  <si>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</si>
  <si>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</si>
  <si>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</si>
  <si>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</si>
  <si>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</si>
  <si>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</si>
  <si>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</si>
  <si>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</si>
  <si>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</si>
  <si>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</si>
  <si>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</si>
  <si>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</si>
  <si>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</si>
  <si>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</si>
  <si>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</si>
  <si>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</si>
  <si>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</si>
  <si>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</si>
  <si>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</si>
  <si>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</si>
  <si>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</si>
  <si>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</si>
  <si>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</si>
  <si>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</si>
  <si>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</si>
  <si>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</si>
  <si>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</si>
  <si>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</si>
  <si>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</si>
  <si>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</si>
  <si>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</si>
  <si>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</si>
  <si>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</si>
  <si>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</si>
  <si>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</si>
  <si>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</si>
  <si>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</si>
  <si>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</si>
  <si>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</si>
  <si>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</si>
  <si>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</si>
  <si>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</si>
  <si>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</si>
  <si>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</si>
  <si>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Distressed valuation of the Property</t>
  </si>
  <si>
    <t>Building &amp; Wing</t>
  </si>
  <si>
    <t>Total Carpet Area</t>
  </si>
  <si>
    <t>Total Saleable Area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</si>
  <si>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</si>
  <si>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</si>
  <si>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</si>
  <si>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</si>
  <si>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</si>
  <si>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</si>
  <si>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</si>
  <si>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</si>
  <si>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</si>
  <si>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</si>
  <si>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</si>
  <si>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</si>
  <si>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</si>
  <si>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</si>
  <si>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</si>
  <si>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</si>
  <si>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</si>
  <si>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Flat</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</si>
  <si>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</si>
  <si>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</si>
  <si>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</si>
  <si>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</si>
  <si>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</si>
  <si>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</si>
  <si>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</si>
  <si>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</si>
  <si>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</si>
  <si>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</si>
  <si>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</si>
  <si>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</si>
  <si>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</si>
  <si>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</si>
  <si>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</si>
  <si>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</si>
  <si>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</si>
  <si>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</si>
  <si>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</si>
  <si>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</si>
  <si>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</si>
  <si>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</si>
  <si>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</si>
  <si>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</si>
  <si>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</si>
  <si>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</si>
  <si>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</si>
  <si>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</si>
  <si>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</si>
  <si>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</si>
  <si>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</si>
  <si>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</si>
  <si>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</si>
  <si>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</si>
  <si>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</si>
  <si>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in process</t>
  </si>
  <si>
    <t>Plinth completed</t>
  </si>
  <si>
    <t>All work Completed. OC Received.</t>
  </si>
  <si>
    <t>Axis Sanpada</t>
  </si>
  <si>
    <t>M/s.Om Sadguru Realtors</t>
  </si>
  <si>
    <t>Sadguru Darshan</t>
  </si>
  <si>
    <t>Building No.1
Building No.2
Building No.3</t>
  </si>
  <si>
    <t>P51700017137</t>
  </si>
  <si>
    <t>27 &amp; H.No. 2B+3A</t>
  </si>
  <si>
    <t>Murbad</t>
  </si>
  <si>
    <t>Thane</t>
  </si>
  <si>
    <t>Middle Class</t>
  </si>
  <si>
    <t>Developing</t>
  </si>
  <si>
    <t xml:space="preserve">NA
Approved upto : </t>
  </si>
  <si>
    <t>Cement, Aggregate, Steel, etc</t>
  </si>
  <si>
    <t>Wheather the construction is as per approved Building plan : Under Construction</t>
  </si>
  <si>
    <t>Type/Building No.1</t>
  </si>
  <si>
    <t>03 Buildings</t>
  </si>
  <si>
    <t>Chauk - Karjat - Murbad Road</t>
  </si>
  <si>
    <t>Gurudarshan Society</t>
  </si>
  <si>
    <t>Open Plot</t>
  </si>
  <si>
    <t>Bunglow</t>
  </si>
  <si>
    <t>G-1</t>
  </si>
  <si>
    <t>G-2</t>
  </si>
  <si>
    <t>G-3</t>
  </si>
  <si>
    <t>G-4</t>
  </si>
  <si>
    <t>G-5</t>
  </si>
  <si>
    <t>G-6</t>
  </si>
  <si>
    <t>1BHK</t>
  </si>
  <si>
    <t>1st &amp; 3rd Floor</t>
  </si>
  <si>
    <t>2BHK</t>
  </si>
  <si>
    <t>2nd &amp; 4th Floor</t>
  </si>
  <si>
    <t>Ground Floor</t>
  </si>
  <si>
    <t>Ground Floor For Residential</t>
  </si>
  <si>
    <t>Type/Building No.2</t>
  </si>
  <si>
    <t>G-7</t>
  </si>
  <si>
    <t>Type/Building No.3</t>
  </si>
  <si>
    <t>G-8</t>
  </si>
  <si>
    <t>Building No.1</t>
  </si>
  <si>
    <t>Building No.2</t>
  </si>
  <si>
    <t>Building No.3</t>
  </si>
  <si>
    <t>Residential</t>
  </si>
  <si>
    <t>Survey No</t>
  </si>
  <si>
    <t>13/08/2020.</t>
  </si>
  <si>
    <t>Report By :</t>
  </si>
  <si>
    <t>Legal Charges</t>
  </si>
  <si>
    <t>Asmi</t>
  </si>
  <si>
    <t>Akash TM send this cost sheet</t>
  </si>
  <si>
    <t>Only Other charges added</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</si>
  <si>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</si>
  <si>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</si>
  <si>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</si>
  <si>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</si>
  <si>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</si>
  <si>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</si>
  <si>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</si>
  <si>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</si>
  <si>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</si>
  <si>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</si>
  <si>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</si>
  <si>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</si>
  <si>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</si>
  <si>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</si>
  <si>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</si>
  <si>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</si>
  <si>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</si>
  <si>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</si>
  <si>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</si>
  <si>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</si>
  <si>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</si>
  <si>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</si>
  <si>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</si>
  <si>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</si>
  <si>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</si>
  <si>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</si>
  <si>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</si>
  <si>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</si>
  <si>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</si>
  <si>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</si>
  <si>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 Building No. 3  = G + 1st to 4th Floor</t>
  </si>
  <si>
    <t>600 M from Murbad Bus Depot</t>
  </si>
  <si>
    <t>Type/Building No.1, 2 = Gr + 1st to 7th Floor 
Type/Building No.3 = Gr + 1st to 4th Floor</t>
  </si>
  <si>
    <t>1st to 7th Floor For Residential</t>
  </si>
  <si>
    <t>Ground Floor For Parking</t>
  </si>
  <si>
    <t xml:space="preserve">1st to 7th Floor For Residential </t>
  </si>
  <si>
    <t xml:space="preserve">Car Parking </t>
  </si>
  <si>
    <t>3,00,000/-</t>
  </si>
  <si>
    <t>Club House Charges</t>
  </si>
  <si>
    <t>Society Charges</t>
  </si>
  <si>
    <t>Approved Plans, CC, Sale plan &amp; Builder saleable Sheet</t>
  </si>
  <si>
    <t>J.Kr.527/2021</t>
  </si>
  <si>
    <t>Builder Saleable area</t>
  </si>
  <si>
    <t>2,00,000/-</t>
  </si>
  <si>
    <t>50,000/-</t>
  </si>
  <si>
    <t>10,000/-</t>
  </si>
  <si>
    <t>1,00,000/-</t>
  </si>
  <si>
    <t>Flats - 152</t>
  </si>
  <si>
    <t>Location Link</t>
  </si>
  <si>
    <t>Latitude, Longitude</t>
  </si>
  <si>
    <t>https://goo.gl/maps/4tvLdPqZbKkfNE4z6</t>
  </si>
  <si>
    <t>19.255482,73.395059</t>
  </si>
  <si>
    <t xml:space="preserve">Site Person - Contact Details ( Name &amp; Contact No.)
</t>
  </si>
  <si>
    <t xml:space="preserve"> Building No. 2 = G + 1st to 7th Floor</t>
  </si>
  <si>
    <t>Valid Up to: Type/Building No.1, 2 = Gr + 1st to 7th Floor 
                   Type/Building No.3 = Gr + 1st to 4th Floor</t>
  </si>
  <si>
    <t>As per RERA - 30/05/2025</t>
  </si>
  <si>
    <t>Office No. 1031, Wing J, Akshar Business Park, Plot No. 03 Sector 25, Near APMC Market, Vashi, 
Navi Mumbai, Maharashtra 400703 TEL: 022-46090378/79/80                                                                                                     Email : vsjcapf@gmail.com. Web site : www.vsjadon.com</t>
  </si>
  <si>
    <t>Mr. Rajesh : 9822535663 &amp; 
Ms. Neha (Sales) 7387487109</t>
  </si>
  <si>
    <t xml:space="preserve"> Part I Building No. 1 = G + 1st to 7th Floor</t>
  </si>
  <si>
    <t xml:space="preserve"> Part II Building No. 1 = G + 1st to 7th Floor</t>
  </si>
  <si>
    <t>Avg Progress %</t>
  </si>
  <si>
    <t>Avg Disbursement %</t>
  </si>
  <si>
    <t xml:space="preserve">1. Building no. 2 &amp; 3 - All work Completed. Provide OC.
   Building No. 1 - Construction work is in process at the time of visit.
2. We considered Saleable area as per Builder area sheet.
3. We considered Carpet area as per Approved Plan.
4. We considered Gross carpet area = Net carpet + Enclose balcony + C.B Area + A.P Area.
5. We have considered rate by verifying it from market inquire.
6. Car parking is subjected to authentic documentation.
7. We update revised approved plans (on 11/12/2021).
8. Since building no.1 have received CC on 06/07/2021, but as of construction work is not completed yet.
7. On Site, we meet Mr. Tejas - 9529052310.
</t>
  </si>
  <si>
    <t>Gaurav Panchal</t>
  </si>
  <si>
    <t>Mr. Mangesh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</si>
</sst>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sz val="11"/>
      <color rgb="FFFF0000"/>
      <name val="Calibri"/>
      <family val="2"/>
    </font>
    <font>
      <u/>
      <sz val="11"/>
      <color theme="10"/>
      <name val="Calibri"/>
      <family val="2"/>
    </font>
  </fonts>
  <fills count="3">
    <fill>
      <patternFill patternType="none"/>
    </fill>
    <fill>
      <patternFill patternType="gray125"/>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applyNumberFormat="0" applyFill="0" applyBorder="0" applyAlignment="0" applyProtection="0"/>
  </cellStyleXfs>
  <cellXfs count="146">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1" fontId="4" fillId="0" borderId="1" xfId="1" applyNumberFormat="1" applyFont="1" applyFill="1" applyBorder="1" applyAlignment="1" applyProtection="1">
      <alignment horizontal="center" vertical="top" wrapText="1"/>
      <protection locked="0"/>
    </xf>
    <xf numFmtId="0" fontId="7" fillId="0" borderId="0" xfId="1" applyFont="1" applyProtection="1">
      <protection locked="0"/>
    </xf>
    <xf numFmtId="0" fontId="7" fillId="0" borderId="0" xfId="1" applyFont="1" applyProtection="1">
      <protection hidden="1"/>
    </xf>
    <xf numFmtId="0" fontId="17" fillId="0" borderId="0" xfId="0" applyFont="1" applyFill="1" applyBorder="1" applyProtection="1">
      <protection hidden="1"/>
    </xf>
    <xf numFmtId="0" fontId="7" fillId="0" borderId="0" xfId="1" applyFont="1" applyFill="1" applyProtection="1">
      <protection hidden="1"/>
    </xf>
    <xf numFmtId="14" fontId="0" fillId="0" borderId="0" xfId="0" applyNumberFormat="1"/>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0" fontId="20" fillId="0" borderId="0" xfId="4" applyFont="1"/>
    <xf numFmtId="0" fontId="7" fillId="0" borderId="13" xfId="1" applyFont="1" applyFill="1" applyBorder="1" applyProtection="1">
      <protection hidden="1"/>
    </xf>
    <xf numFmtId="0" fontId="7" fillId="0" borderId="14" xfId="1" applyFont="1" applyBorder="1" applyProtection="1">
      <protection hidden="1"/>
    </xf>
    <xf numFmtId="0" fontId="12" fillId="0" borderId="15" xfId="1" applyFont="1" applyFill="1" applyBorder="1" applyAlignment="1" applyProtection="1">
      <alignment horizontal="center" vertical="top"/>
      <protection locked="0"/>
    </xf>
    <xf numFmtId="0" fontId="12" fillId="0" borderId="16" xfId="1" applyFont="1" applyFill="1" applyBorder="1" applyAlignment="1" applyProtection="1">
      <alignment horizontal="center" vertical="top"/>
      <protection locked="0"/>
    </xf>
    <xf numFmtId="0" fontId="7" fillId="0" borderId="0" xfId="1" applyFont="1" applyFill="1" applyBorder="1" applyProtection="1">
      <protection hidden="1"/>
    </xf>
    <xf numFmtId="0" fontId="7" fillId="0" borderId="17" xfId="1" applyFont="1" applyBorder="1" applyProtection="1">
      <protection hidden="1"/>
    </xf>
    <xf numFmtId="0" fontId="7" fillId="0" borderId="17" xfId="1" applyFont="1" applyBorder="1"/>
    <xf numFmtId="0" fontId="17" fillId="0" borderId="17" xfId="0" applyNumberFormat="1" applyFont="1" applyBorder="1" applyProtection="1">
      <protection hidden="1"/>
    </xf>
    <xf numFmtId="1" fontId="0" fillId="0" borderId="17" xfId="0" applyNumberFormat="1" applyBorder="1"/>
    <xf numFmtId="2" fontId="0" fillId="0" borderId="0" xfId="0" applyNumberFormat="1"/>
    <xf numFmtId="0" fontId="0" fillId="0" borderId="0" xfId="0" applyBorder="1"/>
    <xf numFmtId="164" fontId="0" fillId="0" borderId="0" xfId="0" applyNumberFormat="1"/>
    <xf numFmtId="2" fontId="17" fillId="0" borderId="0" xfId="0" applyNumberFormat="1" applyFont="1" applyBorder="1" applyProtection="1">
      <protection hidden="1"/>
    </xf>
    <xf numFmtId="1" fontId="0" fillId="0" borderId="17" xfId="0" applyNumberFormat="1" applyBorder="1" applyAlignment="1">
      <alignment horizontal="right"/>
    </xf>
    <xf numFmtId="2" fontId="0" fillId="0" borderId="0" xfId="0" applyNumberFormat="1" applyBorder="1"/>
    <xf numFmtId="0" fontId="17" fillId="0" borderId="21" xfId="0" applyFont="1" applyFill="1" applyBorder="1" applyProtection="1">
      <protection hidden="1"/>
    </xf>
    <xf numFmtId="1" fontId="0" fillId="0" borderId="22" xfId="0" applyNumberFormat="1" applyBorder="1"/>
    <xf numFmtId="0" fontId="12"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2" fontId="7" fillId="0" borderId="0" xfId="1" applyNumberFormat="1" applyFont="1" applyAlignment="1">
      <alignment horizontal="center" vertical="center"/>
    </xf>
    <xf numFmtId="0" fontId="12" fillId="0" borderId="1" xfId="1" applyFont="1" applyFill="1" applyBorder="1" applyAlignment="1" applyProtection="1">
      <alignment horizontal="center" wrapText="1"/>
      <protection locked="0"/>
    </xf>
    <xf numFmtId="9" fontId="12" fillId="0" borderId="1" xfId="1" applyNumberFormat="1" applyFont="1" applyFill="1" applyBorder="1" applyAlignment="1" applyProtection="1">
      <alignment horizontal="center" vertical="center" wrapText="1"/>
      <protection hidden="1"/>
    </xf>
    <xf numFmtId="1" fontId="12" fillId="0" borderId="1" xfId="1" applyNumberFormat="1" applyFont="1" applyFill="1" applyBorder="1" applyAlignment="1" applyProtection="1">
      <alignment horizontal="center" wrapText="1"/>
      <protection locked="0"/>
    </xf>
    <xf numFmtId="0" fontId="12" fillId="0" borderId="19" xfId="1" applyFont="1" applyFill="1" applyBorder="1" applyAlignment="1" applyProtection="1">
      <alignment horizontal="center" wrapText="1"/>
      <protection locked="0"/>
    </xf>
    <xf numFmtId="9" fontId="12" fillId="0" borderId="19" xfId="1" applyNumberFormat="1"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center"/>
      <protection locked="0"/>
    </xf>
    <xf numFmtId="1" fontId="7" fillId="0" borderId="1" xfId="1" applyNumberFormat="1" applyFont="1" applyFill="1" applyBorder="1" applyAlignment="1">
      <alignment horizontal="center" vertical="center"/>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0" fontId="12" fillId="0" borderId="23" xfId="1" applyFont="1" applyFill="1" applyBorder="1" applyAlignment="1" applyProtection="1">
      <alignment horizontal="center" wrapText="1"/>
      <protection locked="0"/>
    </xf>
    <xf numFmtId="9" fontId="12" fillId="0" borderId="23" xfId="1" applyNumberFormat="1" applyFont="1" applyFill="1" applyBorder="1" applyAlignment="1" applyProtection="1">
      <alignment horizontal="center" vertical="center" wrapText="1"/>
      <protection hidden="1"/>
    </xf>
    <xf numFmtId="0" fontId="12" fillId="0" borderId="26" xfId="1" applyFont="1" applyFill="1" applyBorder="1" applyAlignment="1" applyProtection="1">
      <alignment horizontal="center" vertical="top"/>
      <protection locked="0"/>
    </xf>
    <xf numFmtId="0" fontId="12" fillId="0" borderId="27" xfId="1" applyFont="1" applyFill="1" applyBorder="1" applyAlignment="1" applyProtection="1">
      <alignment horizontal="center" vertical="top"/>
      <protection locked="0"/>
    </xf>
    <xf numFmtId="0" fontId="12" fillId="0" borderId="28" xfId="1" applyFont="1" applyFill="1" applyBorder="1" applyAlignment="1" applyProtection="1">
      <alignment horizontal="center" vertical="top"/>
      <protection locked="0"/>
    </xf>
    <xf numFmtId="0" fontId="7" fillId="0" borderId="1" xfId="1" applyFont="1" applyFill="1" applyBorder="1" applyProtection="1">
      <protection hidden="1"/>
    </xf>
    <xf numFmtId="0" fontId="7" fillId="0" borderId="1" xfId="1" applyFont="1" applyBorder="1" applyProtection="1">
      <protection hidden="1"/>
    </xf>
    <xf numFmtId="0" fontId="0" fillId="0" borderId="1" xfId="0" applyBorder="1"/>
    <xf numFmtId="0" fontId="12" fillId="0" borderId="1" xfId="1" applyFont="1" applyFill="1" applyBorder="1" applyAlignment="1" applyProtection="1">
      <alignment horizontal="center" vertical="top" wrapText="1"/>
      <protection locked="0"/>
    </xf>
    <xf numFmtId="9" fontId="12" fillId="0" borderId="1" xfId="1" applyNumberFormat="1" applyFont="1" applyFill="1" applyBorder="1" applyAlignment="1" applyProtection="1">
      <alignment horizontal="center" vertical="center" wrapText="1"/>
      <protection hidden="1"/>
    </xf>
    <xf numFmtId="9" fontId="12" fillId="0" borderId="19" xfId="1" applyNumberFormat="1" applyFont="1" applyFill="1" applyBorder="1" applyAlignment="1" applyProtection="1">
      <alignment horizontal="center" vertical="center" wrapText="1"/>
      <protection hidden="1"/>
    </xf>
    <xf numFmtId="0" fontId="12" fillId="0" borderId="1" xfId="1" applyFont="1" applyFill="1" applyBorder="1" applyAlignment="1" applyProtection="1">
      <alignment horizontal="center" vertical="top"/>
      <protection locked="0"/>
    </xf>
    <xf numFmtId="0" fontId="13" fillId="0" borderId="8" xfId="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0" fontId="13" fillId="0" borderId="11" xfId="1" applyFont="1" applyFill="1" applyBorder="1" applyAlignment="1" applyProtection="1">
      <alignment horizontal="left" vertical="top" wrapText="1"/>
      <protection locked="0"/>
    </xf>
    <xf numFmtId="0" fontId="13" fillId="0" borderId="12" xfId="1" applyFont="1" applyFill="1" applyBorder="1" applyAlignment="1" applyProtection="1">
      <alignment horizontal="left" vertical="top" wrapText="1"/>
      <protection locked="0"/>
    </xf>
    <xf numFmtId="0" fontId="13" fillId="0" borderId="15"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16" xfId="1" applyFont="1" applyFill="1" applyBorder="1" applyAlignment="1" applyProtection="1">
      <alignment horizontal="left" vertical="top" wrapText="1"/>
      <protection locked="0"/>
    </xf>
    <xf numFmtId="0" fontId="12" fillId="0" borderId="15"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0" fontId="12" fillId="0" borderId="16" xfId="1" applyFont="1" applyFill="1" applyBorder="1" applyAlignment="1" applyProtection="1">
      <alignment horizontal="center" vertical="top" wrapText="1"/>
      <protection locked="0"/>
    </xf>
    <xf numFmtId="9" fontId="12" fillId="0" borderId="1" xfId="1" applyNumberFormat="1" applyFont="1" applyFill="1" applyBorder="1" applyAlignment="1" applyProtection="1">
      <alignment horizontal="center" vertical="center" wrapText="1"/>
      <protection hidden="1"/>
    </xf>
    <xf numFmtId="9" fontId="12" fillId="0" borderId="23" xfId="1" applyNumberFormat="1" applyFont="1" applyFill="1" applyBorder="1" applyAlignment="1" applyProtection="1">
      <alignment horizontal="center" vertical="center" wrapText="1"/>
      <protection hidden="1"/>
    </xf>
    <xf numFmtId="9" fontId="12" fillId="0" borderId="16" xfId="1" applyNumberFormat="1" applyFont="1" applyFill="1" applyBorder="1" applyAlignment="1" applyProtection="1">
      <alignment horizontal="center" vertical="center" wrapText="1"/>
      <protection hidden="1"/>
    </xf>
    <xf numFmtId="9" fontId="12" fillId="0" borderId="24" xfId="1" applyNumberFormat="1" applyFont="1" applyFill="1" applyBorder="1" applyAlignment="1" applyProtection="1">
      <alignment horizontal="center" vertical="center" wrapText="1"/>
      <protection hidden="1"/>
    </xf>
    <xf numFmtId="0" fontId="12" fillId="0" borderId="25" xfId="1" applyFont="1" applyFill="1" applyBorder="1" applyAlignment="1" applyProtection="1">
      <alignment horizontal="center" vertical="top" wrapText="1"/>
      <protection locked="0"/>
    </xf>
    <xf numFmtId="0" fontId="12" fillId="0" borderId="23" xfId="1" applyFont="1" applyFill="1" applyBorder="1" applyAlignment="1" applyProtection="1">
      <alignment horizontal="center" vertical="top" wrapText="1"/>
      <protection locked="0"/>
    </xf>
    <xf numFmtId="0" fontId="12" fillId="0" borderId="18" xfId="1" applyFont="1" applyFill="1" applyBorder="1" applyAlignment="1" applyProtection="1">
      <alignment horizontal="center" vertical="top" wrapText="1"/>
      <protection locked="0"/>
    </xf>
    <xf numFmtId="0" fontId="12" fillId="0" borderId="19" xfId="1" applyFont="1" applyFill="1" applyBorder="1" applyAlignment="1" applyProtection="1">
      <alignment horizontal="center" vertical="top" wrapText="1"/>
      <protection locked="0"/>
    </xf>
    <xf numFmtId="0" fontId="6"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 fontId="6"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9" fontId="12" fillId="0" borderId="19" xfId="1" applyNumberFormat="1" applyFont="1" applyFill="1" applyBorder="1" applyAlignment="1" applyProtection="1">
      <alignment horizontal="center" vertical="center" wrapText="1"/>
      <protection hidden="1"/>
    </xf>
    <xf numFmtId="9" fontId="12" fillId="0" borderId="20" xfId="1" applyNumberFormat="1" applyFont="1" applyFill="1" applyBorder="1" applyAlignment="1" applyProtection="1">
      <alignment horizontal="center" vertical="center" wrapText="1"/>
      <protection hidden="1"/>
    </xf>
    <xf numFmtId="0" fontId="6" fillId="0" borderId="1" xfId="1" applyFont="1" applyFill="1" applyBorder="1" applyAlignment="1" applyProtection="1">
      <alignment horizontal="lef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Fill="1" applyBorder="1" applyAlignment="1" applyProtection="1">
      <alignment horizontal="left" vertical="top" wrapText="1"/>
      <protection locked="0"/>
    </xf>
    <xf numFmtId="0" fontId="6" fillId="0" borderId="1" xfId="1" applyFont="1" applyFill="1" applyBorder="1" applyAlignment="1" applyProtection="1">
      <alignment vertical="top"/>
      <protection locked="0"/>
    </xf>
    <xf numFmtId="1" fontId="6" fillId="0" borderId="2" xfId="1" applyNumberFormat="1" applyFont="1" applyFill="1" applyBorder="1" applyAlignment="1" applyProtection="1">
      <alignment horizontal="center" vertical="center" wrapText="1"/>
      <protection locked="0"/>
    </xf>
    <xf numFmtId="1" fontId="6" fillId="0" borderId="3" xfId="1" applyNumberFormat="1" applyFont="1" applyFill="1" applyBorder="1" applyAlignment="1" applyProtection="1">
      <alignment horizontal="center" vertical="center" wrapText="1"/>
      <protection locked="0"/>
    </xf>
    <xf numFmtId="1" fontId="6" fillId="0" borderId="4" xfId="1" applyNumberFormat="1" applyFont="1" applyFill="1" applyBorder="1" applyAlignment="1" applyProtection="1">
      <alignment horizontal="center" vertical="center" wrapText="1"/>
      <protection locked="0"/>
    </xf>
    <xf numFmtId="1" fontId="6" fillId="0" borderId="5" xfId="1" applyNumberFormat="1" applyFont="1" applyFill="1" applyBorder="1" applyAlignment="1" applyProtection="1">
      <alignment horizontal="center" vertical="center" wrapText="1"/>
      <protection locked="0"/>
    </xf>
    <xf numFmtId="1" fontId="6" fillId="0" borderId="6" xfId="1" applyNumberFormat="1" applyFont="1" applyFill="1" applyBorder="1" applyAlignment="1" applyProtection="1">
      <alignment horizontal="center" vertical="center" wrapText="1"/>
      <protection locked="0"/>
    </xf>
    <xf numFmtId="1" fontId="6" fillId="0" borderId="7"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protection locked="0"/>
    </xf>
    <xf numFmtId="0" fontId="11" fillId="0" borderId="1" xfId="1" applyFont="1" applyFill="1" applyBorder="1" applyAlignment="1" applyProtection="1">
      <alignment horizontal="center" vertical="top" wrapText="1"/>
      <protection locked="0"/>
    </xf>
    <xf numFmtId="0" fontId="8" fillId="0" borderId="1" xfId="1" applyFont="1" applyFill="1" applyBorder="1" applyAlignment="1" applyProtection="1">
      <alignment horizontal="center" vertical="top"/>
      <protection locked="0"/>
    </xf>
    <xf numFmtId="14"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center" wrapText="1"/>
      <protection locked="0"/>
    </xf>
    <xf numFmtId="164"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center"/>
      <protection locked="0"/>
    </xf>
    <xf numFmtId="2" fontId="6" fillId="0" borderId="1" xfId="1" applyNumberFormat="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8" fillId="0" borderId="1" xfId="1"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protection locked="0"/>
    </xf>
    <xf numFmtId="14" fontId="12" fillId="0" borderId="1" xfId="1" applyNumberFormat="1" applyFont="1" applyFill="1" applyBorder="1" applyAlignment="1" applyProtection="1">
      <alignment horizontal="left" vertical="top" wrapText="1"/>
      <protection locked="0"/>
    </xf>
    <xf numFmtId="2" fontId="6" fillId="0" borderId="1" xfId="1" applyNumberFormat="1" applyFont="1" applyFill="1" applyBorder="1" applyAlignment="1" applyProtection="1">
      <alignment horizontal="left" vertical="top"/>
      <protection locked="0"/>
    </xf>
    <xf numFmtId="0" fontId="21" fillId="0" borderId="1" xfId="7" applyFill="1" applyBorder="1" applyAlignment="1" applyProtection="1">
      <alignment horizontal="left"/>
      <protection locked="0"/>
    </xf>
    <xf numFmtId="0" fontId="7" fillId="0" borderId="1" xfId="1" applyFont="1" applyFill="1" applyBorder="1" applyAlignment="1" applyProtection="1">
      <alignment horizontal="left"/>
      <protection locked="0"/>
    </xf>
    <xf numFmtId="0" fontId="13" fillId="0" borderId="1" xfId="1" applyFont="1" applyFill="1" applyBorder="1" applyAlignment="1" applyProtection="1">
      <alignment vertical="top"/>
      <protection locked="0"/>
    </xf>
    <xf numFmtId="1" fontId="10" fillId="0" borderId="1" xfId="0" applyNumberFormat="1" applyFont="1" applyFill="1" applyBorder="1" applyAlignment="1" applyProtection="1">
      <alignment horizontal="center" vertical="top" wrapText="1"/>
      <protection locked="0"/>
    </xf>
    <xf numFmtId="0" fontId="9" fillId="0" borderId="1" xfId="5" applyFont="1" applyBorder="1" applyAlignment="1">
      <alignment horizontal="left"/>
    </xf>
    <xf numFmtId="0" fontId="13" fillId="2" borderId="29" xfId="1" applyFont="1" applyFill="1" applyBorder="1" applyAlignment="1" applyProtection="1">
      <alignment horizontal="center" vertical="top"/>
      <protection locked="0"/>
    </xf>
    <xf numFmtId="0" fontId="13" fillId="2" borderId="30" xfId="1" applyFont="1" applyFill="1" applyBorder="1" applyAlignment="1" applyProtection="1">
      <alignment horizontal="center" vertical="top"/>
      <protection locked="0"/>
    </xf>
    <xf numFmtId="9" fontId="13" fillId="2" borderId="29" xfId="1" applyNumberFormat="1" applyFont="1" applyFill="1" applyBorder="1" applyAlignment="1" applyProtection="1">
      <alignment horizontal="center" vertical="top"/>
      <protection locked="0"/>
    </xf>
  </cellXfs>
  <cellStyles count="8">
    <cellStyle name="Comma 2" xfId="6" xr:uid="{00000000-0005-0000-0000-000000000000}"/>
    <cellStyle name="Excel Built-in Normal" xfId="2" xr:uid="{00000000-0005-0000-0000-000001000000}"/>
    <cellStyle name="Excel Built-in Normal 2" xfId="4" xr:uid="{00000000-0005-0000-0000-000002000000}"/>
    <cellStyle name="Hyperlink" xfId="7"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jpeg"/><Relationship Id="rId1" Type="http://schemas.openxmlformats.org/officeDocument/2006/relationships/image" Target="../media/image27.jpeg"/><Relationship Id="rId5" Type="http://schemas.openxmlformats.org/officeDocument/2006/relationships/image" Target="../media/image31.png"/><Relationship Id="rId4"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255495</xdr:colOff>
      <xdr:row>260</xdr:row>
      <xdr:rowOff>22278</xdr:rowOff>
    </xdr:from>
    <xdr:to>
      <xdr:col>7</xdr:col>
      <xdr:colOff>593913</xdr:colOff>
      <xdr:row>278</xdr:row>
      <xdr:rowOff>72254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55495" y="60847807"/>
          <a:ext cx="6333565" cy="3680681"/>
        </a:xfrm>
        <a:prstGeom prst="rect">
          <a:avLst/>
        </a:prstGeom>
        <a:ln>
          <a:solidFill>
            <a:schemeClr val="tx1"/>
          </a:solidFill>
        </a:ln>
      </xdr:spPr>
    </xdr:pic>
    <xdr:clientData/>
  </xdr:twoCellAnchor>
  <xdr:twoCellAnchor editAs="oneCell">
    <xdr:from>
      <xdr:col>0</xdr:col>
      <xdr:colOff>255495</xdr:colOff>
      <xdr:row>240</xdr:row>
      <xdr:rowOff>156882</xdr:rowOff>
    </xdr:from>
    <xdr:to>
      <xdr:col>7</xdr:col>
      <xdr:colOff>593913</xdr:colOff>
      <xdr:row>259</xdr:row>
      <xdr:rowOff>5154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55495" y="56948294"/>
          <a:ext cx="6333565" cy="3680683"/>
        </a:xfrm>
        <a:prstGeom prst="rect">
          <a:avLst/>
        </a:prstGeom>
        <a:ln>
          <a:solidFill>
            <a:schemeClr val="tx1"/>
          </a:solidFill>
        </a:ln>
      </xdr:spPr>
    </xdr:pic>
    <xdr:clientData/>
  </xdr:twoCellAnchor>
  <xdr:twoCellAnchor>
    <xdr:from>
      <xdr:col>14</xdr:col>
      <xdr:colOff>563998</xdr:colOff>
      <xdr:row>207</xdr:row>
      <xdr:rowOff>188267</xdr:rowOff>
    </xdr:from>
    <xdr:to>
      <xdr:col>20</xdr:col>
      <xdr:colOff>26115</xdr:colOff>
      <xdr:row>211</xdr:row>
      <xdr:rowOff>27774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262939" y="47398649"/>
          <a:ext cx="3429000" cy="64633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Bldg No.2</a:t>
          </a:r>
        </a:p>
        <a:p>
          <a:r>
            <a:rPr lang="en-US" b="1">
              <a:solidFill>
                <a:srgbClr val="FF0000"/>
              </a:solidFill>
            </a:rPr>
            <a:t>Part I</a:t>
          </a:r>
          <a:endParaRPr lang="en-IN" b="1">
            <a:solidFill>
              <a:srgbClr val="FF0000"/>
            </a:solidFill>
          </a:endParaRPr>
        </a:p>
      </xdr:txBody>
    </xdr:sp>
    <xdr:clientData/>
  </xdr:twoCellAnchor>
  <xdr:twoCellAnchor>
    <xdr:from>
      <xdr:col>8</xdr:col>
      <xdr:colOff>306587</xdr:colOff>
      <xdr:row>200</xdr:row>
      <xdr:rowOff>151786</xdr:rowOff>
    </xdr:from>
    <xdr:to>
      <xdr:col>12</xdr:col>
      <xdr:colOff>239352</xdr:colOff>
      <xdr:row>204</xdr:row>
      <xdr:rowOff>2499</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7186999" y="45961433"/>
          <a:ext cx="3429000" cy="64633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Bldg No.2</a:t>
          </a:r>
        </a:p>
        <a:p>
          <a:r>
            <a:rPr lang="en-US" b="1">
              <a:solidFill>
                <a:srgbClr val="FF0000"/>
              </a:solidFill>
            </a:rPr>
            <a:t>Part II</a:t>
          </a:r>
          <a:endParaRPr lang="en-IN" b="1">
            <a:solidFill>
              <a:srgbClr val="FF0000"/>
            </a:solidFill>
          </a:endParaRPr>
        </a:p>
      </xdr:txBody>
    </xdr:sp>
    <xdr:clientData/>
  </xdr:twoCellAnchor>
  <xdr:twoCellAnchor>
    <xdr:from>
      <xdr:col>9</xdr:col>
      <xdr:colOff>145882</xdr:colOff>
      <xdr:row>210</xdr:row>
      <xdr:rowOff>22412</xdr:rowOff>
    </xdr:from>
    <xdr:to>
      <xdr:col>14</xdr:col>
      <xdr:colOff>224323</xdr:colOff>
      <xdr:row>213</xdr:row>
      <xdr:rowOff>73243</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8494264" y="47837912"/>
          <a:ext cx="3429000" cy="65594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Bldg No.3</a:t>
          </a:r>
        </a:p>
        <a:p>
          <a:r>
            <a:rPr lang="en-US" b="1">
              <a:solidFill>
                <a:srgbClr val="FF0000"/>
              </a:solidFill>
            </a:rPr>
            <a:t>Part I</a:t>
          </a:r>
          <a:endParaRPr lang="en-IN" b="1">
            <a:solidFill>
              <a:srgbClr val="FF0000"/>
            </a:solidFill>
          </a:endParaRPr>
        </a:p>
      </xdr:txBody>
    </xdr:sp>
    <xdr:clientData/>
  </xdr:twoCellAnchor>
  <xdr:twoCellAnchor>
    <xdr:from>
      <xdr:col>5</xdr:col>
      <xdr:colOff>795618</xdr:colOff>
      <xdr:row>213</xdr:row>
      <xdr:rowOff>190500</xdr:rowOff>
    </xdr:from>
    <xdr:to>
      <xdr:col>9</xdr:col>
      <xdr:colOff>190501</xdr:colOff>
      <xdr:row>215</xdr:row>
      <xdr:rowOff>161230</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5109883" y="48812824"/>
          <a:ext cx="3429000"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solidFill>
              <a:srgbClr val="FF0000"/>
            </a:solidFill>
          </a:endParaRPr>
        </a:p>
      </xdr:txBody>
    </xdr:sp>
    <xdr:clientData/>
  </xdr:twoCellAnchor>
  <xdr:twoCellAnchor>
    <xdr:from>
      <xdr:col>9</xdr:col>
      <xdr:colOff>289213</xdr:colOff>
      <xdr:row>205</xdr:row>
      <xdr:rowOff>4040</xdr:rowOff>
    </xdr:from>
    <xdr:to>
      <xdr:col>10</xdr:col>
      <xdr:colOff>415059</xdr:colOff>
      <xdr:row>206</xdr:row>
      <xdr:rowOff>87972</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a:xfrm>
          <a:off x="8436263" y="41971190"/>
          <a:ext cx="811646" cy="28078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Bldg No.2</a:t>
          </a:r>
        </a:p>
      </xdr:txBody>
    </xdr:sp>
    <xdr:clientData/>
  </xdr:twoCellAnchor>
  <xdr:twoCellAnchor>
    <xdr:from>
      <xdr:col>8</xdr:col>
      <xdr:colOff>504824</xdr:colOff>
      <xdr:row>199</xdr:row>
      <xdr:rowOff>193675</xdr:rowOff>
    </xdr:from>
    <xdr:to>
      <xdr:col>17</xdr:col>
      <xdr:colOff>445691</xdr:colOff>
      <xdr:row>237</xdr:row>
      <xdr:rowOff>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153274" y="44580175"/>
          <a:ext cx="6227367" cy="7397750"/>
          <a:chOff x="95249" y="41570275"/>
          <a:chExt cx="6227367" cy="7580455"/>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954965" y="47322155"/>
            <a:ext cx="1310494" cy="1828575"/>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5250" y="47322155"/>
            <a:ext cx="2280303" cy="1828575"/>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348953" y="41570275"/>
            <a:ext cx="1973663" cy="2777275"/>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245914" y="41570275"/>
            <a:ext cx="1926038" cy="2777275"/>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245914" y="44443040"/>
            <a:ext cx="1926038" cy="278045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5250" y="41570275"/>
            <a:ext cx="1973663" cy="2777275"/>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5250" y="44443040"/>
            <a:ext cx="1973663" cy="278045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26695" y="47322155"/>
            <a:ext cx="2277128" cy="1828575"/>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348952" y="44443040"/>
            <a:ext cx="1973663" cy="2780450"/>
          </a:xfrm>
          <a:prstGeom prst="rect">
            <a:avLst/>
          </a:prstGeom>
          <a:ln>
            <a:solidFill>
              <a:schemeClr val="tx1"/>
            </a:solidFill>
          </a:ln>
        </xdr:spPr>
      </xdr:pic>
      <xdr:sp macro="" textlink="">
        <xdr:nvSpPr>
          <xdr:cNvPr id="43" name="Rectangle 42">
            <a:extLst>
              <a:ext uri="{FF2B5EF4-FFF2-40B4-BE49-F238E27FC236}">
                <a16:creationId xmlns:a16="http://schemas.microsoft.com/office/drawing/2014/main" id="{00000000-0008-0000-0000-00002B000000}"/>
              </a:ext>
            </a:extLst>
          </xdr:cNvPr>
          <xdr:cNvSpPr/>
        </xdr:nvSpPr>
        <xdr:spPr>
          <a:xfrm>
            <a:off x="95249" y="41570275"/>
            <a:ext cx="962025" cy="28020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Bldg No.2</a:t>
            </a:r>
          </a:p>
        </xdr:txBody>
      </xdr:sp>
      <xdr:sp macro="" textlink="">
        <xdr:nvSpPr>
          <xdr:cNvPr id="44" name="Rectangle 43">
            <a:extLst>
              <a:ext uri="{FF2B5EF4-FFF2-40B4-BE49-F238E27FC236}">
                <a16:creationId xmlns:a16="http://schemas.microsoft.com/office/drawing/2014/main" id="{00000000-0008-0000-0000-00002C000000}"/>
              </a:ext>
            </a:extLst>
          </xdr:cNvPr>
          <xdr:cNvSpPr/>
        </xdr:nvSpPr>
        <xdr:spPr>
          <a:xfrm>
            <a:off x="3233339" y="41700450"/>
            <a:ext cx="767196" cy="28395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Bldg No.2</a:t>
            </a:r>
          </a:p>
        </xdr:txBody>
      </xdr:sp>
      <xdr:sp macro="" textlink="">
        <xdr:nvSpPr>
          <xdr:cNvPr id="45" name="Rectangle 44">
            <a:extLst>
              <a:ext uri="{FF2B5EF4-FFF2-40B4-BE49-F238E27FC236}">
                <a16:creationId xmlns:a16="http://schemas.microsoft.com/office/drawing/2014/main" id="{00000000-0008-0000-0000-00002D000000}"/>
              </a:ext>
            </a:extLst>
          </xdr:cNvPr>
          <xdr:cNvSpPr/>
        </xdr:nvSpPr>
        <xdr:spPr>
          <a:xfrm>
            <a:off x="5434803" y="41932225"/>
            <a:ext cx="773546" cy="28078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Bldg No.2</a:t>
            </a:r>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a:off x="1009650" y="47417405"/>
            <a:ext cx="773546" cy="2871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Bldg No.3</a:t>
            </a:r>
          </a:p>
        </xdr:txBody>
      </xdr:sp>
    </xdr:grpSp>
    <xdr:clientData/>
  </xdr:twoCellAnchor>
  <xdr:twoCellAnchor>
    <xdr:from>
      <xdr:col>9</xdr:col>
      <xdr:colOff>0</xdr:colOff>
      <xdr:row>198</xdr:row>
      <xdr:rowOff>0</xdr:rowOff>
    </xdr:from>
    <xdr:to>
      <xdr:col>10</xdr:col>
      <xdr:colOff>352425</xdr:colOff>
      <xdr:row>199</xdr:row>
      <xdr:rowOff>80180</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8407400" y="40246300"/>
          <a:ext cx="1038225" cy="27703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C00000"/>
              </a:solidFill>
            </a:rPr>
            <a:t>Bldg No.2</a:t>
          </a:r>
        </a:p>
      </xdr:txBody>
    </xdr:sp>
    <xdr:clientData/>
  </xdr:twoCellAnchor>
  <xdr:twoCellAnchor>
    <xdr:from>
      <xdr:col>8</xdr:col>
      <xdr:colOff>393700</xdr:colOff>
      <xdr:row>200</xdr:row>
      <xdr:rowOff>38100</xdr:rowOff>
    </xdr:from>
    <xdr:to>
      <xdr:col>17</xdr:col>
      <xdr:colOff>253221</xdr:colOff>
      <xdr:row>234</xdr:row>
      <xdr:rowOff>89640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042150" y="44624625"/>
          <a:ext cx="6146021" cy="6842865"/>
          <a:chOff x="222250" y="40773350"/>
          <a:chExt cx="6422246" cy="6738090"/>
        </a:xfrm>
      </xdr:grpSpPr>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642464" y="45351440"/>
            <a:ext cx="1618313" cy="2160000"/>
          </a:xfrm>
          <a:prstGeom prst="rect">
            <a:avLst/>
          </a:prstGeom>
          <a:ln>
            <a:solidFill>
              <a:schemeClr val="tx1"/>
            </a:solidFill>
          </a:ln>
        </xdr:spPr>
      </xdr:pic>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994516" y="40773350"/>
            <a:ext cx="2877714" cy="216000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42464" y="43062395"/>
            <a:ext cx="1618313" cy="216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61077" y="43062395"/>
            <a:ext cx="1618313" cy="2160000"/>
          </a:xfrm>
          <a:prstGeom prst="rect">
            <a:avLst/>
          </a:prstGeom>
          <a:ln>
            <a:solidFill>
              <a:schemeClr val="tx1"/>
            </a:solidFill>
          </a:ln>
        </xdr:spPr>
      </xdr:pic>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423851" y="43062395"/>
            <a:ext cx="1618313" cy="2160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22250" y="40773350"/>
            <a:ext cx="1618313" cy="2160000"/>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5026183" y="40773350"/>
            <a:ext cx="1618313" cy="2160000"/>
          </a:xfrm>
          <a:prstGeom prst="rect">
            <a:avLst/>
          </a:prstGeom>
          <a:ln>
            <a:solidFill>
              <a:schemeClr val="tx1"/>
            </a:solidFill>
          </a:ln>
        </xdr:spPr>
      </xdr:pic>
    </xdr:grpSp>
    <xdr:clientData/>
  </xdr:twoCellAnchor>
  <xdr:twoCellAnchor>
    <xdr:from>
      <xdr:col>0</xdr:col>
      <xdr:colOff>523875</xdr:colOff>
      <xdr:row>201</xdr:row>
      <xdr:rowOff>0</xdr:rowOff>
    </xdr:from>
    <xdr:to>
      <xdr:col>7</xdr:col>
      <xdr:colOff>384444</xdr:colOff>
      <xdr:row>237</xdr:row>
      <xdr:rowOff>180975</xdr:rowOff>
    </xdr:to>
    <xdr:grpSp>
      <xdr:nvGrpSpPr>
        <xdr:cNvPr id="33" name="Group 32">
          <a:extLst>
            <a:ext uri="{FF2B5EF4-FFF2-40B4-BE49-F238E27FC236}">
              <a16:creationId xmlns:a16="http://schemas.microsoft.com/office/drawing/2014/main" id="{5E10CEF4-1186-44C3-A4C3-769C27623005}"/>
            </a:ext>
          </a:extLst>
        </xdr:cNvPr>
        <xdr:cNvGrpSpPr/>
      </xdr:nvGrpSpPr>
      <xdr:grpSpPr>
        <a:xfrm>
          <a:off x="523875" y="44786550"/>
          <a:ext cx="5432694" cy="7372350"/>
          <a:chOff x="719378" y="299157"/>
          <a:chExt cx="5432694" cy="8054406"/>
        </a:xfrm>
      </xdr:grpSpPr>
      <xdr:grpSp>
        <xdr:nvGrpSpPr>
          <xdr:cNvPr id="38" name="Group 37">
            <a:extLst>
              <a:ext uri="{FF2B5EF4-FFF2-40B4-BE49-F238E27FC236}">
                <a16:creationId xmlns:a16="http://schemas.microsoft.com/office/drawing/2014/main" id="{CF3D7CC1-C987-4C2E-AE63-58DC4FAE3C33}"/>
              </a:ext>
            </a:extLst>
          </xdr:cNvPr>
          <xdr:cNvGrpSpPr/>
        </xdr:nvGrpSpPr>
        <xdr:grpSpPr>
          <a:xfrm>
            <a:off x="719378" y="299157"/>
            <a:ext cx="5432694" cy="8054406"/>
            <a:chOff x="719378" y="299157"/>
            <a:chExt cx="5432694" cy="8054406"/>
          </a:xfrm>
        </xdr:grpSpPr>
        <xdr:pic>
          <xdr:nvPicPr>
            <xdr:cNvPr id="53" name="Picture 52">
              <a:extLst>
                <a:ext uri="{FF2B5EF4-FFF2-40B4-BE49-F238E27FC236}">
                  <a16:creationId xmlns:a16="http://schemas.microsoft.com/office/drawing/2014/main" id="{A99AC780-942C-4B9F-A569-156D74D0B6D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791095" y="299157"/>
              <a:ext cx="5275809" cy="3960000"/>
            </a:xfrm>
            <a:prstGeom prst="rect">
              <a:avLst/>
            </a:prstGeom>
            <a:ln>
              <a:solidFill>
                <a:schemeClr val="tx1"/>
              </a:solidFill>
            </a:ln>
          </xdr:spPr>
        </xdr:pic>
        <xdr:pic>
          <xdr:nvPicPr>
            <xdr:cNvPr id="54" name="Picture 53">
              <a:extLst>
                <a:ext uri="{FF2B5EF4-FFF2-40B4-BE49-F238E27FC236}">
                  <a16:creationId xmlns:a16="http://schemas.microsoft.com/office/drawing/2014/main" id="{66090CE9-27F0-46C8-9187-77559884CB3B}"/>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19378" y="4416360"/>
              <a:ext cx="2637905" cy="1980000"/>
            </a:xfrm>
            <a:prstGeom prst="rect">
              <a:avLst/>
            </a:prstGeom>
            <a:ln>
              <a:solidFill>
                <a:schemeClr val="tx1"/>
              </a:solidFill>
            </a:ln>
          </xdr:spPr>
        </xdr:pic>
        <xdr:pic>
          <xdr:nvPicPr>
            <xdr:cNvPr id="55" name="Picture 54">
              <a:extLst>
                <a:ext uri="{FF2B5EF4-FFF2-40B4-BE49-F238E27FC236}">
                  <a16:creationId xmlns:a16="http://schemas.microsoft.com/office/drawing/2014/main" id="{CC991D58-7CF2-4FD3-986E-E4E61AECA3D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514167" y="4416360"/>
              <a:ext cx="2637905" cy="1980000"/>
            </a:xfrm>
            <a:prstGeom prst="rect">
              <a:avLst/>
            </a:prstGeom>
            <a:ln>
              <a:solidFill>
                <a:schemeClr val="tx1"/>
              </a:solidFill>
            </a:ln>
          </xdr:spPr>
        </xdr:pic>
        <xdr:pic>
          <xdr:nvPicPr>
            <xdr:cNvPr id="63" name="Picture 62">
              <a:extLst>
                <a:ext uri="{FF2B5EF4-FFF2-40B4-BE49-F238E27FC236}">
                  <a16:creationId xmlns:a16="http://schemas.microsoft.com/office/drawing/2014/main" id="{7AEF653B-02D3-4193-A4D7-AF42729114F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256459" y="6553563"/>
              <a:ext cx="1348594" cy="1800000"/>
            </a:xfrm>
            <a:prstGeom prst="rect">
              <a:avLst/>
            </a:prstGeom>
            <a:ln>
              <a:solidFill>
                <a:schemeClr val="tx1"/>
              </a:solidFill>
            </a:ln>
          </xdr:spPr>
        </xdr:pic>
        <xdr:pic>
          <xdr:nvPicPr>
            <xdr:cNvPr id="64" name="Picture 63">
              <a:extLst>
                <a:ext uri="{FF2B5EF4-FFF2-40B4-BE49-F238E27FC236}">
                  <a16:creationId xmlns:a16="http://schemas.microsoft.com/office/drawing/2014/main" id="{BD7E0A17-FC5D-444E-B5E5-2C8B8FB97EF8}"/>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2763901" y="6553563"/>
              <a:ext cx="1348594" cy="1800000"/>
            </a:xfrm>
            <a:prstGeom prst="rect">
              <a:avLst/>
            </a:prstGeom>
            <a:ln>
              <a:solidFill>
                <a:schemeClr val="tx1"/>
              </a:solidFill>
            </a:ln>
          </xdr:spPr>
        </xdr:pic>
        <xdr:pic>
          <xdr:nvPicPr>
            <xdr:cNvPr id="65" name="Picture 64">
              <a:extLst>
                <a:ext uri="{FF2B5EF4-FFF2-40B4-BE49-F238E27FC236}">
                  <a16:creationId xmlns:a16="http://schemas.microsoft.com/office/drawing/2014/main" id="{BE475412-8EAF-4D0B-845F-B20BF32E46A6}"/>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4271343" y="6553563"/>
              <a:ext cx="1348594" cy="1800000"/>
            </a:xfrm>
            <a:prstGeom prst="rect">
              <a:avLst/>
            </a:prstGeom>
            <a:ln>
              <a:solidFill>
                <a:schemeClr val="tx1"/>
              </a:solidFill>
            </a:ln>
          </xdr:spPr>
        </xdr:pic>
      </xdr:grpSp>
      <xdr:sp macro="" textlink="">
        <xdr:nvSpPr>
          <xdr:cNvPr id="41" name="TextBox 17">
            <a:extLst>
              <a:ext uri="{FF2B5EF4-FFF2-40B4-BE49-F238E27FC236}">
                <a16:creationId xmlns:a16="http://schemas.microsoft.com/office/drawing/2014/main" id="{10DA173F-191B-499D-A815-5A975FF4A25A}"/>
              </a:ext>
            </a:extLst>
          </xdr:cNvPr>
          <xdr:cNvSpPr txBox="1"/>
        </xdr:nvSpPr>
        <xdr:spPr>
          <a:xfrm>
            <a:off x="3083361" y="697463"/>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sp macro="" textlink="">
        <xdr:nvSpPr>
          <xdr:cNvPr id="47" name="TextBox 18">
            <a:extLst>
              <a:ext uri="{FF2B5EF4-FFF2-40B4-BE49-F238E27FC236}">
                <a16:creationId xmlns:a16="http://schemas.microsoft.com/office/drawing/2014/main" id="{0A1F2B09-138E-440A-B6EF-016A0787E4A8}"/>
              </a:ext>
            </a:extLst>
          </xdr:cNvPr>
          <xdr:cNvSpPr txBox="1"/>
        </xdr:nvSpPr>
        <xdr:spPr>
          <a:xfrm>
            <a:off x="3763595" y="1223602"/>
            <a:ext cx="213904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 Part 1</a:t>
            </a:r>
            <a:endParaRPr lang="en-IN" b="1">
              <a:solidFill>
                <a:srgbClr val="FFFF00"/>
              </a:solidFill>
            </a:endParaRPr>
          </a:p>
        </xdr:txBody>
      </xdr:sp>
      <xdr:cxnSp macro="">
        <xdr:nvCxnSpPr>
          <xdr:cNvPr id="48" name="Straight Arrow Connector 47">
            <a:extLst>
              <a:ext uri="{FF2B5EF4-FFF2-40B4-BE49-F238E27FC236}">
                <a16:creationId xmlns:a16="http://schemas.microsoft.com/office/drawing/2014/main" id="{7DA7741C-C72C-4A18-B112-04E892297B1D}"/>
              </a:ext>
            </a:extLst>
          </xdr:cNvPr>
          <xdr:cNvCxnSpPr/>
        </xdr:nvCxnSpPr>
        <xdr:spPr>
          <a:xfrm flipH="1">
            <a:off x="4271343" y="1537216"/>
            <a:ext cx="282728" cy="68258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9" name="TextBox 21">
            <a:extLst>
              <a:ext uri="{FF2B5EF4-FFF2-40B4-BE49-F238E27FC236}">
                <a16:creationId xmlns:a16="http://schemas.microsoft.com/office/drawing/2014/main" id="{7F6E2090-E093-47B8-95CA-FBC28D8A0D6A}"/>
              </a:ext>
            </a:extLst>
          </xdr:cNvPr>
          <xdr:cNvSpPr txBox="1"/>
        </xdr:nvSpPr>
        <xdr:spPr>
          <a:xfrm>
            <a:off x="1003912" y="1072594"/>
            <a:ext cx="213904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 Part 2</a:t>
            </a:r>
            <a:endParaRPr lang="en-IN" b="1">
              <a:solidFill>
                <a:srgbClr val="FFFF00"/>
              </a:solidFill>
            </a:endParaRPr>
          </a:p>
        </xdr:txBody>
      </xdr:sp>
      <xdr:cxnSp macro="">
        <xdr:nvCxnSpPr>
          <xdr:cNvPr id="50" name="Straight Arrow Connector 49">
            <a:extLst>
              <a:ext uri="{FF2B5EF4-FFF2-40B4-BE49-F238E27FC236}">
                <a16:creationId xmlns:a16="http://schemas.microsoft.com/office/drawing/2014/main" id="{96D45C34-E626-4DA5-8D5C-DE7742FE9D34}"/>
              </a:ext>
            </a:extLst>
          </xdr:cNvPr>
          <xdr:cNvCxnSpPr/>
        </xdr:nvCxnSpPr>
        <xdr:spPr>
          <a:xfrm flipH="1">
            <a:off x="1511660" y="1386208"/>
            <a:ext cx="282728" cy="68258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TextBox 23">
            <a:extLst>
              <a:ext uri="{FF2B5EF4-FFF2-40B4-BE49-F238E27FC236}">
                <a16:creationId xmlns:a16="http://schemas.microsoft.com/office/drawing/2014/main" id="{2B25F058-BDE8-4970-8A93-96F0DB6BCFDC}"/>
              </a:ext>
            </a:extLst>
          </xdr:cNvPr>
          <xdr:cNvSpPr txBox="1"/>
        </xdr:nvSpPr>
        <xdr:spPr>
          <a:xfrm>
            <a:off x="750875" y="4387334"/>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a:t>
            </a:r>
            <a:endParaRPr lang="en-IN" b="1"/>
          </a:p>
        </xdr:txBody>
      </xdr:sp>
      <xdr:sp macro="" textlink="">
        <xdr:nvSpPr>
          <xdr:cNvPr id="52" name="TextBox 24">
            <a:extLst>
              <a:ext uri="{FF2B5EF4-FFF2-40B4-BE49-F238E27FC236}">
                <a16:creationId xmlns:a16="http://schemas.microsoft.com/office/drawing/2014/main" id="{C0B16AD7-EDE5-4916-994C-82B8408D03F6}"/>
              </a:ext>
            </a:extLst>
          </xdr:cNvPr>
          <xdr:cNvSpPr txBox="1"/>
        </xdr:nvSpPr>
        <xdr:spPr>
          <a:xfrm>
            <a:off x="4024035" y="4472797"/>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3</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8</xdr:col>
      <xdr:colOff>552000</xdr:colOff>
      <xdr:row>27</xdr:row>
      <xdr:rowOff>45120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647900" y="782880"/>
          <a:ext cx="4800000" cy="3600000"/>
        </a:xfrm>
        <a:prstGeom prst="rect">
          <a:avLst/>
        </a:prstGeom>
        <a:ln>
          <a:solidFill>
            <a:schemeClr val="tx1"/>
          </a:solidFill>
        </a:ln>
      </xdr:spPr>
    </xdr:pic>
    <xdr:clientData/>
  </xdr:twoCellAnchor>
  <xdr:twoCellAnchor editAs="oneCell">
    <xdr:from>
      <xdr:col>9</xdr:col>
      <xdr:colOff>128646</xdr:colOff>
      <xdr:row>1</xdr:row>
      <xdr:rowOff>60000</xdr:rowOff>
    </xdr:from>
    <xdr:to>
      <xdr:col>14</xdr:col>
      <xdr:colOff>590646</xdr:colOff>
      <xdr:row>26</xdr:row>
      <xdr:rowOff>168000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4146" y="242880"/>
          <a:ext cx="3510000" cy="4680000"/>
        </a:xfrm>
        <a:prstGeom prst="rect">
          <a:avLst/>
        </a:prstGeom>
        <a:ln>
          <a:solidFill>
            <a:schemeClr val="tx1"/>
          </a:solidFill>
        </a:ln>
      </xdr:spPr>
    </xdr:pic>
    <xdr:clientData/>
  </xdr:twoCellAnchor>
  <xdr:twoCellAnchor editAs="oneCell">
    <xdr:from>
      <xdr:col>3</xdr:col>
      <xdr:colOff>0</xdr:colOff>
      <xdr:row>28</xdr:row>
      <xdr:rowOff>0</xdr:rowOff>
    </xdr:from>
    <xdr:to>
      <xdr:col>12</xdr:col>
      <xdr:colOff>218362</xdr:colOff>
      <xdr:row>61</xdr:row>
      <xdr:rowOff>65881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2219325" y="5334000"/>
          <a:ext cx="5704762" cy="6352381"/>
        </a:xfrm>
        <a:prstGeom prst="rect">
          <a:avLst/>
        </a:prstGeom>
      </xdr:spPr>
    </xdr:pic>
    <xdr:clientData/>
  </xdr:twoCellAnchor>
  <xdr:twoCellAnchor editAs="oneCell">
    <xdr:from>
      <xdr:col>13</xdr:col>
      <xdr:colOff>0</xdr:colOff>
      <xdr:row>28</xdr:row>
      <xdr:rowOff>0</xdr:rowOff>
    </xdr:from>
    <xdr:to>
      <xdr:col>22</xdr:col>
      <xdr:colOff>218362</xdr:colOff>
      <xdr:row>61</xdr:row>
      <xdr:rowOff>65881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8315325" y="5334000"/>
          <a:ext cx="5704762" cy="6352381"/>
        </a:xfrm>
        <a:prstGeom prst="rect">
          <a:avLst/>
        </a:prstGeom>
      </xdr:spPr>
    </xdr:pic>
    <xdr:clientData/>
  </xdr:twoCellAnchor>
  <xdr:twoCellAnchor editAs="oneCell">
    <xdr:from>
      <xdr:col>3</xdr:col>
      <xdr:colOff>0</xdr:colOff>
      <xdr:row>62</xdr:row>
      <xdr:rowOff>0</xdr:rowOff>
    </xdr:from>
    <xdr:to>
      <xdr:col>12</xdr:col>
      <xdr:colOff>218362</xdr:colOff>
      <xdr:row>95</xdr:row>
      <xdr:rowOff>65881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a:stretch>
          <a:fillRect/>
        </a:stretch>
      </xdr:blipFill>
      <xdr:spPr>
        <a:xfrm>
          <a:off x="2219325" y="11811000"/>
          <a:ext cx="5704762" cy="63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tvLdPqZbKkfNE4z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0"/>
  <sheetViews>
    <sheetView tabSelected="1" view="pageBreakPreview" topLeftCell="A190" zoomScaleNormal="100" zoomScaleSheetLayoutView="100" zoomScalePageLayoutView="85" workbookViewId="0">
      <selection activeCell="I195" sqref="I195"/>
    </sheetView>
  </sheetViews>
  <sheetFormatPr defaultColWidth="9.140625" defaultRowHeight="15.75" x14ac:dyDescent="0.25"/>
  <cols>
    <col min="1" max="1" width="11.42578125" style="10" customWidth="1"/>
    <col min="2" max="2" width="11.140625" style="10" customWidth="1"/>
    <col min="3" max="3" width="12.7109375" style="10" customWidth="1"/>
    <col min="4" max="4" width="13.140625" style="10" customWidth="1"/>
    <col min="5" max="7" width="11.7109375" style="10" customWidth="1"/>
    <col min="8" max="8" width="16.140625" style="10" customWidth="1"/>
    <col min="9" max="9" width="20.42578125" style="3" customWidth="1"/>
    <col min="10" max="10" width="9.85546875" style="3" bestFit="1" customWidth="1"/>
    <col min="11" max="252" width="9.140625" style="3"/>
    <col min="253" max="253" width="8.7109375" style="3" customWidth="1"/>
    <col min="254" max="254" width="9.85546875" style="3" customWidth="1"/>
    <col min="255" max="255" width="14.42578125" style="3" customWidth="1"/>
    <col min="256" max="256" width="7.28515625" style="3" customWidth="1"/>
    <col min="257" max="257" width="5.5703125" style="3" customWidth="1"/>
    <col min="258" max="258" width="9" style="3" customWidth="1"/>
    <col min="259" max="260" width="9.85546875" style="3" customWidth="1"/>
    <col min="261" max="261" width="11.140625" style="3" customWidth="1"/>
    <col min="262" max="262" width="2.85546875" style="3" customWidth="1"/>
    <col min="263" max="263" width="3.5703125" style="3" customWidth="1"/>
    <col min="264" max="508" width="9.140625" style="3"/>
    <col min="509" max="509" width="8.7109375" style="3" customWidth="1"/>
    <col min="510" max="510" width="9.85546875" style="3" customWidth="1"/>
    <col min="511" max="511" width="14.42578125" style="3" customWidth="1"/>
    <col min="512" max="512" width="7.28515625" style="3" customWidth="1"/>
    <col min="513" max="513" width="5.5703125" style="3" customWidth="1"/>
    <col min="514" max="514" width="9" style="3" customWidth="1"/>
    <col min="515" max="516" width="9.85546875" style="3" customWidth="1"/>
    <col min="517" max="517" width="11.140625" style="3" customWidth="1"/>
    <col min="518" max="518" width="2.85546875" style="3" customWidth="1"/>
    <col min="519" max="519" width="3.5703125" style="3" customWidth="1"/>
    <col min="520" max="764" width="9.140625" style="3"/>
    <col min="765" max="765" width="8.7109375" style="3" customWidth="1"/>
    <col min="766" max="766" width="9.85546875" style="3" customWidth="1"/>
    <col min="767" max="767" width="14.42578125" style="3" customWidth="1"/>
    <col min="768" max="768" width="7.28515625" style="3" customWidth="1"/>
    <col min="769" max="769" width="5.5703125" style="3" customWidth="1"/>
    <col min="770" max="770" width="9" style="3" customWidth="1"/>
    <col min="771" max="772" width="9.85546875" style="3" customWidth="1"/>
    <col min="773" max="773" width="11.140625" style="3" customWidth="1"/>
    <col min="774" max="774" width="2.85546875" style="3" customWidth="1"/>
    <col min="775" max="775" width="3.5703125" style="3" customWidth="1"/>
    <col min="776" max="1020" width="9.140625" style="3"/>
    <col min="1021" max="1021" width="8.7109375" style="3" customWidth="1"/>
    <col min="1022" max="1022" width="9.85546875" style="3" customWidth="1"/>
    <col min="1023" max="1023" width="14.42578125" style="3" customWidth="1"/>
    <col min="1024" max="1024" width="7.28515625" style="3" customWidth="1"/>
    <col min="1025" max="1025" width="5.5703125" style="3" customWidth="1"/>
    <col min="1026" max="1026" width="9" style="3" customWidth="1"/>
    <col min="1027" max="1028" width="9.85546875" style="3" customWidth="1"/>
    <col min="1029" max="1029" width="11.140625" style="3" customWidth="1"/>
    <col min="1030" max="1030" width="2.85546875" style="3" customWidth="1"/>
    <col min="1031" max="1031" width="3.5703125" style="3" customWidth="1"/>
    <col min="1032" max="1276" width="9.140625" style="3"/>
    <col min="1277" max="1277" width="8.7109375" style="3" customWidth="1"/>
    <col min="1278" max="1278" width="9.85546875" style="3" customWidth="1"/>
    <col min="1279" max="1279" width="14.42578125" style="3" customWidth="1"/>
    <col min="1280" max="1280" width="7.28515625" style="3" customWidth="1"/>
    <col min="1281" max="1281" width="5.5703125" style="3" customWidth="1"/>
    <col min="1282" max="1282" width="9" style="3" customWidth="1"/>
    <col min="1283" max="1284" width="9.85546875" style="3" customWidth="1"/>
    <col min="1285" max="1285" width="11.140625" style="3" customWidth="1"/>
    <col min="1286" max="1286" width="2.85546875" style="3" customWidth="1"/>
    <col min="1287" max="1287" width="3.5703125" style="3" customWidth="1"/>
    <col min="1288" max="1532" width="9.140625" style="3"/>
    <col min="1533" max="1533" width="8.7109375" style="3" customWidth="1"/>
    <col min="1534" max="1534" width="9.85546875" style="3" customWidth="1"/>
    <col min="1535" max="1535" width="14.42578125" style="3" customWidth="1"/>
    <col min="1536" max="1536" width="7.28515625" style="3" customWidth="1"/>
    <col min="1537" max="1537" width="5.5703125" style="3" customWidth="1"/>
    <col min="1538" max="1538" width="9" style="3" customWidth="1"/>
    <col min="1539" max="1540" width="9.85546875" style="3" customWidth="1"/>
    <col min="1541" max="1541" width="11.140625" style="3" customWidth="1"/>
    <col min="1542" max="1542" width="2.85546875" style="3" customWidth="1"/>
    <col min="1543" max="1543" width="3.5703125" style="3" customWidth="1"/>
    <col min="1544" max="1788" width="9.140625" style="3"/>
    <col min="1789" max="1789" width="8.7109375" style="3" customWidth="1"/>
    <col min="1790" max="1790" width="9.85546875" style="3" customWidth="1"/>
    <col min="1791" max="1791" width="14.42578125" style="3" customWidth="1"/>
    <col min="1792" max="1792" width="7.28515625" style="3" customWidth="1"/>
    <col min="1793" max="1793" width="5.5703125" style="3" customWidth="1"/>
    <col min="1794" max="1794" width="9" style="3" customWidth="1"/>
    <col min="1795" max="1796" width="9.85546875" style="3" customWidth="1"/>
    <col min="1797" max="1797" width="11.140625" style="3" customWidth="1"/>
    <col min="1798" max="1798" width="2.85546875" style="3" customWidth="1"/>
    <col min="1799" max="1799" width="3.5703125" style="3" customWidth="1"/>
    <col min="1800" max="2044" width="9.140625" style="3"/>
    <col min="2045" max="2045" width="8.7109375" style="3" customWidth="1"/>
    <col min="2046" max="2046" width="9.85546875" style="3" customWidth="1"/>
    <col min="2047" max="2047" width="14.42578125" style="3" customWidth="1"/>
    <col min="2048" max="2048" width="7.28515625" style="3" customWidth="1"/>
    <col min="2049" max="2049" width="5.5703125" style="3" customWidth="1"/>
    <col min="2050" max="2050" width="9" style="3" customWidth="1"/>
    <col min="2051" max="2052" width="9.85546875" style="3" customWidth="1"/>
    <col min="2053" max="2053" width="11.140625" style="3" customWidth="1"/>
    <col min="2054" max="2054" width="2.85546875" style="3" customWidth="1"/>
    <col min="2055" max="2055" width="3.5703125" style="3" customWidth="1"/>
    <col min="2056" max="2300" width="9.140625" style="3"/>
    <col min="2301" max="2301" width="8.7109375" style="3" customWidth="1"/>
    <col min="2302" max="2302" width="9.85546875" style="3" customWidth="1"/>
    <col min="2303" max="2303" width="14.42578125" style="3" customWidth="1"/>
    <col min="2304" max="2304" width="7.28515625" style="3" customWidth="1"/>
    <col min="2305" max="2305" width="5.5703125" style="3" customWidth="1"/>
    <col min="2306" max="2306" width="9" style="3" customWidth="1"/>
    <col min="2307" max="2308" width="9.85546875" style="3" customWidth="1"/>
    <col min="2309" max="2309" width="11.140625" style="3" customWidth="1"/>
    <col min="2310" max="2310" width="2.85546875" style="3" customWidth="1"/>
    <col min="2311" max="2311" width="3.5703125" style="3" customWidth="1"/>
    <col min="2312" max="2556" width="9.140625" style="3"/>
    <col min="2557" max="2557" width="8.7109375" style="3" customWidth="1"/>
    <col min="2558" max="2558" width="9.85546875" style="3" customWidth="1"/>
    <col min="2559" max="2559" width="14.42578125" style="3" customWidth="1"/>
    <col min="2560" max="2560" width="7.28515625" style="3" customWidth="1"/>
    <col min="2561" max="2561" width="5.5703125" style="3" customWidth="1"/>
    <col min="2562" max="2562" width="9" style="3" customWidth="1"/>
    <col min="2563" max="2564" width="9.85546875" style="3" customWidth="1"/>
    <col min="2565" max="2565" width="11.140625" style="3" customWidth="1"/>
    <col min="2566" max="2566" width="2.85546875" style="3" customWidth="1"/>
    <col min="2567" max="2567" width="3.5703125" style="3" customWidth="1"/>
    <col min="2568" max="2812" width="9.140625" style="3"/>
    <col min="2813" max="2813" width="8.7109375" style="3" customWidth="1"/>
    <col min="2814" max="2814" width="9.85546875" style="3" customWidth="1"/>
    <col min="2815" max="2815" width="14.42578125" style="3" customWidth="1"/>
    <col min="2816" max="2816" width="7.28515625" style="3" customWidth="1"/>
    <col min="2817" max="2817" width="5.5703125" style="3" customWidth="1"/>
    <col min="2818" max="2818" width="9" style="3" customWidth="1"/>
    <col min="2819" max="2820" width="9.85546875" style="3" customWidth="1"/>
    <col min="2821" max="2821" width="11.140625" style="3" customWidth="1"/>
    <col min="2822" max="2822" width="2.85546875" style="3" customWidth="1"/>
    <col min="2823" max="2823" width="3.5703125" style="3" customWidth="1"/>
    <col min="2824" max="3068" width="9.140625" style="3"/>
    <col min="3069" max="3069" width="8.7109375" style="3" customWidth="1"/>
    <col min="3070" max="3070" width="9.85546875" style="3" customWidth="1"/>
    <col min="3071" max="3071" width="14.42578125" style="3" customWidth="1"/>
    <col min="3072" max="3072" width="7.28515625" style="3" customWidth="1"/>
    <col min="3073" max="3073" width="5.5703125" style="3" customWidth="1"/>
    <col min="3074" max="3074" width="9" style="3" customWidth="1"/>
    <col min="3075" max="3076" width="9.85546875" style="3" customWidth="1"/>
    <col min="3077" max="3077" width="11.140625" style="3" customWidth="1"/>
    <col min="3078" max="3078" width="2.85546875" style="3" customWidth="1"/>
    <col min="3079" max="3079" width="3.5703125" style="3" customWidth="1"/>
    <col min="3080" max="3324" width="9.140625" style="3"/>
    <col min="3325" max="3325" width="8.7109375" style="3" customWidth="1"/>
    <col min="3326" max="3326" width="9.85546875" style="3" customWidth="1"/>
    <col min="3327" max="3327" width="14.42578125" style="3" customWidth="1"/>
    <col min="3328" max="3328" width="7.28515625" style="3" customWidth="1"/>
    <col min="3329" max="3329" width="5.5703125" style="3" customWidth="1"/>
    <col min="3330" max="3330" width="9" style="3" customWidth="1"/>
    <col min="3331" max="3332" width="9.85546875" style="3" customWidth="1"/>
    <col min="3333" max="3333" width="11.140625" style="3" customWidth="1"/>
    <col min="3334" max="3334" width="2.85546875" style="3" customWidth="1"/>
    <col min="3335" max="3335" width="3.5703125" style="3" customWidth="1"/>
    <col min="3336" max="3580" width="9.140625" style="3"/>
    <col min="3581" max="3581" width="8.7109375" style="3" customWidth="1"/>
    <col min="3582" max="3582" width="9.85546875" style="3" customWidth="1"/>
    <col min="3583" max="3583" width="14.42578125" style="3" customWidth="1"/>
    <col min="3584" max="3584" width="7.28515625" style="3" customWidth="1"/>
    <col min="3585" max="3585" width="5.5703125" style="3" customWidth="1"/>
    <col min="3586" max="3586" width="9" style="3" customWidth="1"/>
    <col min="3587" max="3588" width="9.85546875" style="3" customWidth="1"/>
    <col min="3589" max="3589" width="11.140625" style="3" customWidth="1"/>
    <col min="3590" max="3590" width="2.85546875" style="3" customWidth="1"/>
    <col min="3591" max="3591" width="3.5703125" style="3" customWidth="1"/>
    <col min="3592" max="3836" width="9.140625" style="3"/>
    <col min="3837" max="3837" width="8.7109375" style="3" customWidth="1"/>
    <col min="3838" max="3838" width="9.85546875" style="3" customWidth="1"/>
    <col min="3839" max="3839" width="14.42578125" style="3" customWidth="1"/>
    <col min="3840" max="3840" width="7.28515625" style="3" customWidth="1"/>
    <col min="3841" max="3841" width="5.5703125" style="3" customWidth="1"/>
    <col min="3842" max="3842" width="9" style="3" customWidth="1"/>
    <col min="3843" max="3844" width="9.85546875" style="3" customWidth="1"/>
    <col min="3845" max="3845" width="11.140625" style="3" customWidth="1"/>
    <col min="3846" max="3846" width="2.85546875" style="3" customWidth="1"/>
    <col min="3847" max="3847" width="3.5703125" style="3" customWidth="1"/>
    <col min="3848" max="4092" width="9.140625" style="3"/>
    <col min="4093" max="4093" width="8.7109375" style="3" customWidth="1"/>
    <col min="4094" max="4094" width="9.85546875" style="3" customWidth="1"/>
    <col min="4095" max="4095" width="14.42578125" style="3" customWidth="1"/>
    <col min="4096" max="4096" width="7.28515625" style="3" customWidth="1"/>
    <col min="4097" max="4097" width="5.5703125" style="3" customWidth="1"/>
    <col min="4098" max="4098" width="9" style="3" customWidth="1"/>
    <col min="4099" max="4100" width="9.85546875" style="3" customWidth="1"/>
    <col min="4101" max="4101" width="11.140625" style="3" customWidth="1"/>
    <col min="4102" max="4102" width="2.85546875" style="3" customWidth="1"/>
    <col min="4103" max="4103" width="3.5703125" style="3" customWidth="1"/>
    <col min="4104" max="4348" width="9.140625" style="3"/>
    <col min="4349" max="4349" width="8.7109375" style="3" customWidth="1"/>
    <col min="4350" max="4350" width="9.85546875" style="3" customWidth="1"/>
    <col min="4351" max="4351" width="14.42578125" style="3" customWidth="1"/>
    <col min="4352" max="4352" width="7.28515625" style="3" customWidth="1"/>
    <col min="4353" max="4353" width="5.5703125" style="3" customWidth="1"/>
    <col min="4354" max="4354" width="9" style="3" customWidth="1"/>
    <col min="4355" max="4356" width="9.85546875" style="3" customWidth="1"/>
    <col min="4357" max="4357" width="11.140625" style="3" customWidth="1"/>
    <col min="4358" max="4358" width="2.85546875" style="3" customWidth="1"/>
    <col min="4359" max="4359" width="3.5703125" style="3" customWidth="1"/>
    <col min="4360" max="4604" width="9.140625" style="3"/>
    <col min="4605" max="4605" width="8.7109375" style="3" customWidth="1"/>
    <col min="4606" max="4606" width="9.85546875" style="3" customWidth="1"/>
    <col min="4607" max="4607" width="14.42578125" style="3" customWidth="1"/>
    <col min="4608" max="4608" width="7.28515625" style="3" customWidth="1"/>
    <col min="4609" max="4609" width="5.5703125" style="3" customWidth="1"/>
    <col min="4610" max="4610" width="9" style="3" customWidth="1"/>
    <col min="4611" max="4612" width="9.85546875" style="3" customWidth="1"/>
    <col min="4613" max="4613" width="11.140625" style="3" customWidth="1"/>
    <col min="4614" max="4614" width="2.85546875" style="3" customWidth="1"/>
    <col min="4615" max="4615" width="3.5703125" style="3" customWidth="1"/>
    <col min="4616" max="4860" width="9.140625" style="3"/>
    <col min="4861" max="4861" width="8.7109375" style="3" customWidth="1"/>
    <col min="4862" max="4862" width="9.85546875" style="3" customWidth="1"/>
    <col min="4863" max="4863" width="14.42578125" style="3" customWidth="1"/>
    <col min="4864" max="4864" width="7.28515625" style="3" customWidth="1"/>
    <col min="4865" max="4865" width="5.5703125" style="3" customWidth="1"/>
    <col min="4866" max="4866" width="9" style="3" customWidth="1"/>
    <col min="4867" max="4868" width="9.85546875" style="3" customWidth="1"/>
    <col min="4869" max="4869" width="11.140625" style="3" customWidth="1"/>
    <col min="4870" max="4870" width="2.85546875" style="3" customWidth="1"/>
    <col min="4871" max="4871" width="3.5703125" style="3" customWidth="1"/>
    <col min="4872" max="5116" width="9.140625" style="3"/>
    <col min="5117" max="5117" width="8.7109375" style="3" customWidth="1"/>
    <col min="5118" max="5118" width="9.85546875" style="3" customWidth="1"/>
    <col min="5119" max="5119" width="14.42578125" style="3" customWidth="1"/>
    <col min="5120" max="5120" width="7.28515625" style="3" customWidth="1"/>
    <col min="5121" max="5121" width="5.5703125" style="3" customWidth="1"/>
    <col min="5122" max="5122" width="9" style="3" customWidth="1"/>
    <col min="5123" max="5124" width="9.85546875" style="3" customWidth="1"/>
    <col min="5125" max="5125" width="11.140625" style="3" customWidth="1"/>
    <col min="5126" max="5126" width="2.85546875" style="3" customWidth="1"/>
    <col min="5127" max="5127" width="3.5703125" style="3" customWidth="1"/>
    <col min="5128" max="5372" width="9.140625" style="3"/>
    <col min="5373" max="5373" width="8.7109375" style="3" customWidth="1"/>
    <col min="5374" max="5374" width="9.85546875" style="3" customWidth="1"/>
    <col min="5375" max="5375" width="14.42578125" style="3" customWidth="1"/>
    <col min="5376" max="5376" width="7.28515625" style="3" customWidth="1"/>
    <col min="5377" max="5377" width="5.5703125" style="3" customWidth="1"/>
    <col min="5378" max="5378" width="9" style="3" customWidth="1"/>
    <col min="5379" max="5380" width="9.85546875" style="3" customWidth="1"/>
    <col min="5381" max="5381" width="11.140625" style="3" customWidth="1"/>
    <col min="5382" max="5382" width="2.85546875" style="3" customWidth="1"/>
    <col min="5383" max="5383" width="3.5703125" style="3" customWidth="1"/>
    <col min="5384" max="5628" width="9.140625" style="3"/>
    <col min="5629" max="5629" width="8.7109375" style="3" customWidth="1"/>
    <col min="5630" max="5630" width="9.85546875" style="3" customWidth="1"/>
    <col min="5631" max="5631" width="14.42578125" style="3" customWidth="1"/>
    <col min="5632" max="5632" width="7.28515625" style="3" customWidth="1"/>
    <col min="5633" max="5633" width="5.5703125" style="3" customWidth="1"/>
    <col min="5634" max="5634" width="9" style="3" customWidth="1"/>
    <col min="5635" max="5636" width="9.85546875" style="3" customWidth="1"/>
    <col min="5637" max="5637" width="11.140625" style="3" customWidth="1"/>
    <col min="5638" max="5638" width="2.85546875" style="3" customWidth="1"/>
    <col min="5639" max="5639" width="3.5703125" style="3" customWidth="1"/>
    <col min="5640" max="5884" width="9.140625" style="3"/>
    <col min="5885" max="5885" width="8.7109375" style="3" customWidth="1"/>
    <col min="5886" max="5886" width="9.85546875" style="3" customWidth="1"/>
    <col min="5887" max="5887" width="14.42578125" style="3" customWidth="1"/>
    <col min="5888" max="5888" width="7.28515625" style="3" customWidth="1"/>
    <col min="5889" max="5889" width="5.5703125" style="3" customWidth="1"/>
    <col min="5890" max="5890" width="9" style="3" customWidth="1"/>
    <col min="5891" max="5892" width="9.85546875" style="3" customWidth="1"/>
    <col min="5893" max="5893" width="11.140625" style="3" customWidth="1"/>
    <col min="5894" max="5894" width="2.85546875" style="3" customWidth="1"/>
    <col min="5895" max="5895" width="3.5703125" style="3" customWidth="1"/>
    <col min="5896" max="6140" width="9.140625" style="3"/>
    <col min="6141" max="6141" width="8.7109375" style="3" customWidth="1"/>
    <col min="6142" max="6142" width="9.85546875" style="3" customWidth="1"/>
    <col min="6143" max="6143" width="14.42578125" style="3" customWidth="1"/>
    <col min="6144" max="6144" width="7.28515625" style="3" customWidth="1"/>
    <col min="6145" max="6145" width="5.5703125" style="3" customWidth="1"/>
    <col min="6146" max="6146" width="9" style="3" customWidth="1"/>
    <col min="6147" max="6148" width="9.85546875" style="3" customWidth="1"/>
    <col min="6149" max="6149" width="11.140625" style="3" customWidth="1"/>
    <col min="6150" max="6150" width="2.85546875" style="3" customWidth="1"/>
    <col min="6151" max="6151" width="3.5703125" style="3" customWidth="1"/>
    <col min="6152" max="6396" width="9.140625" style="3"/>
    <col min="6397" max="6397" width="8.7109375" style="3" customWidth="1"/>
    <col min="6398" max="6398" width="9.85546875" style="3" customWidth="1"/>
    <col min="6399" max="6399" width="14.42578125" style="3" customWidth="1"/>
    <col min="6400" max="6400" width="7.28515625" style="3" customWidth="1"/>
    <col min="6401" max="6401" width="5.5703125" style="3" customWidth="1"/>
    <col min="6402" max="6402" width="9" style="3" customWidth="1"/>
    <col min="6403" max="6404" width="9.85546875" style="3" customWidth="1"/>
    <col min="6405" max="6405" width="11.140625" style="3" customWidth="1"/>
    <col min="6406" max="6406" width="2.85546875" style="3" customWidth="1"/>
    <col min="6407" max="6407" width="3.5703125" style="3" customWidth="1"/>
    <col min="6408" max="6652" width="9.140625" style="3"/>
    <col min="6653" max="6653" width="8.7109375" style="3" customWidth="1"/>
    <col min="6654" max="6654" width="9.85546875" style="3" customWidth="1"/>
    <col min="6655" max="6655" width="14.42578125" style="3" customWidth="1"/>
    <col min="6656" max="6656" width="7.28515625" style="3" customWidth="1"/>
    <col min="6657" max="6657" width="5.5703125" style="3" customWidth="1"/>
    <col min="6658" max="6658" width="9" style="3" customWidth="1"/>
    <col min="6659" max="6660" width="9.85546875" style="3" customWidth="1"/>
    <col min="6661" max="6661" width="11.140625" style="3" customWidth="1"/>
    <col min="6662" max="6662" width="2.85546875" style="3" customWidth="1"/>
    <col min="6663" max="6663" width="3.5703125" style="3" customWidth="1"/>
    <col min="6664" max="6908" width="9.140625" style="3"/>
    <col min="6909" max="6909" width="8.7109375" style="3" customWidth="1"/>
    <col min="6910" max="6910" width="9.85546875" style="3" customWidth="1"/>
    <col min="6911" max="6911" width="14.42578125" style="3" customWidth="1"/>
    <col min="6912" max="6912" width="7.28515625" style="3" customWidth="1"/>
    <col min="6913" max="6913" width="5.5703125" style="3" customWidth="1"/>
    <col min="6914" max="6914" width="9" style="3" customWidth="1"/>
    <col min="6915" max="6916" width="9.85546875" style="3" customWidth="1"/>
    <col min="6917" max="6917" width="11.140625" style="3" customWidth="1"/>
    <col min="6918" max="6918" width="2.85546875" style="3" customWidth="1"/>
    <col min="6919" max="6919" width="3.5703125" style="3" customWidth="1"/>
    <col min="6920" max="7164" width="9.140625" style="3"/>
    <col min="7165" max="7165" width="8.7109375" style="3" customWidth="1"/>
    <col min="7166" max="7166" width="9.85546875" style="3" customWidth="1"/>
    <col min="7167" max="7167" width="14.42578125" style="3" customWidth="1"/>
    <col min="7168" max="7168" width="7.28515625" style="3" customWidth="1"/>
    <col min="7169" max="7169" width="5.5703125" style="3" customWidth="1"/>
    <col min="7170" max="7170" width="9" style="3" customWidth="1"/>
    <col min="7171" max="7172" width="9.85546875" style="3" customWidth="1"/>
    <col min="7173" max="7173" width="11.140625" style="3" customWidth="1"/>
    <col min="7174" max="7174" width="2.85546875" style="3" customWidth="1"/>
    <col min="7175" max="7175" width="3.5703125" style="3" customWidth="1"/>
    <col min="7176" max="7420" width="9.140625" style="3"/>
    <col min="7421" max="7421" width="8.7109375" style="3" customWidth="1"/>
    <col min="7422" max="7422" width="9.85546875" style="3" customWidth="1"/>
    <col min="7423" max="7423" width="14.42578125" style="3" customWidth="1"/>
    <col min="7424" max="7424" width="7.28515625" style="3" customWidth="1"/>
    <col min="7425" max="7425" width="5.5703125" style="3" customWidth="1"/>
    <col min="7426" max="7426" width="9" style="3" customWidth="1"/>
    <col min="7427" max="7428" width="9.85546875" style="3" customWidth="1"/>
    <col min="7429" max="7429" width="11.140625" style="3" customWidth="1"/>
    <col min="7430" max="7430" width="2.85546875" style="3" customWidth="1"/>
    <col min="7431" max="7431" width="3.5703125" style="3" customWidth="1"/>
    <col min="7432" max="7676" width="9.140625" style="3"/>
    <col min="7677" max="7677" width="8.7109375" style="3" customWidth="1"/>
    <col min="7678" max="7678" width="9.85546875" style="3" customWidth="1"/>
    <col min="7679" max="7679" width="14.42578125" style="3" customWidth="1"/>
    <col min="7680" max="7680" width="7.28515625" style="3" customWidth="1"/>
    <col min="7681" max="7681" width="5.5703125" style="3" customWidth="1"/>
    <col min="7682" max="7682" width="9" style="3" customWidth="1"/>
    <col min="7683" max="7684" width="9.85546875" style="3" customWidth="1"/>
    <col min="7685" max="7685" width="11.140625" style="3" customWidth="1"/>
    <col min="7686" max="7686" width="2.85546875" style="3" customWidth="1"/>
    <col min="7687" max="7687" width="3.5703125" style="3" customWidth="1"/>
    <col min="7688" max="7932" width="9.140625" style="3"/>
    <col min="7933" max="7933" width="8.7109375" style="3" customWidth="1"/>
    <col min="7934" max="7934" width="9.85546875" style="3" customWidth="1"/>
    <col min="7935" max="7935" width="14.42578125" style="3" customWidth="1"/>
    <col min="7936" max="7936" width="7.28515625" style="3" customWidth="1"/>
    <col min="7937" max="7937" width="5.5703125" style="3" customWidth="1"/>
    <col min="7938" max="7938" width="9" style="3" customWidth="1"/>
    <col min="7939" max="7940" width="9.85546875" style="3" customWidth="1"/>
    <col min="7941" max="7941" width="11.140625" style="3" customWidth="1"/>
    <col min="7942" max="7942" width="2.85546875" style="3" customWidth="1"/>
    <col min="7943" max="7943" width="3.5703125" style="3" customWidth="1"/>
    <col min="7944" max="8188" width="9.140625" style="3"/>
    <col min="8189" max="8189" width="8.7109375" style="3" customWidth="1"/>
    <col min="8190" max="8190" width="9.85546875" style="3" customWidth="1"/>
    <col min="8191" max="8191" width="14.42578125" style="3" customWidth="1"/>
    <col min="8192" max="8192" width="7.28515625" style="3" customWidth="1"/>
    <col min="8193" max="8193" width="5.5703125" style="3" customWidth="1"/>
    <col min="8194" max="8194" width="9" style="3" customWidth="1"/>
    <col min="8195" max="8196" width="9.85546875" style="3" customWidth="1"/>
    <col min="8197" max="8197" width="11.140625" style="3" customWidth="1"/>
    <col min="8198" max="8198" width="2.85546875" style="3" customWidth="1"/>
    <col min="8199" max="8199" width="3.5703125" style="3" customWidth="1"/>
    <col min="8200" max="8444" width="9.140625" style="3"/>
    <col min="8445" max="8445" width="8.7109375" style="3" customWidth="1"/>
    <col min="8446" max="8446" width="9.85546875" style="3" customWidth="1"/>
    <col min="8447" max="8447" width="14.42578125" style="3" customWidth="1"/>
    <col min="8448" max="8448" width="7.28515625" style="3" customWidth="1"/>
    <col min="8449" max="8449" width="5.5703125" style="3" customWidth="1"/>
    <col min="8450" max="8450" width="9" style="3" customWidth="1"/>
    <col min="8451" max="8452" width="9.85546875" style="3" customWidth="1"/>
    <col min="8453" max="8453" width="11.140625" style="3" customWidth="1"/>
    <col min="8454" max="8454" width="2.85546875" style="3" customWidth="1"/>
    <col min="8455" max="8455" width="3.5703125" style="3" customWidth="1"/>
    <col min="8456" max="8700" width="9.140625" style="3"/>
    <col min="8701" max="8701" width="8.7109375" style="3" customWidth="1"/>
    <col min="8702" max="8702" width="9.85546875" style="3" customWidth="1"/>
    <col min="8703" max="8703" width="14.42578125" style="3" customWidth="1"/>
    <col min="8704" max="8704" width="7.28515625" style="3" customWidth="1"/>
    <col min="8705" max="8705" width="5.5703125" style="3" customWidth="1"/>
    <col min="8706" max="8706" width="9" style="3" customWidth="1"/>
    <col min="8707" max="8708" width="9.85546875" style="3" customWidth="1"/>
    <col min="8709" max="8709" width="11.140625" style="3" customWidth="1"/>
    <col min="8710" max="8710" width="2.85546875" style="3" customWidth="1"/>
    <col min="8711" max="8711" width="3.5703125" style="3" customWidth="1"/>
    <col min="8712" max="8956" width="9.140625" style="3"/>
    <col min="8957" max="8957" width="8.7109375" style="3" customWidth="1"/>
    <col min="8958" max="8958" width="9.85546875" style="3" customWidth="1"/>
    <col min="8959" max="8959" width="14.42578125" style="3" customWidth="1"/>
    <col min="8960" max="8960" width="7.28515625" style="3" customWidth="1"/>
    <col min="8961" max="8961" width="5.5703125" style="3" customWidth="1"/>
    <col min="8962" max="8962" width="9" style="3" customWidth="1"/>
    <col min="8963" max="8964" width="9.85546875" style="3" customWidth="1"/>
    <col min="8965" max="8965" width="11.140625" style="3" customWidth="1"/>
    <col min="8966" max="8966" width="2.85546875" style="3" customWidth="1"/>
    <col min="8967" max="8967" width="3.5703125" style="3" customWidth="1"/>
    <col min="8968" max="9212" width="9.140625" style="3"/>
    <col min="9213" max="9213" width="8.7109375" style="3" customWidth="1"/>
    <col min="9214" max="9214" width="9.85546875" style="3" customWidth="1"/>
    <col min="9215" max="9215" width="14.42578125" style="3" customWidth="1"/>
    <col min="9216" max="9216" width="7.28515625" style="3" customWidth="1"/>
    <col min="9217" max="9217" width="5.5703125" style="3" customWidth="1"/>
    <col min="9218" max="9218" width="9" style="3" customWidth="1"/>
    <col min="9219" max="9220" width="9.85546875" style="3" customWidth="1"/>
    <col min="9221" max="9221" width="11.140625" style="3" customWidth="1"/>
    <col min="9222" max="9222" width="2.85546875" style="3" customWidth="1"/>
    <col min="9223" max="9223" width="3.5703125" style="3" customWidth="1"/>
    <col min="9224" max="9468" width="9.140625" style="3"/>
    <col min="9469" max="9469" width="8.7109375" style="3" customWidth="1"/>
    <col min="9470" max="9470" width="9.85546875" style="3" customWidth="1"/>
    <col min="9471" max="9471" width="14.42578125" style="3" customWidth="1"/>
    <col min="9472" max="9472" width="7.28515625" style="3" customWidth="1"/>
    <col min="9473" max="9473" width="5.5703125" style="3" customWidth="1"/>
    <col min="9474" max="9474" width="9" style="3" customWidth="1"/>
    <col min="9475" max="9476" width="9.85546875" style="3" customWidth="1"/>
    <col min="9477" max="9477" width="11.140625" style="3" customWidth="1"/>
    <col min="9478" max="9478" width="2.85546875" style="3" customWidth="1"/>
    <col min="9479" max="9479" width="3.5703125" style="3" customWidth="1"/>
    <col min="9480" max="9724" width="9.140625" style="3"/>
    <col min="9725" max="9725" width="8.7109375" style="3" customWidth="1"/>
    <col min="9726" max="9726" width="9.85546875" style="3" customWidth="1"/>
    <col min="9727" max="9727" width="14.42578125" style="3" customWidth="1"/>
    <col min="9728" max="9728" width="7.28515625" style="3" customWidth="1"/>
    <col min="9729" max="9729" width="5.5703125" style="3" customWidth="1"/>
    <col min="9730" max="9730" width="9" style="3" customWidth="1"/>
    <col min="9731" max="9732" width="9.85546875" style="3" customWidth="1"/>
    <col min="9733" max="9733" width="11.140625" style="3" customWidth="1"/>
    <col min="9734" max="9734" width="2.85546875" style="3" customWidth="1"/>
    <col min="9735" max="9735" width="3.5703125" style="3" customWidth="1"/>
    <col min="9736" max="9980" width="9.140625" style="3"/>
    <col min="9981" max="9981" width="8.7109375" style="3" customWidth="1"/>
    <col min="9982" max="9982" width="9.85546875" style="3" customWidth="1"/>
    <col min="9983" max="9983" width="14.42578125" style="3" customWidth="1"/>
    <col min="9984" max="9984" width="7.28515625" style="3" customWidth="1"/>
    <col min="9985" max="9985" width="5.5703125" style="3" customWidth="1"/>
    <col min="9986" max="9986" width="9" style="3" customWidth="1"/>
    <col min="9987" max="9988" width="9.85546875" style="3" customWidth="1"/>
    <col min="9989" max="9989" width="11.140625" style="3" customWidth="1"/>
    <col min="9990" max="9990" width="2.85546875" style="3" customWidth="1"/>
    <col min="9991" max="9991" width="3.5703125" style="3" customWidth="1"/>
    <col min="9992" max="10236" width="9.140625" style="3"/>
    <col min="10237" max="10237" width="8.7109375" style="3" customWidth="1"/>
    <col min="10238" max="10238" width="9.85546875" style="3" customWidth="1"/>
    <col min="10239" max="10239" width="14.42578125" style="3" customWidth="1"/>
    <col min="10240" max="10240" width="7.28515625" style="3" customWidth="1"/>
    <col min="10241" max="10241" width="5.5703125" style="3" customWidth="1"/>
    <col min="10242" max="10242" width="9" style="3" customWidth="1"/>
    <col min="10243" max="10244" width="9.85546875" style="3" customWidth="1"/>
    <col min="10245" max="10245" width="11.140625" style="3" customWidth="1"/>
    <col min="10246" max="10246" width="2.85546875" style="3" customWidth="1"/>
    <col min="10247" max="10247" width="3.5703125" style="3" customWidth="1"/>
    <col min="10248" max="10492" width="9.140625" style="3"/>
    <col min="10493" max="10493" width="8.7109375" style="3" customWidth="1"/>
    <col min="10494" max="10494" width="9.85546875" style="3" customWidth="1"/>
    <col min="10495" max="10495" width="14.42578125" style="3" customWidth="1"/>
    <col min="10496" max="10496" width="7.28515625" style="3" customWidth="1"/>
    <col min="10497" max="10497" width="5.5703125" style="3" customWidth="1"/>
    <col min="10498" max="10498" width="9" style="3" customWidth="1"/>
    <col min="10499" max="10500" width="9.85546875" style="3" customWidth="1"/>
    <col min="10501" max="10501" width="11.140625" style="3" customWidth="1"/>
    <col min="10502" max="10502" width="2.85546875" style="3" customWidth="1"/>
    <col min="10503" max="10503" width="3.5703125" style="3" customWidth="1"/>
    <col min="10504" max="10748" width="9.140625" style="3"/>
    <col min="10749" max="10749" width="8.7109375" style="3" customWidth="1"/>
    <col min="10750" max="10750" width="9.85546875" style="3" customWidth="1"/>
    <col min="10751" max="10751" width="14.42578125" style="3" customWidth="1"/>
    <col min="10752" max="10752" width="7.28515625" style="3" customWidth="1"/>
    <col min="10753" max="10753" width="5.5703125" style="3" customWidth="1"/>
    <col min="10754" max="10754" width="9" style="3" customWidth="1"/>
    <col min="10755" max="10756" width="9.85546875" style="3" customWidth="1"/>
    <col min="10757" max="10757" width="11.140625" style="3" customWidth="1"/>
    <col min="10758" max="10758" width="2.85546875" style="3" customWidth="1"/>
    <col min="10759" max="10759" width="3.5703125" style="3" customWidth="1"/>
    <col min="10760" max="11004" width="9.140625" style="3"/>
    <col min="11005" max="11005" width="8.7109375" style="3" customWidth="1"/>
    <col min="11006" max="11006" width="9.85546875" style="3" customWidth="1"/>
    <col min="11007" max="11007" width="14.42578125" style="3" customWidth="1"/>
    <col min="11008" max="11008" width="7.28515625" style="3" customWidth="1"/>
    <col min="11009" max="11009" width="5.5703125" style="3" customWidth="1"/>
    <col min="11010" max="11010" width="9" style="3" customWidth="1"/>
    <col min="11011" max="11012" width="9.85546875" style="3" customWidth="1"/>
    <col min="11013" max="11013" width="11.140625" style="3" customWidth="1"/>
    <col min="11014" max="11014" width="2.85546875" style="3" customWidth="1"/>
    <col min="11015" max="11015" width="3.5703125" style="3" customWidth="1"/>
    <col min="11016" max="11260" width="9.140625" style="3"/>
    <col min="11261" max="11261" width="8.7109375" style="3" customWidth="1"/>
    <col min="11262" max="11262" width="9.85546875" style="3" customWidth="1"/>
    <col min="11263" max="11263" width="14.42578125" style="3" customWidth="1"/>
    <col min="11264" max="11264" width="7.28515625" style="3" customWidth="1"/>
    <col min="11265" max="11265" width="5.5703125" style="3" customWidth="1"/>
    <col min="11266" max="11266" width="9" style="3" customWidth="1"/>
    <col min="11267" max="11268" width="9.85546875" style="3" customWidth="1"/>
    <col min="11269" max="11269" width="11.140625" style="3" customWidth="1"/>
    <col min="11270" max="11270" width="2.85546875" style="3" customWidth="1"/>
    <col min="11271" max="11271" width="3.5703125" style="3" customWidth="1"/>
    <col min="11272" max="11516" width="9.140625" style="3"/>
    <col min="11517" max="11517" width="8.7109375" style="3" customWidth="1"/>
    <col min="11518" max="11518" width="9.85546875" style="3" customWidth="1"/>
    <col min="11519" max="11519" width="14.42578125" style="3" customWidth="1"/>
    <col min="11520" max="11520" width="7.28515625" style="3" customWidth="1"/>
    <col min="11521" max="11521" width="5.5703125" style="3" customWidth="1"/>
    <col min="11522" max="11522" width="9" style="3" customWidth="1"/>
    <col min="11523" max="11524" width="9.85546875" style="3" customWidth="1"/>
    <col min="11525" max="11525" width="11.140625" style="3" customWidth="1"/>
    <col min="11526" max="11526" width="2.85546875" style="3" customWidth="1"/>
    <col min="11527" max="11527" width="3.5703125" style="3" customWidth="1"/>
    <col min="11528" max="11772" width="9.140625" style="3"/>
    <col min="11773" max="11773" width="8.7109375" style="3" customWidth="1"/>
    <col min="11774" max="11774" width="9.85546875" style="3" customWidth="1"/>
    <col min="11775" max="11775" width="14.42578125" style="3" customWidth="1"/>
    <col min="11776" max="11776" width="7.28515625" style="3" customWidth="1"/>
    <col min="11777" max="11777" width="5.5703125" style="3" customWidth="1"/>
    <col min="11778" max="11778" width="9" style="3" customWidth="1"/>
    <col min="11779" max="11780" width="9.85546875" style="3" customWidth="1"/>
    <col min="11781" max="11781" width="11.140625" style="3" customWidth="1"/>
    <col min="11782" max="11782" width="2.85546875" style="3" customWidth="1"/>
    <col min="11783" max="11783" width="3.5703125" style="3" customWidth="1"/>
    <col min="11784" max="12028" width="9.140625" style="3"/>
    <col min="12029" max="12029" width="8.7109375" style="3" customWidth="1"/>
    <col min="12030" max="12030" width="9.85546875" style="3" customWidth="1"/>
    <col min="12031" max="12031" width="14.42578125" style="3" customWidth="1"/>
    <col min="12032" max="12032" width="7.28515625" style="3" customWidth="1"/>
    <col min="12033" max="12033" width="5.5703125" style="3" customWidth="1"/>
    <col min="12034" max="12034" width="9" style="3" customWidth="1"/>
    <col min="12035" max="12036" width="9.85546875" style="3" customWidth="1"/>
    <col min="12037" max="12037" width="11.140625" style="3" customWidth="1"/>
    <col min="12038" max="12038" width="2.85546875" style="3" customWidth="1"/>
    <col min="12039" max="12039" width="3.5703125" style="3" customWidth="1"/>
    <col min="12040" max="12284" width="9.140625" style="3"/>
    <col min="12285" max="12285" width="8.7109375" style="3" customWidth="1"/>
    <col min="12286" max="12286" width="9.85546875" style="3" customWidth="1"/>
    <col min="12287" max="12287" width="14.42578125" style="3" customWidth="1"/>
    <col min="12288" max="12288" width="7.28515625" style="3" customWidth="1"/>
    <col min="12289" max="12289" width="5.5703125" style="3" customWidth="1"/>
    <col min="12290" max="12290" width="9" style="3" customWidth="1"/>
    <col min="12291" max="12292" width="9.85546875" style="3" customWidth="1"/>
    <col min="12293" max="12293" width="11.140625" style="3" customWidth="1"/>
    <col min="12294" max="12294" width="2.85546875" style="3" customWidth="1"/>
    <col min="12295" max="12295" width="3.5703125" style="3" customWidth="1"/>
    <col min="12296" max="12540" width="9.140625" style="3"/>
    <col min="12541" max="12541" width="8.7109375" style="3" customWidth="1"/>
    <col min="12542" max="12542" width="9.85546875" style="3" customWidth="1"/>
    <col min="12543" max="12543" width="14.42578125" style="3" customWidth="1"/>
    <col min="12544" max="12544" width="7.28515625" style="3" customWidth="1"/>
    <col min="12545" max="12545" width="5.5703125" style="3" customWidth="1"/>
    <col min="12546" max="12546" width="9" style="3" customWidth="1"/>
    <col min="12547" max="12548" width="9.85546875" style="3" customWidth="1"/>
    <col min="12549" max="12549" width="11.140625" style="3" customWidth="1"/>
    <col min="12550" max="12550" width="2.85546875" style="3" customWidth="1"/>
    <col min="12551" max="12551" width="3.5703125" style="3" customWidth="1"/>
    <col min="12552" max="12796" width="9.140625" style="3"/>
    <col min="12797" max="12797" width="8.7109375" style="3" customWidth="1"/>
    <col min="12798" max="12798" width="9.85546875" style="3" customWidth="1"/>
    <col min="12799" max="12799" width="14.42578125" style="3" customWidth="1"/>
    <col min="12800" max="12800" width="7.28515625" style="3" customWidth="1"/>
    <col min="12801" max="12801" width="5.5703125" style="3" customWidth="1"/>
    <col min="12802" max="12802" width="9" style="3" customWidth="1"/>
    <col min="12803" max="12804" width="9.85546875" style="3" customWidth="1"/>
    <col min="12805" max="12805" width="11.140625" style="3" customWidth="1"/>
    <col min="12806" max="12806" width="2.85546875" style="3" customWidth="1"/>
    <col min="12807" max="12807" width="3.5703125" style="3" customWidth="1"/>
    <col min="12808" max="13052" width="9.140625" style="3"/>
    <col min="13053" max="13053" width="8.7109375" style="3" customWidth="1"/>
    <col min="13054" max="13054" width="9.85546875" style="3" customWidth="1"/>
    <col min="13055" max="13055" width="14.42578125" style="3" customWidth="1"/>
    <col min="13056" max="13056" width="7.28515625" style="3" customWidth="1"/>
    <col min="13057" max="13057" width="5.5703125" style="3" customWidth="1"/>
    <col min="13058" max="13058" width="9" style="3" customWidth="1"/>
    <col min="13059" max="13060" width="9.85546875" style="3" customWidth="1"/>
    <col min="13061" max="13061" width="11.140625" style="3" customWidth="1"/>
    <col min="13062" max="13062" width="2.85546875" style="3" customWidth="1"/>
    <col min="13063" max="13063" width="3.5703125" style="3" customWidth="1"/>
    <col min="13064" max="13308" width="9.140625" style="3"/>
    <col min="13309" max="13309" width="8.7109375" style="3" customWidth="1"/>
    <col min="13310" max="13310" width="9.85546875" style="3" customWidth="1"/>
    <col min="13311" max="13311" width="14.42578125" style="3" customWidth="1"/>
    <col min="13312" max="13312" width="7.28515625" style="3" customWidth="1"/>
    <col min="13313" max="13313" width="5.5703125" style="3" customWidth="1"/>
    <col min="13314" max="13314" width="9" style="3" customWidth="1"/>
    <col min="13315" max="13316" width="9.85546875" style="3" customWidth="1"/>
    <col min="13317" max="13317" width="11.140625" style="3" customWidth="1"/>
    <col min="13318" max="13318" width="2.85546875" style="3" customWidth="1"/>
    <col min="13319" max="13319" width="3.5703125" style="3" customWidth="1"/>
    <col min="13320" max="13564" width="9.140625" style="3"/>
    <col min="13565" max="13565" width="8.7109375" style="3" customWidth="1"/>
    <col min="13566" max="13566" width="9.85546875" style="3" customWidth="1"/>
    <col min="13567" max="13567" width="14.42578125" style="3" customWidth="1"/>
    <col min="13568" max="13568" width="7.28515625" style="3" customWidth="1"/>
    <col min="13569" max="13569" width="5.5703125" style="3" customWidth="1"/>
    <col min="13570" max="13570" width="9" style="3" customWidth="1"/>
    <col min="13571" max="13572" width="9.85546875" style="3" customWidth="1"/>
    <col min="13573" max="13573" width="11.140625" style="3" customWidth="1"/>
    <col min="13574" max="13574" width="2.85546875" style="3" customWidth="1"/>
    <col min="13575" max="13575" width="3.5703125" style="3" customWidth="1"/>
    <col min="13576" max="13820" width="9.140625" style="3"/>
    <col min="13821" max="13821" width="8.7109375" style="3" customWidth="1"/>
    <col min="13822" max="13822" width="9.85546875" style="3" customWidth="1"/>
    <col min="13823" max="13823" width="14.42578125" style="3" customWidth="1"/>
    <col min="13824" max="13824" width="7.28515625" style="3" customWidth="1"/>
    <col min="13825" max="13825" width="5.5703125" style="3" customWidth="1"/>
    <col min="13826" max="13826" width="9" style="3" customWidth="1"/>
    <col min="13827" max="13828" width="9.85546875" style="3" customWidth="1"/>
    <col min="13829" max="13829" width="11.140625" style="3" customWidth="1"/>
    <col min="13830" max="13830" width="2.85546875" style="3" customWidth="1"/>
    <col min="13831" max="13831" width="3.5703125" style="3" customWidth="1"/>
    <col min="13832" max="14076" width="9.140625" style="3"/>
    <col min="14077" max="14077" width="8.7109375" style="3" customWidth="1"/>
    <col min="14078" max="14078" width="9.85546875" style="3" customWidth="1"/>
    <col min="14079" max="14079" width="14.42578125" style="3" customWidth="1"/>
    <col min="14080" max="14080" width="7.28515625" style="3" customWidth="1"/>
    <col min="14081" max="14081" width="5.5703125" style="3" customWidth="1"/>
    <col min="14082" max="14082" width="9" style="3" customWidth="1"/>
    <col min="14083" max="14084" width="9.85546875" style="3" customWidth="1"/>
    <col min="14085" max="14085" width="11.140625" style="3" customWidth="1"/>
    <col min="14086" max="14086" width="2.85546875" style="3" customWidth="1"/>
    <col min="14087" max="14087" width="3.5703125" style="3" customWidth="1"/>
    <col min="14088" max="14332" width="9.140625" style="3"/>
    <col min="14333" max="14333" width="8.7109375" style="3" customWidth="1"/>
    <col min="14334" max="14334" width="9.85546875" style="3" customWidth="1"/>
    <col min="14335" max="14335" width="14.42578125" style="3" customWidth="1"/>
    <col min="14336" max="14336" width="7.28515625" style="3" customWidth="1"/>
    <col min="14337" max="14337" width="5.5703125" style="3" customWidth="1"/>
    <col min="14338" max="14338" width="9" style="3" customWidth="1"/>
    <col min="14339" max="14340" width="9.85546875" style="3" customWidth="1"/>
    <col min="14341" max="14341" width="11.140625" style="3" customWidth="1"/>
    <col min="14342" max="14342" width="2.85546875" style="3" customWidth="1"/>
    <col min="14343" max="14343" width="3.5703125" style="3" customWidth="1"/>
    <col min="14344" max="14588" width="9.140625" style="3"/>
    <col min="14589" max="14589" width="8.7109375" style="3" customWidth="1"/>
    <col min="14590" max="14590" width="9.85546875" style="3" customWidth="1"/>
    <col min="14591" max="14591" width="14.42578125" style="3" customWidth="1"/>
    <col min="14592" max="14592" width="7.28515625" style="3" customWidth="1"/>
    <col min="14593" max="14593" width="5.5703125" style="3" customWidth="1"/>
    <col min="14594" max="14594" width="9" style="3" customWidth="1"/>
    <col min="14595" max="14596" width="9.85546875" style="3" customWidth="1"/>
    <col min="14597" max="14597" width="11.140625" style="3" customWidth="1"/>
    <col min="14598" max="14598" width="2.85546875" style="3" customWidth="1"/>
    <col min="14599" max="14599" width="3.5703125" style="3" customWidth="1"/>
    <col min="14600" max="14844" width="9.140625" style="3"/>
    <col min="14845" max="14845" width="8.7109375" style="3" customWidth="1"/>
    <col min="14846" max="14846" width="9.85546875" style="3" customWidth="1"/>
    <col min="14847" max="14847" width="14.42578125" style="3" customWidth="1"/>
    <col min="14848" max="14848" width="7.28515625" style="3" customWidth="1"/>
    <col min="14849" max="14849" width="5.5703125" style="3" customWidth="1"/>
    <col min="14850" max="14850" width="9" style="3" customWidth="1"/>
    <col min="14851" max="14852" width="9.85546875" style="3" customWidth="1"/>
    <col min="14853" max="14853" width="11.140625" style="3" customWidth="1"/>
    <col min="14854" max="14854" width="2.85546875" style="3" customWidth="1"/>
    <col min="14855" max="14855" width="3.5703125" style="3" customWidth="1"/>
    <col min="14856" max="15100" width="9.140625" style="3"/>
    <col min="15101" max="15101" width="8.7109375" style="3" customWidth="1"/>
    <col min="15102" max="15102" width="9.85546875" style="3" customWidth="1"/>
    <col min="15103" max="15103" width="14.42578125" style="3" customWidth="1"/>
    <col min="15104" max="15104" width="7.28515625" style="3" customWidth="1"/>
    <col min="15105" max="15105" width="5.5703125" style="3" customWidth="1"/>
    <col min="15106" max="15106" width="9" style="3" customWidth="1"/>
    <col min="15107" max="15108" width="9.85546875" style="3" customWidth="1"/>
    <col min="15109" max="15109" width="11.140625" style="3" customWidth="1"/>
    <col min="15110" max="15110" width="2.85546875" style="3" customWidth="1"/>
    <col min="15111" max="15111" width="3.5703125" style="3" customWidth="1"/>
    <col min="15112" max="15356" width="9.140625" style="3"/>
    <col min="15357" max="15357" width="8.7109375" style="3" customWidth="1"/>
    <col min="15358" max="15358" width="9.85546875" style="3" customWidth="1"/>
    <col min="15359" max="15359" width="14.42578125" style="3" customWidth="1"/>
    <col min="15360" max="15360" width="7.28515625" style="3" customWidth="1"/>
    <col min="15361" max="15361" width="5.5703125" style="3" customWidth="1"/>
    <col min="15362" max="15362" width="9" style="3" customWidth="1"/>
    <col min="15363" max="15364" width="9.85546875" style="3" customWidth="1"/>
    <col min="15365" max="15365" width="11.140625" style="3" customWidth="1"/>
    <col min="15366" max="15366" width="2.85546875" style="3" customWidth="1"/>
    <col min="15367" max="15367" width="3.5703125" style="3" customWidth="1"/>
    <col min="15368" max="15612" width="9.140625" style="3"/>
    <col min="15613" max="15613" width="8.7109375" style="3" customWidth="1"/>
    <col min="15614" max="15614" width="9.85546875" style="3" customWidth="1"/>
    <col min="15615" max="15615" width="14.42578125" style="3" customWidth="1"/>
    <col min="15616" max="15616" width="7.28515625" style="3" customWidth="1"/>
    <col min="15617" max="15617" width="5.5703125" style="3" customWidth="1"/>
    <col min="15618" max="15618" width="9" style="3" customWidth="1"/>
    <col min="15619" max="15620" width="9.85546875" style="3" customWidth="1"/>
    <col min="15621" max="15621" width="11.140625" style="3" customWidth="1"/>
    <col min="15622" max="15622" width="2.85546875" style="3" customWidth="1"/>
    <col min="15623" max="15623" width="3.5703125" style="3" customWidth="1"/>
    <col min="15624" max="15868" width="9.140625" style="3"/>
    <col min="15869" max="15869" width="8.7109375" style="3" customWidth="1"/>
    <col min="15870" max="15870" width="9.85546875" style="3" customWidth="1"/>
    <col min="15871" max="15871" width="14.42578125" style="3" customWidth="1"/>
    <col min="15872" max="15872" width="7.28515625" style="3" customWidth="1"/>
    <col min="15873" max="15873" width="5.5703125" style="3" customWidth="1"/>
    <col min="15874" max="15874" width="9" style="3" customWidth="1"/>
    <col min="15875" max="15876" width="9.85546875" style="3" customWidth="1"/>
    <col min="15877" max="15877" width="11.140625" style="3" customWidth="1"/>
    <col min="15878" max="15878" width="2.85546875" style="3" customWidth="1"/>
    <col min="15879" max="15879" width="3.5703125" style="3" customWidth="1"/>
    <col min="15880" max="16124" width="9.140625" style="3"/>
    <col min="16125" max="16125" width="8.7109375" style="3" customWidth="1"/>
    <col min="16126" max="16126" width="9.85546875" style="3" customWidth="1"/>
    <col min="16127" max="16127" width="14.42578125" style="3" customWidth="1"/>
    <col min="16128" max="16128" width="7.28515625" style="3" customWidth="1"/>
    <col min="16129" max="16129" width="5.5703125" style="3" customWidth="1"/>
    <col min="16130" max="16130" width="9" style="3" customWidth="1"/>
    <col min="16131" max="16132" width="9.85546875" style="3" customWidth="1"/>
    <col min="16133" max="16133" width="11.140625" style="3" customWidth="1"/>
    <col min="16134" max="16134" width="2.85546875" style="3" customWidth="1"/>
    <col min="16135" max="16135" width="3.5703125" style="3" customWidth="1"/>
    <col min="16136" max="16384" width="9.140625" style="3"/>
  </cols>
  <sheetData>
    <row r="1" spans="1:8" ht="46.5" customHeight="1" x14ac:dyDescent="0.25">
      <c r="A1" s="122" t="s">
        <v>220</v>
      </c>
      <c r="B1" s="122"/>
      <c r="C1" s="122"/>
      <c r="D1" s="122"/>
      <c r="E1" s="122"/>
      <c r="F1" s="122"/>
      <c r="G1" s="122"/>
      <c r="H1" s="122"/>
    </row>
    <row r="2" spans="1:8" ht="16.5" customHeight="1" x14ac:dyDescent="0.25">
      <c r="A2" s="123" t="s">
        <v>0</v>
      </c>
      <c r="B2" s="123"/>
      <c r="C2" s="123"/>
      <c r="D2" s="123"/>
      <c r="E2" s="123"/>
      <c r="F2" s="123"/>
      <c r="G2" s="123"/>
      <c r="H2" s="123"/>
    </row>
    <row r="3" spans="1:8" x14ac:dyDescent="0.25">
      <c r="A3" s="97" t="s">
        <v>1</v>
      </c>
      <c r="B3" s="97"/>
      <c r="C3" s="97"/>
      <c r="D3" s="97"/>
      <c r="E3" s="124" t="str">
        <f ca="1">TEXT(TODAY(),"DD/MM/YYYY")</f>
        <v>19/09/2025</v>
      </c>
      <c r="F3" s="124"/>
      <c r="G3" s="124"/>
      <c r="H3" s="124"/>
    </row>
    <row r="4" spans="1:8" ht="15" customHeight="1" x14ac:dyDescent="0.25">
      <c r="A4" s="97" t="s">
        <v>2</v>
      </c>
      <c r="B4" s="97"/>
      <c r="C4" s="97"/>
      <c r="D4" s="97"/>
      <c r="E4" s="125" t="s">
        <v>118</v>
      </c>
      <c r="F4" s="125"/>
      <c r="G4" s="125"/>
      <c r="H4" s="125"/>
    </row>
    <row r="5" spans="1:8" x14ac:dyDescent="0.25">
      <c r="A5" s="97" t="s">
        <v>3</v>
      </c>
      <c r="B5" s="97"/>
      <c r="C5" s="97"/>
      <c r="D5" s="97"/>
      <c r="E5" s="124">
        <v>45918</v>
      </c>
      <c r="F5" s="124"/>
      <c r="G5" s="124"/>
      <c r="H5" s="124"/>
    </row>
    <row r="6" spans="1:8" x14ac:dyDescent="0.25">
      <c r="A6" s="97" t="s">
        <v>4</v>
      </c>
      <c r="B6" s="97"/>
      <c r="C6" s="97"/>
      <c r="D6" s="97"/>
      <c r="E6" s="104" t="s">
        <v>119</v>
      </c>
      <c r="F6" s="104"/>
      <c r="G6" s="104"/>
      <c r="H6" s="104"/>
    </row>
    <row r="7" spans="1:8" x14ac:dyDescent="0.25">
      <c r="A7" s="97" t="s">
        <v>5</v>
      </c>
      <c r="B7" s="97"/>
      <c r="C7" s="97"/>
      <c r="D7" s="97"/>
      <c r="E7" s="104" t="str">
        <f>E6</f>
        <v>M/s.Om Sadguru Realtors</v>
      </c>
      <c r="F7" s="104"/>
      <c r="G7" s="104"/>
      <c r="H7" s="104"/>
    </row>
    <row r="8" spans="1:8" x14ac:dyDescent="0.25">
      <c r="A8" s="97" t="s">
        <v>6</v>
      </c>
      <c r="B8" s="97"/>
      <c r="C8" s="97"/>
      <c r="D8" s="97"/>
      <c r="E8" s="118" t="s">
        <v>120</v>
      </c>
      <c r="F8" s="118"/>
      <c r="G8" s="118"/>
      <c r="H8" s="118"/>
    </row>
    <row r="9" spans="1:8" x14ac:dyDescent="0.25">
      <c r="A9" s="97" t="s">
        <v>7</v>
      </c>
      <c r="B9" s="97"/>
      <c r="C9" s="97"/>
      <c r="D9" s="97"/>
      <c r="E9" s="97">
        <v>9833535663</v>
      </c>
      <c r="F9" s="97"/>
      <c r="G9" s="97"/>
      <c r="H9" s="97"/>
    </row>
    <row r="10" spans="1:8" ht="35.25" customHeight="1" x14ac:dyDescent="0.25">
      <c r="A10" s="104" t="s">
        <v>216</v>
      </c>
      <c r="B10" s="97"/>
      <c r="C10" s="97"/>
      <c r="D10" s="97"/>
      <c r="E10" s="104" t="s">
        <v>221</v>
      </c>
      <c r="F10" s="97"/>
      <c r="G10" s="97"/>
      <c r="H10" s="97"/>
    </row>
    <row r="11" spans="1:8" ht="48" customHeight="1" x14ac:dyDescent="0.25">
      <c r="A11" s="98" t="s">
        <v>8</v>
      </c>
      <c r="B11" s="98"/>
      <c r="C11" s="98"/>
      <c r="D11" s="98"/>
      <c r="E11" s="119" t="s">
        <v>121</v>
      </c>
      <c r="F11" s="98"/>
      <c r="G11" s="98"/>
      <c r="H11" s="98"/>
    </row>
    <row r="12" spans="1:8" x14ac:dyDescent="0.25">
      <c r="A12" s="97" t="s">
        <v>9</v>
      </c>
      <c r="B12" s="97"/>
      <c r="C12" s="97"/>
      <c r="D12" s="97"/>
      <c r="E12" s="119" t="s">
        <v>204</v>
      </c>
      <c r="F12" s="119"/>
      <c r="G12" s="119"/>
      <c r="H12" s="119"/>
    </row>
    <row r="13" spans="1:8" x14ac:dyDescent="0.25">
      <c r="A13" s="97" t="s">
        <v>10</v>
      </c>
      <c r="B13" s="97"/>
      <c r="C13" s="97"/>
      <c r="D13" s="97"/>
      <c r="E13" s="97" t="s">
        <v>122</v>
      </c>
      <c r="F13" s="97"/>
      <c r="G13" s="97"/>
      <c r="H13" s="97"/>
    </row>
    <row r="14" spans="1:8" ht="34.5" customHeight="1" x14ac:dyDescent="0.25">
      <c r="A14" s="104" t="s">
        <v>11</v>
      </c>
      <c r="B14" s="104"/>
      <c r="C14" s="104" t="str">
        <f>CONCATENATE((IF(OR(E8="",E8="NA"),"",E8)),", ",(IF(OR(A15="",A15="NA"),"",A15)),".",(IF(OR(C15="",C15="NA"),"",C15)),", ",(IF(OR(C16="",C16="NA"),"",C16)),", ",(IF(OR(G16="",G16="NA"),"",G16)),", ",(IF(OR(G17="",G17="NA"),"",G17)),".")</f>
        <v>Sadguru Darshan, Survey No.27 &amp; H.No. 2B+3A, Chauk - Karjat - Murbad Road, Murbad, Thane.</v>
      </c>
      <c r="D14" s="104"/>
      <c r="E14" s="104"/>
      <c r="F14" s="104"/>
      <c r="G14" s="104"/>
      <c r="H14" s="104"/>
    </row>
    <row r="15" spans="1:8" ht="15.75" customHeight="1" x14ac:dyDescent="0.25">
      <c r="A15" s="119" t="s">
        <v>157</v>
      </c>
      <c r="B15" s="119"/>
      <c r="C15" s="119" t="s">
        <v>123</v>
      </c>
      <c r="D15" s="119"/>
      <c r="E15" s="119"/>
      <c r="F15" s="119"/>
      <c r="G15" s="119"/>
      <c r="H15" s="119"/>
    </row>
    <row r="16" spans="1:8" ht="32.450000000000003" customHeight="1" x14ac:dyDescent="0.25">
      <c r="A16" s="104" t="s">
        <v>12</v>
      </c>
      <c r="B16" s="104"/>
      <c r="C16" s="119" t="s">
        <v>133</v>
      </c>
      <c r="D16" s="119"/>
      <c r="E16" s="104" t="s">
        <v>84</v>
      </c>
      <c r="F16" s="104"/>
      <c r="G16" s="119" t="s">
        <v>124</v>
      </c>
      <c r="H16" s="119"/>
    </row>
    <row r="17" spans="1:8" x14ac:dyDescent="0.25">
      <c r="A17" s="97" t="s">
        <v>14</v>
      </c>
      <c r="B17" s="97"/>
      <c r="C17" s="119" t="s">
        <v>124</v>
      </c>
      <c r="D17" s="119"/>
      <c r="E17" s="104" t="s">
        <v>13</v>
      </c>
      <c r="F17" s="104"/>
      <c r="G17" s="121" t="s">
        <v>125</v>
      </c>
      <c r="H17" s="121"/>
    </row>
    <row r="18" spans="1:8" x14ac:dyDescent="0.25">
      <c r="A18" s="97" t="s">
        <v>85</v>
      </c>
      <c r="B18" s="97"/>
      <c r="C18" s="119" t="s">
        <v>124</v>
      </c>
      <c r="D18" s="119"/>
      <c r="E18" s="104" t="s">
        <v>15</v>
      </c>
      <c r="F18" s="104"/>
      <c r="G18" s="119">
        <v>421401</v>
      </c>
      <c r="H18" s="119"/>
    </row>
    <row r="19" spans="1:8" ht="32.25" customHeight="1" x14ac:dyDescent="0.25">
      <c r="A19" s="97" t="s">
        <v>16</v>
      </c>
      <c r="B19" s="97"/>
      <c r="C19" s="104" t="s">
        <v>134</v>
      </c>
      <c r="D19" s="104"/>
      <c r="E19" s="104" t="s">
        <v>17</v>
      </c>
      <c r="F19" s="104"/>
      <c r="G19" s="120" t="s">
        <v>195</v>
      </c>
      <c r="H19" s="120"/>
    </row>
    <row r="20" spans="1:8" ht="15" customHeight="1" x14ac:dyDescent="0.25">
      <c r="A20" s="104" t="s">
        <v>90</v>
      </c>
      <c r="B20" s="104"/>
      <c r="C20" s="104"/>
      <c r="D20" s="104"/>
      <c r="E20" s="98" t="s">
        <v>18</v>
      </c>
      <c r="F20" s="98"/>
      <c r="G20" s="98"/>
      <c r="H20" s="98"/>
    </row>
    <row r="21" spans="1:8" ht="18.75" customHeight="1" x14ac:dyDescent="0.25">
      <c r="A21" s="104"/>
      <c r="B21" s="104"/>
      <c r="C21" s="104"/>
      <c r="D21" s="104"/>
      <c r="E21" s="98"/>
      <c r="F21" s="98"/>
      <c r="G21" s="98"/>
      <c r="H21" s="98"/>
    </row>
    <row r="22" spans="1:8" ht="15" customHeight="1" x14ac:dyDescent="0.25">
      <c r="A22" s="104" t="s">
        <v>19</v>
      </c>
      <c r="B22" s="104"/>
      <c r="C22" s="104"/>
      <c r="D22" s="104"/>
      <c r="E22" s="119" t="s">
        <v>20</v>
      </c>
      <c r="F22" s="119"/>
      <c r="G22" s="119"/>
      <c r="H22" s="119"/>
    </row>
    <row r="23" spans="1:8" ht="15" customHeight="1" x14ac:dyDescent="0.25">
      <c r="A23" s="97" t="s">
        <v>21</v>
      </c>
      <c r="B23" s="97"/>
      <c r="C23" s="97"/>
      <c r="D23" s="97"/>
      <c r="E23" s="119" t="s">
        <v>126</v>
      </c>
      <c r="F23" s="119"/>
      <c r="G23" s="119"/>
      <c r="H23" s="119"/>
    </row>
    <row r="24" spans="1:8" x14ac:dyDescent="0.25">
      <c r="A24" s="97" t="s">
        <v>22</v>
      </c>
      <c r="B24" s="97"/>
      <c r="C24" s="97"/>
      <c r="D24" s="97"/>
      <c r="E24" s="119" t="s">
        <v>23</v>
      </c>
      <c r="F24" s="119"/>
      <c r="G24" s="119"/>
      <c r="H24" s="119"/>
    </row>
    <row r="25" spans="1:8" x14ac:dyDescent="0.25">
      <c r="A25" s="97" t="s">
        <v>24</v>
      </c>
      <c r="B25" s="97"/>
      <c r="C25" s="97"/>
      <c r="D25" s="97"/>
      <c r="E25" s="119" t="s">
        <v>127</v>
      </c>
      <c r="F25" s="119"/>
      <c r="G25" s="119"/>
      <c r="H25" s="119"/>
    </row>
    <row r="26" spans="1:8" x14ac:dyDescent="0.25">
      <c r="A26" s="97" t="s">
        <v>25</v>
      </c>
      <c r="B26" s="97"/>
      <c r="C26" s="97"/>
      <c r="D26" s="97"/>
      <c r="E26" s="119" t="s">
        <v>26</v>
      </c>
      <c r="F26" s="119"/>
      <c r="G26" s="119"/>
      <c r="H26" s="119"/>
    </row>
    <row r="27" spans="1:8" x14ac:dyDescent="0.25">
      <c r="A27" s="97" t="s">
        <v>95</v>
      </c>
      <c r="B27" s="97"/>
      <c r="C27" s="97"/>
      <c r="D27" s="97"/>
      <c r="E27" s="119" t="s">
        <v>96</v>
      </c>
      <c r="F27" s="119"/>
      <c r="G27" s="119"/>
      <c r="H27" s="119"/>
    </row>
    <row r="28" spans="1:8" ht="15" customHeight="1" x14ac:dyDescent="0.25">
      <c r="A28" s="104" t="s">
        <v>35</v>
      </c>
      <c r="B28" s="104"/>
      <c r="C28" s="104"/>
      <c r="D28" s="104"/>
      <c r="E28" s="125" t="s">
        <v>156</v>
      </c>
      <c r="F28" s="125"/>
      <c r="G28" s="125"/>
      <c r="H28" s="125"/>
    </row>
    <row r="29" spans="1:8" x14ac:dyDescent="0.25">
      <c r="A29" s="104" t="s">
        <v>108</v>
      </c>
      <c r="B29" s="104"/>
      <c r="C29" s="104"/>
      <c r="D29" s="104"/>
      <c r="E29" s="104" t="s">
        <v>36</v>
      </c>
      <c r="F29" s="104"/>
      <c r="G29" s="104"/>
      <c r="H29" s="104"/>
    </row>
    <row r="30" spans="1:8" s="7" customFormat="1" x14ac:dyDescent="0.25">
      <c r="A30" s="135" t="s">
        <v>109</v>
      </c>
      <c r="B30" s="135"/>
      <c r="C30" s="130" t="s">
        <v>31</v>
      </c>
      <c r="D30" s="130"/>
      <c r="E30" s="130"/>
      <c r="F30" s="130" t="s">
        <v>33</v>
      </c>
      <c r="G30" s="130"/>
      <c r="H30" s="130"/>
    </row>
    <row r="31" spans="1:8" s="7" customFormat="1" x14ac:dyDescent="0.25">
      <c r="A31" s="127" t="s">
        <v>27</v>
      </c>
      <c r="B31" s="127" t="s">
        <v>32</v>
      </c>
      <c r="C31" s="129" t="s">
        <v>32</v>
      </c>
      <c r="D31" s="129"/>
      <c r="E31" s="129"/>
      <c r="F31" s="129" t="s">
        <v>136</v>
      </c>
      <c r="G31" s="129"/>
      <c r="H31" s="129"/>
    </row>
    <row r="32" spans="1:8" x14ac:dyDescent="0.25">
      <c r="A32" s="127" t="s">
        <v>28</v>
      </c>
      <c r="B32" s="127" t="s">
        <v>32</v>
      </c>
      <c r="C32" s="129" t="s">
        <v>32</v>
      </c>
      <c r="D32" s="129"/>
      <c r="E32" s="129"/>
      <c r="F32" s="129" t="s">
        <v>12</v>
      </c>
      <c r="G32" s="129"/>
      <c r="H32" s="129"/>
    </row>
    <row r="33" spans="1:8" s="7" customFormat="1" x14ac:dyDescent="0.25">
      <c r="A33" s="127" t="s">
        <v>30</v>
      </c>
      <c r="B33" s="127" t="s">
        <v>32</v>
      </c>
      <c r="C33" s="129" t="s">
        <v>32</v>
      </c>
      <c r="D33" s="129"/>
      <c r="E33" s="129"/>
      <c r="F33" s="129" t="s">
        <v>135</v>
      </c>
      <c r="G33" s="129"/>
      <c r="H33" s="129"/>
    </row>
    <row r="34" spans="1:8" x14ac:dyDescent="0.25">
      <c r="A34" s="127" t="s">
        <v>29</v>
      </c>
      <c r="B34" s="127" t="s">
        <v>32</v>
      </c>
      <c r="C34" s="129" t="s">
        <v>32</v>
      </c>
      <c r="D34" s="129"/>
      <c r="E34" s="129"/>
      <c r="F34" s="129" t="s">
        <v>135</v>
      </c>
      <c r="G34" s="129"/>
      <c r="H34" s="129"/>
    </row>
    <row r="35" spans="1:8" x14ac:dyDescent="0.25">
      <c r="A35" s="97" t="s">
        <v>34</v>
      </c>
      <c r="B35" s="97"/>
      <c r="C35" s="97"/>
      <c r="D35" s="97"/>
      <c r="E35" s="97"/>
      <c r="F35" s="97"/>
      <c r="G35" s="97"/>
      <c r="H35" s="97"/>
    </row>
    <row r="36" spans="1:8" x14ac:dyDescent="0.25">
      <c r="A36" s="123" t="s">
        <v>213</v>
      </c>
      <c r="B36" s="123"/>
      <c r="C36" s="139" t="s">
        <v>215</v>
      </c>
      <c r="D36" s="139"/>
      <c r="E36" s="139"/>
      <c r="F36" s="139"/>
      <c r="G36" s="139"/>
      <c r="H36" s="139"/>
    </row>
    <row r="37" spans="1:8" x14ac:dyDescent="0.25">
      <c r="A37" s="123" t="s">
        <v>212</v>
      </c>
      <c r="B37" s="123"/>
      <c r="C37" s="138" t="s">
        <v>214</v>
      </c>
      <c r="D37" s="139"/>
      <c r="E37" s="139"/>
      <c r="F37" s="139"/>
      <c r="G37" s="139"/>
      <c r="H37" s="139"/>
    </row>
    <row r="38" spans="1:8" x14ac:dyDescent="0.25">
      <c r="A38" s="118" t="s">
        <v>37</v>
      </c>
      <c r="B38" s="118"/>
      <c r="C38" s="118"/>
      <c r="D38" s="118"/>
      <c r="E38" s="118"/>
      <c r="F38" s="118"/>
      <c r="G38" s="118"/>
      <c r="H38" s="118"/>
    </row>
    <row r="39" spans="1:8" x14ac:dyDescent="0.25">
      <c r="A39" s="97" t="s">
        <v>38</v>
      </c>
      <c r="B39" s="97"/>
      <c r="C39" s="97"/>
      <c r="D39" s="97"/>
      <c r="E39" s="128">
        <v>3906</v>
      </c>
      <c r="F39" s="128"/>
      <c r="G39" s="128"/>
      <c r="H39" s="128"/>
    </row>
    <row r="40" spans="1:8" x14ac:dyDescent="0.25">
      <c r="A40" s="97" t="s">
        <v>39</v>
      </c>
      <c r="B40" s="97"/>
      <c r="C40" s="97"/>
      <c r="D40" s="97"/>
      <c r="E40" s="126">
        <v>1</v>
      </c>
      <c r="F40" s="126"/>
      <c r="G40" s="126"/>
      <c r="H40" s="126"/>
    </row>
    <row r="41" spans="1:8" x14ac:dyDescent="0.25">
      <c r="A41" s="97" t="s">
        <v>40</v>
      </c>
      <c r="B41" s="97"/>
      <c r="C41" s="97"/>
      <c r="D41" s="97"/>
      <c r="E41" s="126">
        <f>E43/E39-E40</f>
        <v>0.19999999999999996</v>
      </c>
      <c r="F41" s="126"/>
      <c r="G41" s="126"/>
      <c r="H41" s="126"/>
    </row>
    <row r="42" spans="1:8" x14ac:dyDescent="0.25">
      <c r="A42" s="97" t="s">
        <v>41</v>
      </c>
      <c r="B42" s="97"/>
      <c r="C42" s="97"/>
      <c r="D42" s="97"/>
      <c r="E42" s="126">
        <f>E40+E41</f>
        <v>1.2</v>
      </c>
      <c r="F42" s="126"/>
      <c r="G42" s="126"/>
      <c r="H42" s="126"/>
    </row>
    <row r="43" spans="1:8" x14ac:dyDescent="0.25">
      <c r="A43" s="97" t="s">
        <v>107</v>
      </c>
      <c r="B43" s="97"/>
      <c r="C43" s="97"/>
      <c r="D43" s="97"/>
      <c r="E43" s="137">
        <v>4687.2</v>
      </c>
      <c r="F43" s="137"/>
      <c r="G43" s="137"/>
      <c r="H43" s="137"/>
    </row>
    <row r="44" spans="1:8" x14ac:dyDescent="0.25">
      <c r="A44" s="98" t="s">
        <v>42</v>
      </c>
      <c r="B44" s="98"/>
      <c r="C44" s="98"/>
      <c r="D44" s="98"/>
      <c r="E44" s="98" t="s">
        <v>132</v>
      </c>
      <c r="F44" s="98"/>
      <c r="G44" s="98"/>
      <c r="H44" s="98"/>
    </row>
    <row r="45" spans="1:8" x14ac:dyDescent="0.25">
      <c r="A45" s="83" t="s">
        <v>43</v>
      </c>
      <c r="B45" s="83"/>
      <c r="C45" s="83"/>
      <c r="D45" s="83"/>
      <c r="E45" s="83"/>
      <c r="F45" s="83"/>
      <c r="G45" s="83"/>
      <c r="H45" s="83"/>
    </row>
    <row r="46" spans="1:8" x14ac:dyDescent="0.25">
      <c r="A46" s="119" t="s">
        <v>44</v>
      </c>
      <c r="B46" s="119"/>
      <c r="C46" s="119" t="s">
        <v>205</v>
      </c>
      <c r="D46" s="119"/>
      <c r="E46" s="119"/>
      <c r="F46" s="47" t="s">
        <v>45</v>
      </c>
      <c r="G46" s="136">
        <v>44383</v>
      </c>
      <c r="H46" s="119"/>
    </row>
    <row r="47" spans="1:8" x14ac:dyDescent="0.25">
      <c r="A47" s="119" t="s">
        <v>46</v>
      </c>
      <c r="B47" s="119"/>
      <c r="C47" s="119" t="str">
        <f>C46</f>
        <v>J.Kr.527/2021</v>
      </c>
      <c r="D47" s="119"/>
      <c r="E47" s="119"/>
      <c r="F47" s="47" t="s">
        <v>45</v>
      </c>
      <c r="G47" s="136">
        <f>G46</f>
        <v>44383</v>
      </c>
      <c r="H47" s="119"/>
    </row>
    <row r="48" spans="1:8" s="6" customFormat="1" x14ac:dyDescent="0.25">
      <c r="A48" s="119" t="s">
        <v>47</v>
      </c>
      <c r="B48" s="119"/>
      <c r="C48" s="119" t="str">
        <f>C46</f>
        <v>J.Kr.527/2021</v>
      </c>
      <c r="D48" s="98"/>
      <c r="E48" s="98"/>
      <c r="F48" s="47" t="s">
        <v>45</v>
      </c>
      <c r="G48" s="136">
        <f>G46</f>
        <v>44383</v>
      </c>
      <c r="H48" s="119"/>
    </row>
    <row r="49" spans="1:11" s="6" customFormat="1" ht="31.5" customHeight="1" x14ac:dyDescent="0.25">
      <c r="A49" s="119"/>
      <c r="B49" s="119"/>
      <c r="C49" s="119" t="s">
        <v>218</v>
      </c>
      <c r="D49" s="119"/>
      <c r="E49" s="119"/>
      <c r="F49" s="119"/>
      <c r="G49" s="119"/>
      <c r="H49" s="119"/>
    </row>
    <row r="50" spans="1:11" x14ac:dyDescent="0.25">
      <c r="A50" s="119" t="s">
        <v>48</v>
      </c>
      <c r="B50" s="119"/>
      <c r="C50" s="119" t="s">
        <v>128</v>
      </c>
      <c r="D50" s="98"/>
      <c r="E50" s="98" t="s">
        <v>49</v>
      </c>
      <c r="F50" s="47" t="s">
        <v>45</v>
      </c>
      <c r="G50" s="119" t="s">
        <v>32</v>
      </c>
      <c r="H50" s="119"/>
    </row>
    <row r="51" spans="1:11" x14ac:dyDescent="0.25">
      <c r="A51" s="140" t="s">
        <v>51</v>
      </c>
      <c r="B51" s="140"/>
      <c r="C51" s="140"/>
      <c r="D51" s="140"/>
      <c r="E51" s="140"/>
      <c r="F51" s="140"/>
      <c r="G51" s="140"/>
      <c r="H51" s="140"/>
    </row>
    <row r="52" spans="1:11" x14ac:dyDescent="0.25">
      <c r="A52" s="119" t="s">
        <v>106</v>
      </c>
      <c r="B52" s="119"/>
      <c r="C52" s="119"/>
      <c r="D52" s="98">
        <f>E43</f>
        <v>4687.2</v>
      </c>
      <c r="E52" s="98"/>
      <c r="F52" s="98"/>
      <c r="G52" s="98"/>
      <c r="H52" s="98"/>
    </row>
    <row r="53" spans="1:11" x14ac:dyDescent="0.25">
      <c r="A53" s="119" t="s">
        <v>52</v>
      </c>
      <c r="B53" s="98"/>
      <c r="C53" s="98"/>
      <c r="D53" s="98" t="s">
        <v>211</v>
      </c>
      <c r="E53" s="98"/>
      <c r="F53" s="98"/>
      <c r="G53" s="98"/>
      <c r="H53" s="98"/>
    </row>
    <row r="54" spans="1:11" ht="33.75" customHeight="1" x14ac:dyDescent="0.25">
      <c r="A54" s="119" t="s">
        <v>53</v>
      </c>
      <c r="B54" s="98"/>
      <c r="C54" s="98"/>
      <c r="D54" s="119" t="s">
        <v>196</v>
      </c>
      <c r="E54" s="98"/>
      <c r="F54" s="98"/>
      <c r="G54" s="98"/>
      <c r="H54" s="98"/>
    </row>
    <row r="55" spans="1:11" ht="33.75" customHeight="1" x14ac:dyDescent="0.25">
      <c r="A55" s="119" t="s">
        <v>104</v>
      </c>
      <c r="B55" s="98"/>
      <c r="C55" s="98"/>
      <c r="D55" s="119" t="s">
        <v>196</v>
      </c>
      <c r="E55" s="98"/>
      <c r="F55" s="98"/>
      <c r="G55" s="98"/>
      <c r="H55" s="98"/>
    </row>
    <row r="56" spans="1:11" ht="15.75" customHeight="1" x14ac:dyDescent="0.25">
      <c r="A56" s="97" t="s">
        <v>50</v>
      </c>
      <c r="B56" s="97"/>
      <c r="C56" s="97"/>
      <c r="D56" s="104" t="s">
        <v>219</v>
      </c>
      <c r="E56" s="104"/>
      <c r="F56" s="104"/>
      <c r="G56" s="104"/>
      <c r="H56" s="104"/>
    </row>
    <row r="57" spans="1:11" ht="15.75" customHeight="1" x14ac:dyDescent="0.25">
      <c r="A57" s="97" t="s">
        <v>101</v>
      </c>
      <c r="B57" s="97"/>
      <c r="C57" s="97"/>
      <c r="D57" s="104" t="s">
        <v>102</v>
      </c>
      <c r="E57" s="104"/>
      <c r="F57" s="104"/>
      <c r="G57" s="104"/>
      <c r="H57" s="104"/>
    </row>
    <row r="58" spans="1:11" ht="15.75" customHeight="1" x14ac:dyDescent="0.25">
      <c r="A58" s="97" t="s">
        <v>103</v>
      </c>
      <c r="B58" s="97"/>
      <c r="C58" s="97"/>
      <c r="D58" s="104" t="s">
        <v>26</v>
      </c>
      <c r="E58" s="104"/>
      <c r="F58" s="104"/>
      <c r="G58" s="104"/>
      <c r="H58" s="104"/>
      <c r="I58" s="13"/>
      <c r="J58" s="11"/>
      <c r="K58" s="11"/>
    </row>
    <row r="59" spans="1:11" ht="15.75" customHeight="1" thickBot="1" x14ac:dyDescent="0.3">
      <c r="A59" s="97" t="s">
        <v>100</v>
      </c>
      <c r="B59" s="97"/>
      <c r="C59" s="97"/>
      <c r="D59" s="119" t="s">
        <v>129</v>
      </c>
      <c r="E59" s="119"/>
      <c r="F59" s="119"/>
      <c r="G59" s="119"/>
      <c r="H59" s="119"/>
      <c r="I59" s="13"/>
      <c r="J59" s="11"/>
      <c r="K59" s="11"/>
    </row>
    <row r="60" spans="1:11" customFormat="1" ht="15.75" customHeight="1" x14ac:dyDescent="0.25">
      <c r="A60" s="77" t="s">
        <v>176</v>
      </c>
      <c r="B60" s="78"/>
      <c r="C60" s="79" t="s">
        <v>222</v>
      </c>
      <c r="D60" s="80"/>
      <c r="E60" s="80"/>
      <c r="F60" s="80"/>
      <c r="G60" s="80"/>
      <c r="H60" s="81"/>
      <c r="I60" s="29"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is process</v>
      </c>
      <c r="J60" s="30"/>
    </row>
    <row r="61" spans="1:11" customFormat="1" x14ac:dyDescent="0.25">
      <c r="A61" s="31" t="s">
        <v>81</v>
      </c>
      <c r="B61" s="50">
        <v>0</v>
      </c>
      <c r="C61" s="50" t="s">
        <v>83</v>
      </c>
      <c r="D61" s="50">
        <v>1</v>
      </c>
      <c r="E61" s="50" t="s">
        <v>82</v>
      </c>
      <c r="F61" s="50">
        <v>0</v>
      </c>
      <c r="G61" s="50" t="s">
        <v>94</v>
      </c>
      <c r="H61" s="32">
        <f ca="1">--TRIM(RIGHT(SUBSTITUTE(LEFT(C60,_xlfn.AGGREGATE(16,6,FIND({0,1,2,3,4,5,6,7,8,9},C60,ROW(INDIRECT("1:"&amp;LEN(C60)))),1))," ",REPT(" ",LEN(C60))),LEN(C60)))</f>
        <v>7</v>
      </c>
      <c r="I61" s="33"/>
      <c r="J61" s="34"/>
    </row>
    <row r="62" spans="1:11" customFormat="1" x14ac:dyDescent="0.25">
      <c r="A62" s="82" t="s">
        <v>105</v>
      </c>
      <c r="B62" s="83"/>
      <c r="C62" s="84" t="str">
        <f ca="1">I60</f>
        <v>Excavation work Completed. Plinth work is process</v>
      </c>
      <c r="D62" s="84"/>
      <c r="E62" s="84"/>
      <c r="F62" s="84"/>
      <c r="G62" s="84"/>
      <c r="H62" s="85"/>
      <c r="I62" s="33" t="s">
        <v>117</v>
      </c>
      <c r="J62" s="34"/>
    </row>
    <row r="63" spans="1:11" customFormat="1" x14ac:dyDescent="0.25">
      <c r="A63" s="86" t="s">
        <v>54</v>
      </c>
      <c r="B63" s="87"/>
      <c r="C63" s="46" t="s">
        <v>177</v>
      </c>
      <c r="D63" s="46" t="s">
        <v>97</v>
      </c>
      <c r="E63" s="87" t="s">
        <v>99</v>
      </c>
      <c r="F63" s="87"/>
      <c r="G63" s="87" t="s">
        <v>98</v>
      </c>
      <c r="H63" s="88"/>
      <c r="I63" s="12" t="s">
        <v>178</v>
      </c>
      <c r="J63" s="35">
        <f ca="1">H61*25%</f>
        <v>1.75</v>
      </c>
    </row>
    <row r="64" spans="1:11" customFormat="1" x14ac:dyDescent="0.25">
      <c r="A64" s="86" t="s">
        <v>179</v>
      </c>
      <c r="B64" s="87"/>
      <c r="C64" s="52">
        <f ca="1">J65</f>
        <v>7</v>
      </c>
      <c r="D64" s="53">
        <f ca="1">((100/H61)*C64)/100</f>
        <v>1</v>
      </c>
      <c r="E64" s="89">
        <f ca="1">(((C65/H61*10)+(40/(D61+F61+H61)*C66)+(7.5/(H61)*C67)+(7.5/(H61)*C68)+(10/H61*C69)+(10/H61*C70)+(5/H61*C71)+(5/H61*C72)+(5/H61*C73))/100)</f>
        <v>7.4999999999999997E-2</v>
      </c>
      <c r="F64" s="89"/>
      <c r="G64" s="89">
        <f ca="1">((((C64/H61)*20)+((C65/H61)*25)+(30/(H61+F61+D61)*C66)+(5/H61*C67)+(5/H61*C68)+(5/H61*C69)+(5/H61*C70)+(0/H61*C71)+(0/H61*C72)+(5/H61*C73))/100)</f>
        <v>0.38750000000000001</v>
      </c>
      <c r="H64" s="91"/>
      <c r="I64" s="12" t="s">
        <v>111</v>
      </c>
      <c r="J64" s="36">
        <f ca="1">H61*50%</f>
        <v>3.5</v>
      </c>
    </row>
    <row r="65" spans="1:14" customFormat="1" x14ac:dyDescent="0.25">
      <c r="A65" s="86" t="s">
        <v>55</v>
      </c>
      <c r="B65" s="87"/>
      <c r="C65" s="54">
        <f ca="1">J72</f>
        <v>5.25</v>
      </c>
      <c r="D65" s="53">
        <f ca="1">((100/H61)*C65)/100</f>
        <v>0.75</v>
      </c>
      <c r="E65" s="89"/>
      <c r="F65" s="89"/>
      <c r="G65" s="89"/>
      <c r="H65" s="91"/>
      <c r="I65" s="12" t="s">
        <v>112</v>
      </c>
      <c r="J65" s="36">
        <f ca="1">H61</f>
        <v>7</v>
      </c>
    </row>
    <row r="66" spans="1:14" customFormat="1" x14ac:dyDescent="0.25">
      <c r="A66" s="86" t="s">
        <v>180</v>
      </c>
      <c r="B66" s="87"/>
      <c r="C66" s="54">
        <v>0</v>
      </c>
      <c r="D66" s="53">
        <f ca="1">((100/(D61+F61+H61))*C66)/100</f>
        <v>0</v>
      </c>
      <c r="E66" s="89"/>
      <c r="F66" s="89"/>
      <c r="G66" s="89"/>
      <c r="H66" s="91"/>
      <c r="I66" s="12" t="s">
        <v>113</v>
      </c>
      <c r="J66" s="37">
        <f ca="1">(IF(B61&gt;1,(H61/(B61+2)),H61/4))</f>
        <v>1.75</v>
      </c>
      <c r="L66" s="38"/>
    </row>
    <row r="67" spans="1:14" customFormat="1" ht="15.75" customHeight="1" x14ac:dyDescent="0.25">
      <c r="A67" s="86" t="s">
        <v>181</v>
      </c>
      <c r="B67" s="87" t="s">
        <v>182</v>
      </c>
      <c r="C67" s="52">
        <v>0</v>
      </c>
      <c r="D67" s="53">
        <f ca="1">((100/H61)*C67)/100</f>
        <v>0</v>
      </c>
      <c r="E67" s="89"/>
      <c r="F67" s="89"/>
      <c r="G67" s="89"/>
      <c r="H67" s="91"/>
      <c r="I67" s="12" t="s">
        <v>114</v>
      </c>
      <c r="J67" s="37">
        <f ca="1">(IF(B61&gt;1,(H61/(B61+2)+J66),H61/4+J66))</f>
        <v>3.5</v>
      </c>
      <c r="L67" s="38"/>
    </row>
    <row r="68" spans="1:14" customFormat="1" ht="15.75" customHeight="1" x14ac:dyDescent="0.25">
      <c r="A68" s="86" t="s">
        <v>183</v>
      </c>
      <c r="B68" s="87" t="s">
        <v>182</v>
      </c>
      <c r="C68" s="52">
        <v>0</v>
      </c>
      <c r="D68" s="53">
        <f ca="1">((100/H61)*C68)/100</f>
        <v>0</v>
      </c>
      <c r="E68" s="89"/>
      <c r="F68" s="89"/>
      <c r="G68" s="89"/>
      <c r="H68" s="91"/>
      <c r="I68" s="12" t="s">
        <v>184</v>
      </c>
      <c r="J68" s="37">
        <f>(IF(B61&gt;1,(H61/(B61+2)+J67),0))</f>
        <v>0</v>
      </c>
      <c r="K68" s="39"/>
      <c r="L68" s="40"/>
      <c r="N68" s="38"/>
    </row>
    <row r="69" spans="1:14" customFormat="1" ht="15.75" customHeight="1" x14ac:dyDescent="0.25">
      <c r="A69" s="86" t="s">
        <v>185</v>
      </c>
      <c r="B69" s="87" t="s">
        <v>186</v>
      </c>
      <c r="C69" s="52">
        <v>0</v>
      </c>
      <c r="D69" s="53">
        <f ca="1">((100/(H61))*C69)/100</f>
        <v>0</v>
      </c>
      <c r="E69" s="89"/>
      <c r="F69" s="89"/>
      <c r="G69" s="89"/>
      <c r="H69" s="91"/>
      <c r="I69" s="12" t="s">
        <v>187</v>
      </c>
      <c r="J69" s="37">
        <f>(IF(B61&gt;2,(H61/(B61+2)+J68),0))</f>
        <v>0</v>
      </c>
      <c r="K69" s="41"/>
      <c r="L69" s="40"/>
    </row>
    <row r="70" spans="1:14" customFormat="1" ht="15.75" customHeight="1" x14ac:dyDescent="0.25">
      <c r="A70" s="86" t="s">
        <v>188</v>
      </c>
      <c r="B70" s="87" t="s">
        <v>188</v>
      </c>
      <c r="C70" s="52">
        <v>0</v>
      </c>
      <c r="D70" s="53">
        <f ca="1">((100/H61)*C70)/100</f>
        <v>0</v>
      </c>
      <c r="E70" s="89"/>
      <c r="F70" s="89"/>
      <c r="G70" s="89"/>
      <c r="H70" s="91"/>
      <c r="I70" s="12" t="s">
        <v>189</v>
      </c>
      <c r="J70" s="42">
        <f>(IF(B61&gt;3,(H61/(B61+2)+J69),0))</f>
        <v>0</v>
      </c>
      <c r="K70" s="41"/>
      <c r="L70" s="40"/>
    </row>
    <row r="71" spans="1:14" customFormat="1" ht="15.75" customHeight="1" x14ac:dyDescent="0.25">
      <c r="A71" s="86" t="s">
        <v>190</v>
      </c>
      <c r="B71" s="87"/>
      <c r="C71" s="52">
        <v>0</v>
      </c>
      <c r="D71" s="53">
        <f ca="1">((100/H61)*C71)/100</f>
        <v>0</v>
      </c>
      <c r="E71" s="89"/>
      <c r="F71" s="89"/>
      <c r="G71" s="89"/>
      <c r="H71" s="91"/>
      <c r="I71" s="12" t="s">
        <v>191</v>
      </c>
      <c r="J71" s="37">
        <f>(IF(B61&gt;4,(H61/(B61+2)+J70),0))</f>
        <v>0</v>
      </c>
      <c r="K71" s="43"/>
      <c r="L71" s="40"/>
    </row>
    <row r="72" spans="1:14" customFormat="1" ht="15.75" customHeight="1" x14ac:dyDescent="0.25">
      <c r="A72" s="86" t="s">
        <v>192</v>
      </c>
      <c r="B72" s="87" t="s">
        <v>192</v>
      </c>
      <c r="C72" s="52">
        <v>0</v>
      </c>
      <c r="D72" s="53">
        <f ca="1">((100/(H61))*C72)/100</f>
        <v>0</v>
      </c>
      <c r="E72" s="89"/>
      <c r="F72" s="89"/>
      <c r="G72" s="89"/>
      <c r="H72" s="91"/>
      <c r="I72" s="12" t="s">
        <v>115</v>
      </c>
      <c r="J72" s="37">
        <f ca="1">(IF(B61=1,(H61/(B61+3)+J67),IF(B61=0,(H61/4+J67),IF(B61&gt;1,0))))</f>
        <v>5.25</v>
      </c>
      <c r="K72" s="41"/>
      <c r="L72" s="40"/>
    </row>
    <row r="73" spans="1:14" customFormat="1" ht="16.5" thickBot="1" x14ac:dyDescent="0.3">
      <c r="A73" s="95" t="s">
        <v>193</v>
      </c>
      <c r="B73" s="96"/>
      <c r="C73" s="55">
        <v>0</v>
      </c>
      <c r="D73" s="56">
        <f ca="1">((100/(H61))*C73)/100</f>
        <v>0</v>
      </c>
      <c r="E73" s="102"/>
      <c r="F73" s="102"/>
      <c r="G73" s="102"/>
      <c r="H73" s="103"/>
      <c r="I73" s="44" t="s">
        <v>116</v>
      </c>
      <c r="J73" s="45">
        <f ca="1">(IF(B61&gt;1.5,(H61/(B61+2)+J67+MAX(0,J68-J67)+MAX(0,J69-J68)+MAX(0,J70-J69)+MAX(0,J71-J70)+MAX(0,J72-J71)),IF(B61=1,(H61/(B61+3)+J72),IF(B61=0,H61/4+J72))))</f>
        <v>7</v>
      </c>
      <c r="K73" s="41"/>
      <c r="L73" s="40"/>
    </row>
    <row r="74" spans="1:14" customFormat="1" ht="15.75" customHeight="1" x14ac:dyDescent="0.25">
      <c r="A74" s="77" t="s">
        <v>176</v>
      </c>
      <c r="B74" s="78"/>
      <c r="C74" s="79" t="s">
        <v>223</v>
      </c>
      <c r="D74" s="80"/>
      <c r="E74" s="80"/>
      <c r="F74" s="80"/>
      <c r="G74" s="80"/>
      <c r="H74" s="81"/>
      <c r="I74" s="29"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Excavation work Completed. Footing work is process</v>
      </c>
      <c r="J74" s="30"/>
    </row>
    <row r="75" spans="1:14" customFormat="1" x14ac:dyDescent="0.25">
      <c r="A75" s="31" t="s">
        <v>81</v>
      </c>
      <c r="B75" s="76">
        <v>0</v>
      </c>
      <c r="C75" s="76" t="s">
        <v>83</v>
      </c>
      <c r="D75" s="76">
        <v>1</v>
      </c>
      <c r="E75" s="76" t="s">
        <v>82</v>
      </c>
      <c r="F75" s="76">
        <v>0</v>
      </c>
      <c r="G75" s="76" t="s">
        <v>94</v>
      </c>
      <c r="H75" s="32">
        <f ca="1">--TRIM(RIGHT(SUBSTITUTE(LEFT(C74,_xlfn.AGGREGATE(16,6,FIND({0,1,2,3,4,5,6,7,8,9},C74,ROW(INDIRECT("1:"&amp;LEN(C74)))),1))," ",REPT(" ",LEN(C74))),LEN(C74)))</f>
        <v>7</v>
      </c>
      <c r="I75" s="33"/>
      <c r="J75" s="34"/>
    </row>
    <row r="76" spans="1:14" customFormat="1" x14ac:dyDescent="0.25">
      <c r="A76" s="82" t="s">
        <v>105</v>
      </c>
      <c r="B76" s="83"/>
      <c r="C76" s="84" t="str">
        <f ca="1">I74</f>
        <v>Excavation work Completed. Footing work is process</v>
      </c>
      <c r="D76" s="84"/>
      <c r="E76" s="84"/>
      <c r="F76" s="84"/>
      <c r="G76" s="84"/>
      <c r="H76" s="85"/>
      <c r="I76" s="33" t="s">
        <v>117</v>
      </c>
      <c r="J76" s="34"/>
    </row>
    <row r="77" spans="1:14" customFormat="1" x14ac:dyDescent="0.25">
      <c r="A77" s="86" t="s">
        <v>54</v>
      </c>
      <c r="B77" s="87"/>
      <c r="C77" s="73" t="s">
        <v>177</v>
      </c>
      <c r="D77" s="73" t="s">
        <v>97</v>
      </c>
      <c r="E77" s="87" t="s">
        <v>99</v>
      </c>
      <c r="F77" s="87"/>
      <c r="G77" s="87" t="s">
        <v>98</v>
      </c>
      <c r="H77" s="88"/>
      <c r="I77" s="12" t="s">
        <v>178</v>
      </c>
      <c r="J77" s="35">
        <f ca="1">H75*25%</f>
        <v>1.75</v>
      </c>
    </row>
    <row r="78" spans="1:14" customFormat="1" x14ac:dyDescent="0.25">
      <c r="A78" s="86" t="s">
        <v>179</v>
      </c>
      <c r="B78" s="87"/>
      <c r="C78" s="52">
        <f ca="1">J79</f>
        <v>7</v>
      </c>
      <c r="D78" s="74">
        <f ca="1">((100/H75)*C78)/100</f>
        <v>1</v>
      </c>
      <c r="E78" s="89">
        <f ca="1">(((C79/H75*10)+(40/(D75+F75+H75)*C80)+(7.5/(H75)*C81)+(7.5/(H75)*C82)+(10/H75*C83)+(10/H75*C84)+(5/H75*C85)+(5/H75*C86)+(5/H75*C87))/100)</f>
        <v>2.5000000000000001E-2</v>
      </c>
      <c r="F78" s="89"/>
      <c r="G78" s="89">
        <f ca="1">((((C78/H75)*20)+((C79/H75)*25)+(30/(H75+F75+D75)*C80)+(5/H75*C81)+(5/H75*C82)+(5/H75*C83)+(5/H75*C84)+(0/H75*C85)+(0/H75*C86)+(5/H75*C87))/100)</f>
        <v>0.26250000000000001</v>
      </c>
      <c r="H78" s="91"/>
      <c r="I78" s="12" t="s">
        <v>111</v>
      </c>
      <c r="J78" s="36">
        <f ca="1">H75*50%</f>
        <v>3.5</v>
      </c>
    </row>
    <row r="79" spans="1:14" customFormat="1" x14ac:dyDescent="0.25">
      <c r="A79" s="86" t="s">
        <v>55</v>
      </c>
      <c r="B79" s="87"/>
      <c r="C79" s="54">
        <f ca="1">J80</f>
        <v>1.75</v>
      </c>
      <c r="D79" s="74">
        <f ca="1">((100/H75)*C79)/100</f>
        <v>0.25</v>
      </c>
      <c r="E79" s="89"/>
      <c r="F79" s="89"/>
      <c r="G79" s="89"/>
      <c r="H79" s="91"/>
      <c r="I79" s="12" t="s">
        <v>112</v>
      </c>
      <c r="J79" s="36">
        <f ca="1">H75</f>
        <v>7</v>
      </c>
    </row>
    <row r="80" spans="1:14" customFormat="1" x14ac:dyDescent="0.25">
      <c r="A80" s="86" t="s">
        <v>180</v>
      </c>
      <c r="B80" s="87"/>
      <c r="C80" s="54">
        <v>0</v>
      </c>
      <c r="D80" s="74">
        <f ca="1">((100/(D75+F75+H75))*C80)/100</f>
        <v>0</v>
      </c>
      <c r="E80" s="89"/>
      <c r="F80" s="89"/>
      <c r="G80" s="89"/>
      <c r="H80" s="91"/>
      <c r="I80" s="12" t="s">
        <v>113</v>
      </c>
      <c r="J80" s="37">
        <f ca="1">(IF(B75&gt;1,(H75/(B75+2)),H75/4))</f>
        <v>1.75</v>
      </c>
      <c r="L80" s="38"/>
    </row>
    <row r="81" spans="1:14" customFormat="1" ht="15.75" customHeight="1" x14ac:dyDescent="0.25">
      <c r="A81" s="86" t="s">
        <v>181</v>
      </c>
      <c r="B81" s="87" t="s">
        <v>182</v>
      </c>
      <c r="C81" s="52">
        <v>0</v>
      </c>
      <c r="D81" s="74">
        <f ca="1">((100/H75)*C81)/100</f>
        <v>0</v>
      </c>
      <c r="E81" s="89"/>
      <c r="F81" s="89"/>
      <c r="G81" s="89"/>
      <c r="H81" s="91"/>
      <c r="I81" s="12" t="s">
        <v>114</v>
      </c>
      <c r="J81" s="37">
        <f ca="1">(IF(B75&gt;1,(H75/(B75+2)+J80),H75/4+J80))</f>
        <v>3.5</v>
      </c>
      <c r="L81" s="38"/>
    </row>
    <row r="82" spans="1:14" customFormat="1" ht="15.75" customHeight="1" x14ac:dyDescent="0.25">
      <c r="A82" s="86" t="s">
        <v>183</v>
      </c>
      <c r="B82" s="87" t="s">
        <v>182</v>
      </c>
      <c r="C82" s="52">
        <v>0</v>
      </c>
      <c r="D82" s="74">
        <f ca="1">((100/H75)*C82)/100</f>
        <v>0</v>
      </c>
      <c r="E82" s="89"/>
      <c r="F82" s="89"/>
      <c r="G82" s="89"/>
      <c r="H82" s="91"/>
      <c r="I82" s="12" t="s">
        <v>184</v>
      </c>
      <c r="J82" s="37">
        <f>(IF(B75&gt;1,(H75/(B75+2)+J81),0))</f>
        <v>0</v>
      </c>
      <c r="K82" s="39"/>
      <c r="L82" s="40"/>
      <c r="N82" s="38"/>
    </row>
    <row r="83" spans="1:14" customFormat="1" ht="15.75" customHeight="1" x14ac:dyDescent="0.25">
      <c r="A83" s="86" t="s">
        <v>185</v>
      </c>
      <c r="B83" s="87" t="s">
        <v>186</v>
      </c>
      <c r="C83" s="52">
        <v>0</v>
      </c>
      <c r="D83" s="74">
        <f ca="1">((100/(H75))*C83)/100</f>
        <v>0</v>
      </c>
      <c r="E83" s="89"/>
      <c r="F83" s="89"/>
      <c r="G83" s="89"/>
      <c r="H83" s="91"/>
      <c r="I83" s="12" t="s">
        <v>187</v>
      </c>
      <c r="J83" s="37">
        <f>(IF(B75&gt;2,(H75/(B75+2)+J82),0))</f>
        <v>0</v>
      </c>
      <c r="K83" s="41"/>
      <c r="L83" s="40"/>
    </row>
    <row r="84" spans="1:14" customFormat="1" ht="15.75" customHeight="1" x14ac:dyDescent="0.25">
      <c r="A84" s="86" t="s">
        <v>188</v>
      </c>
      <c r="B84" s="87" t="s">
        <v>188</v>
      </c>
      <c r="C84" s="52">
        <v>0</v>
      </c>
      <c r="D84" s="74">
        <f ca="1">((100/H75)*C84)/100</f>
        <v>0</v>
      </c>
      <c r="E84" s="89"/>
      <c r="F84" s="89"/>
      <c r="G84" s="89"/>
      <c r="H84" s="91"/>
      <c r="I84" s="12" t="s">
        <v>189</v>
      </c>
      <c r="J84" s="42">
        <f>(IF(B75&gt;3,(H75/(B75+2)+J83),0))</f>
        <v>0</v>
      </c>
      <c r="K84" s="41"/>
      <c r="L84" s="40"/>
    </row>
    <row r="85" spans="1:14" customFormat="1" ht="15.75" customHeight="1" x14ac:dyDescent="0.25">
      <c r="A85" s="86" t="s">
        <v>190</v>
      </c>
      <c r="B85" s="87"/>
      <c r="C85" s="52">
        <v>0</v>
      </c>
      <c r="D85" s="74">
        <f ca="1">((100/H75)*C85)/100</f>
        <v>0</v>
      </c>
      <c r="E85" s="89"/>
      <c r="F85" s="89"/>
      <c r="G85" s="89"/>
      <c r="H85" s="91"/>
      <c r="I85" s="12" t="s">
        <v>191</v>
      </c>
      <c r="J85" s="37">
        <f>(IF(B75&gt;4,(H75/(B75+2)+J84),0))</f>
        <v>0</v>
      </c>
      <c r="K85" s="43"/>
      <c r="L85" s="40"/>
    </row>
    <row r="86" spans="1:14" customFormat="1" ht="15.75" customHeight="1" x14ac:dyDescent="0.25">
      <c r="A86" s="86" t="s">
        <v>192</v>
      </c>
      <c r="B86" s="87" t="s">
        <v>192</v>
      </c>
      <c r="C86" s="52">
        <v>0</v>
      </c>
      <c r="D86" s="74">
        <f ca="1">((100/(H75))*C86)/100</f>
        <v>0</v>
      </c>
      <c r="E86" s="89"/>
      <c r="F86" s="89"/>
      <c r="G86" s="89"/>
      <c r="H86" s="91"/>
      <c r="I86" s="12" t="s">
        <v>115</v>
      </c>
      <c r="J86" s="37">
        <f ca="1">(IF(B75=1,(H75/(B75+3)+J81),IF(B75=0,(H75/4+J81),IF(B75&gt;1,0))))</f>
        <v>5.25</v>
      </c>
      <c r="K86" s="41"/>
      <c r="L86" s="40"/>
    </row>
    <row r="87" spans="1:14" customFormat="1" ht="16.5" thickBot="1" x14ac:dyDescent="0.3">
      <c r="A87" s="95" t="s">
        <v>193</v>
      </c>
      <c r="B87" s="96"/>
      <c r="C87" s="55">
        <v>0</v>
      </c>
      <c r="D87" s="75">
        <f ca="1">((100/(H75))*C87)/100</f>
        <v>0</v>
      </c>
      <c r="E87" s="102"/>
      <c r="F87" s="102"/>
      <c r="G87" s="102"/>
      <c r="H87" s="103"/>
      <c r="I87" s="44" t="s">
        <v>116</v>
      </c>
      <c r="J87" s="45">
        <f ca="1">(IF(B75&gt;1.5,(H75/(B75+2)+J81+MAX(0,J82-J81)+MAX(0,J83-J82)+MAX(0,J84-J83)+MAX(0,J85-J84)+MAX(0,J86-J85)),IF(B75=1,(H75/(B75+3)+J86),IF(B75=0,H75/4+J86))))</f>
        <v>7</v>
      </c>
      <c r="K87" s="41"/>
      <c r="L87" s="40"/>
    </row>
    <row r="88" spans="1:14" ht="28.5" customHeight="1" thickBot="1" x14ac:dyDescent="0.3">
      <c r="A88" s="143" t="s">
        <v>224</v>
      </c>
      <c r="B88" s="144"/>
      <c r="C88" s="145">
        <f ca="1">AVERAGE(E64,E78)</f>
        <v>0.05</v>
      </c>
      <c r="D88" s="144"/>
      <c r="E88" s="143" t="s">
        <v>225</v>
      </c>
      <c r="F88" s="144"/>
      <c r="G88" s="145">
        <f ca="1">AVERAGE(G64,G78)</f>
        <v>0.32500000000000001</v>
      </c>
      <c r="H88" s="144"/>
    </row>
    <row r="89" spans="1:14" customFormat="1" ht="15.75" customHeight="1" x14ac:dyDescent="0.25">
      <c r="A89" s="77" t="s">
        <v>176</v>
      </c>
      <c r="B89" s="78"/>
      <c r="C89" s="79" t="s">
        <v>217</v>
      </c>
      <c r="D89" s="80"/>
      <c r="E89" s="80"/>
      <c r="F89" s="80"/>
      <c r="G89" s="80"/>
      <c r="H89" s="81"/>
      <c r="I89" s="29" t="str">
        <f ca="1">(IF(E93&gt;99%,"All work completed. Please provide OC.",IF(E93&gt;89.8%,"Plinth, RCC, Brick, Plaster, Flooring, Painting work Completed. Finishing work is in process.",IF(E93&lt;94%,(IF(C93=0,"Work not yet Started.",IF(D93=25%,"Piling work in process",IF(D93=50%,"Excavation work in process",IF(D93=100%,"Excavation work Completed. ","0")))&amp;(IF(C94=0%,"",IF(C94=J95,"Footing work is process",IF(C94=J96,"Footing work Completed",IF(C94=J97,"1st Basement Completed",IF(C94=J98,"1st &amp; 2nd Basement Completed",IF(C94=J99,"1st to 3rd Basement Completed",IF(C94=J100,"1st to 4th Basement Completed",IF(C94=J101,"Plinth work is process",IF(C94=J102,"Plinth work completed","0")))))))))))&amp;(IF(C95=(D90+F90+H90),", RCC Slab",IF(C95&gt;0,", RCC upto "&amp;C95&amp;" Slab",""))&amp;(IF(C96=H90,", Brickwork",IF(C96&gt;0,", Brickwork upto "&amp;C96&amp;" Floor",""))&amp;(IF(C97=H90,", Internal Plaster",IF(C97&gt;0,", Internal Plaster upto "&amp;C97&amp;" Floor",""))&amp;(IF(C98=H90,", External Plaster",IF(C98&gt;0,", External Plaster upto "&amp;C98&amp;" Floor",""))&amp;(IF(C99=H90,", Flooring",IF(C99&gt;0,", Flooring upto "&amp;C99&amp;" Floor",""))&amp;(IF(C100=H90,", Painting",IF(C100&gt;0,", Painting upto "&amp;C100&amp;" Floor",""))&amp;(IF(C101&gt;0,", Finishing upto "&amp;C101&amp;" Floor","")&amp;(IF(C95&gt;0.5," Completed",""))))))))))))))</f>
        <v>All work completed. Please provide OC.</v>
      </c>
      <c r="J89" s="30"/>
    </row>
    <row r="90" spans="1:14" customFormat="1" x14ac:dyDescent="0.25">
      <c r="A90" s="31" t="s">
        <v>81</v>
      </c>
      <c r="B90" s="50">
        <v>0</v>
      </c>
      <c r="C90" s="50" t="s">
        <v>83</v>
      </c>
      <c r="D90" s="50">
        <v>1</v>
      </c>
      <c r="E90" s="50" t="s">
        <v>82</v>
      </c>
      <c r="F90" s="50">
        <v>0</v>
      </c>
      <c r="G90" s="50" t="s">
        <v>94</v>
      </c>
      <c r="H90" s="32">
        <f ca="1">--TRIM(RIGHT(SUBSTITUTE(LEFT(C89,_xlfn.AGGREGATE(16,6,FIND({0,1,2,3,4,5,6,7,8,9},C89,ROW(INDIRECT("1:"&amp;LEN(C89)))),1))," ",REPT(" ",LEN(C89))),LEN(C89)))</f>
        <v>7</v>
      </c>
      <c r="I90" s="33"/>
      <c r="J90" s="34"/>
    </row>
    <row r="91" spans="1:14" customFormat="1" x14ac:dyDescent="0.25">
      <c r="A91" s="82" t="s">
        <v>105</v>
      </c>
      <c r="B91" s="83"/>
      <c r="C91" s="84" t="str">
        <f ca="1">I89</f>
        <v>All work completed. Please provide OC.</v>
      </c>
      <c r="D91" s="84"/>
      <c r="E91" s="84"/>
      <c r="F91" s="84"/>
      <c r="G91" s="84"/>
      <c r="H91" s="85"/>
      <c r="I91" s="33" t="s">
        <v>117</v>
      </c>
      <c r="J91" s="34"/>
    </row>
    <row r="92" spans="1:14" customFormat="1" x14ac:dyDescent="0.25">
      <c r="A92" s="86" t="s">
        <v>54</v>
      </c>
      <c r="B92" s="87"/>
      <c r="C92" s="46" t="s">
        <v>177</v>
      </c>
      <c r="D92" s="46" t="s">
        <v>97</v>
      </c>
      <c r="E92" s="87" t="s">
        <v>99</v>
      </c>
      <c r="F92" s="87"/>
      <c r="G92" s="87" t="s">
        <v>98</v>
      </c>
      <c r="H92" s="88"/>
      <c r="I92" s="12" t="s">
        <v>178</v>
      </c>
      <c r="J92" s="35">
        <f ca="1">H90*25%</f>
        <v>1.75</v>
      </c>
    </row>
    <row r="93" spans="1:14" customFormat="1" x14ac:dyDescent="0.25">
      <c r="A93" s="86" t="s">
        <v>179</v>
      </c>
      <c r="B93" s="87"/>
      <c r="C93" s="52">
        <v>7</v>
      </c>
      <c r="D93" s="53">
        <f ca="1">((100/H90)*C93)/100</f>
        <v>1</v>
      </c>
      <c r="E93" s="89">
        <f ca="1">(((C94/H90*10)+(40/(D90+F90+H90)*C95)+(7.5/(H90)*C96)+(7.5/(H90)*C97)+(10/H90*C98)+(10/H90*C99)+(5/H90*C100)+(5/H90*C101)+(5/H90*C102))/100)</f>
        <v>1</v>
      </c>
      <c r="F93" s="89"/>
      <c r="G93" s="89">
        <f ca="1">((((C93/H90)*20)+((C94/H90)*25)+(30/(H90+F90+D90)*C95)+(5/H90*C96)+(5/H90*C97)+(5/H90*C98)+(5/H90*C99)+(0/H90*C100)+(0/H90*C101)+(5/H90*C102))/100)</f>
        <v>1</v>
      </c>
      <c r="H93" s="91"/>
      <c r="I93" s="12" t="s">
        <v>111</v>
      </c>
      <c r="J93" s="36">
        <f ca="1">H90*50%</f>
        <v>3.5</v>
      </c>
    </row>
    <row r="94" spans="1:14" customFormat="1" x14ac:dyDescent="0.25">
      <c r="A94" s="86" t="s">
        <v>55</v>
      </c>
      <c r="B94" s="87"/>
      <c r="C94" s="54">
        <v>7</v>
      </c>
      <c r="D94" s="53">
        <f ca="1">((100/H90)*C94)/100</f>
        <v>1</v>
      </c>
      <c r="E94" s="89"/>
      <c r="F94" s="89"/>
      <c r="G94" s="89"/>
      <c r="H94" s="91"/>
      <c r="I94" s="12" t="s">
        <v>112</v>
      </c>
      <c r="J94" s="36">
        <f ca="1">H90</f>
        <v>7</v>
      </c>
    </row>
    <row r="95" spans="1:14" customFormat="1" x14ac:dyDescent="0.25">
      <c r="A95" s="86" t="s">
        <v>180</v>
      </c>
      <c r="B95" s="87"/>
      <c r="C95" s="54">
        <v>8</v>
      </c>
      <c r="D95" s="53">
        <f ca="1">((100/(D90+F90+H90))*C95)/100</f>
        <v>1</v>
      </c>
      <c r="E95" s="89"/>
      <c r="F95" s="89"/>
      <c r="G95" s="89"/>
      <c r="H95" s="91"/>
      <c r="I95" s="12" t="s">
        <v>113</v>
      </c>
      <c r="J95" s="37">
        <f ca="1">(IF(B90&gt;1,(H90/(B90+2)),H90/4))</f>
        <v>1.75</v>
      </c>
      <c r="L95" s="38"/>
    </row>
    <row r="96" spans="1:14" customFormat="1" ht="15.75" customHeight="1" x14ac:dyDescent="0.25">
      <c r="A96" s="86" t="s">
        <v>181</v>
      </c>
      <c r="B96" s="87" t="s">
        <v>182</v>
      </c>
      <c r="C96" s="52">
        <v>7</v>
      </c>
      <c r="D96" s="53">
        <f ca="1">((100/H90)*C96)/100</f>
        <v>1</v>
      </c>
      <c r="E96" s="89"/>
      <c r="F96" s="89"/>
      <c r="G96" s="89"/>
      <c r="H96" s="91"/>
      <c r="I96" s="12" t="s">
        <v>114</v>
      </c>
      <c r="J96" s="37">
        <f ca="1">(IF(B90&gt;1,(H90/(B90+2)+J95),H90/4+J95))</f>
        <v>3.5</v>
      </c>
      <c r="L96" s="38"/>
    </row>
    <row r="97" spans="1:14" customFormat="1" ht="15.75" customHeight="1" x14ac:dyDescent="0.25">
      <c r="A97" s="86" t="s">
        <v>183</v>
      </c>
      <c r="B97" s="87" t="s">
        <v>182</v>
      </c>
      <c r="C97" s="52">
        <v>7</v>
      </c>
      <c r="D97" s="53">
        <f ca="1">((100/H90)*C97)/100</f>
        <v>1</v>
      </c>
      <c r="E97" s="89"/>
      <c r="F97" s="89"/>
      <c r="G97" s="89"/>
      <c r="H97" s="91"/>
      <c r="I97" s="12" t="s">
        <v>184</v>
      </c>
      <c r="J97" s="37">
        <f>(IF(B90&gt;1,(H90/(B90+2)+J96),0))</f>
        <v>0</v>
      </c>
      <c r="K97" s="39"/>
      <c r="L97" s="40"/>
      <c r="N97" s="38"/>
    </row>
    <row r="98" spans="1:14" customFormat="1" ht="15.75" customHeight="1" x14ac:dyDescent="0.25">
      <c r="A98" s="86" t="s">
        <v>185</v>
      </c>
      <c r="B98" s="87" t="s">
        <v>186</v>
      </c>
      <c r="C98" s="52">
        <v>7</v>
      </c>
      <c r="D98" s="53">
        <f ca="1">((100/(H90))*C98)/100</f>
        <v>1</v>
      </c>
      <c r="E98" s="89"/>
      <c r="F98" s="89"/>
      <c r="G98" s="89"/>
      <c r="H98" s="91"/>
      <c r="I98" s="12" t="s">
        <v>187</v>
      </c>
      <c r="J98" s="37">
        <f>(IF(B90&gt;2,(H90/(B90+2)+J97),0))</f>
        <v>0</v>
      </c>
      <c r="K98" s="41"/>
      <c r="L98" s="40"/>
    </row>
    <row r="99" spans="1:14" customFormat="1" ht="15.75" customHeight="1" x14ac:dyDescent="0.25">
      <c r="A99" s="86" t="s">
        <v>188</v>
      </c>
      <c r="B99" s="87" t="s">
        <v>188</v>
      </c>
      <c r="C99" s="52">
        <v>7</v>
      </c>
      <c r="D99" s="53">
        <f ca="1">((100/H90)*C99)/100</f>
        <v>1</v>
      </c>
      <c r="E99" s="89"/>
      <c r="F99" s="89"/>
      <c r="G99" s="89"/>
      <c r="H99" s="91"/>
      <c r="I99" s="12" t="s">
        <v>189</v>
      </c>
      <c r="J99" s="42">
        <f>(IF(B90&gt;3,(H90/(B90+2)+J98),0))</f>
        <v>0</v>
      </c>
      <c r="K99" s="41"/>
      <c r="L99" s="40"/>
    </row>
    <row r="100" spans="1:14" customFormat="1" ht="15.75" customHeight="1" x14ac:dyDescent="0.25">
      <c r="A100" s="86" t="s">
        <v>190</v>
      </c>
      <c r="B100" s="87"/>
      <c r="C100" s="52">
        <v>7</v>
      </c>
      <c r="D100" s="53">
        <f ca="1">((100/H90)*C100)/100</f>
        <v>1</v>
      </c>
      <c r="E100" s="89"/>
      <c r="F100" s="89"/>
      <c r="G100" s="89"/>
      <c r="H100" s="91"/>
      <c r="I100" s="12" t="s">
        <v>191</v>
      </c>
      <c r="J100" s="37">
        <f>(IF(B90&gt;4,(H90/(B90+2)+J99),0))</f>
        <v>0</v>
      </c>
      <c r="K100" s="43"/>
      <c r="L100" s="40"/>
    </row>
    <row r="101" spans="1:14" customFormat="1" ht="15.75" customHeight="1" x14ac:dyDescent="0.25">
      <c r="A101" s="86" t="s">
        <v>192</v>
      </c>
      <c r="B101" s="87" t="s">
        <v>192</v>
      </c>
      <c r="C101" s="52">
        <v>7</v>
      </c>
      <c r="D101" s="53">
        <f ca="1">((100/(H90))*C101)/100</f>
        <v>1</v>
      </c>
      <c r="E101" s="89"/>
      <c r="F101" s="89"/>
      <c r="G101" s="89"/>
      <c r="H101" s="91"/>
      <c r="I101" s="12" t="s">
        <v>115</v>
      </c>
      <c r="J101" s="37">
        <f ca="1">(IF(B90=1,(H90/(B90+3)+J96),IF(B90=0,(H90/4+J96),IF(B90&gt;1,0))))</f>
        <v>5.25</v>
      </c>
      <c r="K101" s="41"/>
      <c r="L101" s="40"/>
    </row>
    <row r="102" spans="1:14" customFormat="1" x14ac:dyDescent="0.25">
      <c r="A102" s="93" t="s">
        <v>193</v>
      </c>
      <c r="B102" s="94"/>
      <c r="C102" s="65">
        <v>7</v>
      </c>
      <c r="D102" s="66">
        <f ca="1">((100/(H90))*C102)/100</f>
        <v>1</v>
      </c>
      <c r="E102" s="90"/>
      <c r="F102" s="90"/>
      <c r="G102" s="90"/>
      <c r="H102" s="92"/>
      <c r="I102" s="12" t="s">
        <v>116</v>
      </c>
      <c r="J102" s="37">
        <f ca="1">(IF(B90&gt;1.5,(H90/(B90+2)+J96+MAX(0,J97-J96)+MAX(0,J98-J97)+MAX(0,J99-J98)+MAX(0,J100-J99)+MAX(0,J101-J100)),IF(B90=1,(H90/(B90+3)+J101),IF(B90=0,H90/4+J101))))</f>
        <v>7</v>
      </c>
      <c r="K102" s="41"/>
      <c r="L102" s="40"/>
    </row>
    <row r="103" spans="1:14" s="72" customFormat="1" ht="15.75" customHeight="1" x14ac:dyDescent="0.25">
      <c r="A103" s="84" t="s">
        <v>176</v>
      </c>
      <c r="B103" s="84"/>
      <c r="C103" s="84" t="s">
        <v>194</v>
      </c>
      <c r="D103" s="84"/>
      <c r="E103" s="84"/>
      <c r="F103" s="84"/>
      <c r="G103" s="84"/>
      <c r="H103" s="84"/>
      <c r="I103" s="70" t="str">
        <f ca="1">(IF(E107&gt;99%,"All work completed. Please provide OC.",IF(E107&gt;89.8%,"Plinth, RCC, Brick, Plaster, Flooring, Painting work Completed. Finishing work is in process.",IF(E107&lt;94%,(IF(C107=0,"Work not yet Started.",IF(D107=25%,"Piling work in process",IF(D107=50%,"Excavation work in process",IF(D107=100%,"Excavation work Completed. ","0")))&amp;(IF(C108=0%,"",IF(C108=J109,"Footing work is process",IF(C108=J110,"Footing work Completed",IF(C108=J111,"1st Basement Completed",IF(C108=J112,"1st &amp; 2nd Basement Completed",IF(C108=J113,"1st to 3rd Basement Completed",IF(C108=J114,"1st to 4th Basement Completed",IF(C108=J115,"Plinth work is process",IF(C108=J116,"Plinth work completed","0")))))))))))&amp;(IF(C109=(D104+F104+H104),", RCC Slab",IF(C109&gt;0,", RCC upto "&amp;C109&amp;" Slab",""))&amp;(IF(C110=H104,", Brickwork",IF(C110&gt;0,", Brickwork upto "&amp;C110&amp;" Floor",""))&amp;(IF(C111=H104,", Internal Plaster",IF(C111&gt;0,", Internal Plaster upto "&amp;C111&amp;" Floor",""))&amp;(IF(C112=H104,", External Plaster",IF(C112&gt;0,", External Plaster upto "&amp;C112&amp;" Floor",""))&amp;(IF(C113=H104,", Flooring",IF(C113&gt;0,", Flooring upto "&amp;C113&amp;" Floor",""))&amp;(IF(C114=H104,", Painting",IF(C114&gt;0,", Painting upto "&amp;C114&amp;" Floor",""))&amp;(IF(C115&gt;0,", Finishing upto "&amp;C115&amp;" Floor","")&amp;(IF(C109&gt;0.5," Completed",""))))))))))))))</f>
        <v>All work completed. Please provide OC.</v>
      </c>
      <c r="J103" s="71"/>
    </row>
    <row r="104" spans="1:14" customFormat="1" x14ac:dyDescent="0.25">
      <c r="A104" s="67" t="s">
        <v>81</v>
      </c>
      <c r="B104" s="68">
        <v>0</v>
      </c>
      <c r="C104" s="68" t="s">
        <v>83</v>
      </c>
      <c r="D104" s="68">
        <v>1</v>
      </c>
      <c r="E104" s="68" t="s">
        <v>82</v>
      </c>
      <c r="F104" s="68">
        <v>0</v>
      </c>
      <c r="G104" s="68" t="s">
        <v>94</v>
      </c>
      <c r="H104" s="69">
        <f ca="1">--TRIM(RIGHT(SUBSTITUTE(LEFT(C103,_xlfn.AGGREGATE(16,6,FIND({0,1,2,3,4,5,6,7,8,9},C103,ROW(INDIRECT("1:"&amp;LEN(C103)))),1))," ",REPT(" ",LEN(C103))),LEN(C103)))</f>
        <v>4</v>
      </c>
      <c r="I104" s="33"/>
      <c r="J104" s="34"/>
    </row>
    <row r="105" spans="1:14" customFormat="1" x14ac:dyDescent="0.25">
      <c r="A105" s="82" t="s">
        <v>105</v>
      </c>
      <c r="B105" s="83"/>
      <c r="C105" s="84" t="str">
        <f ca="1">I103</f>
        <v>All work completed. Please provide OC.</v>
      </c>
      <c r="D105" s="84"/>
      <c r="E105" s="84"/>
      <c r="F105" s="84"/>
      <c r="G105" s="84"/>
      <c r="H105" s="85"/>
      <c r="I105" s="33" t="s">
        <v>117</v>
      </c>
      <c r="J105" s="34"/>
    </row>
    <row r="106" spans="1:14" customFormat="1" x14ac:dyDescent="0.25">
      <c r="A106" s="86" t="s">
        <v>54</v>
      </c>
      <c r="B106" s="87"/>
      <c r="C106" s="46" t="s">
        <v>177</v>
      </c>
      <c r="D106" s="46" t="s">
        <v>97</v>
      </c>
      <c r="E106" s="87" t="s">
        <v>99</v>
      </c>
      <c r="F106" s="87"/>
      <c r="G106" s="87" t="s">
        <v>98</v>
      </c>
      <c r="H106" s="88"/>
      <c r="I106" s="12" t="s">
        <v>178</v>
      </c>
      <c r="J106" s="35">
        <f ca="1">H104*25%</f>
        <v>1</v>
      </c>
    </row>
    <row r="107" spans="1:14" customFormat="1" x14ac:dyDescent="0.25">
      <c r="A107" s="86" t="s">
        <v>179</v>
      </c>
      <c r="B107" s="87"/>
      <c r="C107" s="52">
        <f ca="1">J108</f>
        <v>4</v>
      </c>
      <c r="D107" s="53">
        <f ca="1">((100/H104)*C107)/100</f>
        <v>1</v>
      </c>
      <c r="E107" s="89">
        <f ca="1">(((C108/H104*10)+(40/(D104+F104+H104)*C109)+(7.5/(H104)*C110)+(7.5/(H104)*C111)+(10/H104*C112)+(10/H104*C113)+(5/H104*C114)+(5/H104*C115)+(5/H104*C116))/100)</f>
        <v>1</v>
      </c>
      <c r="F107" s="89"/>
      <c r="G107" s="89">
        <f ca="1">((((C107/H104)*20)+((C108/H104)*25)+(30/(H104+F104+D104)*C109)+(5/H104*C110)+(5/H104*C111)+(5/H104*C112)+(5/H104*C113)+(0/H104*C114)+(0/H104*C115)+(5/H104*C116))/100)</f>
        <v>1</v>
      </c>
      <c r="H107" s="91"/>
      <c r="I107" s="12" t="s">
        <v>111</v>
      </c>
      <c r="J107" s="36">
        <f ca="1">H104*50%</f>
        <v>2</v>
      </c>
    </row>
    <row r="108" spans="1:14" customFormat="1" x14ac:dyDescent="0.25">
      <c r="A108" s="86" t="s">
        <v>55</v>
      </c>
      <c r="B108" s="87"/>
      <c r="C108" s="54">
        <f ca="1">J116</f>
        <v>4</v>
      </c>
      <c r="D108" s="53">
        <f ca="1">((100/H104)*C108)/100</f>
        <v>1</v>
      </c>
      <c r="E108" s="89"/>
      <c r="F108" s="89"/>
      <c r="G108" s="89"/>
      <c r="H108" s="91"/>
      <c r="I108" s="12" t="s">
        <v>112</v>
      </c>
      <c r="J108" s="36">
        <f ca="1">H104</f>
        <v>4</v>
      </c>
    </row>
    <row r="109" spans="1:14" customFormat="1" x14ac:dyDescent="0.25">
      <c r="A109" s="86" t="s">
        <v>180</v>
      </c>
      <c r="B109" s="87"/>
      <c r="C109" s="54">
        <f ca="1">D104+H104</f>
        <v>5</v>
      </c>
      <c r="D109" s="53">
        <f ca="1">((100/(D104+F104+H104))*C109)/100</f>
        <v>1</v>
      </c>
      <c r="E109" s="89"/>
      <c r="F109" s="89"/>
      <c r="G109" s="89"/>
      <c r="H109" s="91"/>
      <c r="I109" s="12" t="s">
        <v>113</v>
      </c>
      <c r="J109" s="37">
        <f ca="1">(IF(B104&gt;1,(H104/(B104+2)),H104/4))</f>
        <v>1</v>
      </c>
      <c r="L109" s="38"/>
    </row>
    <row r="110" spans="1:14" customFormat="1" ht="15.75" customHeight="1" x14ac:dyDescent="0.25">
      <c r="A110" s="86" t="s">
        <v>181</v>
      </c>
      <c r="B110" s="87" t="s">
        <v>182</v>
      </c>
      <c r="C110" s="52">
        <v>4</v>
      </c>
      <c r="D110" s="53">
        <f ca="1">((100/H104)*C110)/100</f>
        <v>1</v>
      </c>
      <c r="E110" s="89"/>
      <c r="F110" s="89"/>
      <c r="G110" s="89"/>
      <c r="H110" s="91"/>
      <c r="I110" s="12" t="s">
        <v>114</v>
      </c>
      <c r="J110" s="37">
        <f ca="1">(IF(B104&gt;1,(H104/(B104+2)+J109),H104/4+J109))</f>
        <v>2</v>
      </c>
      <c r="L110" s="38"/>
    </row>
    <row r="111" spans="1:14" customFormat="1" ht="15.75" customHeight="1" x14ac:dyDescent="0.25">
      <c r="A111" s="86" t="s">
        <v>183</v>
      </c>
      <c r="B111" s="87" t="s">
        <v>182</v>
      </c>
      <c r="C111" s="52">
        <v>4</v>
      </c>
      <c r="D111" s="53">
        <f ca="1">((100/H104)*C111)/100</f>
        <v>1</v>
      </c>
      <c r="E111" s="89"/>
      <c r="F111" s="89"/>
      <c r="G111" s="89"/>
      <c r="H111" s="91"/>
      <c r="I111" s="12" t="s">
        <v>184</v>
      </c>
      <c r="J111" s="37">
        <f>(IF(B104&gt;1,(H104/(B104+2)+J110),0))</f>
        <v>0</v>
      </c>
      <c r="K111" s="39"/>
      <c r="L111" s="40"/>
      <c r="N111" s="38"/>
    </row>
    <row r="112" spans="1:14" customFormat="1" ht="15.75" customHeight="1" x14ac:dyDescent="0.25">
      <c r="A112" s="86" t="s">
        <v>185</v>
      </c>
      <c r="B112" s="87" t="s">
        <v>186</v>
      </c>
      <c r="C112" s="52">
        <v>4</v>
      </c>
      <c r="D112" s="53">
        <f ca="1">((100/(H104))*C112)/100</f>
        <v>1</v>
      </c>
      <c r="E112" s="89"/>
      <c r="F112" s="89"/>
      <c r="G112" s="89"/>
      <c r="H112" s="91"/>
      <c r="I112" s="12" t="s">
        <v>187</v>
      </c>
      <c r="J112" s="37">
        <f>(IF(B104&gt;2,(H104/(B104+2)+J111),0))</f>
        <v>0</v>
      </c>
      <c r="K112" s="41"/>
      <c r="L112" s="40"/>
    </row>
    <row r="113" spans="1:12" customFormat="1" ht="15.75" customHeight="1" x14ac:dyDescent="0.25">
      <c r="A113" s="86" t="s">
        <v>188</v>
      </c>
      <c r="B113" s="87" t="s">
        <v>188</v>
      </c>
      <c r="C113" s="52">
        <v>4</v>
      </c>
      <c r="D113" s="53">
        <f ca="1">((100/H104)*C113)/100</f>
        <v>1</v>
      </c>
      <c r="E113" s="89"/>
      <c r="F113" s="89"/>
      <c r="G113" s="89"/>
      <c r="H113" s="91"/>
      <c r="I113" s="12" t="s">
        <v>189</v>
      </c>
      <c r="J113" s="42">
        <f>(IF(B104&gt;3,(H104/(B104+2)+J112),0))</f>
        <v>0</v>
      </c>
      <c r="K113" s="41"/>
      <c r="L113" s="40"/>
    </row>
    <row r="114" spans="1:12" customFormat="1" ht="15.75" customHeight="1" x14ac:dyDescent="0.25">
      <c r="A114" s="86" t="s">
        <v>190</v>
      </c>
      <c r="B114" s="87"/>
      <c r="C114" s="52">
        <v>4</v>
      </c>
      <c r="D114" s="53">
        <f ca="1">((100/H104)*C114)/100</f>
        <v>1</v>
      </c>
      <c r="E114" s="89"/>
      <c r="F114" s="89"/>
      <c r="G114" s="89"/>
      <c r="H114" s="91"/>
      <c r="I114" s="12" t="s">
        <v>191</v>
      </c>
      <c r="J114" s="37">
        <f>(IF(B104&gt;4,(H104/(B104+2)+J113),0))</f>
        <v>0</v>
      </c>
      <c r="K114" s="43"/>
      <c r="L114" s="40"/>
    </row>
    <row r="115" spans="1:12" customFormat="1" ht="15.75" customHeight="1" x14ac:dyDescent="0.25">
      <c r="A115" s="86" t="s">
        <v>192</v>
      </c>
      <c r="B115" s="87" t="s">
        <v>192</v>
      </c>
      <c r="C115" s="52">
        <v>4</v>
      </c>
      <c r="D115" s="53">
        <f ca="1">((100/(H104))*C115)/100</f>
        <v>1</v>
      </c>
      <c r="E115" s="89"/>
      <c r="F115" s="89"/>
      <c r="G115" s="89"/>
      <c r="H115" s="91"/>
      <c r="I115" s="12" t="s">
        <v>115</v>
      </c>
      <c r="J115" s="37">
        <f ca="1">(IF(B104=1,(H104/(B104+3)+J110),IF(B104=0,(H104/4+J110),IF(B104&gt;1,0))))</f>
        <v>3</v>
      </c>
      <c r="K115" s="41"/>
      <c r="L115" s="40"/>
    </row>
    <row r="116" spans="1:12" customFormat="1" ht="16.5" thickBot="1" x14ac:dyDescent="0.3">
      <c r="A116" s="95" t="s">
        <v>193</v>
      </c>
      <c r="B116" s="96"/>
      <c r="C116" s="55">
        <v>4</v>
      </c>
      <c r="D116" s="56">
        <f ca="1">((100/(H104))*C116)/100</f>
        <v>1</v>
      </c>
      <c r="E116" s="102"/>
      <c r="F116" s="102"/>
      <c r="G116" s="102"/>
      <c r="H116" s="103"/>
      <c r="I116" s="44" t="s">
        <v>116</v>
      </c>
      <c r="J116" s="45">
        <f ca="1">(IF(B104&gt;1.5,(H104/(B104+2)+J110+MAX(0,J111-J110)+MAX(0,J112-J111)+MAX(0,J113-J112)+MAX(0,J114-J113)+MAX(0,J115-J114)),IF(B104=1,(H104/(B104+3)+J115),IF(B104=0,H104/4+J115))))</f>
        <v>4</v>
      </c>
      <c r="K116" s="41"/>
      <c r="L116" s="40"/>
    </row>
    <row r="117" spans="1:12" x14ac:dyDescent="0.25">
      <c r="A117" s="98" t="s">
        <v>130</v>
      </c>
      <c r="B117" s="98"/>
      <c r="C117" s="98"/>
      <c r="D117" s="98"/>
      <c r="E117" s="98"/>
      <c r="F117" s="98"/>
      <c r="G117" s="98"/>
      <c r="H117" s="98"/>
    </row>
    <row r="118" spans="1:12" x14ac:dyDescent="0.25">
      <c r="A118" s="97" t="s">
        <v>56</v>
      </c>
      <c r="B118" s="97"/>
      <c r="C118" s="97"/>
      <c r="D118" s="97"/>
      <c r="E118" s="97"/>
      <c r="F118" s="97"/>
      <c r="G118" s="97"/>
      <c r="H118" s="97"/>
    </row>
    <row r="119" spans="1:12" ht="15" customHeight="1" x14ac:dyDescent="0.25">
      <c r="A119" s="83" t="s">
        <v>86</v>
      </c>
      <c r="B119" s="83"/>
      <c r="C119" s="84" t="s">
        <v>87</v>
      </c>
      <c r="D119" s="84"/>
      <c r="E119" s="84"/>
      <c r="F119" s="84"/>
      <c r="G119" s="84"/>
      <c r="H119" s="84"/>
    </row>
    <row r="120" spans="1:12" x14ac:dyDescent="0.25">
      <c r="A120" s="118" t="s">
        <v>57</v>
      </c>
      <c r="B120" s="118"/>
      <c r="C120" s="118"/>
      <c r="D120" s="118"/>
      <c r="E120" s="118"/>
      <c r="F120" s="118"/>
      <c r="G120" s="118"/>
      <c r="H120" s="118"/>
    </row>
    <row r="121" spans="1:12" x14ac:dyDescent="0.25">
      <c r="A121" s="98" t="s">
        <v>88</v>
      </c>
      <c r="B121" s="98"/>
      <c r="C121" s="98"/>
      <c r="D121" s="98"/>
      <c r="E121" s="98"/>
      <c r="F121" s="98">
        <v>3600</v>
      </c>
      <c r="G121" s="98"/>
      <c r="H121" s="98"/>
    </row>
    <row r="122" spans="1:12" s="8" customFormat="1" x14ac:dyDescent="0.25">
      <c r="A122" s="97" t="s">
        <v>110</v>
      </c>
      <c r="B122" s="97"/>
      <c r="C122" s="97"/>
      <c r="D122" s="97"/>
      <c r="E122" s="97"/>
      <c r="F122" s="98" t="s">
        <v>207</v>
      </c>
      <c r="G122" s="98"/>
      <c r="H122" s="98"/>
    </row>
    <row r="123" spans="1:12" s="8" customFormat="1" x14ac:dyDescent="0.25">
      <c r="A123" s="97" t="s">
        <v>203</v>
      </c>
      <c r="B123" s="97"/>
      <c r="C123" s="97"/>
      <c r="D123" s="97"/>
      <c r="E123" s="97"/>
      <c r="F123" s="98" t="s">
        <v>208</v>
      </c>
      <c r="G123" s="98"/>
      <c r="H123" s="98"/>
    </row>
    <row r="124" spans="1:12" s="8" customFormat="1" x14ac:dyDescent="0.25">
      <c r="A124" s="97" t="s">
        <v>202</v>
      </c>
      <c r="B124" s="97"/>
      <c r="C124" s="97"/>
      <c r="D124" s="97"/>
      <c r="E124" s="97"/>
      <c r="F124" s="98" t="s">
        <v>210</v>
      </c>
      <c r="G124" s="98"/>
      <c r="H124" s="98"/>
    </row>
    <row r="125" spans="1:12" s="8" customFormat="1" hidden="1" x14ac:dyDescent="0.25">
      <c r="A125" s="97" t="s">
        <v>160</v>
      </c>
      <c r="B125" s="97"/>
      <c r="C125" s="97"/>
      <c r="D125" s="97"/>
      <c r="E125" s="97"/>
      <c r="F125" s="98" t="s">
        <v>209</v>
      </c>
      <c r="G125" s="98"/>
      <c r="H125" s="98"/>
    </row>
    <row r="126" spans="1:12" s="8" customFormat="1" x14ac:dyDescent="0.25">
      <c r="A126" s="97" t="s">
        <v>200</v>
      </c>
      <c r="B126" s="97"/>
      <c r="C126" s="97"/>
      <c r="D126" s="97"/>
      <c r="E126" s="97"/>
      <c r="F126" s="98" t="s">
        <v>201</v>
      </c>
      <c r="G126" s="98"/>
      <c r="H126" s="98"/>
    </row>
    <row r="127" spans="1:12" s="4" customFormat="1" x14ac:dyDescent="0.25">
      <c r="A127" s="118" t="s">
        <v>58</v>
      </c>
      <c r="B127" s="118"/>
      <c r="C127" s="118"/>
      <c r="D127" s="118"/>
      <c r="E127" s="118"/>
      <c r="F127" s="98">
        <f>F121*0.8</f>
        <v>2880</v>
      </c>
      <c r="G127" s="98"/>
      <c r="H127" s="98"/>
    </row>
    <row r="128" spans="1:12" s="1" customFormat="1" x14ac:dyDescent="0.25">
      <c r="A128" s="117" t="s">
        <v>80</v>
      </c>
      <c r="B128" s="117"/>
      <c r="C128" s="117"/>
      <c r="D128" s="117"/>
      <c r="E128" s="117"/>
      <c r="F128" s="117"/>
      <c r="G128" s="117"/>
      <c r="H128" s="117"/>
    </row>
    <row r="129" spans="1:10" s="1" customFormat="1" x14ac:dyDescent="0.25">
      <c r="A129" s="116" t="s">
        <v>59</v>
      </c>
      <c r="B129" s="116"/>
      <c r="C129" s="57" t="s">
        <v>92</v>
      </c>
      <c r="D129" s="134" t="s">
        <v>60</v>
      </c>
      <c r="E129" s="134"/>
      <c r="F129" s="116" t="s">
        <v>61</v>
      </c>
      <c r="G129" s="116"/>
      <c r="H129" s="116"/>
    </row>
    <row r="130" spans="1:10" s="1" customFormat="1" x14ac:dyDescent="0.25">
      <c r="A130" s="99" t="s">
        <v>153</v>
      </c>
      <c r="B130" s="99"/>
      <c r="C130" s="58">
        <f>COUNT(D140:D146)*7</f>
        <v>49</v>
      </c>
      <c r="D130" s="100">
        <f>SUM(D140:D146)*7</f>
        <v>26220.727259999996</v>
      </c>
      <c r="E130" s="100"/>
      <c r="F130" s="101">
        <f>SUM(F140:F146)*7</f>
        <v>40544</v>
      </c>
      <c r="G130" s="101"/>
      <c r="H130" s="101"/>
      <c r="I130" s="1">
        <f>42+70+40</f>
        <v>152</v>
      </c>
    </row>
    <row r="131" spans="1:10" s="1" customFormat="1" ht="15.6" customHeight="1" x14ac:dyDescent="0.25">
      <c r="A131" s="99" t="s">
        <v>154</v>
      </c>
      <c r="B131" s="99"/>
      <c r="C131" s="58">
        <f>COUNT(D150:D158)*7</f>
        <v>63</v>
      </c>
      <c r="D131" s="100">
        <f>SUM(D150:D158)*7</f>
        <v>31333.465799999998</v>
      </c>
      <c r="E131" s="100"/>
      <c r="F131" s="101">
        <f>SUM(F150:F158)*7</f>
        <v>51576</v>
      </c>
      <c r="G131" s="101"/>
      <c r="H131" s="101"/>
    </row>
    <row r="132" spans="1:10" s="1" customFormat="1" x14ac:dyDescent="0.25">
      <c r="A132" s="99" t="s">
        <v>155</v>
      </c>
      <c r="B132" s="99"/>
      <c r="C132" s="58">
        <f>COUNT(D161:D168)+COUNT(D170:D177)*2+COUNT(D179:D186)*2</f>
        <v>40</v>
      </c>
      <c r="D132" s="100">
        <f>SUM(D161:D168)+SUM(D170:D177)*2+SUM(D179:D186)*2</f>
        <v>15666.835157999998</v>
      </c>
      <c r="E132" s="100"/>
      <c r="F132" s="101">
        <f>SUM(F161:F168)+SUM(F170:F177)*2+SUM(F179:F186)*2</f>
        <v>24917</v>
      </c>
      <c r="G132" s="101"/>
      <c r="H132" s="101"/>
    </row>
    <row r="133" spans="1:10" s="1" customFormat="1" x14ac:dyDescent="0.25">
      <c r="A133" s="117" t="s">
        <v>62</v>
      </c>
      <c r="B133" s="117"/>
      <c r="C133" s="59">
        <f>SUM(C130:C132)</f>
        <v>152</v>
      </c>
      <c r="D133" s="141">
        <f>SUM(D130:E132)</f>
        <v>73221.028217999992</v>
      </c>
      <c r="E133" s="141"/>
      <c r="F133" s="116">
        <f>SUM(F130:H132)</f>
        <v>117037</v>
      </c>
      <c r="G133" s="116"/>
      <c r="H133" s="116"/>
    </row>
    <row r="134" spans="1:10" s="4" customFormat="1" x14ac:dyDescent="0.25">
      <c r="A134" s="123" t="s">
        <v>63</v>
      </c>
      <c r="B134" s="123"/>
      <c r="C134" s="123"/>
      <c r="D134" s="123"/>
      <c r="E134" s="123"/>
      <c r="F134" s="123"/>
      <c r="G134" s="123"/>
      <c r="H134" s="123"/>
    </row>
    <row r="135" spans="1:10" x14ac:dyDescent="0.25">
      <c r="A135" s="123" t="s">
        <v>64</v>
      </c>
      <c r="B135" s="123"/>
      <c r="C135" s="123"/>
      <c r="D135" s="123"/>
      <c r="E135" s="123"/>
      <c r="F135" s="123"/>
      <c r="G135" s="123"/>
      <c r="H135" s="123"/>
    </row>
    <row r="136" spans="1:10" ht="47.25" customHeight="1" x14ac:dyDescent="0.25">
      <c r="A136" s="133" t="s">
        <v>89</v>
      </c>
      <c r="B136" s="133"/>
      <c r="C136" s="49" t="s">
        <v>65</v>
      </c>
      <c r="D136" s="49" t="s">
        <v>66</v>
      </c>
      <c r="E136" s="9" t="s">
        <v>67</v>
      </c>
      <c r="F136" s="49" t="s">
        <v>206</v>
      </c>
      <c r="G136" s="133" t="s">
        <v>68</v>
      </c>
      <c r="H136" s="133"/>
    </row>
    <row r="137" spans="1:10" s="2" customFormat="1" x14ac:dyDescent="0.25">
      <c r="A137" s="105" t="s">
        <v>131</v>
      </c>
      <c r="B137" s="105"/>
      <c r="C137" s="105"/>
      <c r="D137" s="105"/>
      <c r="E137" s="105"/>
      <c r="F137" s="105"/>
      <c r="G137" s="105"/>
      <c r="H137" s="105"/>
    </row>
    <row r="138" spans="1:10" s="2" customFormat="1" x14ac:dyDescent="0.25">
      <c r="A138" s="105" t="s">
        <v>198</v>
      </c>
      <c r="B138" s="105"/>
      <c r="C138" s="105"/>
      <c r="D138" s="105"/>
      <c r="E138" s="105"/>
      <c r="F138" s="105"/>
      <c r="G138" s="105"/>
      <c r="H138" s="105"/>
    </row>
    <row r="139" spans="1:10" s="2" customFormat="1" x14ac:dyDescent="0.25">
      <c r="A139" s="105" t="s">
        <v>197</v>
      </c>
      <c r="B139" s="105"/>
      <c r="C139" s="105"/>
      <c r="D139" s="105"/>
      <c r="E139" s="105"/>
      <c r="F139" s="105"/>
      <c r="G139" s="105"/>
      <c r="H139" s="105"/>
    </row>
    <row r="140" spans="1:10" s="2" customFormat="1" ht="15.6" customHeight="1" x14ac:dyDescent="0.25">
      <c r="A140" s="106">
        <v>1</v>
      </c>
      <c r="B140" s="106"/>
      <c r="C140" s="48" t="s">
        <v>143</v>
      </c>
      <c r="D140" s="48">
        <f>(2.75*4.95+3.05*2.75+2.15*2+(2*1+2*1)+2.4*0.9+(1*(2.15+2.75))+1.15*2.3)*10.764</f>
        <v>430.61381999999992</v>
      </c>
      <c r="E140" s="48">
        <v>0</v>
      </c>
      <c r="F140" s="48">
        <v>683</v>
      </c>
      <c r="G140" s="110" t="str">
        <f>A139</f>
        <v>1st to 7th Floor For Residential</v>
      </c>
      <c r="H140" s="111"/>
      <c r="J140" s="51">
        <f t="shared" ref="J140:J146" si="0">F140/D140</f>
        <v>1.5861079423786262</v>
      </c>
    </row>
    <row r="141" spans="1:10" s="2" customFormat="1" x14ac:dyDescent="0.25">
      <c r="A141" s="106">
        <f>A140+1</f>
        <v>2</v>
      </c>
      <c r="B141" s="106"/>
      <c r="C141" s="48" t="s">
        <v>145</v>
      </c>
      <c r="D141" s="48">
        <f>(3*5.9+2.4*2.4+2.65*2.75+2.75*3.4+0.9*3.8+(1.2*2.15+1.2*2.4)+1.15*3+(0.85*(2.4+2.75+4.4+2.75)))*10.764</f>
        <v>676.86723000000006</v>
      </c>
      <c r="E141" s="48">
        <v>0</v>
      </c>
      <c r="F141" s="48">
        <v>1074</v>
      </c>
      <c r="G141" s="112"/>
      <c r="H141" s="113"/>
      <c r="J141" s="51">
        <f t="shared" si="0"/>
        <v>1.5867218154437761</v>
      </c>
    </row>
    <row r="142" spans="1:10" s="2" customFormat="1" x14ac:dyDescent="0.25">
      <c r="A142" s="106">
        <f t="shared" ref="A142:A146" si="1">A141+1</f>
        <v>3</v>
      </c>
      <c r="B142" s="106"/>
      <c r="C142" s="48" t="s">
        <v>143</v>
      </c>
      <c r="D142" s="48">
        <f>(2.75*5.45+2.4*2.4+2.75*3.4+0.9*2.4+(0.45*1.5)+(2.4*1.2+1.2*2.4)+(1.15*(2.75+2.75))+0.85*2.4)*10.764</f>
        <v>506.52692999999994</v>
      </c>
      <c r="E142" s="48">
        <v>0</v>
      </c>
      <c r="F142" s="48">
        <v>776</v>
      </c>
      <c r="G142" s="112"/>
      <c r="H142" s="113"/>
      <c r="J142" s="51">
        <f t="shared" si="0"/>
        <v>1.5320014673257354</v>
      </c>
    </row>
    <row r="143" spans="1:10" s="2" customFormat="1" x14ac:dyDescent="0.25">
      <c r="A143" s="106">
        <f t="shared" si="1"/>
        <v>4</v>
      </c>
      <c r="B143" s="106"/>
      <c r="C143" s="48" t="s">
        <v>143</v>
      </c>
      <c r="D143" s="48">
        <f>(2.75*5.45+2.4*2.4+2.75*3.4+0.9*2.4+(0.45*1.5)+(2.4*1.2+1.2*2.4)+(1.15*(2.75+2.75))+0.85*2.4)*10.764</f>
        <v>506.52692999999994</v>
      </c>
      <c r="E143" s="48">
        <v>0</v>
      </c>
      <c r="F143" s="48">
        <v>776</v>
      </c>
      <c r="G143" s="112"/>
      <c r="H143" s="113"/>
      <c r="J143" s="51">
        <f t="shared" si="0"/>
        <v>1.5320014673257354</v>
      </c>
    </row>
    <row r="144" spans="1:10" s="2" customFormat="1" x14ac:dyDescent="0.25">
      <c r="A144" s="106">
        <f t="shared" si="1"/>
        <v>5</v>
      </c>
      <c r="B144" s="106"/>
      <c r="C144" s="48" t="s">
        <v>145</v>
      </c>
      <c r="D144" s="48">
        <f>(3.05*5.9+2.4*2.65+2.75*2.65+2.75*3.65+3.8*0.9+(1.2*2.15+1.2*2.15)+1*2.75+1.15*3.05+(0.85*(2.75+2.4)))*10.764</f>
        <v>655.47377999999992</v>
      </c>
      <c r="E144" s="48">
        <v>0</v>
      </c>
      <c r="F144" s="48">
        <v>1023</v>
      </c>
      <c r="G144" s="112"/>
      <c r="H144" s="113"/>
      <c r="J144" s="51">
        <f t="shared" si="0"/>
        <v>1.5607031603918622</v>
      </c>
    </row>
    <row r="145" spans="1:10" s="2" customFormat="1" x14ac:dyDescent="0.25">
      <c r="A145" s="106">
        <f t="shared" si="1"/>
        <v>6</v>
      </c>
      <c r="B145" s="106"/>
      <c r="C145" s="48" t="s">
        <v>143</v>
      </c>
      <c r="D145" s="48">
        <f>(2.75*5.35+2.4*3.15+2.75*3.4+1.4*0.9+(2.15*1.2+1.2*2.15)+1.15*2.75+0.85*3.15)*10.764</f>
        <v>472.35122999999987</v>
      </c>
      <c r="E145" s="48">
        <v>0</v>
      </c>
      <c r="F145" s="48">
        <v>718</v>
      </c>
      <c r="G145" s="112"/>
      <c r="H145" s="113"/>
      <c r="J145" s="51">
        <f t="shared" si="0"/>
        <v>1.5200553198517133</v>
      </c>
    </row>
    <row r="146" spans="1:10" s="2" customFormat="1" ht="15.75" customHeight="1" x14ac:dyDescent="0.25">
      <c r="A146" s="106">
        <f t="shared" si="1"/>
        <v>7</v>
      </c>
      <c r="B146" s="106"/>
      <c r="C146" s="48" t="s">
        <v>143</v>
      </c>
      <c r="D146" s="48">
        <f>(2.75*5.35+2.4*2.4+2.75*3.4+2.4*0.9+(2.15*1.2+1.2*2.4)+1.15*2.75+(0.85*(2.4*2.75)))*10.764</f>
        <v>497.45825999999994</v>
      </c>
      <c r="E146" s="48">
        <v>0</v>
      </c>
      <c r="F146" s="48">
        <v>742</v>
      </c>
      <c r="G146" s="114"/>
      <c r="H146" s="115"/>
      <c r="J146" s="51">
        <f t="shared" si="0"/>
        <v>1.4915824294484528</v>
      </c>
    </row>
    <row r="147" spans="1:10" s="2" customFormat="1" x14ac:dyDescent="0.25">
      <c r="A147" s="105" t="s">
        <v>149</v>
      </c>
      <c r="B147" s="105"/>
      <c r="C147" s="105"/>
      <c r="D147" s="105"/>
      <c r="E147" s="105"/>
      <c r="F147" s="105"/>
      <c r="G147" s="105"/>
      <c r="H147" s="105"/>
    </row>
    <row r="148" spans="1:10" s="2" customFormat="1" ht="15.75" customHeight="1" x14ac:dyDescent="0.25">
      <c r="A148" s="105" t="s">
        <v>198</v>
      </c>
      <c r="B148" s="105"/>
      <c r="C148" s="105"/>
      <c r="D148" s="105"/>
      <c r="E148" s="105"/>
      <c r="F148" s="105"/>
      <c r="G148" s="105"/>
      <c r="H148" s="105"/>
    </row>
    <row r="149" spans="1:10" s="2" customFormat="1" x14ac:dyDescent="0.25">
      <c r="A149" s="105" t="s">
        <v>199</v>
      </c>
      <c r="B149" s="105"/>
      <c r="C149" s="105"/>
      <c r="D149" s="105"/>
      <c r="E149" s="105"/>
      <c r="F149" s="105"/>
      <c r="G149" s="105"/>
      <c r="H149" s="105"/>
    </row>
    <row r="150" spans="1:10" s="2" customFormat="1" x14ac:dyDescent="0.25">
      <c r="A150" s="106">
        <v>1</v>
      </c>
      <c r="B150" s="106"/>
      <c r="C150" s="48" t="s">
        <v>143</v>
      </c>
      <c r="D150" s="48">
        <f>(37.5+3.96)*10.764</f>
        <v>446.27544</v>
      </c>
      <c r="E150" s="48">
        <v>0</v>
      </c>
      <c r="F150" s="48">
        <v>742</v>
      </c>
      <c r="G150" s="106" t="str">
        <f>A149</f>
        <v xml:space="preserve">1st to 7th Floor For Residential </v>
      </c>
      <c r="H150" s="106"/>
      <c r="J150" s="51">
        <f>F150/D150</f>
        <v>1.6626503129995234</v>
      </c>
    </row>
    <row r="151" spans="1:10" s="2" customFormat="1" x14ac:dyDescent="0.25">
      <c r="A151" s="106">
        <f>A150+1</f>
        <v>2</v>
      </c>
      <c r="B151" s="106"/>
      <c r="C151" s="48" t="s">
        <v>145</v>
      </c>
      <c r="D151" s="48">
        <f>(55.12+6.12)*10.764</f>
        <v>659.1873599999999</v>
      </c>
      <c r="E151" s="48">
        <v>0</v>
      </c>
      <c r="F151" s="48">
        <v>1067</v>
      </c>
      <c r="G151" s="106"/>
      <c r="H151" s="106"/>
      <c r="J151" s="51">
        <f t="shared" ref="J151:J158" si="2">F151/D151</f>
        <v>1.6186596781831499</v>
      </c>
    </row>
    <row r="152" spans="1:10" s="2" customFormat="1" x14ac:dyDescent="0.25">
      <c r="A152" s="106">
        <f t="shared" ref="A152:A156" si="3">A151+1</f>
        <v>3</v>
      </c>
      <c r="B152" s="106"/>
      <c r="C152" s="48" t="s">
        <v>145</v>
      </c>
      <c r="D152" s="48">
        <f>(40.56+10.46)*10.764</f>
        <v>549.17927999999995</v>
      </c>
      <c r="E152" s="48">
        <v>0</v>
      </c>
      <c r="F152" s="48">
        <v>873</v>
      </c>
      <c r="G152" s="106"/>
      <c r="H152" s="106"/>
      <c r="J152" s="51">
        <f t="shared" si="2"/>
        <v>1.5896448241820049</v>
      </c>
    </row>
    <row r="153" spans="1:10" s="2" customFormat="1" x14ac:dyDescent="0.25">
      <c r="A153" s="106">
        <f t="shared" si="3"/>
        <v>4</v>
      </c>
      <c r="B153" s="106"/>
      <c r="C153" s="48" t="s">
        <v>145</v>
      </c>
      <c r="D153" s="48">
        <f>(43.19+7.32)*10.764</f>
        <v>543.68963999999994</v>
      </c>
      <c r="E153" s="48">
        <v>0</v>
      </c>
      <c r="F153" s="48">
        <v>885</v>
      </c>
      <c r="G153" s="106"/>
      <c r="H153" s="106"/>
      <c r="J153" s="51">
        <f t="shared" si="2"/>
        <v>1.627766900248458</v>
      </c>
    </row>
    <row r="154" spans="1:10" s="2" customFormat="1" x14ac:dyDescent="0.25">
      <c r="A154" s="106">
        <f t="shared" si="3"/>
        <v>5</v>
      </c>
      <c r="B154" s="106"/>
      <c r="C154" s="48" t="s">
        <v>143</v>
      </c>
      <c r="D154" s="48">
        <f>(36.18)*10.764</f>
        <v>389.44151999999997</v>
      </c>
      <c r="E154" s="48">
        <v>0</v>
      </c>
      <c r="F154" s="48">
        <v>678</v>
      </c>
      <c r="G154" s="106"/>
      <c r="H154" s="106"/>
      <c r="J154" s="51">
        <f t="shared" si="2"/>
        <v>1.7409545854278714</v>
      </c>
    </row>
    <row r="155" spans="1:10" s="2" customFormat="1" x14ac:dyDescent="0.25">
      <c r="A155" s="106">
        <f t="shared" si="3"/>
        <v>6</v>
      </c>
      <c r="B155" s="106"/>
      <c r="C155" s="48" t="s">
        <v>143</v>
      </c>
      <c r="D155" s="48">
        <f>(37.79)*10.764</f>
        <v>406.77155999999997</v>
      </c>
      <c r="E155" s="48">
        <v>0</v>
      </c>
      <c r="F155" s="48">
        <v>712</v>
      </c>
      <c r="G155" s="106"/>
      <c r="H155" s="106"/>
      <c r="J155" s="51">
        <f t="shared" si="2"/>
        <v>1.7503681919158756</v>
      </c>
    </row>
    <row r="156" spans="1:10" s="2" customFormat="1" x14ac:dyDescent="0.25">
      <c r="A156" s="106">
        <f t="shared" si="3"/>
        <v>7</v>
      </c>
      <c r="B156" s="106"/>
      <c r="C156" s="48" t="s">
        <v>143</v>
      </c>
      <c r="D156" s="48">
        <f>(37.58)*10.764</f>
        <v>404.51111999999995</v>
      </c>
      <c r="E156" s="48">
        <v>0</v>
      </c>
      <c r="F156" s="48">
        <v>649</v>
      </c>
      <c r="G156" s="106"/>
      <c r="H156" s="106"/>
      <c r="J156" s="51">
        <f t="shared" si="2"/>
        <v>1.6044058319088981</v>
      </c>
    </row>
    <row r="157" spans="1:10" s="2" customFormat="1" x14ac:dyDescent="0.25">
      <c r="A157" s="106">
        <f t="shared" ref="A157:A158" si="4">A156+1</f>
        <v>8</v>
      </c>
      <c r="B157" s="106"/>
      <c r="C157" s="48" t="s">
        <v>145</v>
      </c>
      <c r="D157" s="48">
        <f>(50.28+8.33)*10.764</f>
        <v>630.87803999999994</v>
      </c>
      <c r="E157" s="48">
        <v>0</v>
      </c>
      <c r="F157" s="48">
        <v>1020</v>
      </c>
      <c r="G157" s="106"/>
      <c r="H157" s="106"/>
      <c r="J157" s="51">
        <f t="shared" si="2"/>
        <v>1.6167942697767703</v>
      </c>
    </row>
    <row r="158" spans="1:10" s="2" customFormat="1" x14ac:dyDescent="0.25">
      <c r="A158" s="106">
        <f t="shared" si="4"/>
        <v>9</v>
      </c>
      <c r="B158" s="106"/>
      <c r="C158" s="48" t="s">
        <v>143</v>
      </c>
      <c r="D158" s="48">
        <f>(37.5+3.96)*10.764</f>
        <v>446.27544</v>
      </c>
      <c r="E158" s="48">
        <v>0</v>
      </c>
      <c r="F158" s="48">
        <v>742</v>
      </c>
      <c r="G158" s="106"/>
      <c r="H158" s="106"/>
      <c r="J158" s="51">
        <f t="shared" si="2"/>
        <v>1.6626503129995234</v>
      </c>
    </row>
    <row r="159" spans="1:10" s="2" customFormat="1" x14ac:dyDescent="0.25">
      <c r="A159" s="105" t="s">
        <v>151</v>
      </c>
      <c r="B159" s="105"/>
      <c r="C159" s="105"/>
      <c r="D159" s="105"/>
      <c r="E159" s="105"/>
      <c r="F159" s="105"/>
      <c r="G159" s="105"/>
      <c r="H159" s="105"/>
    </row>
    <row r="160" spans="1:10" s="2" customFormat="1" x14ac:dyDescent="0.25">
      <c r="A160" s="105" t="s">
        <v>148</v>
      </c>
      <c r="B160" s="105"/>
      <c r="C160" s="105"/>
      <c r="D160" s="105"/>
      <c r="E160" s="105"/>
      <c r="F160" s="105"/>
      <c r="G160" s="105"/>
      <c r="H160" s="105"/>
    </row>
    <row r="161" spans="1:10" s="2" customFormat="1" ht="15" customHeight="1" x14ac:dyDescent="0.25">
      <c r="A161" s="106" t="s">
        <v>137</v>
      </c>
      <c r="B161" s="106"/>
      <c r="C161" s="48" t="s">
        <v>143</v>
      </c>
      <c r="D161" s="48">
        <f>(2.75*4.28+2*1.65+2.75*2.97+1.1*1.8+2*1.2+2*0.9+2.75*1)*10.764</f>
        <v>346.25097</v>
      </c>
      <c r="E161" s="48">
        <v>0</v>
      </c>
      <c r="F161" s="48">
        <v>499</v>
      </c>
      <c r="G161" s="110" t="s">
        <v>147</v>
      </c>
      <c r="H161" s="111"/>
      <c r="J161" s="51">
        <f t="shared" ref="J161:J168" si="5">F161/D161</f>
        <v>1.4411511973526023</v>
      </c>
    </row>
    <row r="162" spans="1:10" s="2" customFormat="1" x14ac:dyDescent="0.25">
      <c r="A162" s="106" t="s">
        <v>138</v>
      </c>
      <c r="B162" s="106"/>
      <c r="C162" s="48" t="s">
        <v>143</v>
      </c>
      <c r="D162" s="48">
        <f>(2.75*3.75+1.85*1.8+2.4*2.9+1*1.2+1*1.8+0.9*2.4+1*1+2.75*1.38+1*0.5)*10.764</f>
        <v>334.30292999999995</v>
      </c>
      <c r="E162" s="48">
        <v>0</v>
      </c>
      <c r="F162" s="48">
        <v>501</v>
      </c>
      <c r="G162" s="112"/>
      <c r="H162" s="113"/>
      <c r="J162" s="51">
        <f t="shared" si="5"/>
        <v>1.4986407687183601</v>
      </c>
    </row>
    <row r="163" spans="1:10" s="2" customFormat="1" x14ac:dyDescent="0.25">
      <c r="A163" s="106" t="s">
        <v>139</v>
      </c>
      <c r="B163" s="106"/>
      <c r="C163" s="48" t="s">
        <v>143</v>
      </c>
      <c r="D163" s="48">
        <f>(2.75*4.8+2.1*1.75+2.75*3.4+2.1*1.1+1.1*1.8+2.1*0.9+2.75*1)*10.764</f>
        <v>378.40841999999998</v>
      </c>
      <c r="E163" s="48">
        <v>0</v>
      </c>
      <c r="F163" s="48">
        <v>551</v>
      </c>
      <c r="G163" s="112"/>
      <c r="H163" s="113"/>
      <c r="J163" s="51">
        <f t="shared" si="5"/>
        <v>1.4560986777196978</v>
      </c>
    </row>
    <row r="164" spans="1:10" s="2" customFormat="1" x14ac:dyDescent="0.25">
      <c r="A164" s="106" t="s">
        <v>140</v>
      </c>
      <c r="B164" s="106"/>
      <c r="C164" s="48" t="s">
        <v>143</v>
      </c>
      <c r="D164" s="48">
        <f>(2.75*4.28+2*1.65+2.75*2.4+2*1.1+1.1*1.8+2.75*1.32+2*1+2.75*1+2*0.9)*10.764</f>
        <v>387.82691999999997</v>
      </c>
      <c r="E164" s="48">
        <v>0</v>
      </c>
      <c r="F164" s="48">
        <v>565</v>
      </c>
      <c r="G164" s="112"/>
      <c r="H164" s="113"/>
      <c r="J164" s="51">
        <f t="shared" si="5"/>
        <v>1.4568354357660371</v>
      </c>
    </row>
    <row r="165" spans="1:10" s="2" customFormat="1" ht="15.75" customHeight="1" x14ac:dyDescent="0.25">
      <c r="A165" s="106" t="s">
        <v>141</v>
      </c>
      <c r="B165" s="106"/>
      <c r="C165" s="48" t="s">
        <v>143</v>
      </c>
      <c r="D165" s="48">
        <f>(2.75*4.28+2*1.65+2.75*2.4+2*1.1+1.1*1.8+2.75*1.32+2*1+2.75*1+2*0.9)*10.764</f>
        <v>387.82691999999997</v>
      </c>
      <c r="E165" s="48">
        <v>0</v>
      </c>
      <c r="F165" s="48">
        <v>553</v>
      </c>
      <c r="G165" s="112"/>
      <c r="H165" s="113"/>
      <c r="J165" s="51">
        <f t="shared" si="5"/>
        <v>1.4258937981922453</v>
      </c>
    </row>
    <row r="166" spans="1:10" s="2" customFormat="1" x14ac:dyDescent="0.25">
      <c r="A166" s="106" t="s">
        <v>142</v>
      </c>
      <c r="B166" s="106"/>
      <c r="C166" s="48" t="s">
        <v>143</v>
      </c>
      <c r="D166" s="48">
        <f>(2.75*3.26+2*1.9+2.85*2.75+1*1.75+0.9*1.2+2*0.9+0.9*0.5+2*1+2.75*2)*10.764</f>
        <v>357.17642999999993</v>
      </c>
      <c r="E166" s="48">
        <v>0</v>
      </c>
      <c r="F166" s="48">
        <v>525</v>
      </c>
      <c r="G166" s="112"/>
      <c r="H166" s="113"/>
      <c r="J166" s="51">
        <f t="shared" si="5"/>
        <v>1.4698618271088049</v>
      </c>
    </row>
    <row r="167" spans="1:10" s="2" customFormat="1" x14ac:dyDescent="0.25">
      <c r="A167" s="106" t="s">
        <v>150</v>
      </c>
      <c r="B167" s="106"/>
      <c r="C167" s="48" t="s">
        <v>143</v>
      </c>
      <c r="D167" s="48">
        <f>(2.75*4.28+2.25*1.65+2.75*2.8+1.1*1.6+1.1*1.8+0.9*2.25+2.75*1)*10.764</f>
        <v>341.19189</v>
      </c>
      <c r="E167" s="48">
        <v>0</v>
      </c>
      <c r="F167" s="48">
        <v>504</v>
      </c>
      <c r="G167" s="112"/>
      <c r="H167" s="113"/>
      <c r="J167" s="51">
        <f t="shared" si="5"/>
        <v>1.4771746186581398</v>
      </c>
    </row>
    <row r="168" spans="1:10" s="2" customFormat="1" x14ac:dyDescent="0.25">
      <c r="A168" s="106" t="s">
        <v>152</v>
      </c>
      <c r="B168" s="106"/>
      <c r="C168" s="48" t="s">
        <v>143</v>
      </c>
      <c r="D168" s="48">
        <f>(2.75*4.28+2.25*1.65+2.75*2.8+1.1*1.6+1.1*1.8+0.9*2.25+2.75*1)*10.764</f>
        <v>341.19189</v>
      </c>
      <c r="E168" s="48">
        <v>0</v>
      </c>
      <c r="F168" s="48">
        <v>495</v>
      </c>
      <c r="G168" s="114"/>
      <c r="H168" s="115"/>
      <c r="J168" s="51">
        <f t="shared" si="5"/>
        <v>1.4507965004678158</v>
      </c>
    </row>
    <row r="169" spans="1:10" s="2" customFormat="1" x14ac:dyDescent="0.25">
      <c r="A169" s="105" t="s">
        <v>144</v>
      </c>
      <c r="B169" s="105"/>
      <c r="C169" s="105"/>
      <c r="D169" s="105"/>
      <c r="E169" s="105"/>
      <c r="F169" s="105"/>
      <c r="G169" s="105"/>
      <c r="H169" s="105"/>
    </row>
    <row r="170" spans="1:10" s="2" customFormat="1" x14ac:dyDescent="0.25">
      <c r="A170" s="106">
        <v>1</v>
      </c>
      <c r="B170" s="106"/>
      <c r="C170" s="48" t="s">
        <v>143</v>
      </c>
      <c r="D170" s="48">
        <f>(2.75*4.28+2*1.65+2.75*2.97+2*1.2+1.1*1.8+2*0.9+2.4*0.45+2.03*0.45+2*2+2.75*0.75)*10.764</f>
        <v>403.364754</v>
      </c>
      <c r="E170" s="48">
        <f>(2.7*2.37)*10.764</f>
        <v>68.878836000000007</v>
      </c>
      <c r="F170" s="48">
        <v>649</v>
      </c>
      <c r="G170" s="106" t="str">
        <f>A169</f>
        <v>1st &amp; 3rd Floor</v>
      </c>
      <c r="H170" s="106"/>
      <c r="J170" s="51">
        <f t="shared" ref="J170:J177" si="6">F170/D170</f>
        <v>1.6089655666840936</v>
      </c>
    </row>
    <row r="171" spans="1:10" s="2" customFormat="1" x14ac:dyDescent="0.25">
      <c r="A171" s="106">
        <f>A170+1</f>
        <v>2</v>
      </c>
      <c r="B171" s="106"/>
      <c r="C171" s="48" t="s">
        <v>143</v>
      </c>
      <c r="D171" s="48">
        <f>(2.75*3.75+1.85*1.8+2.4*2.75+1*1.2+1*1.8+0.9*2.4+1*0.5+2.4*0.45+2.75*1+1.85*1+1.8*0.45+1*0.45)*10.764</f>
        <v>353.51667000000009</v>
      </c>
      <c r="E171" s="48">
        <f>(2.7*2.75)*10.764</f>
        <v>79.922700000000006</v>
      </c>
      <c r="F171" s="48">
        <v>641</v>
      </c>
      <c r="G171" s="106"/>
      <c r="H171" s="106"/>
      <c r="J171" s="51">
        <f t="shared" si="6"/>
        <v>1.813210109724104</v>
      </c>
    </row>
    <row r="172" spans="1:10" s="2" customFormat="1" x14ac:dyDescent="0.25">
      <c r="A172" s="106">
        <f t="shared" ref="A172:A177" si="7">A171+1</f>
        <v>3</v>
      </c>
      <c r="B172" s="106"/>
      <c r="C172" s="48" t="s">
        <v>145</v>
      </c>
      <c r="D172" s="60">
        <f>(2.75*4+2.1*1.75+2.4*2.75+2.75*2.4+2.1*1.1+1.1*1.8+0.9*2.1+2.75*1+1.75*1.2+2.75*1)*10.764</f>
        <v>448.37441999999999</v>
      </c>
      <c r="E172" s="48">
        <f>(2.7*2.63)*10.764</f>
        <v>76.435164</v>
      </c>
      <c r="F172" s="48">
        <v>781</v>
      </c>
      <c r="G172" s="106"/>
      <c r="H172" s="106"/>
      <c r="J172" s="51">
        <f t="shared" si="6"/>
        <v>1.7418478065720164</v>
      </c>
    </row>
    <row r="173" spans="1:10" s="2" customFormat="1" x14ac:dyDescent="0.25">
      <c r="A173" s="106">
        <f t="shared" si="7"/>
        <v>4</v>
      </c>
      <c r="B173" s="106"/>
      <c r="C173" s="48" t="s">
        <v>143</v>
      </c>
      <c r="D173" s="48">
        <f>(2.75*4.28+2*1.65+2.75*2.4+1.1*1.8+2*1.1+2*0.9+2.75*1+2*2+1.45*0.45+2.03*0.45)*10.764</f>
        <v>387.13802400000009</v>
      </c>
      <c r="E173" s="48">
        <f>(2.7*2.95)*10.764</f>
        <v>85.735259999999997</v>
      </c>
      <c r="F173" s="48">
        <v>660</v>
      </c>
      <c r="G173" s="106"/>
      <c r="H173" s="106"/>
      <c r="J173" s="51">
        <f t="shared" si="6"/>
        <v>1.7048183311489957</v>
      </c>
    </row>
    <row r="174" spans="1:10" s="2" customFormat="1" x14ac:dyDescent="0.25">
      <c r="A174" s="106">
        <f t="shared" si="7"/>
        <v>5</v>
      </c>
      <c r="B174" s="106"/>
      <c r="C174" s="48" t="s">
        <v>143</v>
      </c>
      <c r="D174" s="48">
        <f>(2.75*4.28+2*1.65+2.75*2.4+1.1*1.8+2*1.1+2*0.9+2.75*1+2*2+1.45*0.45+2.03*0.45)*10.764</f>
        <v>387.13802400000009</v>
      </c>
      <c r="E174" s="48">
        <f>(2.7*2.95)*10.764</f>
        <v>85.735259999999997</v>
      </c>
      <c r="F174" s="48">
        <v>641</v>
      </c>
      <c r="G174" s="106"/>
      <c r="H174" s="106"/>
      <c r="J174" s="51">
        <f t="shared" si="6"/>
        <v>1.6557402276765247</v>
      </c>
    </row>
    <row r="175" spans="1:10" s="2" customFormat="1" x14ac:dyDescent="0.25">
      <c r="A175" s="106">
        <f t="shared" si="7"/>
        <v>6</v>
      </c>
      <c r="B175" s="106"/>
      <c r="C175" s="48" t="s">
        <v>143</v>
      </c>
      <c r="D175" s="48">
        <f>(2.75*4.28+2*1.9+2.4*2.75+1*2+0.9*1.2+2*0.9+0.5*0.9+2*1+1.9*0.45+2.4*0.45+2*0.75)*10.764</f>
        <v>354.51233999999999</v>
      </c>
      <c r="E175" s="48">
        <f>(2.7*2.95)*10.764</f>
        <v>85.735259999999997</v>
      </c>
      <c r="F175" s="48">
        <v>585</v>
      </c>
      <c r="G175" s="106"/>
      <c r="H175" s="106"/>
      <c r="J175" s="51">
        <f t="shared" si="6"/>
        <v>1.6501541243952185</v>
      </c>
    </row>
    <row r="176" spans="1:10" s="2" customFormat="1" x14ac:dyDescent="0.25">
      <c r="A176" s="106">
        <f t="shared" si="7"/>
        <v>7</v>
      </c>
      <c r="B176" s="106"/>
      <c r="C176" s="48" t="s">
        <v>143</v>
      </c>
      <c r="D176" s="48">
        <f>(2.75*4.28+2.25*1.65+2.75*2.8+1.1*1.8+1.1*1.8+2.25*0.9+2.4*0.45+1.5*0.45+2.25*2+2.75*0.75)*10.764</f>
        <v>403.48853999999994</v>
      </c>
      <c r="E176" s="48">
        <f>(2.7*2.75)*10.764</f>
        <v>79.922700000000006</v>
      </c>
      <c r="F176" s="48">
        <v>662</v>
      </c>
      <c r="G176" s="106"/>
      <c r="H176" s="106"/>
      <c r="J176" s="51">
        <f t="shared" si="6"/>
        <v>1.6406909598969033</v>
      </c>
    </row>
    <row r="177" spans="1:10" s="2" customFormat="1" x14ac:dyDescent="0.25">
      <c r="A177" s="106">
        <f t="shared" si="7"/>
        <v>8</v>
      </c>
      <c r="B177" s="106"/>
      <c r="C177" s="48" t="s">
        <v>143</v>
      </c>
      <c r="D177" s="48">
        <f>(2.75*4.28+2.25*1.65+2.75*2.8+1.1*1.8+1.1*1.8+2.25*0.9+2.4*0.45+1.5*0.45+2.25*2+2.75*0.75)*10.764</f>
        <v>403.48853999999994</v>
      </c>
      <c r="E177" s="48">
        <f>(2.7*2.75)*10.764</f>
        <v>79.922700000000006</v>
      </c>
      <c r="F177" s="48">
        <v>648</v>
      </c>
      <c r="G177" s="106"/>
      <c r="H177" s="106"/>
      <c r="J177" s="51">
        <f t="shared" si="6"/>
        <v>1.6059935679957604</v>
      </c>
    </row>
    <row r="178" spans="1:10" s="2" customFormat="1" x14ac:dyDescent="0.25">
      <c r="A178" s="105" t="s">
        <v>146</v>
      </c>
      <c r="B178" s="105"/>
      <c r="C178" s="105"/>
      <c r="D178" s="105"/>
      <c r="E178" s="105"/>
      <c r="F178" s="105"/>
      <c r="G178" s="105"/>
      <c r="H178" s="105"/>
    </row>
    <row r="179" spans="1:10" s="2" customFormat="1" x14ac:dyDescent="0.25">
      <c r="A179" s="106">
        <v>1</v>
      </c>
      <c r="B179" s="106"/>
      <c r="C179" s="48" t="s">
        <v>143</v>
      </c>
      <c r="D179" s="48">
        <f>(2.75*4.28+2*1.65+2.75*2.97+2*1.2+1.1*1.8+2*0.9+2.4*0.45+2.03*0.45+2*2+2.75*0.75)*10.764</f>
        <v>403.364754</v>
      </c>
      <c r="E179" s="48">
        <f>(3.15*2.18)*10.764</f>
        <v>73.916387999999998</v>
      </c>
      <c r="F179" s="48">
        <v>651</v>
      </c>
      <c r="G179" s="106" t="str">
        <f>A178</f>
        <v>2nd &amp; 4th Floor</v>
      </c>
      <c r="H179" s="106"/>
      <c r="J179" s="51">
        <f t="shared" ref="J179:J186" si="8">F179/D179</f>
        <v>1.6139238581068489</v>
      </c>
    </row>
    <row r="180" spans="1:10" s="2" customFormat="1" x14ac:dyDescent="0.25">
      <c r="A180" s="106">
        <f>A179+1</f>
        <v>2</v>
      </c>
      <c r="B180" s="106"/>
      <c r="C180" s="48" t="s">
        <v>143</v>
      </c>
      <c r="D180" s="48">
        <f>(2.75*3.9+1.85*1.8+2.4*2.75+1*1.2+1*1.8+0.9*2.4+1*0.5+2.4*0.45+2.75*1+1.85*1+1.8*0.45+1*0.45+2.75*0.75)*10.764</f>
        <v>380.15757000000008</v>
      </c>
      <c r="E180" s="48">
        <v>0</v>
      </c>
      <c r="F180" s="48">
        <v>577</v>
      </c>
      <c r="G180" s="106"/>
      <c r="H180" s="106"/>
      <c r="J180" s="51">
        <f t="shared" si="8"/>
        <v>1.5177916883254485</v>
      </c>
    </row>
    <row r="181" spans="1:10" s="2" customFormat="1" x14ac:dyDescent="0.25">
      <c r="A181" s="106">
        <f t="shared" ref="A181:A186" si="9">A180+1</f>
        <v>3</v>
      </c>
      <c r="B181" s="106"/>
      <c r="C181" s="48" t="s">
        <v>145</v>
      </c>
      <c r="D181" s="48">
        <f>(2.75*4.6+2.1*1.75+2.4*2.75+2.75*2.4+2.1*1.1+1.1*1.8+0.9*2.1+2.75*1+1.75*1.2+2.75*1+2.75*0.75)*10.764</f>
        <v>488.33576999999997</v>
      </c>
      <c r="E181" s="48">
        <v>0</v>
      </c>
      <c r="F181" s="48">
        <v>726</v>
      </c>
      <c r="G181" s="106"/>
      <c r="H181" s="106"/>
      <c r="J181" s="51">
        <f t="shared" si="8"/>
        <v>1.486682001607214</v>
      </c>
    </row>
    <row r="182" spans="1:10" s="2" customFormat="1" x14ac:dyDescent="0.25">
      <c r="A182" s="106">
        <f t="shared" si="9"/>
        <v>4</v>
      </c>
      <c r="B182" s="106"/>
      <c r="C182" s="48" t="s">
        <v>143</v>
      </c>
      <c r="D182" s="48">
        <f>(2.75*4.28+2*1.65+2.75*3.4+1.1*1.8+2*1.1+2*0.9+2.75*0.75+2*2+1.45*0.45+2.03*0.45+1.65*0.45)*10.764</f>
        <v>417.33104400000008</v>
      </c>
      <c r="E182" s="48">
        <f>(2.35*1.75)*10.764</f>
        <v>44.266949999999994</v>
      </c>
      <c r="F182" s="48">
        <v>648</v>
      </c>
      <c r="G182" s="106"/>
      <c r="H182" s="106"/>
      <c r="J182" s="51">
        <f t="shared" si="8"/>
        <v>1.5527241726115153</v>
      </c>
    </row>
    <row r="183" spans="1:10" s="2" customFormat="1" x14ac:dyDescent="0.25">
      <c r="A183" s="106">
        <f t="shared" si="9"/>
        <v>5</v>
      </c>
      <c r="B183" s="106"/>
      <c r="C183" s="48" t="s">
        <v>143</v>
      </c>
      <c r="D183" s="48">
        <f>(2.75*4.28+2*1.65+2.75*3.4+1.1*1.8+2*1.1+2*0.9+2.75*0.75+2*2+1.45*0.45+2.03*0.45+1.65*0.45)*10.764</f>
        <v>417.33104400000008</v>
      </c>
      <c r="E183" s="48">
        <f>(2.35*1.75)*10.764</f>
        <v>44.266949999999994</v>
      </c>
      <c r="F183" s="48">
        <v>648</v>
      </c>
      <c r="G183" s="106"/>
      <c r="H183" s="106"/>
      <c r="J183" s="51">
        <f t="shared" si="8"/>
        <v>1.5527241726115153</v>
      </c>
    </row>
    <row r="184" spans="1:10" s="2" customFormat="1" x14ac:dyDescent="0.25">
      <c r="A184" s="106">
        <f t="shared" si="9"/>
        <v>6</v>
      </c>
      <c r="B184" s="106"/>
      <c r="C184" s="48" t="s">
        <v>143</v>
      </c>
      <c r="D184" s="48">
        <f>(2.75*3.28+2*1.65+2.4*2.75+2*1.25+2.75*1+0.9*1.2+2*0.9+0.5*0.9+2.4*0.45+2.4*0.75)*10.764</f>
        <v>327.01031999999998</v>
      </c>
      <c r="E184" s="48">
        <v>0</v>
      </c>
      <c r="F184" s="48">
        <v>497</v>
      </c>
      <c r="G184" s="106"/>
      <c r="H184" s="106"/>
      <c r="J184" s="51">
        <f t="shared" si="8"/>
        <v>1.5198297105730487</v>
      </c>
    </row>
    <row r="185" spans="1:10" s="2" customFormat="1" x14ac:dyDescent="0.25">
      <c r="A185" s="106">
        <f t="shared" si="9"/>
        <v>7</v>
      </c>
      <c r="B185" s="106"/>
      <c r="C185" s="48" t="s">
        <v>143</v>
      </c>
      <c r="D185" s="48">
        <f>(2.75*4.28+2.25*1.65+2.75*2.8+1.1*1.8+1.1*1.8+2.25*0.9+2.4*0.45+1.5*0.45+2.25*2+2.75*1)*10.764</f>
        <v>410.88878999999997</v>
      </c>
      <c r="E185" s="48">
        <f>(2.7*3.32)*10.764</f>
        <v>96.488495999999998</v>
      </c>
      <c r="F185" s="48">
        <v>701</v>
      </c>
      <c r="G185" s="106"/>
      <c r="H185" s="106"/>
      <c r="J185" s="51">
        <f t="shared" si="8"/>
        <v>1.7060577388835554</v>
      </c>
    </row>
    <row r="186" spans="1:10" s="2" customFormat="1" x14ac:dyDescent="0.25">
      <c r="A186" s="106">
        <f t="shared" si="9"/>
        <v>8</v>
      </c>
      <c r="B186" s="106"/>
      <c r="C186" s="48" t="s">
        <v>143</v>
      </c>
      <c r="D186" s="48">
        <f>(2.75*4.28+2.25*1.65+2.75*2.8+1.1*1.8+1.1*1.8+2.25*0.9+2.4*0.45+1.5*0.45+2.25*2+2.75*1)*10.764</f>
        <v>410.88878999999997</v>
      </c>
      <c r="E186" s="48">
        <f>(3.2*1+0.35*0.3)*10.764</f>
        <v>35.575020000000002</v>
      </c>
      <c r="F186" s="48">
        <v>647</v>
      </c>
      <c r="G186" s="106"/>
      <c r="H186" s="106"/>
      <c r="J186" s="51">
        <f t="shared" si="8"/>
        <v>1.5746353167726967</v>
      </c>
    </row>
    <row r="187" spans="1:10" s="1" customFormat="1" x14ac:dyDescent="0.25">
      <c r="A187" s="107" t="s">
        <v>78</v>
      </c>
      <c r="B187" s="107"/>
      <c r="C187" s="107"/>
      <c r="D187" s="107"/>
      <c r="E187" s="107"/>
      <c r="F187" s="107"/>
      <c r="G187" s="107"/>
      <c r="H187" s="107"/>
    </row>
    <row r="188" spans="1:10" s="5" customFormat="1" ht="143.25" customHeight="1" x14ac:dyDescent="0.25">
      <c r="A188" s="108" t="s">
        <v>226</v>
      </c>
      <c r="B188" s="108"/>
      <c r="C188" s="108"/>
      <c r="D188" s="108"/>
      <c r="E188" s="108"/>
      <c r="F188" s="108"/>
      <c r="G188" s="108"/>
      <c r="H188" s="108"/>
    </row>
    <row r="189" spans="1:10" x14ac:dyDescent="0.25">
      <c r="A189" s="109" t="s">
        <v>69</v>
      </c>
      <c r="B189" s="109"/>
      <c r="C189" s="109"/>
      <c r="D189" s="109"/>
      <c r="E189" s="109"/>
      <c r="F189" s="109"/>
      <c r="G189" s="109"/>
      <c r="H189" s="109"/>
    </row>
    <row r="190" spans="1:10" x14ac:dyDescent="0.25">
      <c r="A190" s="97" t="s">
        <v>70</v>
      </c>
      <c r="B190" s="97"/>
      <c r="C190" s="97"/>
      <c r="D190" s="97"/>
      <c r="E190" s="97"/>
      <c r="F190" s="97"/>
      <c r="G190" s="97"/>
      <c r="H190" s="97"/>
    </row>
    <row r="191" spans="1:10" ht="15.75" customHeight="1" x14ac:dyDescent="0.25">
      <c r="A191" s="109" t="s">
        <v>71</v>
      </c>
      <c r="B191" s="109"/>
      <c r="C191" s="109"/>
      <c r="D191" s="109"/>
      <c r="E191" s="109"/>
      <c r="F191" s="109"/>
      <c r="G191" s="109"/>
      <c r="H191" s="109"/>
    </row>
    <row r="192" spans="1:10" x14ac:dyDescent="0.25">
      <c r="A192" s="97" t="s">
        <v>72</v>
      </c>
      <c r="B192" s="97"/>
      <c r="C192" s="97"/>
      <c r="D192" s="97"/>
      <c r="E192" s="97"/>
      <c r="F192" s="97"/>
      <c r="G192" s="97"/>
      <c r="H192" s="97"/>
    </row>
    <row r="193" spans="1:8" x14ac:dyDescent="0.25">
      <c r="A193" s="97" t="s">
        <v>73</v>
      </c>
      <c r="B193" s="97"/>
      <c r="C193" s="97"/>
      <c r="D193" s="97"/>
      <c r="E193" s="97"/>
      <c r="F193" s="97"/>
      <c r="G193" s="97"/>
      <c r="H193" s="97"/>
    </row>
    <row r="194" spans="1:8" x14ac:dyDescent="0.25">
      <c r="A194" s="97" t="s">
        <v>74</v>
      </c>
      <c r="B194" s="97"/>
      <c r="C194" s="97"/>
      <c r="D194" s="97"/>
      <c r="E194" s="97"/>
      <c r="F194" s="97"/>
      <c r="G194" s="97"/>
      <c r="H194" s="97"/>
    </row>
    <row r="195" spans="1:8" ht="35.25" customHeight="1" x14ac:dyDescent="0.25">
      <c r="A195" s="104" t="s">
        <v>75</v>
      </c>
      <c r="B195" s="104"/>
      <c r="C195" s="104"/>
      <c r="D195" s="104"/>
      <c r="E195" s="104"/>
      <c r="F195" s="104"/>
      <c r="G195" s="104"/>
      <c r="H195" s="104"/>
    </row>
    <row r="196" spans="1:8" x14ac:dyDescent="0.25">
      <c r="A196" s="132" t="s">
        <v>91</v>
      </c>
      <c r="B196" s="132"/>
      <c r="C196" s="132" t="s">
        <v>228</v>
      </c>
      <c r="D196" s="132"/>
      <c r="E196" s="132" t="s">
        <v>159</v>
      </c>
      <c r="F196" s="132"/>
      <c r="G196" s="132" t="s">
        <v>227</v>
      </c>
      <c r="H196" s="132"/>
    </row>
    <row r="197" spans="1:8" x14ac:dyDescent="0.25">
      <c r="A197" s="131" t="s">
        <v>93</v>
      </c>
      <c r="B197" s="131"/>
      <c r="C197" s="131"/>
      <c r="D197" s="131"/>
      <c r="E197" s="131"/>
      <c r="F197" s="131"/>
      <c r="G197" s="131"/>
      <c r="H197" s="131"/>
    </row>
    <row r="198" spans="1:8" x14ac:dyDescent="0.25">
      <c r="A198" s="131"/>
      <c r="B198" s="131"/>
      <c r="C198" s="131"/>
      <c r="D198" s="131"/>
      <c r="E198" s="131"/>
      <c r="F198" s="131"/>
      <c r="G198" s="131"/>
      <c r="H198" s="131"/>
    </row>
    <row r="199" spans="1:8" x14ac:dyDescent="0.25">
      <c r="A199" s="131"/>
      <c r="B199" s="131"/>
      <c r="C199" s="131"/>
      <c r="D199" s="131"/>
      <c r="E199" s="131"/>
      <c r="F199" s="131"/>
      <c r="G199" s="131"/>
      <c r="H199" s="131"/>
    </row>
    <row r="200" spans="1:8" x14ac:dyDescent="0.25">
      <c r="A200" s="61" t="s">
        <v>76</v>
      </c>
      <c r="B200" s="62"/>
      <c r="C200" s="62"/>
      <c r="D200" s="61" t="str">
        <f>E8</f>
        <v>Sadguru Darshan</v>
      </c>
      <c r="E200" s="63"/>
      <c r="F200" s="62"/>
      <c r="G200" s="62"/>
      <c r="H200" s="62"/>
    </row>
    <row r="201" spans="1:8" x14ac:dyDescent="0.25">
      <c r="A201" s="62"/>
      <c r="B201" s="62"/>
      <c r="C201" s="62"/>
      <c r="D201" s="62"/>
      <c r="E201" s="62"/>
      <c r="F201" s="62"/>
      <c r="G201" s="62"/>
      <c r="H201" s="62"/>
    </row>
    <row r="202" spans="1:8" x14ac:dyDescent="0.25">
      <c r="A202" s="62"/>
      <c r="B202" s="62"/>
      <c r="C202" s="62"/>
      <c r="D202" s="62"/>
      <c r="E202" s="62"/>
      <c r="F202" s="62"/>
      <c r="G202" s="62"/>
      <c r="H202" s="62"/>
    </row>
    <row r="203" spans="1:8" ht="15" customHeight="1" x14ac:dyDescent="0.25">
      <c r="A203" s="63"/>
      <c r="B203" s="63"/>
      <c r="C203" s="63"/>
      <c r="D203" s="63"/>
      <c r="E203" s="63"/>
      <c r="F203" s="63"/>
      <c r="G203" s="63"/>
      <c r="H203" s="63"/>
    </row>
    <row r="204" spans="1:8" x14ac:dyDescent="0.25">
      <c r="A204" s="63"/>
      <c r="B204" s="63"/>
      <c r="C204" s="63"/>
      <c r="D204" s="63"/>
      <c r="E204" s="63"/>
      <c r="F204" s="63"/>
      <c r="G204" s="63"/>
      <c r="H204" s="63"/>
    </row>
    <row r="205" spans="1:8" x14ac:dyDescent="0.25">
      <c r="A205" s="63"/>
      <c r="B205" s="63"/>
      <c r="C205" s="63"/>
      <c r="D205" s="63"/>
      <c r="E205" s="63"/>
      <c r="F205" s="63"/>
      <c r="G205" s="63"/>
      <c r="H205" s="63"/>
    </row>
    <row r="206" spans="1:8" x14ac:dyDescent="0.25">
      <c r="A206" s="63"/>
      <c r="B206" s="63"/>
      <c r="C206" s="63"/>
      <c r="D206" s="63"/>
      <c r="E206" s="63"/>
      <c r="F206" s="63"/>
      <c r="G206" s="63"/>
      <c r="H206" s="63"/>
    </row>
    <row r="207" spans="1:8" x14ac:dyDescent="0.25">
      <c r="A207" s="63"/>
      <c r="B207" s="63"/>
      <c r="C207" s="63"/>
      <c r="D207" s="63"/>
      <c r="E207" s="63"/>
      <c r="F207" s="63"/>
      <c r="G207" s="63"/>
      <c r="H207" s="63"/>
    </row>
    <row r="208" spans="1:8" x14ac:dyDescent="0.25">
      <c r="A208" s="63"/>
      <c r="B208" s="63"/>
      <c r="C208" s="63"/>
      <c r="D208" s="63"/>
      <c r="E208" s="63"/>
      <c r="F208" s="63"/>
      <c r="G208" s="63"/>
      <c r="H208" s="63"/>
    </row>
    <row r="209" spans="1:8" x14ac:dyDescent="0.25">
      <c r="A209" s="63"/>
      <c r="B209" s="63"/>
      <c r="C209" s="63"/>
      <c r="D209" s="63"/>
      <c r="E209" s="63"/>
      <c r="F209" s="63"/>
      <c r="G209" s="63"/>
      <c r="H209" s="63"/>
    </row>
    <row r="210" spans="1:8" x14ac:dyDescent="0.25">
      <c r="A210" s="63"/>
      <c r="B210" s="63"/>
      <c r="C210" s="63"/>
      <c r="D210" s="63"/>
      <c r="E210" s="63"/>
      <c r="F210" s="63"/>
      <c r="G210" s="63"/>
      <c r="H210" s="63"/>
    </row>
    <row r="211" spans="1:8" x14ac:dyDescent="0.25">
      <c r="A211" s="63"/>
      <c r="B211" s="63"/>
      <c r="C211" s="63"/>
      <c r="D211" s="63"/>
      <c r="E211" s="63"/>
      <c r="F211" s="63"/>
      <c r="G211" s="63"/>
      <c r="H211" s="63"/>
    </row>
    <row r="212" spans="1:8" x14ac:dyDescent="0.25">
      <c r="A212" s="63"/>
      <c r="B212" s="63"/>
      <c r="C212" s="63"/>
      <c r="D212" s="63"/>
      <c r="E212" s="63"/>
      <c r="F212" s="63"/>
      <c r="G212" s="63"/>
      <c r="H212" s="63"/>
    </row>
    <row r="213" spans="1:8" x14ac:dyDescent="0.25">
      <c r="A213" s="63"/>
      <c r="B213" s="63"/>
      <c r="C213" s="63"/>
      <c r="D213" s="63"/>
      <c r="E213" s="63"/>
      <c r="F213" s="63"/>
      <c r="G213" s="63"/>
      <c r="H213" s="63"/>
    </row>
    <row r="214" spans="1:8" x14ac:dyDescent="0.25">
      <c r="A214" s="63"/>
      <c r="B214" s="63"/>
      <c r="C214" s="63"/>
      <c r="D214" s="63"/>
      <c r="E214" s="63"/>
      <c r="F214" s="63"/>
      <c r="G214" s="63"/>
      <c r="H214" s="63"/>
    </row>
    <row r="215" spans="1:8" x14ac:dyDescent="0.25">
      <c r="A215" s="63"/>
      <c r="B215" s="63"/>
      <c r="C215" s="63"/>
      <c r="D215" s="63"/>
      <c r="E215" s="63"/>
      <c r="F215" s="63"/>
      <c r="G215" s="63"/>
      <c r="H215" s="63"/>
    </row>
    <row r="216" spans="1:8" x14ac:dyDescent="0.25">
      <c r="A216" s="63"/>
      <c r="B216" s="63"/>
      <c r="C216" s="63"/>
      <c r="D216" s="63"/>
      <c r="E216" s="63"/>
      <c r="F216" s="63"/>
      <c r="G216" s="63"/>
      <c r="H216" s="63"/>
    </row>
    <row r="217" spans="1:8" x14ac:dyDescent="0.25">
      <c r="A217" s="63"/>
      <c r="B217" s="63"/>
      <c r="C217" s="63"/>
      <c r="D217" s="63"/>
      <c r="E217" s="63"/>
      <c r="F217" s="63"/>
      <c r="G217" s="63"/>
      <c r="H217" s="63"/>
    </row>
    <row r="218" spans="1:8" x14ac:dyDescent="0.25">
      <c r="A218" s="63"/>
      <c r="B218" s="63"/>
      <c r="C218" s="63"/>
      <c r="D218" s="63"/>
      <c r="E218" s="63"/>
      <c r="F218" s="63"/>
      <c r="G218" s="63"/>
      <c r="H218" s="63"/>
    </row>
    <row r="219" spans="1:8" x14ac:dyDescent="0.25">
      <c r="A219" s="63"/>
      <c r="B219" s="63"/>
      <c r="C219" s="63"/>
      <c r="D219" s="63"/>
      <c r="E219" s="63"/>
      <c r="F219" s="63"/>
      <c r="G219" s="63"/>
      <c r="H219" s="63"/>
    </row>
    <row r="220" spans="1:8" x14ac:dyDescent="0.25">
      <c r="A220" s="63"/>
      <c r="B220" s="63"/>
      <c r="C220" s="63"/>
      <c r="D220" s="63"/>
      <c r="E220" s="63"/>
      <c r="F220" s="63"/>
      <c r="G220" s="63"/>
      <c r="H220" s="63"/>
    </row>
    <row r="221" spans="1:8" x14ac:dyDescent="0.25">
      <c r="A221" s="63"/>
      <c r="B221" s="63"/>
      <c r="C221" s="63"/>
      <c r="D221" s="63"/>
      <c r="E221" s="63"/>
      <c r="F221" s="63"/>
      <c r="G221" s="63"/>
      <c r="H221" s="63"/>
    </row>
    <row r="222" spans="1:8" x14ac:dyDescent="0.25">
      <c r="A222" s="63"/>
      <c r="B222" s="63"/>
      <c r="C222" s="63"/>
      <c r="D222" s="63"/>
      <c r="E222" s="63"/>
      <c r="F222" s="63"/>
      <c r="G222" s="63"/>
      <c r="H222" s="63"/>
    </row>
    <row r="223" spans="1:8" x14ac:dyDescent="0.25">
      <c r="A223" s="63"/>
      <c r="B223" s="63"/>
      <c r="C223" s="63"/>
      <c r="D223" s="63"/>
      <c r="E223" s="63"/>
      <c r="F223" s="63"/>
      <c r="G223" s="63"/>
      <c r="H223" s="63"/>
    </row>
    <row r="224" spans="1:8" x14ac:dyDescent="0.25">
      <c r="A224" s="63"/>
      <c r="B224" s="63"/>
      <c r="C224" s="63"/>
      <c r="D224" s="63"/>
      <c r="E224" s="63"/>
      <c r="F224" s="63"/>
      <c r="G224" s="63"/>
      <c r="H224" s="63"/>
    </row>
    <row r="225" spans="1:8" x14ac:dyDescent="0.25">
      <c r="A225" s="63"/>
      <c r="B225" s="63"/>
      <c r="C225" s="63"/>
      <c r="D225" s="63"/>
      <c r="E225" s="63"/>
      <c r="F225" s="63"/>
      <c r="G225" s="63"/>
      <c r="H225" s="63"/>
    </row>
    <row r="226" spans="1:8" x14ac:dyDescent="0.25">
      <c r="A226" s="63"/>
      <c r="B226" s="63"/>
      <c r="C226" s="63"/>
      <c r="D226" s="63"/>
      <c r="E226" s="63"/>
      <c r="F226" s="63"/>
      <c r="G226" s="63"/>
      <c r="H226" s="63"/>
    </row>
    <row r="227" spans="1:8" x14ac:dyDescent="0.25">
      <c r="A227" s="63"/>
      <c r="B227" s="63"/>
      <c r="C227" s="63"/>
      <c r="D227" s="63"/>
      <c r="E227" s="63"/>
      <c r="F227" s="63"/>
      <c r="G227" s="63"/>
      <c r="H227" s="63"/>
    </row>
    <row r="228" spans="1:8" x14ac:dyDescent="0.25">
      <c r="A228" s="63"/>
      <c r="B228" s="63"/>
      <c r="C228" s="63"/>
      <c r="D228" s="63"/>
      <c r="E228" s="63"/>
      <c r="F228" s="63"/>
      <c r="G228" s="63"/>
      <c r="H228" s="63"/>
    </row>
    <row r="229" spans="1:8" x14ac:dyDescent="0.25">
      <c r="A229" s="63"/>
      <c r="B229" s="63"/>
      <c r="C229" s="63"/>
      <c r="D229" s="63"/>
      <c r="E229" s="63"/>
      <c r="F229" s="63"/>
      <c r="G229" s="63"/>
      <c r="H229" s="63"/>
    </row>
    <row r="230" spans="1:8" x14ac:dyDescent="0.25">
      <c r="A230" s="63"/>
      <c r="B230" s="63"/>
      <c r="C230" s="63"/>
      <c r="D230" s="63"/>
      <c r="E230" s="63"/>
      <c r="F230" s="63"/>
      <c r="G230" s="63"/>
      <c r="H230" s="63"/>
    </row>
    <row r="231" spans="1:8" x14ac:dyDescent="0.25">
      <c r="A231" s="63"/>
      <c r="B231" s="63"/>
      <c r="C231" s="63"/>
      <c r="D231" s="63"/>
      <c r="E231" s="63"/>
      <c r="F231" s="63"/>
      <c r="G231" s="63"/>
      <c r="H231" s="63"/>
    </row>
    <row r="232" spans="1:8" x14ac:dyDescent="0.25">
      <c r="A232" s="63"/>
      <c r="B232" s="63"/>
      <c r="C232" s="63"/>
      <c r="D232" s="63"/>
      <c r="E232" s="63"/>
      <c r="F232" s="63"/>
      <c r="G232" s="63"/>
      <c r="H232" s="63"/>
    </row>
    <row r="233" spans="1:8" x14ac:dyDescent="0.25">
      <c r="A233" s="63"/>
      <c r="B233" s="63"/>
      <c r="C233" s="63"/>
      <c r="D233" s="63"/>
      <c r="E233" s="63"/>
      <c r="F233" s="63"/>
      <c r="G233" s="63"/>
      <c r="H233" s="63"/>
    </row>
    <row r="234" spans="1:8" x14ac:dyDescent="0.25">
      <c r="A234" s="63"/>
      <c r="B234" s="63"/>
      <c r="C234" s="63"/>
      <c r="D234" s="63"/>
      <c r="E234" s="63"/>
      <c r="F234" s="63"/>
      <c r="G234" s="63"/>
      <c r="H234" s="63"/>
    </row>
    <row r="235" spans="1:8" x14ac:dyDescent="0.25">
      <c r="A235" s="63"/>
      <c r="B235" s="63"/>
      <c r="C235" s="63"/>
      <c r="D235" s="63"/>
      <c r="E235" s="63"/>
      <c r="F235" s="63"/>
      <c r="G235" s="63"/>
      <c r="H235" s="63"/>
    </row>
    <row r="236" spans="1:8" x14ac:dyDescent="0.25">
      <c r="A236" s="63"/>
      <c r="B236" s="63"/>
      <c r="C236" s="63"/>
      <c r="D236" s="63"/>
      <c r="E236" s="63"/>
      <c r="F236" s="63"/>
      <c r="G236" s="63"/>
      <c r="H236" s="63"/>
    </row>
    <row r="237" spans="1:8" x14ac:dyDescent="0.25">
      <c r="A237" s="63"/>
      <c r="B237" s="63"/>
      <c r="C237" s="63"/>
      <c r="D237" s="63"/>
      <c r="E237" s="63"/>
      <c r="F237" s="63"/>
      <c r="G237" s="63"/>
      <c r="H237" s="63"/>
    </row>
    <row r="238" spans="1:8" x14ac:dyDescent="0.25">
      <c r="A238" s="63"/>
      <c r="B238" s="63"/>
      <c r="C238" s="63"/>
      <c r="D238" s="63"/>
      <c r="E238" s="63"/>
      <c r="F238" s="63"/>
      <c r="G238" s="63"/>
      <c r="H238" s="63"/>
    </row>
    <row r="239" spans="1:8" x14ac:dyDescent="0.25">
      <c r="A239" s="63"/>
      <c r="B239" s="63"/>
      <c r="C239" s="63"/>
      <c r="D239" s="63"/>
      <c r="E239" s="63"/>
      <c r="F239" s="63"/>
      <c r="G239" s="63"/>
      <c r="H239" s="63"/>
    </row>
    <row r="240" spans="1:8" x14ac:dyDescent="0.25">
      <c r="A240" s="64" t="s">
        <v>77</v>
      </c>
      <c r="B240" s="63"/>
      <c r="C240" s="63"/>
      <c r="D240" s="63"/>
      <c r="E240" s="63"/>
      <c r="F240" s="63"/>
      <c r="G240" s="63"/>
      <c r="H240" s="63"/>
    </row>
    <row r="241" spans="1:8" x14ac:dyDescent="0.25">
      <c r="A241" s="63"/>
      <c r="B241" s="63"/>
      <c r="C241" s="63"/>
      <c r="D241" s="63"/>
      <c r="E241" s="63"/>
      <c r="F241" s="63"/>
      <c r="G241" s="63"/>
      <c r="H241" s="63"/>
    </row>
    <row r="242" spans="1:8" x14ac:dyDescent="0.25">
      <c r="A242" s="63"/>
      <c r="B242" s="63"/>
      <c r="C242" s="63"/>
      <c r="D242" s="63"/>
      <c r="E242" s="63"/>
      <c r="F242" s="63"/>
      <c r="G242" s="63"/>
      <c r="H242" s="63"/>
    </row>
    <row r="243" spans="1:8" x14ac:dyDescent="0.25">
      <c r="A243" s="63"/>
      <c r="B243" s="63"/>
      <c r="C243" s="63"/>
      <c r="D243" s="63"/>
      <c r="E243" s="63"/>
      <c r="F243" s="63"/>
      <c r="G243" s="63"/>
      <c r="H243" s="63"/>
    </row>
    <row r="244" spans="1:8" x14ac:dyDescent="0.25">
      <c r="A244" s="63"/>
      <c r="B244" s="63"/>
      <c r="C244" s="63"/>
      <c r="D244" s="63"/>
      <c r="E244" s="63"/>
      <c r="F244" s="63"/>
      <c r="G244" s="63"/>
      <c r="H244" s="63"/>
    </row>
    <row r="245" spans="1:8" x14ac:dyDescent="0.25">
      <c r="A245" s="63"/>
      <c r="B245" s="63"/>
      <c r="C245" s="63"/>
      <c r="D245" s="63"/>
      <c r="E245" s="63"/>
      <c r="F245" s="63"/>
      <c r="G245" s="63"/>
      <c r="H245" s="63"/>
    </row>
    <row r="246" spans="1:8" x14ac:dyDescent="0.25">
      <c r="A246" s="63"/>
      <c r="B246" s="63"/>
      <c r="C246" s="63"/>
      <c r="D246" s="63"/>
      <c r="E246" s="63"/>
      <c r="F246" s="63"/>
      <c r="G246" s="63"/>
      <c r="H246" s="63"/>
    </row>
    <row r="247" spans="1:8" x14ac:dyDescent="0.25">
      <c r="A247" s="63"/>
      <c r="B247" s="63"/>
      <c r="C247" s="63"/>
      <c r="D247" s="63"/>
      <c r="E247" s="63"/>
      <c r="F247" s="63"/>
      <c r="G247" s="63"/>
      <c r="H247" s="63"/>
    </row>
    <row r="248" spans="1:8" x14ac:dyDescent="0.25">
      <c r="A248" s="63"/>
      <c r="B248" s="63"/>
      <c r="C248" s="63"/>
      <c r="D248" s="63"/>
      <c r="E248" s="63"/>
      <c r="F248" s="63"/>
      <c r="G248" s="63"/>
      <c r="H248" s="63"/>
    </row>
    <row r="249" spans="1:8" x14ac:dyDescent="0.25">
      <c r="A249" s="63"/>
      <c r="B249" s="63"/>
      <c r="C249" s="63"/>
      <c r="D249" s="63"/>
      <c r="E249" s="63"/>
      <c r="F249" s="63"/>
      <c r="G249" s="63"/>
      <c r="H249" s="63"/>
    </row>
    <row r="250" spans="1:8" x14ac:dyDescent="0.25">
      <c r="A250" s="63"/>
      <c r="B250" s="63"/>
      <c r="C250" s="63"/>
      <c r="D250" s="63"/>
      <c r="E250" s="63"/>
      <c r="F250" s="63"/>
      <c r="G250" s="63"/>
      <c r="H250" s="63"/>
    </row>
    <row r="251" spans="1:8" x14ac:dyDescent="0.25">
      <c r="A251" s="63"/>
      <c r="B251" s="63"/>
      <c r="C251" s="63"/>
      <c r="D251" s="63"/>
      <c r="E251" s="63"/>
      <c r="F251" s="63"/>
      <c r="G251" s="63"/>
      <c r="H251" s="63"/>
    </row>
    <row r="252" spans="1:8" x14ac:dyDescent="0.25">
      <c r="A252" s="63"/>
      <c r="B252" s="63"/>
      <c r="C252" s="63"/>
      <c r="D252" s="63"/>
      <c r="E252" s="63"/>
      <c r="F252" s="63"/>
      <c r="G252" s="63"/>
      <c r="H252" s="63"/>
    </row>
    <row r="253" spans="1:8" x14ac:dyDescent="0.25">
      <c r="A253" s="63"/>
      <c r="B253" s="63"/>
      <c r="C253" s="63"/>
      <c r="D253" s="63"/>
      <c r="E253" s="63"/>
      <c r="F253" s="63"/>
      <c r="G253" s="63"/>
      <c r="H253" s="63"/>
    </row>
    <row r="254" spans="1:8" x14ac:dyDescent="0.25">
      <c r="A254" s="63"/>
      <c r="B254" s="63"/>
      <c r="C254" s="63"/>
      <c r="D254" s="63"/>
      <c r="E254" s="63"/>
      <c r="F254" s="63"/>
      <c r="G254" s="63"/>
      <c r="H254" s="63"/>
    </row>
    <row r="255" spans="1:8" x14ac:dyDescent="0.25">
      <c r="A255" s="63"/>
      <c r="B255" s="63"/>
      <c r="C255" s="63"/>
      <c r="D255" s="63"/>
      <c r="E255" s="63"/>
      <c r="F255" s="63"/>
      <c r="G255" s="63"/>
      <c r="H255" s="63"/>
    </row>
    <row r="256" spans="1:8" x14ac:dyDescent="0.25">
      <c r="A256" s="63"/>
      <c r="B256" s="63"/>
      <c r="C256" s="63"/>
      <c r="D256" s="63"/>
      <c r="E256" s="63"/>
      <c r="F256" s="63"/>
      <c r="G256" s="63"/>
      <c r="H256" s="63"/>
    </row>
    <row r="257" spans="1:8" x14ac:dyDescent="0.25">
      <c r="A257" s="63"/>
      <c r="B257" s="63"/>
      <c r="C257" s="63"/>
      <c r="D257" s="63"/>
      <c r="E257" s="63"/>
      <c r="F257" s="63"/>
      <c r="G257" s="63"/>
      <c r="H257" s="63"/>
    </row>
    <row r="258" spans="1:8" x14ac:dyDescent="0.25">
      <c r="A258" s="63"/>
      <c r="B258" s="63"/>
      <c r="C258" s="63"/>
      <c r="D258" s="63"/>
      <c r="E258" s="63"/>
      <c r="F258" s="63"/>
      <c r="G258" s="63"/>
      <c r="H258" s="63"/>
    </row>
    <row r="259" spans="1:8" x14ac:dyDescent="0.25">
      <c r="A259" s="63"/>
      <c r="B259" s="63"/>
      <c r="C259" s="63"/>
      <c r="D259" s="63"/>
      <c r="E259" s="63"/>
      <c r="F259" s="63"/>
      <c r="G259" s="63"/>
      <c r="H259" s="63"/>
    </row>
    <row r="260" spans="1:8" x14ac:dyDescent="0.25">
      <c r="A260" s="63"/>
      <c r="B260" s="63"/>
      <c r="C260" s="63"/>
      <c r="D260" s="63"/>
      <c r="E260" s="63"/>
      <c r="F260" s="63"/>
      <c r="G260" s="63"/>
      <c r="H260" s="63"/>
    </row>
    <row r="261" spans="1:8" x14ac:dyDescent="0.25">
      <c r="A261" s="63"/>
      <c r="B261" s="63"/>
      <c r="C261" s="63"/>
      <c r="D261" s="63"/>
      <c r="E261" s="63"/>
      <c r="F261" s="63"/>
      <c r="G261" s="63"/>
      <c r="H261" s="63"/>
    </row>
    <row r="262" spans="1:8" x14ac:dyDescent="0.25">
      <c r="A262" s="63"/>
      <c r="B262" s="63"/>
      <c r="C262" s="63"/>
      <c r="D262" s="63"/>
      <c r="E262" s="63"/>
      <c r="F262" s="63"/>
      <c r="G262" s="63"/>
      <c r="H262" s="63"/>
    </row>
    <row r="263" spans="1:8" x14ac:dyDescent="0.25">
      <c r="A263" s="63"/>
      <c r="B263" s="63"/>
      <c r="C263" s="63"/>
      <c r="D263" s="63"/>
      <c r="E263" s="63"/>
      <c r="F263" s="63"/>
      <c r="G263" s="63"/>
      <c r="H263" s="63"/>
    </row>
    <row r="264" spans="1:8" x14ac:dyDescent="0.25">
      <c r="A264" s="63"/>
      <c r="B264" s="63"/>
      <c r="C264" s="63"/>
      <c r="D264" s="63"/>
      <c r="E264" s="63"/>
      <c r="F264" s="63"/>
      <c r="G264" s="63"/>
      <c r="H264" s="63"/>
    </row>
    <row r="265" spans="1:8" x14ac:dyDescent="0.25">
      <c r="A265" s="63"/>
      <c r="B265" s="63"/>
      <c r="C265" s="63"/>
      <c r="D265" s="63"/>
      <c r="E265" s="63"/>
      <c r="F265" s="63"/>
      <c r="G265" s="63"/>
      <c r="H265" s="63"/>
    </row>
    <row r="266" spans="1:8" x14ac:dyDescent="0.25">
      <c r="A266" s="63"/>
      <c r="B266" s="63"/>
      <c r="C266" s="63"/>
      <c r="D266" s="63"/>
      <c r="E266" s="63"/>
      <c r="F266" s="63"/>
      <c r="G266" s="63"/>
      <c r="H266" s="63"/>
    </row>
    <row r="267" spans="1:8" x14ac:dyDescent="0.25">
      <c r="A267" s="63"/>
      <c r="B267" s="63"/>
      <c r="C267" s="63"/>
      <c r="D267" s="63"/>
      <c r="E267" s="63"/>
      <c r="F267" s="63"/>
      <c r="G267" s="63"/>
      <c r="H267" s="63"/>
    </row>
    <row r="268" spans="1:8" x14ac:dyDescent="0.25">
      <c r="A268" s="63"/>
      <c r="B268" s="63"/>
      <c r="C268" s="63"/>
      <c r="D268" s="63"/>
      <c r="E268" s="63"/>
      <c r="F268" s="63"/>
      <c r="G268" s="63"/>
      <c r="H268" s="63"/>
    </row>
    <row r="269" spans="1:8" x14ac:dyDescent="0.25">
      <c r="A269" s="63"/>
      <c r="B269" s="63"/>
      <c r="C269" s="63"/>
      <c r="D269" s="63"/>
      <c r="E269" s="63"/>
      <c r="F269" s="63"/>
      <c r="G269" s="63"/>
      <c r="H269" s="63"/>
    </row>
    <row r="270" spans="1:8" x14ac:dyDescent="0.25">
      <c r="A270" s="63"/>
      <c r="B270" s="63"/>
      <c r="C270" s="63"/>
      <c r="D270" s="63"/>
      <c r="E270" s="63"/>
      <c r="F270" s="63"/>
      <c r="G270" s="63"/>
      <c r="H270" s="63"/>
    </row>
    <row r="271" spans="1:8" x14ac:dyDescent="0.25">
      <c r="A271" s="63"/>
      <c r="B271" s="63"/>
      <c r="C271" s="63"/>
      <c r="D271" s="63"/>
      <c r="E271" s="63"/>
      <c r="F271" s="63"/>
      <c r="G271" s="63"/>
      <c r="H271" s="63"/>
    </row>
    <row r="272" spans="1:8" x14ac:dyDescent="0.25">
      <c r="A272" s="63"/>
      <c r="B272" s="63"/>
      <c r="C272" s="63"/>
      <c r="D272" s="63"/>
      <c r="E272" s="63"/>
      <c r="F272" s="63"/>
      <c r="G272" s="63"/>
      <c r="H272" s="63"/>
    </row>
    <row r="273" spans="1:8" x14ac:dyDescent="0.25">
      <c r="A273" s="63"/>
      <c r="B273" s="63"/>
      <c r="C273" s="63"/>
      <c r="D273" s="63"/>
      <c r="E273" s="63"/>
      <c r="F273" s="63"/>
      <c r="G273" s="63"/>
      <c r="H273" s="63"/>
    </row>
    <row r="274" spans="1:8" x14ac:dyDescent="0.25">
      <c r="A274" s="63"/>
      <c r="B274" s="63"/>
      <c r="C274" s="63"/>
      <c r="D274" s="63"/>
      <c r="E274" s="63"/>
      <c r="F274" s="63"/>
      <c r="G274" s="63"/>
      <c r="H274" s="63"/>
    </row>
    <row r="275" spans="1:8" x14ac:dyDescent="0.25">
      <c r="A275" s="63"/>
      <c r="B275" s="63"/>
      <c r="C275" s="63"/>
      <c r="D275" s="63"/>
      <c r="E275" s="63"/>
      <c r="F275" s="63"/>
      <c r="G275" s="63"/>
      <c r="H275" s="63"/>
    </row>
    <row r="276" spans="1:8" x14ac:dyDescent="0.25">
      <c r="A276" s="63"/>
      <c r="B276" s="63"/>
      <c r="C276" s="63"/>
      <c r="D276" s="63"/>
      <c r="E276" s="63"/>
      <c r="F276" s="63"/>
      <c r="G276" s="63"/>
      <c r="H276" s="63"/>
    </row>
    <row r="277" spans="1:8" x14ac:dyDescent="0.25">
      <c r="A277" s="63"/>
      <c r="B277" s="63"/>
      <c r="C277" s="63"/>
      <c r="D277" s="63"/>
      <c r="E277" s="63"/>
      <c r="F277" s="63"/>
      <c r="G277" s="63"/>
      <c r="H277" s="63"/>
    </row>
    <row r="278" spans="1:8" x14ac:dyDescent="0.25">
      <c r="A278" s="63"/>
      <c r="B278" s="63"/>
      <c r="C278" s="63"/>
      <c r="D278" s="63"/>
      <c r="E278" s="63"/>
      <c r="F278" s="63"/>
      <c r="G278" s="63"/>
      <c r="H278" s="63"/>
    </row>
    <row r="279" spans="1:8" x14ac:dyDescent="0.25">
      <c r="A279" s="63"/>
      <c r="B279" s="63"/>
      <c r="C279" s="63"/>
      <c r="D279" s="63"/>
      <c r="E279" s="63"/>
      <c r="F279" s="63"/>
      <c r="G279" s="63"/>
      <c r="H279" s="63"/>
    </row>
    <row r="280" spans="1:8" x14ac:dyDescent="0.25">
      <c r="A280" s="63"/>
      <c r="B280" s="63"/>
      <c r="C280" s="63"/>
      <c r="D280" s="63"/>
      <c r="E280" s="63"/>
      <c r="F280" s="63"/>
      <c r="G280" s="63"/>
      <c r="H280" s="63"/>
    </row>
  </sheetData>
  <mergeCells count="314">
    <mergeCell ref="A88:B88"/>
    <mergeCell ref="C88:D88"/>
    <mergeCell ref="E88:F88"/>
    <mergeCell ref="G88:H88"/>
    <mergeCell ref="A74:B74"/>
    <mergeCell ref="C74:H74"/>
    <mergeCell ref="A76:B76"/>
    <mergeCell ref="C76:H76"/>
    <mergeCell ref="A77:B77"/>
    <mergeCell ref="E77:F77"/>
    <mergeCell ref="G77:H77"/>
    <mergeCell ref="A78:B78"/>
    <mergeCell ref="E78:F87"/>
    <mergeCell ref="G78:H87"/>
    <mergeCell ref="A79:B79"/>
    <mergeCell ref="A80:B80"/>
    <mergeCell ref="A81:B81"/>
    <mergeCell ref="A82:B82"/>
    <mergeCell ref="A83:B83"/>
    <mergeCell ref="A84:B84"/>
    <mergeCell ref="A85:B85"/>
    <mergeCell ref="A86:B86"/>
    <mergeCell ref="A87:B87"/>
    <mergeCell ref="A9:D9"/>
    <mergeCell ref="E9:H9"/>
    <mergeCell ref="C36:H36"/>
    <mergeCell ref="A132:B132"/>
    <mergeCell ref="D132:E132"/>
    <mergeCell ref="F132:H132"/>
    <mergeCell ref="A133:B133"/>
    <mergeCell ref="D133:E133"/>
    <mergeCell ref="F133:H133"/>
    <mergeCell ref="A124:E124"/>
    <mergeCell ref="F124:H124"/>
    <mergeCell ref="A119:B119"/>
    <mergeCell ref="C119:H119"/>
    <mergeCell ref="A60:B60"/>
    <mergeCell ref="C60:H60"/>
    <mergeCell ref="A62:B62"/>
    <mergeCell ref="C62:H62"/>
    <mergeCell ref="A63:B63"/>
    <mergeCell ref="E63:F63"/>
    <mergeCell ref="G63:H63"/>
    <mergeCell ref="A64:B64"/>
    <mergeCell ref="E64:F73"/>
    <mergeCell ref="G64:H73"/>
    <mergeCell ref="A123:E123"/>
    <mergeCell ref="A166:B166"/>
    <mergeCell ref="A159:H159"/>
    <mergeCell ref="A160:H160"/>
    <mergeCell ref="A149:H149"/>
    <mergeCell ref="A146:B146"/>
    <mergeCell ref="G140:H146"/>
    <mergeCell ref="A135:H135"/>
    <mergeCell ref="A141:B141"/>
    <mergeCell ref="A142:B142"/>
    <mergeCell ref="A144:B144"/>
    <mergeCell ref="A140:B140"/>
    <mergeCell ref="G136:H136"/>
    <mergeCell ref="A153:B153"/>
    <mergeCell ref="A154:B154"/>
    <mergeCell ref="A155:B155"/>
    <mergeCell ref="A150:B150"/>
    <mergeCell ref="A151:B151"/>
    <mergeCell ref="F123:H123"/>
    <mergeCell ref="A118:H118"/>
    <mergeCell ref="A56:C56"/>
    <mergeCell ref="D56:H56"/>
    <mergeCell ref="C46:E46"/>
    <mergeCell ref="D52:H52"/>
    <mergeCell ref="A57:C57"/>
    <mergeCell ref="D57:H57"/>
    <mergeCell ref="A59:C59"/>
    <mergeCell ref="D59:H59"/>
    <mergeCell ref="A122:E122"/>
    <mergeCell ref="F122:H122"/>
    <mergeCell ref="D58:H58"/>
    <mergeCell ref="G46:H46"/>
    <mergeCell ref="A51:H51"/>
    <mergeCell ref="A52:C52"/>
    <mergeCell ref="G48:H48"/>
    <mergeCell ref="C49:H49"/>
    <mergeCell ref="A48:B49"/>
    <mergeCell ref="D54:H54"/>
    <mergeCell ref="A54:C54"/>
    <mergeCell ref="A55:C55"/>
    <mergeCell ref="D55:H55"/>
    <mergeCell ref="A53:C53"/>
    <mergeCell ref="D53:H53"/>
    <mergeCell ref="C33:E33"/>
    <mergeCell ref="C34:E34"/>
    <mergeCell ref="A30:B30"/>
    <mergeCell ref="G47:H47"/>
    <mergeCell ref="A47:B47"/>
    <mergeCell ref="C47:E47"/>
    <mergeCell ref="C48:E48"/>
    <mergeCell ref="A46:B46"/>
    <mergeCell ref="G50:H50"/>
    <mergeCell ref="A50:B50"/>
    <mergeCell ref="C50:E50"/>
    <mergeCell ref="A41:D41"/>
    <mergeCell ref="E41:H41"/>
    <mergeCell ref="E42:H42"/>
    <mergeCell ref="E43:H43"/>
    <mergeCell ref="A36:B36"/>
    <mergeCell ref="E44:H44"/>
    <mergeCell ref="A42:D42"/>
    <mergeCell ref="A43:D43"/>
    <mergeCell ref="A44:D44"/>
    <mergeCell ref="A45:H45"/>
    <mergeCell ref="A37:B37"/>
    <mergeCell ref="C37:H37"/>
    <mergeCell ref="A197:H199"/>
    <mergeCell ref="A196:B196"/>
    <mergeCell ref="E196:F196"/>
    <mergeCell ref="C196:D196"/>
    <mergeCell ref="G196:H196"/>
    <mergeCell ref="A127:E127"/>
    <mergeCell ref="F127:H127"/>
    <mergeCell ref="D130:E130"/>
    <mergeCell ref="F130:H130"/>
    <mergeCell ref="A136:B136"/>
    <mergeCell ref="A137:H137"/>
    <mergeCell ref="A130:B130"/>
    <mergeCell ref="A145:B145"/>
    <mergeCell ref="A134:H134"/>
    <mergeCell ref="A129:B129"/>
    <mergeCell ref="D129:E129"/>
    <mergeCell ref="A147:H147"/>
    <mergeCell ref="A148:H148"/>
    <mergeCell ref="A176:B176"/>
    <mergeCell ref="A177:B177"/>
    <mergeCell ref="A172:B172"/>
    <mergeCell ref="A173:B173"/>
    <mergeCell ref="A174:B174"/>
    <mergeCell ref="A186:B186"/>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C31:E31"/>
    <mergeCell ref="A32:B32"/>
    <mergeCell ref="C32:E32"/>
    <mergeCell ref="A33:B33"/>
    <mergeCell ref="A17:B17"/>
    <mergeCell ref="C17:D17"/>
    <mergeCell ref="E17:F17"/>
    <mergeCell ref="G17:H17"/>
    <mergeCell ref="A1:H1"/>
    <mergeCell ref="A2:H2"/>
    <mergeCell ref="A3:D3"/>
    <mergeCell ref="E3:H3"/>
    <mergeCell ref="A4:D4"/>
    <mergeCell ref="A8:D8"/>
    <mergeCell ref="E8:H8"/>
    <mergeCell ref="A10:D10"/>
    <mergeCell ref="E10:H10"/>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80:B180"/>
    <mergeCell ref="F129:H129"/>
    <mergeCell ref="A58:C58"/>
    <mergeCell ref="A169:H169"/>
    <mergeCell ref="A125:E125"/>
    <mergeCell ref="F125:H125"/>
    <mergeCell ref="A121:E121"/>
    <mergeCell ref="F121:H121"/>
    <mergeCell ref="G170:H177"/>
    <mergeCell ref="G179:H186"/>
    <mergeCell ref="A181:B181"/>
    <mergeCell ref="A182:B182"/>
    <mergeCell ref="A183:B183"/>
    <mergeCell ref="A184:B184"/>
    <mergeCell ref="A185:B185"/>
    <mergeCell ref="G150:H158"/>
    <mergeCell ref="A156:B156"/>
    <mergeCell ref="A128:H128"/>
    <mergeCell ref="A117:H117"/>
    <mergeCell ref="A120:H120"/>
    <mergeCell ref="A162:B162"/>
    <mergeCell ref="A163:B163"/>
    <mergeCell ref="A143:B143"/>
    <mergeCell ref="A152:B152"/>
    <mergeCell ref="A194:H194"/>
    <mergeCell ref="A195:H195"/>
    <mergeCell ref="A138:H138"/>
    <mergeCell ref="A139:H139"/>
    <mergeCell ref="A164:B164"/>
    <mergeCell ref="A165:B165"/>
    <mergeCell ref="A167:B167"/>
    <mergeCell ref="A168:B168"/>
    <mergeCell ref="A157:B157"/>
    <mergeCell ref="A158:B158"/>
    <mergeCell ref="A187:H187"/>
    <mergeCell ref="A188:H188"/>
    <mergeCell ref="A189:H189"/>
    <mergeCell ref="A190:H190"/>
    <mergeCell ref="A170:B170"/>
    <mergeCell ref="A171:B171"/>
    <mergeCell ref="A191:H191"/>
    <mergeCell ref="A192:H192"/>
    <mergeCell ref="A193:H193"/>
    <mergeCell ref="A175:B175"/>
    <mergeCell ref="G161:H168"/>
    <mergeCell ref="A178:H178"/>
    <mergeCell ref="A179:B179"/>
    <mergeCell ref="A161:B161"/>
    <mergeCell ref="A126:E126"/>
    <mergeCell ref="F126:H126"/>
    <mergeCell ref="A131:B131"/>
    <mergeCell ref="D131:E131"/>
    <mergeCell ref="F131:H131"/>
    <mergeCell ref="A65:B65"/>
    <mergeCell ref="A66:B66"/>
    <mergeCell ref="A67:B67"/>
    <mergeCell ref="A68:B68"/>
    <mergeCell ref="A69:B69"/>
    <mergeCell ref="A70:B70"/>
    <mergeCell ref="A71:B71"/>
    <mergeCell ref="A72:B72"/>
    <mergeCell ref="A73:B73"/>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s>
  <phoneticPr fontId="18" type="noConversion"/>
  <hyperlinks>
    <hyperlink ref="C37" r:id="rId1" xr:uid="{00000000-0004-0000-0000-000000000000}"/>
  </hyperlinks>
  <printOptions horizontalCentered="1"/>
  <pageMargins left="0.19685039370078741" right="0.19685039370078741" top="0.78740157480314965" bottom="1.181102362204724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4" manualBreakCount="4">
    <brk id="73" max="16383" man="1"/>
    <brk id="188" max="16383" man="1"/>
    <brk id="199" max="16383" man="1"/>
    <brk id="2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activeCell="C6" sqref="C6"/>
    </sheetView>
  </sheetViews>
  <sheetFormatPr defaultColWidth="8.7109375" defaultRowHeight="15" x14ac:dyDescent="0.25"/>
  <cols>
    <col min="1" max="1" width="8.7109375" style="16"/>
    <col min="2" max="2" width="22.140625" style="16" customWidth="1"/>
    <col min="3" max="3" width="37" style="16" customWidth="1"/>
    <col min="4" max="5" width="11.42578125" style="16" customWidth="1"/>
    <col min="6" max="6" width="14" style="16" customWidth="1"/>
    <col min="7" max="7" width="20" style="16" customWidth="1"/>
    <col min="8" max="8" width="16.42578125" style="16" customWidth="1"/>
    <col min="9" max="16384" width="8.7109375" style="16"/>
  </cols>
  <sheetData>
    <row r="1" spans="1:9" ht="15" customHeight="1" x14ac:dyDescent="0.25">
      <c r="A1" s="15"/>
      <c r="B1" s="15"/>
      <c r="C1" s="15"/>
      <c r="D1" s="15"/>
      <c r="E1" s="15"/>
      <c r="F1" s="15"/>
      <c r="G1" s="15"/>
      <c r="H1" s="15"/>
    </row>
    <row r="2" spans="1:9" ht="15" customHeight="1" x14ac:dyDescent="0.25">
      <c r="A2" s="17"/>
      <c r="B2" s="17"/>
      <c r="C2" s="17"/>
      <c r="D2" s="17"/>
      <c r="E2" s="17"/>
      <c r="F2" s="17"/>
      <c r="G2" s="17"/>
      <c r="H2" s="17"/>
    </row>
    <row r="3" spans="1:9" x14ac:dyDescent="0.25">
      <c r="A3" s="17"/>
      <c r="B3" s="142" t="s">
        <v>164</v>
      </c>
      <c r="C3" s="142"/>
      <c r="D3" s="142"/>
      <c r="E3" s="142"/>
      <c r="F3" s="142"/>
      <c r="G3" s="142"/>
      <c r="H3" s="142"/>
    </row>
    <row r="4" spans="1:9" x14ac:dyDescent="0.25">
      <c r="A4" s="17"/>
      <c r="B4" s="18" t="s">
        <v>165</v>
      </c>
      <c r="C4" s="18" t="s">
        <v>166</v>
      </c>
      <c r="D4" s="18" t="s">
        <v>79</v>
      </c>
      <c r="E4" s="18" t="s">
        <v>167</v>
      </c>
      <c r="F4" s="18" t="s">
        <v>168</v>
      </c>
      <c r="G4" s="18" t="s">
        <v>169</v>
      </c>
      <c r="H4" s="18" t="s">
        <v>170</v>
      </c>
    </row>
    <row r="5" spans="1:9" ht="15" customHeight="1" x14ac:dyDescent="0.25">
      <c r="A5" s="17"/>
      <c r="B5" s="19" t="s">
        <v>171</v>
      </c>
      <c r="C5" s="20" t="s">
        <v>120</v>
      </c>
      <c r="D5" s="19" t="s">
        <v>172</v>
      </c>
      <c r="E5" s="19">
        <v>1106</v>
      </c>
      <c r="F5" s="21">
        <f>E5*1.6</f>
        <v>1769.6000000000001</v>
      </c>
      <c r="G5" s="21">
        <f>H5/F5</f>
        <v>31532.549728752259</v>
      </c>
      <c r="H5" s="22">
        <v>55800000</v>
      </c>
    </row>
    <row r="6" spans="1:9" x14ac:dyDescent="0.25">
      <c r="A6" s="17"/>
      <c r="B6" s="19" t="s">
        <v>171</v>
      </c>
      <c r="C6" s="23"/>
      <c r="D6" s="19"/>
      <c r="E6" s="19"/>
      <c r="F6" s="21">
        <f t="shared" ref="F6:F11" si="0">E6*1.6</f>
        <v>0</v>
      </c>
      <c r="G6" s="21" t="e">
        <f t="shared" ref="G6:G11" si="1">H6/F6</f>
        <v>#DIV/0!</v>
      </c>
      <c r="H6" s="22"/>
    </row>
    <row r="7" spans="1:9" ht="15" customHeight="1" x14ac:dyDescent="0.25">
      <c r="A7" s="17"/>
      <c r="B7" s="19" t="s">
        <v>171</v>
      </c>
      <c r="C7" s="20"/>
      <c r="D7" s="19"/>
      <c r="E7" s="19"/>
      <c r="F7" s="21">
        <f t="shared" si="0"/>
        <v>0</v>
      </c>
      <c r="G7" s="21" t="e">
        <f t="shared" si="1"/>
        <v>#DIV/0!</v>
      </c>
      <c r="H7" s="22"/>
    </row>
    <row r="8" spans="1:9" x14ac:dyDescent="0.25">
      <c r="A8" s="17"/>
      <c r="B8" s="19" t="s">
        <v>171</v>
      </c>
      <c r="C8" s="23"/>
      <c r="D8" s="19"/>
      <c r="E8" s="19"/>
      <c r="F8" s="21">
        <f t="shared" si="0"/>
        <v>0</v>
      </c>
      <c r="G8" s="21" t="e">
        <f t="shared" si="1"/>
        <v>#DIV/0!</v>
      </c>
      <c r="H8" s="22"/>
    </row>
    <row r="9" spans="1:9" ht="15" customHeight="1" x14ac:dyDescent="0.25">
      <c r="A9" s="17"/>
      <c r="B9" s="19" t="s">
        <v>171</v>
      </c>
      <c r="C9" s="23"/>
      <c r="D9" s="19"/>
      <c r="E9" s="19"/>
      <c r="F9" s="21">
        <f t="shared" si="0"/>
        <v>0</v>
      </c>
      <c r="G9" s="21" t="e">
        <f t="shared" si="1"/>
        <v>#DIV/0!</v>
      </c>
      <c r="H9" s="22"/>
    </row>
    <row r="10" spans="1:9" ht="15" customHeight="1" x14ac:dyDescent="0.25">
      <c r="A10" s="17"/>
      <c r="B10" s="19" t="s">
        <v>173</v>
      </c>
      <c r="C10" s="20"/>
      <c r="D10" s="19"/>
      <c r="E10" s="19"/>
      <c r="F10" s="21">
        <f t="shared" si="0"/>
        <v>0</v>
      </c>
      <c r="G10" s="21" t="e">
        <f t="shared" si="1"/>
        <v>#DIV/0!</v>
      </c>
      <c r="H10" s="22"/>
    </row>
    <row r="11" spans="1:9" ht="15" customHeight="1" x14ac:dyDescent="0.25">
      <c r="A11" s="17"/>
      <c r="B11" s="19" t="s">
        <v>173</v>
      </c>
      <c r="C11" s="20"/>
      <c r="D11" s="19"/>
      <c r="E11" s="19"/>
      <c r="F11" s="21">
        <f t="shared" si="0"/>
        <v>0</v>
      </c>
      <c r="G11" s="21" t="e">
        <f t="shared" si="1"/>
        <v>#DIV/0!</v>
      </c>
      <c r="H11" s="22"/>
    </row>
    <row r="12" spans="1:9" ht="15" customHeight="1" x14ac:dyDescent="0.25">
      <c r="A12" s="17"/>
      <c r="B12" s="24" t="s">
        <v>174</v>
      </c>
      <c r="C12" s="19"/>
      <c r="D12" s="19"/>
      <c r="E12" s="19"/>
      <c r="F12" s="19"/>
      <c r="G12" s="25" t="e">
        <f>AVERAGE(G5:G11)</f>
        <v>#DIV/0!</v>
      </c>
      <c r="H12" s="19"/>
    </row>
    <row r="13" spans="1:9" ht="15" customHeight="1" x14ac:dyDescent="0.25">
      <c r="A13" s="15"/>
      <c r="B13" s="24" t="s">
        <v>175</v>
      </c>
      <c r="C13" s="26"/>
      <c r="D13" s="26"/>
      <c r="E13" s="26"/>
      <c r="F13" s="27"/>
      <c r="G13" s="24"/>
      <c r="H13" s="24"/>
      <c r="I13" s="28"/>
    </row>
    <row r="14" spans="1:9" ht="15" customHeight="1" x14ac:dyDescent="0.25">
      <c r="B14" s="15"/>
      <c r="C14" s="15"/>
      <c r="D14" s="15"/>
      <c r="E14" s="15"/>
    </row>
    <row r="15" spans="1:9" ht="15" customHeight="1" x14ac:dyDescent="0.25">
      <c r="B15" s="15"/>
      <c r="C15" s="15"/>
      <c r="D15" s="15"/>
      <c r="E15" s="15"/>
    </row>
    <row r="16" spans="1:9" ht="15" customHeight="1" x14ac:dyDescent="0.25">
      <c r="B16" s="15"/>
      <c r="C16" s="15"/>
      <c r="D16" s="15"/>
      <c r="E16" s="15"/>
    </row>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30"/>
  <sheetViews>
    <sheetView workbookViewId="0">
      <selection activeCell="A10" sqref="A10"/>
    </sheetView>
  </sheetViews>
  <sheetFormatPr defaultRowHeight="15" x14ac:dyDescent="0.25"/>
  <cols>
    <col min="1" max="1" width="15" customWidth="1"/>
    <col min="3" max="3" width="32.42578125" customWidth="1"/>
  </cols>
  <sheetData>
    <row r="2" spans="1:1" x14ac:dyDescent="0.25">
      <c r="A2" t="s">
        <v>158</v>
      </c>
    </row>
    <row r="29" spans="1:3" x14ac:dyDescent="0.25">
      <c r="A29" s="14">
        <v>44186</v>
      </c>
      <c r="B29" t="s">
        <v>161</v>
      </c>
      <c r="C29" t="s">
        <v>162</v>
      </c>
    </row>
    <row r="30" spans="1:3" x14ac:dyDescent="0.25">
      <c r="C30" t="s">
        <v>163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2025-09-19T05:59:02Z</cp:lastPrinted>
  <dcterms:created xsi:type="dcterms:W3CDTF">2019-07-16T09:29:46Z</dcterms:created>
  <dcterms:modified xsi:type="dcterms:W3CDTF">2025-09-19T06:00:11Z</dcterms:modified>
</cp:coreProperties>
</file>