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8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7" i="1" l="1"/>
  <c r="D146" i="1"/>
  <c r="D145" i="1"/>
  <c r="G102" i="1" l="1"/>
  <c r="E147" i="1"/>
  <c r="E146" i="1"/>
  <c r="E145" i="1"/>
  <c r="E144" i="1"/>
  <c r="D189" i="1"/>
  <c r="D186" i="1"/>
  <c r="D209" i="1"/>
  <c r="D208" i="1"/>
  <c r="D207" i="1"/>
  <c r="D205" i="1"/>
  <c r="D204" i="1"/>
  <c r="D203" i="1"/>
  <c r="D202" i="1"/>
  <c r="D211" i="1"/>
  <c r="D206" i="1"/>
  <c r="D201" i="1"/>
  <c r="D200" i="1"/>
  <c r="D199" i="1"/>
  <c r="D198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G197" i="1"/>
  <c r="D197" i="1"/>
  <c r="I186" i="1"/>
  <c r="D195" i="1"/>
  <c r="D194" i="1"/>
  <c r="D193" i="1"/>
  <c r="D192" i="1"/>
  <c r="D191" i="1"/>
  <c r="D190" i="1"/>
  <c r="D185" i="1"/>
  <c r="D184" i="1"/>
  <c r="D183" i="1"/>
  <c r="D182" i="1"/>
  <c r="A182" i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G181" i="1"/>
  <c r="D181" i="1"/>
  <c r="D179" i="1"/>
  <c r="D178" i="1"/>
  <c r="D177" i="1"/>
  <c r="D176" i="1"/>
  <c r="D175" i="1"/>
  <c r="D174" i="1"/>
  <c r="D173" i="1"/>
  <c r="D170" i="1"/>
  <c r="D169" i="1"/>
  <c r="D168" i="1"/>
  <c r="D167" i="1"/>
  <c r="D166" i="1"/>
  <c r="A166" i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G165" i="1"/>
  <c r="D165" i="1"/>
  <c r="D163" i="1"/>
  <c r="D162" i="1"/>
  <c r="D159" i="1"/>
  <c r="D158" i="1"/>
  <c r="D157" i="1"/>
  <c r="D154" i="1"/>
  <c r="D161" i="1"/>
  <c r="D160" i="1"/>
  <c r="E141" i="1"/>
  <c r="E140" i="1"/>
  <c r="E139" i="1"/>
  <c r="E137" i="1"/>
  <c r="E138" i="1"/>
  <c r="D144" i="1"/>
  <c r="I138" i="1"/>
  <c r="I137" i="1"/>
  <c r="D127" i="1"/>
  <c r="L150" i="1" l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49" i="1"/>
  <c r="D223" i="1"/>
  <c r="D222" i="1"/>
  <c r="D221" i="1"/>
  <c r="D220" i="1"/>
  <c r="D219" i="1"/>
  <c r="D218" i="1"/>
  <c r="D217" i="1"/>
  <c r="D216" i="1"/>
  <c r="D215" i="1"/>
  <c r="D156" i="1"/>
  <c r="D155" i="1"/>
  <c r="D153" i="1"/>
  <c r="D152" i="1"/>
  <c r="D151" i="1"/>
  <c r="D150" i="1"/>
  <c r="D149" i="1"/>
  <c r="E143" i="1"/>
  <c r="E142" i="1"/>
  <c r="N138" i="1"/>
  <c r="L138" i="1" s="1"/>
  <c r="L139" i="1"/>
  <c r="L140" i="1"/>
  <c r="L141" i="1"/>
  <c r="L142" i="1"/>
  <c r="L143" i="1"/>
  <c r="L144" i="1"/>
  <c r="L145" i="1"/>
  <c r="L146" i="1"/>
  <c r="L147" i="1"/>
  <c r="D139" i="1"/>
  <c r="D138" i="1"/>
  <c r="D137" i="1"/>
  <c r="I82" i="1" l="1"/>
  <c r="L163" i="1"/>
  <c r="K217" i="1"/>
  <c r="K216" i="1"/>
  <c r="G97" i="1"/>
  <c r="G99" i="1" s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50" i="1"/>
  <c r="K149" i="1"/>
  <c r="G104" i="1"/>
  <c r="K147" i="1"/>
  <c r="K146" i="1"/>
  <c r="K145" i="1"/>
  <c r="K144" i="1"/>
  <c r="D143" i="1"/>
  <c r="K143" i="1" s="1"/>
  <c r="D142" i="1"/>
  <c r="K142" i="1" s="1"/>
  <c r="D141" i="1"/>
  <c r="K141" i="1" s="1"/>
  <c r="D140" i="1"/>
  <c r="K140" i="1" s="1"/>
  <c r="K139" i="1"/>
  <c r="K138" i="1"/>
  <c r="K137" i="1"/>
  <c r="D132" i="1"/>
  <c r="K132" i="1" s="1"/>
  <c r="D131" i="1"/>
  <c r="K131" i="1" s="1"/>
  <c r="D130" i="1"/>
  <c r="K130" i="1" s="1"/>
  <c r="D129" i="1"/>
  <c r="K129" i="1" s="1"/>
  <c r="D128" i="1"/>
  <c r="K128" i="1" s="1"/>
  <c r="K127" i="1"/>
  <c r="D126" i="1"/>
  <c r="K126" i="1" s="1"/>
  <c r="D125" i="1"/>
  <c r="K125" i="1" s="1"/>
  <c r="D124" i="1"/>
  <c r="K124" i="1" s="1"/>
  <c r="D123" i="1"/>
  <c r="K123" i="1" s="1"/>
  <c r="D121" i="1"/>
  <c r="K121" i="1" s="1"/>
  <c r="D120" i="1"/>
  <c r="K120" i="1" s="1"/>
  <c r="D119" i="1"/>
  <c r="K119" i="1" s="1"/>
  <c r="D118" i="1"/>
  <c r="K118" i="1" s="1"/>
  <c r="D117" i="1"/>
  <c r="K117" i="1" s="1"/>
  <c r="D116" i="1"/>
  <c r="D115" i="1"/>
  <c r="K115" i="1" s="1"/>
  <c r="D114" i="1"/>
  <c r="K114" i="1" s="1"/>
  <c r="D113" i="1"/>
  <c r="K113" i="1" s="1"/>
  <c r="D112" i="1"/>
  <c r="K112" i="1" l="1"/>
  <c r="E97" i="1"/>
  <c r="C102" i="1"/>
  <c r="C104" i="1" s="1"/>
  <c r="E102" i="1"/>
  <c r="E104" i="1" s="1"/>
  <c r="E99" i="1"/>
  <c r="C97" i="1"/>
  <c r="C99" i="1" s="1"/>
  <c r="K81" i="1"/>
  <c r="I81" i="1" s="1"/>
  <c r="K116" i="1"/>
  <c r="A214" i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G213" i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G149" i="1"/>
  <c r="C105" i="1" l="1"/>
  <c r="A124" i="1"/>
  <c r="A125" i="1" s="1"/>
  <c r="A126" i="1" s="1"/>
  <c r="A127" i="1" s="1"/>
  <c r="A128" i="1" s="1"/>
  <c r="A129" i="1" s="1"/>
  <c r="A130" i="1" s="1"/>
  <c r="A131" i="1" s="1"/>
  <c r="A132" i="1" s="1"/>
  <c r="G123" i="1"/>
  <c r="I112" i="1"/>
  <c r="J42" i="1"/>
  <c r="Z12" i="1" l="1"/>
  <c r="I14" i="1"/>
  <c r="G105" i="1" l="1"/>
  <c r="E105" i="1"/>
  <c r="E43" i="1" l="1"/>
  <c r="E44" i="1" s="1"/>
  <c r="C15" i="1" l="1"/>
  <c r="E30" i="1" l="1"/>
  <c r="A138" i="1" l="1"/>
  <c r="A139" i="1" s="1"/>
  <c r="A140" i="1" s="1"/>
  <c r="G137" i="1"/>
  <c r="A141" i="1" l="1"/>
  <c r="A142" i="1" s="1"/>
  <c r="A143" i="1" s="1"/>
  <c r="A144" i="1" s="1"/>
  <c r="A145" i="1" s="1"/>
  <c r="A146" i="1" s="1"/>
  <c r="A147" i="1" s="1"/>
  <c r="F94" i="1"/>
  <c r="B254" i="1" l="1"/>
  <c r="A247" i="1"/>
  <c r="A241" i="1"/>
  <c r="A235" i="1"/>
  <c r="F251" i="1" l="1"/>
  <c r="F250" i="1"/>
  <c r="F249" i="1"/>
  <c r="F248" i="1"/>
  <c r="F247" i="1"/>
  <c r="F245" i="1"/>
  <c r="F244" i="1"/>
  <c r="F243" i="1"/>
  <c r="F242" i="1"/>
  <c r="F241" i="1"/>
  <c r="F239" i="1"/>
  <c r="F238" i="1"/>
  <c r="F237" i="1"/>
  <c r="F236" i="1"/>
  <c r="F235" i="1"/>
  <c r="F233" i="1"/>
  <c r="F232" i="1"/>
  <c r="F230" i="1"/>
  <c r="F229" i="1"/>
  <c r="F231" i="1"/>
  <c r="A236" i="1"/>
  <c r="A242" i="1"/>
  <c r="A248" i="1"/>
  <c r="B255" i="1" l="1"/>
  <c r="A237" i="1"/>
  <c r="A243" i="1"/>
  <c r="A24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7" i="1"/>
  <c r="G247" i="1"/>
  <c r="G248" i="1" s="1"/>
  <c r="G249" i="1" s="1"/>
  <c r="G250" i="1" s="1"/>
  <c r="G251" i="1" s="1"/>
  <c r="G241" i="1"/>
  <c r="G242" i="1" s="1"/>
  <c r="G243" i="1" s="1"/>
  <c r="G244" i="1" s="1"/>
  <c r="G245" i="1" s="1"/>
  <c r="G235" i="1"/>
  <c r="G236" i="1" s="1"/>
  <c r="G237" i="1" s="1"/>
  <c r="G238" i="1" s="1"/>
  <c r="G239" i="1" s="1"/>
  <c r="G229" i="1"/>
  <c r="G230" i="1" s="1"/>
  <c r="G231" i="1" s="1"/>
  <c r="G232" i="1" s="1"/>
  <c r="G233" i="1" s="1"/>
  <c r="A229" i="1"/>
  <c r="A230" i="1" s="1"/>
  <c r="A231" i="1" s="1"/>
  <c r="A232" i="1" s="1"/>
  <c r="A233" i="1" s="1"/>
  <c r="A113" i="1"/>
  <c r="A114" i="1" s="1"/>
  <c r="A115" i="1" s="1"/>
  <c r="G112" i="1"/>
  <c r="C66" i="1"/>
  <c r="B67" i="1" s="1"/>
  <c r="D55" i="1"/>
  <c r="G50" i="1"/>
  <c r="G51" i="1" s="1"/>
  <c r="C50" i="1"/>
  <c r="E27" i="1"/>
  <c r="E25" i="1"/>
  <c r="E7" i="1"/>
  <c r="E3" i="1"/>
  <c r="A238" i="1"/>
  <c r="A244" i="1"/>
  <c r="A250" i="1"/>
  <c r="A116" i="1" l="1"/>
  <c r="A117" i="1" s="1"/>
  <c r="A118" i="1" s="1"/>
  <c r="A119" i="1" s="1"/>
  <c r="A120" i="1" s="1"/>
  <c r="A121" i="1" s="1"/>
  <c r="D60" i="1"/>
  <c r="H67" i="1"/>
  <c r="A251" i="1"/>
  <c r="A239" i="1"/>
  <c r="A245" i="1"/>
  <c r="D79" i="1" l="1"/>
  <c r="D77" i="1"/>
  <c r="D76" i="1"/>
  <c r="D73" i="1"/>
  <c r="D75" i="1"/>
  <c r="J72" i="1"/>
  <c r="D78" i="1"/>
  <c r="J66" i="1"/>
  <c r="J68" i="1" s="1"/>
  <c r="D74" i="1"/>
  <c r="J70" i="1"/>
  <c r="J71" i="1"/>
  <c r="C70" i="1" s="1"/>
  <c r="J69" i="1"/>
  <c r="D72" i="1"/>
  <c r="J73" i="1" l="1"/>
  <c r="D70" i="1"/>
  <c r="J78" i="1" l="1"/>
  <c r="J74" i="1"/>
  <c r="J75" i="1" s="1"/>
  <c r="J76" i="1" s="1"/>
  <c r="J77" i="1" s="1"/>
  <c r="G70" i="1"/>
  <c r="D64" i="1" s="1"/>
  <c r="D65" i="1" s="1"/>
  <c r="D71" i="1"/>
  <c r="I67" i="1" s="1"/>
  <c r="I68" i="1" s="1"/>
  <c r="E70" i="1"/>
  <c r="J79" i="1" l="1"/>
  <c r="J67" i="1" s="1"/>
  <c r="I66" i="1" s="1"/>
  <c r="C68" i="1" s="1"/>
  <c r="F65" i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<sst xmlns="http://schemas.openxmlformats.org/spreadsheetml/2006/main" count="491" uniqueCount="294">
  <si>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</si>
  <si>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</si>
  <si>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</si>
  <si>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</si>
  <si>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</si>
  <si>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</si>
  <si>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</si>
  <si>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</si>
  <si>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</si>
  <si>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</si>
  <si>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</si>
  <si>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</si>
  <si>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</si>
  <si>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</si>
  <si>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</si>
  <si>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</si>
  <si>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</si>
  <si>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</si>
  <si>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</si>
  <si>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</si>
  <si>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</si>
  <si>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</si>
  <si>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</si>
  <si>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</si>
  <si>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</si>
  <si>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</si>
  <si>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</si>
  <si>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</si>
  <si>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</si>
  <si>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</si>
  <si>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</si>
  <si>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</si>
  <si>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</si>
  <si>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</si>
  <si>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</si>
  <si>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</si>
  <si>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</si>
  <si>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</si>
  <si>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</si>
  <si>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</si>
  <si>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</si>
  <si>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</si>
  <si>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</si>
  <si>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</si>
  <si>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</si>
  <si>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</si>
  <si>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</si>
  <si>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</si>
  <si>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</si>
  <si>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</si>
  <si>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</si>
  <si>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</si>
  <si>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</si>
  <si>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</si>
  <si>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</si>
  <si>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</si>
  <si>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</si>
  <si>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</si>
  <si>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</si>
  <si>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</si>
  <si>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</si>
  <si>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</si>
  <si>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</si>
  <si>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</si>
  <si>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</si>
  <si>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</si>
  <si>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</si>
  <si>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</si>
  <si>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</si>
  <si>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</si>
  <si>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</si>
  <si>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</si>
  <si>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</si>
  <si>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</si>
  <si>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</si>
  <si>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</si>
  <si>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</si>
  <si>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</si>
  <si>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</si>
  <si>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</si>
  <si>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</si>
  <si>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</si>
  <si>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</si>
  <si>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</si>
  <si>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</si>
  <si>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</si>
  <si>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</si>
  <si>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</si>
  <si>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</si>
  <si>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</si>
  <si>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</si>
  <si>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</si>
  <si>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</si>
  <si>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</si>
  <si>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</si>
  <si>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</si>
  <si>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</si>
  <si>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</si>
  <si>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</si>
  <si>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</si>
  <si>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</si>
  <si>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</si>
  <si>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</si>
  <si>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</si>
  <si>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</si>
  <si>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</si>
  <si>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</si>
  <si>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</si>
  <si>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</si>
  <si>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</si>
  <si>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</si>
  <si>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</si>
  <si>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</si>
  <si>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</si>
  <si>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</si>
  <si>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</si>
  <si>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</si>
  <si>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</si>
  <si>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</si>
  <si>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</si>
  <si>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</si>
  <si>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</si>
  <si>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</si>
  <si>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</si>
  <si>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</si>
  <si>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</si>
  <si>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</si>
  <si>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</si>
  <si>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</si>
  <si>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</si>
  <si>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</si>
  <si>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</si>
  <si>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</si>
  <si>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</si>
  <si>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</si>
  <si>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</si>
  <si>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</si>
  <si>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</si>
  <si>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</si>
  <si>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</si>
  <si>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</si>
  <si>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</si>
  <si>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</si>
  <si>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</si>
  <si>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</si>
  <si>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</si>
  <si>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</si>
  <si>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</si>
  <si>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</si>
  <si>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</si>
  <si>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</si>
  <si>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</si>
  <si>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</si>
  <si>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</si>
  <si>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</si>
  <si>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</si>
  <si>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</si>
  <si>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</si>
  <si>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</si>
  <si>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</si>
  <si>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</si>
  <si>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</si>
  <si>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</si>
  <si>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</si>
  <si>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</si>
  <si>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</si>
  <si>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</si>
  <si>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</si>
  <si>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</si>
  <si>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</si>
  <si>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</si>
  <si>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</si>
  <si>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</si>
  <si>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</si>
  <si>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</si>
  <si>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</si>
  <si>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</si>
  <si>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</si>
  <si>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</si>
  <si>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</si>
  <si>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</si>
  <si>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</si>
  <si>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</si>
  <si>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</si>
  <si>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</si>
  <si>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</si>
  <si>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</si>
  <si>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</si>
  <si>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</si>
  <si>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</si>
  <si>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</si>
  <si>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</si>
  <si>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</si>
  <si>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</si>
  <si>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</si>
  <si>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</si>
  <si>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</si>
  <si>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</si>
  <si>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</si>
  <si>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</si>
  <si>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</si>
  <si>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</si>
  <si>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</si>
  <si>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</si>
  <si>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</si>
  <si>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</si>
  <si>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</si>
  <si>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</si>
  <si>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</si>
  <si>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</si>
  <si>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</si>
  <si>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</si>
  <si>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</si>
  <si>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</si>
  <si>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</si>
  <si>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</si>
  <si>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</si>
  <si>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</si>
  <si>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</si>
  <si>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</si>
  <si>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</si>
  <si>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</si>
  <si>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</si>
  <si>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</si>
  <si>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</si>
  <si>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</si>
  <si>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</si>
  <si>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</si>
  <si>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</si>
  <si>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</si>
  <si>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</si>
  <si>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</si>
  <si>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</si>
  <si>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</si>
  <si>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</si>
  <si>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Thane</t>
  </si>
  <si>
    <t>Shyam Builders and Developers</t>
  </si>
  <si>
    <t>Shreeji Neelkanth</t>
  </si>
  <si>
    <t>P52000052344</t>
  </si>
  <si>
    <t>Plot No</t>
  </si>
  <si>
    <t>28, Sector - 05</t>
  </si>
  <si>
    <t>https://maps.app.goo.gl/h73vEXeZZ8F3y2Mi8</t>
  </si>
  <si>
    <t>18.9693694,73.0741556</t>
  </si>
  <si>
    <t>Pushpak Nagar</t>
  </si>
  <si>
    <t>Internal Road</t>
  </si>
  <si>
    <t>8.4 KM from Panvel Railway Station</t>
  </si>
  <si>
    <t>Estrela Mahavir Apartment building</t>
  </si>
  <si>
    <t>Open Plot</t>
  </si>
  <si>
    <t>20 M Wide Road</t>
  </si>
  <si>
    <t>Plot No.13</t>
  </si>
  <si>
    <t>Plot No.29</t>
  </si>
  <si>
    <t>Plot No.27</t>
  </si>
  <si>
    <t>City and Industrial Development Corporation of Maharashtra (CIDCO)</t>
  </si>
  <si>
    <t>As per RERA - 31/12/2027</t>
  </si>
  <si>
    <t>Ground Floor for Commercial &amp; Parking</t>
  </si>
  <si>
    <t>Shop</t>
  </si>
  <si>
    <t>2BHK</t>
  </si>
  <si>
    <t>1BHK</t>
  </si>
  <si>
    <t>7th Floor (Part Terrace Area)</t>
  </si>
  <si>
    <t>Terrace Area</t>
  </si>
  <si>
    <t>Flats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</si>
  <si>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</si>
  <si>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Builder Saleable area</t>
  </si>
  <si>
    <t xml:space="preserve">Commencement-CC No </t>
  </si>
  <si>
    <t>Builder</t>
  </si>
  <si>
    <t>Online</t>
  </si>
  <si>
    <t>Recommended rate of the Shop Per Sq. Ft. (For Ground Floor)</t>
  </si>
  <si>
    <t>Recommended rate of the Shop Per Sq. Ft. (For 1st Floor)</t>
  </si>
  <si>
    <t>MIS</t>
  </si>
  <si>
    <t>Dapoli</t>
  </si>
  <si>
    <t>Pushpak</t>
  </si>
  <si>
    <t>Approved Plans, CC, Builder Saleable Area, Sale Plans</t>
  </si>
  <si>
    <t>1st Floor for Commercial &amp; Parking</t>
  </si>
  <si>
    <t>24 x 7 Security, Gymnasium, Indoor Games, Swimming Pool</t>
  </si>
  <si>
    <t>CIDCO/BP-18540/TPO(NM &amp; K)/2023/12084</t>
  </si>
  <si>
    <t>2nd &amp; 1st Basement floor for Parking</t>
  </si>
  <si>
    <t>2nd Floor for Residential &amp; Drivers Room, Fitness Center, Society Office, Lawn, Swimming pool</t>
  </si>
  <si>
    <t>3rd to 7th, 9th &amp; 10th Floor</t>
  </si>
  <si>
    <t>8th Floor (Part Refuge Area)</t>
  </si>
  <si>
    <t>Refuge Area</t>
  </si>
  <si>
    <t>11th Floor (Part Refuge Area)</t>
  </si>
  <si>
    <t>12th Floor (Part Terrace Area)</t>
  </si>
  <si>
    <t>We considered Gross carpet area = Net carpet + Balcony + Chajja Area + Enclose Balcony.</t>
  </si>
  <si>
    <t>We have updated latest approved floor plans &amp; CC (On 18/11/2024).</t>
  </si>
  <si>
    <t>Flats - 156, Shops -20</t>
  </si>
  <si>
    <t>2B + Gr/Stilt + 1st to 12th Floor</t>
  </si>
  <si>
    <t>2B + Gr/Stilt + 1st to 13th Floor</t>
  </si>
  <si>
    <t>Valid Up to : 2B + Gr/St + 1st Parking + 2nd to 12th Floor
Total BUA = 10115.6 Sq.M.
Residential Units = 156 Nos. &amp; Commercial Units = 20 Nos.</t>
  </si>
  <si>
    <t>Rate 5600 Park 3L Smith Verbal and cost sheet     on 17/12/2024</t>
  </si>
  <si>
    <t>Recommended Rates / Other charges of the Property have been revised on 17/12/2024.</t>
  </si>
  <si>
    <t>Sudhakar Chavan 7021164639</t>
  </si>
  <si>
    <t>Pooja Kawale</t>
  </si>
  <si>
    <t>Ravindra vishwakarma</t>
  </si>
  <si>
    <t>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</si>
</sst>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.00_)_€_ ;_ * \(#,##0.00\)_€_ ;_ * &quot;-&quot;??_)_€_ ;_ @_ 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0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25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7" fillId="0" borderId="0" xfId="1" applyNumberFormat="1" applyFont="1"/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65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/>
    <xf numFmtId="0" fontId="15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20" xfId="1" applyFont="1" applyBorder="1" applyAlignment="1">
      <alignment vertical="center"/>
    </xf>
    <xf numFmtId="2" fontId="7" fillId="0" borderId="20" xfId="1" applyNumberFormat="1" applyFont="1" applyBorder="1" applyAlignment="1">
      <alignment vertical="center"/>
    </xf>
    <xf numFmtId="0" fontId="15" fillId="0" borderId="0" xfId="1" applyFont="1" applyAlignment="1">
      <alignment horizontal="left" vertical="top"/>
    </xf>
    <xf numFmtId="0" fontId="25" fillId="2" borderId="12" xfId="0" applyFont="1" applyFill="1" applyBorder="1"/>
    <xf numFmtId="0" fontId="26" fillId="0" borderId="8" xfId="0" applyFont="1" applyBorder="1"/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18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1" fontId="8" fillId="2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18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179766</xdr:colOff>
      <xdr:row>381</xdr:row>
      <xdr:rowOff>141358</xdr:rowOff>
    </xdr:from>
    <xdr:to>
      <xdr:col>6</xdr:col>
      <xdr:colOff>486507</xdr:colOff>
      <xdr:row>401</xdr:row>
      <xdr:rowOff>89555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5212" y="62326420"/>
          <a:ext cx="4568080" cy="39340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147203</xdr:colOff>
      <xdr:row>361</xdr:row>
      <xdr:rowOff>86590</xdr:rowOff>
    </xdr:from>
    <xdr:to>
      <xdr:col>7</xdr:col>
      <xdr:colOff>571498</xdr:colOff>
      <xdr:row>381</xdr:row>
      <xdr:rowOff>15008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7203" y="62743772"/>
          <a:ext cx="6096000" cy="3911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14257</xdr:colOff>
      <xdr:row>338</xdr:row>
      <xdr:rowOff>157226</xdr:rowOff>
    </xdr:from>
    <xdr:to>
      <xdr:col>5</xdr:col>
      <xdr:colOff>761440</xdr:colOff>
      <xdr:row>354</xdr:row>
      <xdr:rowOff>154146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20319" y="53772718"/>
          <a:ext cx="3384875" cy="31855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246114</xdr:colOff>
      <xdr:row>319</xdr:row>
      <xdr:rowOff>155862</xdr:rowOff>
    </xdr:from>
    <xdr:to>
      <xdr:col>5</xdr:col>
      <xdr:colOff>553031</xdr:colOff>
      <xdr:row>338</xdr:row>
      <xdr:rowOff>46374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4750" y="54050044"/>
          <a:ext cx="2878667" cy="36745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619179</xdr:colOff>
      <xdr:row>346</xdr:row>
      <xdr:rowOff>92735</xdr:rowOff>
    </xdr:from>
    <xdr:to>
      <xdr:col>4</xdr:col>
      <xdr:colOff>166092</xdr:colOff>
      <xdr:row>348</xdr:row>
      <xdr:rowOff>32199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831253">
          <a:off x="3026406" y="59364212"/>
          <a:ext cx="490754" cy="337782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497205</xdr:colOff>
      <xdr:row>277</xdr:row>
      <xdr:rowOff>81915</xdr:rowOff>
    </xdr:from>
    <xdr:to>
      <xdr:col>15</xdr:col>
      <xdr:colOff>750570</xdr:colOff>
      <xdr:row>315</xdr:row>
      <xdr:rowOff>180975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15F3CB8-142D-D265-F214-568174C77B74}"/>
            </a:ext>
          </a:extLst>
        </xdr:cNvPr>
        <xdr:cNvGrpSpPr/>
      </xdr:nvGrpSpPr>
      <xdr:grpSpPr>
        <a:xfrm>
          <a:off x="7209155" y="47643415"/>
          <a:ext cx="6133465" cy="7573010"/>
          <a:chOff x="410211" y="414229"/>
          <a:chExt cx="5418066" cy="7146260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063F558-F4DE-5A1F-91ED-64154573E364}"/>
              </a:ext>
            </a:extLst>
          </xdr:cNvPr>
          <xdr:cNvGrpSpPr/>
        </xdr:nvGrpSpPr>
        <xdr:grpSpPr>
          <a:xfrm>
            <a:off x="418044" y="3087359"/>
            <a:ext cx="5402400" cy="2520000"/>
            <a:chOff x="409876" y="3087359"/>
            <a:chExt cx="5402400" cy="2520000"/>
          </a:xfrm>
        </xdr:grpSpPr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96EBEA5F-6886-8D68-3FC6-0C6A26675F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17004" y="3087359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3F9E4FDF-FA01-9E1A-663D-3A4FB8B152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9876" y="3087359"/>
              <a:ext cx="334295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6CD61052-9C18-5B4A-141A-8FD05679E784}"/>
              </a:ext>
            </a:extLst>
          </xdr:cNvPr>
          <xdr:cNvGrpSpPr/>
        </xdr:nvGrpSpPr>
        <xdr:grpSpPr>
          <a:xfrm>
            <a:off x="410211" y="5760489"/>
            <a:ext cx="5418066" cy="1800000"/>
            <a:chOff x="410546" y="5760489"/>
            <a:chExt cx="5418066" cy="180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D73AB6F4-445A-18AA-D1A4-8FD4053879B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62545" y="5760489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D80469DD-24DE-381F-E796-70F44BCD2C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74846" y="5760489"/>
              <a:ext cx="13537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F6044FDA-084C-139D-4D63-5243B61CF5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10546" y="5760489"/>
              <a:ext cx="2387823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282A6BAE-354B-AA23-E4FD-8AF10B3FDB72}"/>
              </a:ext>
            </a:extLst>
          </xdr:cNvPr>
          <xdr:cNvGrpSpPr/>
        </xdr:nvGrpSpPr>
        <xdr:grpSpPr>
          <a:xfrm>
            <a:off x="418044" y="414229"/>
            <a:ext cx="5402400" cy="2520000"/>
            <a:chOff x="409876" y="414229"/>
            <a:chExt cx="5402400" cy="252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1D35B200-49D5-5A1F-651F-6D8C17CB1B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17004" y="414229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ECF91CAF-B36D-3BDB-CAD2-84F9F3096BD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9876" y="414229"/>
              <a:ext cx="334295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152400</xdr:colOff>
      <xdr:row>277</xdr:row>
      <xdr:rowOff>101600</xdr:rowOff>
    </xdr:from>
    <xdr:to>
      <xdr:col>7</xdr:col>
      <xdr:colOff>557079</xdr:colOff>
      <xdr:row>315</xdr:row>
      <xdr:rowOff>56114</xdr:rowOff>
    </xdr:to>
    <xdr:grpSp>
      <xdr:nvGrpSpPr>
        <xdr:cNvPr id="15" name="Group 14"/>
        <xdr:cNvGrpSpPr/>
      </xdr:nvGrpSpPr>
      <xdr:grpSpPr>
        <a:xfrm>
          <a:off x="152400" y="47663100"/>
          <a:ext cx="6380029" cy="7428464"/>
          <a:chOff x="152400" y="47644050"/>
          <a:chExt cx="6380029" cy="7428464"/>
        </a:xfrm>
      </xdr:grpSpPr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30541" y="52912514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69208" y="476440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55096" y="5063670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1472" y="4764405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3748" y="5063670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193" y="5290936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2400" y="5063670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</xdr:rowOff>
    </xdr:from>
    <xdr:to>
      <xdr:col>6</xdr:col>
      <xdr:colOff>801441</xdr:colOff>
      <xdr:row>35</xdr:row>
      <xdr:rowOff>47524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7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36</xdr:row>
      <xdr:rowOff>9424</xdr:rowOff>
    </xdr:from>
    <xdr:to>
      <xdr:col>6</xdr:col>
      <xdr:colOff>801441</xdr:colOff>
      <xdr:row>57</xdr:row>
      <xdr:rowOff>56947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878630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1069041</xdr:colOff>
      <xdr:row>36</xdr:row>
      <xdr:rowOff>9423</xdr:rowOff>
    </xdr:from>
    <xdr:to>
      <xdr:col>18</xdr:col>
      <xdr:colOff>10306</xdr:colOff>
      <xdr:row>57</xdr:row>
      <xdr:rowOff>56946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0306" y="6878629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1069041</xdr:colOff>
      <xdr:row>14</xdr:row>
      <xdr:rowOff>0</xdr:rowOff>
    </xdr:from>
    <xdr:to>
      <xdr:col>18</xdr:col>
      <xdr:colOff>10306</xdr:colOff>
      <xdr:row>35</xdr:row>
      <xdr:rowOff>47523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0306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h73vEXeZZ8F3y2Mi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361"/>
  <sheetViews>
    <sheetView tabSelected="1" view="pageBreakPreview" topLeftCell="A29" zoomScaleNormal="100" zoomScaleSheetLayoutView="100" zoomScalePageLayoutView="85" workbookViewId="0">
      <selection activeCell="K48" sqref="K48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81640625" style="36" customWidth="1"/>
    <col min="4" max="4" width="14.1796875" style="36" customWidth="1"/>
    <col min="5" max="6" width="11.81640625" style="36" customWidth="1"/>
    <col min="7" max="7" width="11.453125" style="36" customWidth="1"/>
    <col min="8" max="8" width="10.54296875" style="36" customWidth="1"/>
    <col min="9" max="9" width="17.453125" style="17" customWidth="1"/>
    <col min="10" max="10" width="11.453125" style="17" customWidth="1"/>
    <col min="11" max="11" width="10.54296875" style="17" bestFit="1" customWidth="1"/>
    <col min="12" max="12" width="10.5429687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81640625" style="17" customWidth="1"/>
    <col min="17" max="247" width="9.1796875" style="17"/>
    <col min="248" max="248" width="8.81640625" style="17" customWidth="1"/>
    <col min="249" max="249" width="9.81640625" style="17" customWidth="1"/>
    <col min="250" max="250" width="14.453125" style="17" customWidth="1"/>
    <col min="251" max="251" width="7.179687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81640625" style="17" customWidth="1"/>
    <col min="505" max="505" width="9.81640625" style="17" customWidth="1"/>
    <col min="506" max="506" width="14.453125" style="17" customWidth="1"/>
    <col min="507" max="507" width="7.179687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81640625" style="17" customWidth="1"/>
    <col min="761" max="761" width="9.81640625" style="17" customWidth="1"/>
    <col min="762" max="762" width="14.453125" style="17" customWidth="1"/>
    <col min="763" max="763" width="7.179687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81640625" style="17" customWidth="1"/>
    <col min="1017" max="1017" width="9.81640625" style="17" customWidth="1"/>
    <col min="1018" max="1018" width="14.453125" style="17" customWidth="1"/>
    <col min="1019" max="1019" width="7.179687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81640625" style="17" customWidth="1"/>
    <col min="1273" max="1273" width="9.81640625" style="17" customWidth="1"/>
    <col min="1274" max="1274" width="14.453125" style="17" customWidth="1"/>
    <col min="1275" max="1275" width="7.179687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81640625" style="17" customWidth="1"/>
    <col min="1529" max="1529" width="9.81640625" style="17" customWidth="1"/>
    <col min="1530" max="1530" width="14.453125" style="17" customWidth="1"/>
    <col min="1531" max="1531" width="7.179687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81640625" style="17" customWidth="1"/>
    <col min="1785" max="1785" width="9.81640625" style="17" customWidth="1"/>
    <col min="1786" max="1786" width="14.453125" style="17" customWidth="1"/>
    <col min="1787" max="1787" width="7.179687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81640625" style="17" customWidth="1"/>
    <col min="2041" max="2041" width="9.81640625" style="17" customWidth="1"/>
    <col min="2042" max="2042" width="14.453125" style="17" customWidth="1"/>
    <col min="2043" max="2043" width="7.179687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81640625" style="17" customWidth="1"/>
    <col min="2297" max="2297" width="9.81640625" style="17" customWidth="1"/>
    <col min="2298" max="2298" width="14.453125" style="17" customWidth="1"/>
    <col min="2299" max="2299" width="7.179687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81640625" style="17" customWidth="1"/>
    <col min="2553" max="2553" width="9.81640625" style="17" customWidth="1"/>
    <col min="2554" max="2554" width="14.453125" style="17" customWidth="1"/>
    <col min="2555" max="2555" width="7.179687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81640625" style="17" customWidth="1"/>
    <col min="2809" max="2809" width="9.81640625" style="17" customWidth="1"/>
    <col min="2810" max="2810" width="14.453125" style="17" customWidth="1"/>
    <col min="2811" max="2811" width="7.179687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81640625" style="17" customWidth="1"/>
    <col min="3065" max="3065" width="9.81640625" style="17" customWidth="1"/>
    <col min="3066" max="3066" width="14.453125" style="17" customWidth="1"/>
    <col min="3067" max="3067" width="7.179687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81640625" style="17" customWidth="1"/>
    <col min="3321" max="3321" width="9.81640625" style="17" customWidth="1"/>
    <col min="3322" max="3322" width="14.453125" style="17" customWidth="1"/>
    <col min="3323" max="3323" width="7.179687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81640625" style="17" customWidth="1"/>
    <col min="3577" max="3577" width="9.81640625" style="17" customWidth="1"/>
    <col min="3578" max="3578" width="14.453125" style="17" customWidth="1"/>
    <col min="3579" max="3579" width="7.179687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81640625" style="17" customWidth="1"/>
    <col min="3833" max="3833" width="9.81640625" style="17" customWidth="1"/>
    <col min="3834" max="3834" width="14.453125" style="17" customWidth="1"/>
    <col min="3835" max="3835" width="7.179687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81640625" style="17" customWidth="1"/>
    <col min="4089" max="4089" width="9.81640625" style="17" customWidth="1"/>
    <col min="4090" max="4090" width="14.453125" style="17" customWidth="1"/>
    <col min="4091" max="4091" width="7.179687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81640625" style="17" customWidth="1"/>
    <col min="4345" max="4345" width="9.81640625" style="17" customWidth="1"/>
    <col min="4346" max="4346" width="14.453125" style="17" customWidth="1"/>
    <col min="4347" max="4347" width="7.179687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81640625" style="17" customWidth="1"/>
    <col min="4601" max="4601" width="9.81640625" style="17" customWidth="1"/>
    <col min="4602" max="4602" width="14.453125" style="17" customWidth="1"/>
    <col min="4603" max="4603" width="7.179687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81640625" style="17" customWidth="1"/>
    <col min="4857" max="4857" width="9.81640625" style="17" customWidth="1"/>
    <col min="4858" max="4858" width="14.453125" style="17" customWidth="1"/>
    <col min="4859" max="4859" width="7.179687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81640625" style="17" customWidth="1"/>
    <col min="5113" max="5113" width="9.81640625" style="17" customWidth="1"/>
    <col min="5114" max="5114" width="14.453125" style="17" customWidth="1"/>
    <col min="5115" max="5115" width="7.179687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81640625" style="17" customWidth="1"/>
    <col min="5369" max="5369" width="9.81640625" style="17" customWidth="1"/>
    <col min="5370" max="5370" width="14.453125" style="17" customWidth="1"/>
    <col min="5371" max="5371" width="7.179687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81640625" style="17" customWidth="1"/>
    <col min="5625" max="5625" width="9.81640625" style="17" customWidth="1"/>
    <col min="5626" max="5626" width="14.453125" style="17" customWidth="1"/>
    <col min="5627" max="5627" width="7.179687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81640625" style="17" customWidth="1"/>
    <col min="5881" max="5881" width="9.81640625" style="17" customWidth="1"/>
    <col min="5882" max="5882" width="14.453125" style="17" customWidth="1"/>
    <col min="5883" max="5883" width="7.179687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81640625" style="17" customWidth="1"/>
    <col min="6137" max="6137" width="9.81640625" style="17" customWidth="1"/>
    <col min="6138" max="6138" width="14.453125" style="17" customWidth="1"/>
    <col min="6139" max="6139" width="7.179687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81640625" style="17" customWidth="1"/>
    <col min="6393" max="6393" width="9.81640625" style="17" customWidth="1"/>
    <col min="6394" max="6394" width="14.453125" style="17" customWidth="1"/>
    <col min="6395" max="6395" width="7.179687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81640625" style="17" customWidth="1"/>
    <col min="6649" max="6649" width="9.81640625" style="17" customWidth="1"/>
    <col min="6650" max="6650" width="14.453125" style="17" customWidth="1"/>
    <col min="6651" max="6651" width="7.179687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81640625" style="17" customWidth="1"/>
    <col min="6905" max="6905" width="9.81640625" style="17" customWidth="1"/>
    <col min="6906" max="6906" width="14.453125" style="17" customWidth="1"/>
    <col min="6907" max="6907" width="7.179687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81640625" style="17" customWidth="1"/>
    <col min="7161" max="7161" width="9.81640625" style="17" customWidth="1"/>
    <col min="7162" max="7162" width="14.453125" style="17" customWidth="1"/>
    <col min="7163" max="7163" width="7.179687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81640625" style="17" customWidth="1"/>
    <col min="7417" max="7417" width="9.81640625" style="17" customWidth="1"/>
    <col min="7418" max="7418" width="14.453125" style="17" customWidth="1"/>
    <col min="7419" max="7419" width="7.179687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81640625" style="17" customWidth="1"/>
    <col min="7673" max="7673" width="9.81640625" style="17" customWidth="1"/>
    <col min="7674" max="7674" width="14.453125" style="17" customWidth="1"/>
    <col min="7675" max="7675" width="7.179687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81640625" style="17" customWidth="1"/>
    <col min="7929" max="7929" width="9.81640625" style="17" customWidth="1"/>
    <col min="7930" max="7930" width="14.453125" style="17" customWidth="1"/>
    <col min="7931" max="7931" width="7.179687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81640625" style="17" customWidth="1"/>
    <col min="8185" max="8185" width="9.81640625" style="17" customWidth="1"/>
    <col min="8186" max="8186" width="14.453125" style="17" customWidth="1"/>
    <col min="8187" max="8187" width="7.179687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81640625" style="17" customWidth="1"/>
    <col min="8441" max="8441" width="9.81640625" style="17" customWidth="1"/>
    <col min="8442" max="8442" width="14.453125" style="17" customWidth="1"/>
    <col min="8443" max="8443" width="7.179687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81640625" style="17" customWidth="1"/>
    <col min="8697" max="8697" width="9.81640625" style="17" customWidth="1"/>
    <col min="8698" max="8698" width="14.453125" style="17" customWidth="1"/>
    <col min="8699" max="8699" width="7.179687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81640625" style="17" customWidth="1"/>
    <col min="8953" max="8953" width="9.81640625" style="17" customWidth="1"/>
    <col min="8954" max="8954" width="14.453125" style="17" customWidth="1"/>
    <col min="8955" max="8955" width="7.179687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81640625" style="17" customWidth="1"/>
    <col min="9209" max="9209" width="9.81640625" style="17" customWidth="1"/>
    <col min="9210" max="9210" width="14.453125" style="17" customWidth="1"/>
    <col min="9211" max="9211" width="7.179687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81640625" style="17" customWidth="1"/>
    <col min="9465" max="9465" width="9.81640625" style="17" customWidth="1"/>
    <col min="9466" max="9466" width="14.453125" style="17" customWidth="1"/>
    <col min="9467" max="9467" width="7.179687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81640625" style="17" customWidth="1"/>
    <col min="9721" max="9721" width="9.81640625" style="17" customWidth="1"/>
    <col min="9722" max="9722" width="14.453125" style="17" customWidth="1"/>
    <col min="9723" max="9723" width="7.179687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81640625" style="17" customWidth="1"/>
    <col min="9977" max="9977" width="9.81640625" style="17" customWidth="1"/>
    <col min="9978" max="9978" width="14.453125" style="17" customWidth="1"/>
    <col min="9979" max="9979" width="7.179687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81640625" style="17" customWidth="1"/>
    <col min="10233" max="10233" width="9.81640625" style="17" customWidth="1"/>
    <col min="10234" max="10234" width="14.453125" style="17" customWidth="1"/>
    <col min="10235" max="10235" width="7.179687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81640625" style="17" customWidth="1"/>
    <col min="10489" max="10489" width="9.81640625" style="17" customWidth="1"/>
    <col min="10490" max="10490" width="14.453125" style="17" customWidth="1"/>
    <col min="10491" max="10491" width="7.179687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81640625" style="17" customWidth="1"/>
    <col min="10745" max="10745" width="9.81640625" style="17" customWidth="1"/>
    <col min="10746" max="10746" width="14.453125" style="17" customWidth="1"/>
    <col min="10747" max="10747" width="7.179687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81640625" style="17" customWidth="1"/>
    <col min="11001" max="11001" width="9.81640625" style="17" customWidth="1"/>
    <col min="11002" max="11002" width="14.453125" style="17" customWidth="1"/>
    <col min="11003" max="11003" width="7.179687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81640625" style="17" customWidth="1"/>
    <col min="11257" max="11257" width="9.81640625" style="17" customWidth="1"/>
    <col min="11258" max="11258" width="14.453125" style="17" customWidth="1"/>
    <col min="11259" max="11259" width="7.179687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81640625" style="17" customWidth="1"/>
    <col min="11513" max="11513" width="9.81640625" style="17" customWidth="1"/>
    <col min="11514" max="11514" width="14.453125" style="17" customWidth="1"/>
    <col min="11515" max="11515" width="7.179687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81640625" style="17" customWidth="1"/>
    <col min="11769" max="11769" width="9.81640625" style="17" customWidth="1"/>
    <col min="11770" max="11770" width="14.453125" style="17" customWidth="1"/>
    <col min="11771" max="11771" width="7.179687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81640625" style="17" customWidth="1"/>
    <col min="12025" max="12025" width="9.81640625" style="17" customWidth="1"/>
    <col min="12026" max="12026" width="14.453125" style="17" customWidth="1"/>
    <col min="12027" max="12027" width="7.179687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81640625" style="17" customWidth="1"/>
    <col min="12281" max="12281" width="9.81640625" style="17" customWidth="1"/>
    <col min="12282" max="12282" width="14.453125" style="17" customWidth="1"/>
    <col min="12283" max="12283" width="7.179687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81640625" style="17" customWidth="1"/>
    <col min="12537" max="12537" width="9.81640625" style="17" customWidth="1"/>
    <col min="12538" max="12538" width="14.453125" style="17" customWidth="1"/>
    <col min="12539" max="12539" width="7.179687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81640625" style="17" customWidth="1"/>
    <col min="12793" max="12793" width="9.81640625" style="17" customWidth="1"/>
    <col min="12794" max="12794" width="14.453125" style="17" customWidth="1"/>
    <col min="12795" max="12795" width="7.179687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81640625" style="17" customWidth="1"/>
    <col min="13049" max="13049" width="9.81640625" style="17" customWidth="1"/>
    <col min="13050" max="13050" width="14.453125" style="17" customWidth="1"/>
    <col min="13051" max="13051" width="7.179687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81640625" style="17" customWidth="1"/>
    <col min="13305" max="13305" width="9.81640625" style="17" customWidth="1"/>
    <col min="13306" max="13306" width="14.453125" style="17" customWidth="1"/>
    <col min="13307" max="13307" width="7.179687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81640625" style="17" customWidth="1"/>
    <col min="13561" max="13561" width="9.81640625" style="17" customWidth="1"/>
    <col min="13562" max="13562" width="14.453125" style="17" customWidth="1"/>
    <col min="13563" max="13563" width="7.179687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81640625" style="17" customWidth="1"/>
    <col min="13817" max="13817" width="9.81640625" style="17" customWidth="1"/>
    <col min="13818" max="13818" width="14.453125" style="17" customWidth="1"/>
    <col min="13819" max="13819" width="7.179687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81640625" style="17" customWidth="1"/>
    <col min="14073" max="14073" width="9.81640625" style="17" customWidth="1"/>
    <col min="14074" max="14074" width="14.453125" style="17" customWidth="1"/>
    <col min="14075" max="14075" width="7.179687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81640625" style="17" customWidth="1"/>
    <col min="14329" max="14329" width="9.81640625" style="17" customWidth="1"/>
    <col min="14330" max="14330" width="14.453125" style="17" customWidth="1"/>
    <col min="14331" max="14331" width="7.179687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81640625" style="17" customWidth="1"/>
    <col min="14585" max="14585" width="9.81640625" style="17" customWidth="1"/>
    <col min="14586" max="14586" width="14.453125" style="17" customWidth="1"/>
    <col min="14587" max="14587" width="7.179687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81640625" style="17" customWidth="1"/>
    <col min="14841" max="14841" width="9.81640625" style="17" customWidth="1"/>
    <col min="14842" max="14842" width="14.453125" style="17" customWidth="1"/>
    <col min="14843" max="14843" width="7.179687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81640625" style="17" customWidth="1"/>
    <col min="15097" max="15097" width="9.81640625" style="17" customWidth="1"/>
    <col min="15098" max="15098" width="14.453125" style="17" customWidth="1"/>
    <col min="15099" max="15099" width="7.179687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81640625" style="17" customWidth="1"/>
    <col min="15353" max="15353" width="9.81640625" style="17" customWidth="1"/>
    <col min="15354" max="15354" width="14.453125" style="17" customWidth="1"/>
    <col min="15355" max="15355" width="7.179687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81640625" style="17" customWidth="1"/>
    <col min="15609" max="15609" width="9.81640625" style="17" customWidth="1"/>
    <col min="15610" max="15610" width="14.453125" style="17" customWidth="1"/>
    <col min="15611" max="15611" width="7.179687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81640625" style="17" customWidth="1"/>
    <col min="15865" max="15865" width="9.81640625" style="17" customWidth="1"/>
    <col min="15866" max="15866" width="14.453125" style="17" customWidth="1"/>
    <col min="15867" max="15867" width="7.179687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81640625" style="17" customWidth="1"/>
    <col min="16121" max="16121" width="9.81640625" style="17" customWidth="1"/>
    <col min="16122" max="16122" width="14.453125" style="17" customWidth="1"/>
    <col min="16123" max="16123" width="7.179687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26" ht="46.5" customHeight="1" x14ac:dyDescent="0.35">
      <c r="A1" s="163" t="s">
        <v>168</v>
      </c>
      <c r="B1" s="163"/>
      <c r="C1" s="163"/>
      <c r="D1" s="163"/>
      <c r="E1" s="163"/>
      <c r="F1" s="163"/>
      <c r="G1" s="163"/>
      <c r="H1" s="163"/>
    </row>
    <row r="2" spans="1:26" ht="16.5" customHeight="1" x14ac:dyDescent="0.35">
      <c r="A2" s="164" t="s">
        <v>0</v>
      </c>
      <c r="B2" s="164"/>
      <c r="C2" s="164"/>
      <c r="D2" s="164"/>
      <c r="E2" s="164"/>
      <c r="F2" s="164"/>
      <c r="G2" s="164"/>
      <c r="H2" s="164"/>
    </row>
    <row r="3" spans="1:26" x14ac:dyDescent="0.35">
      <c r="A3" s="149" t="s">
        <v>1</v>
      </c>
      <c r="B3" s="149"/>
      <c r="C3" s="149"/>
      <c r="D3" s="149"/>
      <c r="E3" s="149" t="str">
        <f ca="1">TEXT(TODAY(),"DD/MM/YYYY")</f>
        <v>18/09/2025</v>
      </c>
      <c r="F3" s="149"/>
      <c r="G3" s="149"/>
      <c r="H3" s="149"/>
    </row>
    <row r="4" spans="1:26" ht="15" customHeight="1" x14ac:dyDescent="0.35">
      <c r="A4" s="149" t="s">
        <v>2</v>
      </c>
      <c r="B4" s="149"/>
      <c r="C4" s="149"/>
      <c r="D4" s="149"/>
      <c r="E4" s="149" t="s">
        <v>235</v>
      </c>
      <c r="F4" s="149"/>
      <c r="G4" s="149"/>
      <c r="H4" s="149"/>
    </row>
    <row r="5" spans="1:26" x14ac:dyDescent="0.35">
      <c r="A5" s="149" t="s">
        <v>3</v>
      </c>
      <c r="B5" s="149"/>
      <c r="C5" s="149"/>
      <c r="D5" s="149"/>
      <c r="E5" s="166">
        <v>45917</v>
      </c>
      <c r="F5" s="149"/>
      <c r="G5" s="149"/>
      <c r="H5" s="149"/>
    </row>
    <row r="6" spans="1:26" ht="16.5" customHeight="1" x14ac:dyDescent="0.35">
      <c r="A6" s="149" t="s">
        <v>4</v>
      </c>
      <c r="B6" s="149"/>
      <c r="C6" s="149"/>
      <c r="D6" s="149"/>
      <c r="E6" s="149" t="s">
        <v>236</v>
      </c>
      <c r="F6" s="149"/>
      <c r="G6" s="149"/>
      <c r="H6" s="149"/>
    </row>
    <row r="7" spans="1:26" ht="15" customHeight="1" x14ac:dyDescent="0.35">
      <c r="A7" s="149" t="s">
        <v>5</v>
      </c>
      <c r="B7" s="149"/>
      <c r="C7" s="149"/>
      <c r="D7" s="149"/>
      <c r="E7" s="149" t="str">
        <f>E6</f>
        <v>Shyam Builders and Developers</v>
      </c>
      <c r="F7" s="149"/>
      <c r="G7" s="149"/>
      <c r="H7" s="149"/>
    </row>
    <row r="8" spans="1:26" x14ac:dyDescent="0.35">
      <c r="A8" s="149" t="s">
        <v>6</v>
      </c>
      <c r="B8" s="149"/>
      <c r="C8" s="149"/>
      <c r="D8" s="149"/>
      <c r="E8" s="165" t="s">
        <v>237</v>
      </c>
      <c r="F8" s="165"/>
      <c r="G8" s="165"/>
      <c r="H8" s="165"/>
    </row>
    <row r="9" spans="1:26" x14ac:dyDescent="0.35">
      <c r="A9" s="149" t="s">
        <v>171</v>
      </c>
      <c r="B9" s="149"/>
      <c r="C9" s="149"/>
      <c r="D9" s="149"/>
      <c r="E9" s="149" t="s">
        <v>290</v>
      </c>
      <c r="F9" s="149"/>
      <c r="G9" s="149"/>
      <c r="H9" s="149"/>
    </row>
    <row r="10" spans="1:26" x14ac:dyDescent="0.35">
      <c r="A10" s="149" t="s">
        <v>172</v>
      </c>
      <c r="B10" s="149"/>
      <c r="C10" s="149"/>
      <c r="D10" s="149"/>
      <c r="E10" s="149" t="s">
        <v>29</v>
      </c>
      <c r="F10" s="149"/>
      <c r="G10" s="149"/>
      <c r="H10" s="149"/>
    </row>
    <row r="11" spans="1:26" x14ac:dyDescent="0.35">
      <c r="A11" s="149" t="s">
        <v>7</v>
      </c>
      <c r="B11" s="149"/>
      <c r="C11" s="149"/>
      <c r="D11" s="149"/>
      <c r="E11" s="149" t="s">
        <v>123</v>
      </c>
      <c r="F11" s="149"/>
      <c r="G11" s="149"/>
      <c r="H11" s="149"/>
    </row>
    <row r="12" spans="1:26" hidden="1" x14ac:dyDescent="0.35">
      <c r="A12" s="149" t="s">
        <v>174</v>
      </c>
      <c r="B12" s="149"/>
      <c r="C12" s="149"/>
      <c r="D12" s="149"/>
      <c r="E12" s="149"/>
      <c r="F12" s="149"/>
      <c r="G12" s="149"/>
      <c r="H12" s="149"/>
      <c r="S12" s="46" t="s">
        <v>182</v>
      </c>
      <c r="T12" s="46" t="s">
        <v>192</v>
      </c>
      <c r="U12" s="46" t="s">
        <v>175</v>
      </c>
      <c r="V12" s="46" t="s">
        <v>197</v>
      </c>
      <c r="W12" s="46" t="s">
        <v>215</v>
      </c>
      <c r="X12"/>
      <c r="Y12" t="s">
        <v>197</v>
      </c>
      <c r="Z12" t="e">
        <f ca="1">OFFSET($S$12,1,MATCH($G19,$S$12:$W$12,0)-1,15,1)</f>
        <v>#VALUE!</v>
      </c>
    </row>
    <row r="13" spans="1:26" s="19" customFormat="1" ht="34.5" customHeight="1" x14ac:dyDescent="0.35">
      <c r="A13" s="149" t="s">
        <v>8</v>
      </c>
      <c r="B13" s="149"/>
      <c r="C13" s="149"/>
      <c r="D13" s="149"/>
      <c r="E13" s="134" t="s">
        <v>271</v>
      </c>
      <c r="F13" s="134"/>
      <c r="G13" s="134"/>
      <c r="H13" s="134"/>
      <c r="S13" s="56" t="s">
        <v>183</v>
      </c>
      <c r="T13" s="56" t="s">
        <v>190</v>
      </c>
      <c r="U13" s="56" t="s">
        <v>212</v>
      </c>
      <c r="V13" s="56" t="s">
        <v>198</v>
      </c>
      <c r="W13" s="56" t="s">
        <v>216</v>
      </c>
      <c r="X13" s="57"/>
      <c r="Y13" s="57"/>
      <c r="Z13" s="57"/>
    </row>
    <row r="14" spans="1:26" x14ac:dyDescent="0.35">
      <c r="A14" s="87" t="s">
        <v>9</v>
      </c>
      <c r="B14" s="87"/>
      <c r="C14" s="87"/>
      <c r="D14" s="87"/>
      <c r="E14" s="134" t="s">
        <v>238</v>
      </c>
      <c r="F14" s="149"/>
      <c r="G14" s="149"/>
      <c r="H14" s="149"/>
      <c r="I14" s="204" t="e">
        <f ca="1">OFFSET($D$4,1,MATCH($J12,$D$4:$H$4,0)-1,15,1)</f>
        <v>#N/A</v>
      </c>
      <c r="J14" s="205"/>
      <c r="K14" s="205"/>
      <c r="L14" s="205"/>
      <c r="M14" s="205"/>
      <c r="N14" s="205"/>
      <c r="O14" s="205"/>
      <c r="P14" s="205"/>
      <c r="S14" s="46" t="s">
        <v>184</v>
      </c>
      <c r="T14" s="46" t="s">
        <v>191</v>
      </c>
      <c r="U14" s="46" t="s">
        <v>213</v>
      </c>
      <c r="V14" s="46" t="s">
        <v>199</v>
      </c>
      <c r="W14" s="46" t="s">
        <v>229</v>
      </c>
      <c r="X14"/>
      <c r="Y14"/>
      <c r="Z14"/>
    </row>
    <row r="15" spans="1:26" ht="33.75" customHeight="1" x14ac:dyDescent="0.35">
      <c r="A15" s="134" t="s">
        <v>10</v>
      </c>
      <c r="B15" s="134"/>
      <c r="C15" s="13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Shreeji Neelkanth, Plot No.28, Sector - 05, near Estrela Mahavir Apartment building, Internal Road, Pushpak Nagar, Pushpak, Dapoli, Panvel, Raigad - 410221.</v>
      </c>
      <c r="D15" s="134"/>
      <c r="E15" s="134"/>
      <c r="F15" s="134"/>
      <c r="G15" s="134"/>
      <c r="H15" s="134"/>
      <c r="S15" s="46" t="s">
        <v>185</v>
      </c>
      <c r="T15" s="46" t="s">
        <v>193</v>
      </c>
      <c r="U15" s="46" t="s">
        <v>214</v>
      </c>
      <c r="V15" s="46" t="s">
        <v>200</v>
      </c>
      <c r="W15" s="46" t="s">
        <v>217</v>
      </c>
      <c r="X15"/>
      <c r="Y15"/>
      <c r="Z15"/>
    </row>
    <row r="16" spans="1:26" x14ac:dyDescent="0.35">
      <c r="A16" s="134" t="s">
        <v>239</v>
      </c>
      <c r="B16" s="134"/>
      <c r="C16" s="134" t="s">
        <v>240</v>
      </c>
      <c r="D16" s="134"/>
      <c r="E16" s="134"/>
      <c r="F16" s="134"/>
      <c r="G16" s="134"/>
      <c r="H16" s="134"/>
      <c r="S16" s="46" t="s">
        <v>186</v>
      </c>
      <c r="T16" s="46" t="s">
        <v>194</v>
      </c>
      <c r="U16" s="46"/>
      <c r="V16" s="46" t="s">
        <v>201</v>
      </c>
      <c r="W16" s="46" t="s">
        <v>218</v>
      </c>
      <c r="X16"/>
      <c r="Y16"/>
      <c r="Z16"/>
    </row>
    <row r="17" spans="1:26" ht="15.75" customHeight="1" x14ac:dyDescent="0.35">
      <c r="A17" s="134" t="s">
        <v>166</v>
      </c>
      <c r="B17" s="134"/>
      <c r="C17" s="134" t="s">
        <v>243</v>
      </c>
      <c r="D17" s="134"/>
      <c r="E17" s="134"/>
      <c r="F17" s="134"/>
      <c r="G17" s="134"/>
      <c r="H17" s="134"/>
      <c r="S17" s="46" t="s">
        <v>187</v>
      </c>
      <c r="T17" s="46" t="s">
        <v>192</v>
      </c>
      <c r="U17" s="46"/>
      <c r="V17" s="46" t="s">
        <v>202</v>
      </c>
      <c r="W17" s="46" t="s">
        <v>219</v>
      </c>
      <c r="X17"/>
      <c r="Y17"/>
      <c r="Z17"/>
    </row>
    <row r="18" spans="1:26" ht="15.75" customHeight="1" x14ac:dyDescent="0.35">
      <c r="A18" s="134" t="s">
        <v>11</v>
      </c>
      <c r="B18" s="134"/>
      <c r="C18" s="149" t="s">
        <v>244</v>
      </c>
      <c r="D18" s="149"/>
      <c r="E18" s="134" t="s">
        <v>73</v>
      </c>
      <c r="F18" s="134"/>
      <c r="G18" s="134" t="s">
        <v>270</v>
      </c>
      <c r="H18" s="134"/>
      <c r="S18" s="46" t="s">
        <v>188</v>
      </c>
      <c r="T18" s="46" t="s">
        <v>195</v>
      </c>
      <c r="U18" s="46"/>
      <c r="V18" s="46" t="s">
        <v>203</v>
      </c>
      <c r="W18" s="46" t="s">
        <v>220</v>
      </c>
      <c r="X18"/>
      <c r="Y18"/>
      <c r="Z18"/>
    </row>
    <row r="19" spans="1:26" x14ac:dyDescent="0.35">
      <c r="A19" s="149" t="s">
        <v>13</v>
      </c>
      <c r="B19" s="149"/>
      <c r="C19" s="144" t="s">
        <v>269</v>
      </c>
      <c r="D19" s="146"/>
      <c r="E19" s="134" t="s">
        <v>12</v>
      </c>
      <c r="F19" s="134"/>
      <c r="G19" s="162" t="s">
        <v>197</v>
      </c>
      <c r="H19" s="162"/>
      <c r="S19" s="46" t="s">
        <v>189</v>
      </c>
      <c r="T19" s="46" t="s">
        <v>196</v>
      </c>
      <c r="U19" s="46"/>
      <c r="V19" s="46" t="s">
        <v>204</v>
      </c>
      <c r="W19" s="46" t="s">
        <v>221</v>
      </c>
      <c r="X19"/>
      <c r="Y19"/>
      <c r="Z19"/>
    </row>
    <row r="20" spans="1:26" x14ac:dyDescent="0.35">
      <c r="A20" s="149" t="s">
        <v>74</v>
      </c>
      <c r="B20" s="149"/>
      <c r="C20" s="134" t="s">
        <v>199</v>
      </c>
      <c r="D20" s="134"/>
      <c r="E20" s="134" t="s">
        <v>14</v>
      </c>
      <c r="F20" s="134"/>
      <c r="G20" s="134">
        <v>410221</v>
      </c>
      <c r="H20" s="134"/>
      <c r="S20" s="46"/>
      <c r="T20" s="46"/>
      <c r="U20" s="46"/>
      <c r="V20" s="46" t="s">
        <v>205</v>
      </c>
      <c r="W20" s="46" t="s">
        <v>222</v>
      </c>
      <c r="X20"/>
      <c r="Y20"/>
      <c r="Z20"/>
    </row>
    <row r="21" spans="1:26" ht="32.25" customHeight="1" x14ac:dyDescent="0.35">
      <c r="A21" s="149" t="s">
        <v>124</v>
      </c>
      <c r="B21" s="149"/>
      <c r="C21" s="134" t="s">
        <v>246</v>
      </c>
      <c r="D21" s="134"/>
      <c r="E21" s="134" t="s">
        <v>15</v>
      </c>
      <c r="F21" s="134"/>
      <c r="G21" s="134" t="s">
        <v>245</v>
      </c>
      <c r="H21" s="134"/>
      <c r="S21" s="46"/>
      <c r="T21" s="46"/>
      <c r="U21" s="46"/>
      <c r="V21" s="46" t="s">
        <v>206</v>
      </c>
      <c r="W21" s="46" t="s">
        <v>223</v>
      </c>
      <c r="X21"/>
      <c r="Y21"/>
      <c r="Z21"/>
    </row>
    <row r="22" spans="1:26" ht="15" customHeight="1" x14ac:dyDescent="0.35">
      <c r="A22" s="153" t="s">
        <v>76</v>
      </c>
      <c r="B22" s="153"/>
      <c r="C22" s="153"/>
      <c r="D22" s="153"/>
      <c r="E22" s="149" t="s">
        <v>16</v>
      </c>
      <c r="F22" s="149"/>
      <c r="G22" s="149"/>
      <c r="H22" s="149"/>
      <c r="S22" s="46"/>
      <c r="T22" s="46"/>
      <c r="U22" s="46"/>
      <c r="V22" s="46" t="s">
        <v>207</v>
      </c>
      <c r="W22" s="46" t="s">
        <v>224</v>
      </c>
      <c r="X22"/>
      <c r="Y22"/>
      <c r="Z22"/>
    </row>
    <row r="23" spans="1:26" ht="18.75" customHeight="1" x14ac:dyDescent="0.35">
      <c r="A23" s="153"/>
      <c r="B23" s="153"/>
      <c r="C23" s="153"/>
      <c r="D23" s="153"/>
      <c r="E23" s="149"/>
      <c r="F23" s="149"/>
      <c r="G23" s="149"/>
      <c r="H23" s="149"/>
      <c r="S23" s="46"/>
      <c r="T23" s="46"/>
      <c r="U23" s="46"/>
      <c r="V23" s="46" t="s">
        <v>208</v>
      </c>
      <c r="W23" s="46" t="s">
        <v>225</v>
      </c>
      <c r="X23"/>
      <c r="Y23"/>
      <c r="Z23"/>
    </row>
    <row r="24" spans="1:26" ht="15" customHeight="1" x14ac:dyDescent="0.35">
      <c r="A24" s="153" t="s">
        <v>17</v>
      </c>
      <c r="B24" s="153"/>
      <c r="C24" s="153"/>
      <c r="D24" s="153"/>
      <c r="E24" s="134" t="s">
        <v>18</v>
      </c>
      <c r="F24" s="134"/>
      <c r="G24" s="134"/>
      <c r="H24" s="134"/>
      <c r="S24" s="46"/>
      <c r="T24" s="46"/>
      <c r="U24" s="46"/>
      <c r="V24" s="46" t="s">
        <v>209</v>
      </c>
      <c r="W24" s="46" t="s">
        <v>226</v>
      </c>
      <c r="X24"/>
      <c r="Y24"/>
      <c r="Z24"/>
    </row>
    <row r="25" spans="1:26" ht="15" customHeight="1" x14ac:dyDescent="0.35">
      <c r="A25" s="87" t="s">
        <v>19</v>
      </c>
      <c r="B25" s="87"/>
      <c r="C25" s="87"/>
      <c r="D25" s="87"/>
      <c r="E25" s="134" t="str">
        <f>IF(AND(G19="Mumbai"),"Upper Class","Middle Class")</f>
        <v>Middle Class</v>
      </c>
      <c r="F25" s="134"/>
      <c r="G25" s="134"/>
      <c r="H25" s="134"/>
      <c r="S25" s="46"/>
      <c r="T25" s="46"/>
      <c r="U25" s="46"/>
      <c r="V25" s="46" t="s">
        <v>210</v>
      </c>
      <c r="W25" s="46" t="s">
        <v>227</v>
      </c>
      <c r="X25"/>
      <c r="Y25"/>
      <c r="Z25"/>
    </row>
    <row r="26" spans="1:26" x14ac:dyDescent="0.35">
      <c r="A26" s="87" t="s">
        <v>20</v>
      </c>
      <c r="B26" s="87"/>
      <c r="C26" s="87"/>
      <c r="D26" s="87"/>
      <c r="E26" s="134" t="s">
        <v>21</v>
      </c>
      <c r="F26" s="134"/>
      <c r="G26" s="134"/>
      <c r="H26" s="134"/>
      <c r="S26" s="46"/>
      <c r="T26" s="46"/>
      <c r="U26" s="46"/>
      <c r="V26" s="46" t="s">
        <v>211</v>
      </c>
      <c r="W26" s="46" t="s">
        <v>228</v>
      </c>
      <c r="X26"/>
      <c r="Y26"/>
      <c r="Z26"/>
    </row>
    <row r="27" spans="1:26" ht="15.75" customHeight="1" x14ac:dyDescent="0.35">
      <c r="A27" s="87" t="s">
        <v>22</v>
      </c>
      <c r="B27" s="87"/>
      <c r="C27" s="87"/>
      <c r="D27" s="87"/>
      <c r="E27" s="134" t="str">
        <f>IF(AND(G19="Mumbai"),"Developed","Developing")</f>
        <v>Developing</v>
      </c>
      <c r="F27" s="134"/>
      <c r="G27" s="134"/>
      <c r="H27" s="134"/>
    </row>
    <row r="28" spans="1:26" x14ac:dyDescent="0.35">
      <c r="A28" s="87" t="s">
        <v>23</v>
      </c>
      <c r="B28" s="87"/>
      <c r="C28" s="87"/>
      <c r="D28" s="87"/>
      <c r="E28" s="134" t="s">
        <v>24</v>
      </c>
      <c r="F28" s="134"/>
      <c r="G28" s="134"/>
      <c r="H28" s="134"/>
    </row>
    <row r="29" spans="1:26" ht="15.75" customHeight="1" x14ac:dyDescent="0.35">
      <c r="A29" s="87" t="s">
        <v>81</v>
      </c>
      <c r="B29" s="87"/>
      <c r="C29" s="87"/>
      <c r="D29" s="87"/>
      <c r="E29" s="134" t="s">
        <v>82</v>
      </c>
      <c r="F29" s="134"/>
      <c r="G29" s="134"/>
      <c r="H29" s="134"/>
    </row>
    <row r="30" spans="1:26" ht="15" customHeight="1" x14ac:dyDescent="0.35">
      <c r="A30" s="87" t="s">
        <v>32</v>
      </c>
      <c r="B30" s="87"/>
      <c r="C30" s="87"/>
      <c r="D30" s="87"/>
      <c r="E30" s="13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34"/>
      <c r="G30" s="134"/>
      <c r="H30" s="134"/>
    </row>
    <row r="31" spans="1:26" ht="15.75" customHeight="1" x14ac:dyDescent="0.35">
      <c r="A31" s="87" t="s">
        <v>93</v>
      </c>
      <c r="B31" s="87"/>
      <c r="C31" s="87"/>
      <c r="D31" s="87"/>
      <c r="E31" s="134" t="s">
        <v>33</v>
      </c>
      <c r="F31" s="134"/>
      <c r="G31" s="134"/>
      <c r="H31" s="134"/>
    </row>
    <row r="32" spans="1:26" s="18" customFormat="1" x14ac:dyDescent="0.35">
      <c r="A32" s="161" t="s">
        <v>94</v>
      </c>
      <c r="B32" s="161"/>
      <c r="C32" s="158" t="s">
        <v>176</v>
      </c>
      <c r="D32" s="159"/>
      <c r="E32" s="160"/>
      <c r="F32" s="158" t="s">
        <v>30</v>
      </c>
      <c r="G32" s="159"/>
      <c r="H32" s="160"/>
    </row>
    <row r="33" spans="1:10" s="18" customFormat="1" x14ac:dyDescent="0.35">
      <c r="A33" s="157" t="s">
        <v>25</v>
      </c>
      <c r="B33" s="157" t="s">
        <v>29</v>
      </c>
      <c r="C33" s="121" t="s">
        <v>248</v>
      </c>
      <c r="D33" s="122"/>
      <c r="E33" s="123"/>
      <c r="F33" s="121" t="s">
        <v>244</v>
      </c>
      <c r="G33" s="122"/>
      <c r="H33" s="123"/>
    </row>
    <row r="34" spans="1:10" x14ac:dyDescent="0.35">
      <c r="A34" s="157" t="s">
        <v>26</v>
      </c>
      <c r="B34" s="157" t="s">
        <v>29</v>
      </c>
      <c r="C34" s="121" t="s">
        <v>249</v>
      </c>
      <c r="D34" s="122"/>
      <c r="E34" s="123"/>
      <c r="F34" s="121" t="s">
        <v>246</v>
      </c>
      <c r="G34" s="122"/>
      <c r="H34" s="123"/>
    </row>
    <row r="35" spans="1:10" s="18" customFormat="1" x14ac:dyDescent="0.35">
      <c r="A35" s="157" t="s">
        <v>28</v>
      </c>
      <c r="B35" s="157" t="s">
        <v>29</v>
      </c>
      <c r="C35" s="121" t="s">
        <v>250</v>
      </c>
      <c r="D35" s="122"/>
      <c r="E35" s="123"/>
      <c r="F35" s="121" t="s">
        <v>247</v>
      </c>
      <c r="G35" s="122"/>
      <c r="H35" s="123"/>
    </row>
    <row r="36" spans="1:10" x14ac:dyDescent="0.35">
      <c r="A36" s="157" t="s">
        <v>27</v>
      </c>
      <c r="B36" s="157" t="s">
        <v>29</v>
      </c>
      <c r="C36" s="121" t="s">
        <v>251</v>
      </c>
      <c r="D36" s="122"/>
      <c r="E36" s="123"/>
      <c r="F36" s="121" t="s">
        <v>247</v>
      </c>
      <c r="G36" s="122"/>
      <c r="H36" s="123"/>
    </row>
    <row r="37" spans="1:10" x14ac:dyDescent="0.35">
      <c r="A37" s="87" t="s">
        <v>31</v>
      </c>
      <c r="B37" s="87"/>
      <c r="C37" s="87"/>
      <c r="D37" s="87"/>
      <c r="E37" s="87"/>
      <c r="F37" s="87"/>
      <c r="G37" s="87"/>
      <c r="H37" s="87"/>
    </row>
    <row r="38" spans="1:10" ht="15.75" customHeight="1" x14ac:dyDescent="0.35">
      <c r="A38" s="87" t="s">
        <v>169</v>
      </c>
      <c r="B38" s="87"/>
      <c r="C38" s="125" t="s">
        <v>242</v>
      </c>
      <c r="D38" s="125"/>
      <c r="E38" s="125"/>
      <c r="F38" s="125"/>
      <c r="G38" s="125"/>
      <c r="H38" s="125"/>
    </row>
    <row r="39" spans="1:10" x14ac:dyDescent="0.35">
      <c r="A39" s="87" t="s">
        <v>165</v>
      </c>
      <c r="B39" s="87"/>
      <c r="C39" s="133" t="s">
        <v>241</v>
      </c>
      <c r="D39" s="134"/>
      <c r="E39" s="134"/>
      <c r="F39" s="134"/>
      <c r="G39" s="134"/>
      <c r="H39" s="134"/>
    </row>
    <row r="40" spans="1:10" x14ac:dyDescent="0.35">
      <c r="A40" s="125" t="s">
        <v>34</v>
      </c>
      <c r="B40" s="125"/>
      <c r="C40" s="125"/>
      <c r="D40" s="125"/>
      <c r="E40" s="125"/>
      <c r="F40" s="125"/>
      <c r="G40" s="125"/>
      <c r="H40" s="125"/>
    </row>
    <row r="41" spans="1:10" x14ac:dyDescent="0.35">
      <c r="A41" s="87" t="s">
        <v>35</v>
      </c>
      <c r="B41" s="87"/>
      <c r="C41" s="87"/>
      <c r="D41" s="87"/>
      <c r="E41" s="124">
        <v>2499.6799999999998</v>
      </c>
      <c r="F41" s="124"/>
      <c r="G41" s="124"/>
      <c r="H41" s="124"/>
    </row>
    <row r="42" spans="1:10" x14ac:dyDescent="0.35">
      <c r="A42" s="87" t="s">
        <v>36</v>
      </c>
      <c r="B42" s="87"/>
      <c r="C42" s="87"/>
      <c r="D42" s="87"/>
      <c r="E42" s="147">
        <v>2</v>
      </c>
      <c r="F42" s="147"/>
      <c r="G42" s="147"/>
      <c r="H42" s="147"/>
      <c r="J42" s="47">
        <f>4999.36/E41</f>
        <v>2</v>
      </c>
    </row>
    <row r="43" spans="1:10" x14ac:dyDescent="0.35">
      <c r="A43" s="87" t="s">
        <v>37</v>
      </c>
      <c r="B43" s="87"/>
      <c r="C43" s="87"/>
      <c r="D43" s="87"/>
      <c r="E43" s="147">
        <f>E45/E41-E42</f>
        <v>2.0467699865582798</v>
      </c>
      <c r="F43" s="147"/>
      <c r="G43" s="147"/>
      <c r="H43" s="147"/>
    </row>
    <row r="44" spans="1:10" x14ac:dyDescent="0.35">
      <c r="A44" s="87" t="s">
        <v>38</v>
      </c>
      <c r="B44" s="87"/>
      <c r="C44" s="87"/>
      <c r="D44" s="87"/>
      <c r="E44" s="147">
        <f>E42+E43</f>
        <v>4.0467699865582798</v>
      </c>
      <c r="F44" s="147"/>
      <c r="G44" s="147"/>
      <c r="H44" s="147"/>
    </row>
    <row r="45" spans="1:10" x14ac:dyDescent="0.35">
      <c r="A45" s="87" t="s">
        <v>92</v>
      </c>
      <c r="B45" s="87"/>
      <c r="C45" s="87"/>
      <c r="D45" s="87"/>
      <c r="E45" s="148">
        <v>10115.629999999999</v>
      </c>
      <c r="F45" s="148"/>
      <c r="G45" s="148"/>
      <c r="H45" s="148"/>
    </row>
    <row r="46" spans="1:10" x14ac:dyDescent="0.35">
      <c r="A46" s="149" t="s">
        <v>39</v>
      </c>
      <c r="B46" s="149"/>
      <c r="C46" s="149"/>
      <c r="D46" s="149"/>
      <c r="E46" s="149" t="s">
        <v>123</v>
      </c>
      <c r="F46" s="149"/>
      <c r="G46" s="149"/>
      <c r="H46" s="149"/>
    </row>
    <row r="47" spans="1:10" x14ac:dyDescent="0.35">
      <c r="A47" s="125" t="s">
        <v>40</v>
      </c>
      <c r="B47" s="125"/>
      <c r="C47" s="125"/>
      <c r="D47" s="125"/>
      <c r="E47" s="125"/>
      <c r="F47" s="125"/>
      <c r="G47" s="125"/>
      <c r="H47" s="125"/>
    </row>
    <row r="48" spans="1:10" ht="33.75" customHeight="1" x14ac:dyDescent="0.35">
      <c r="A48" s="135" t="s">
        <v>155</v>
      </c>
      <c r="B48" s="136"/>
      <c r="C48" s="137" t="s">
        <v>252</v>
      </c>
      <c r="D48" s="138"/>
      <c r="E48" s="138"/>
      <c r="F48" s="138"/>
      <c r="G48" s="138"/>
      <c r="H48" s="139"/>
    </row>
    <row r="49" spans="1:14" ht="31.5" customHeight="1" x14ac:dyDescent="0.35">
      <c r="A49" s="135" t="s">
        <v>41</v>
      </c>
      <c r="B49" s="136"/>
      <c r="C49" s="135" t="s">
        <v>274</v>
      </c>
      <c r="D49" s="151"/>
      <c r="E49" s="136"/>
      <c r="F49" s="16" t="s">
        <v>42</v>
      </c>
      <c r="G49" s="131">
        <v>45352</v>
      </c>
      <c r="H49" s="132"/>
    </row>
    <row r="50" spans="1:14" ht="31.5" customHeight="1" x14ac:dyDescent="0.35">
      <c r="A50" s="135" t="s">
        <v>43</v>
      </c>
      <c r="B50" s="136"/>
      <c r="C50" s="135" t="str">
        <f>C49</f>
        <v>CIDCO/BP-18540/TPO(NM &amp; K)/2023/12084</v>
      </c>
      <c r="D50" s="151"/>
      <c r="E50" s="136"/>
      <c r="F50" s="16" t="s">
        <v>42</v>
      </c>
      <c r="G50" s="131">
        <f>G49</f>
        <v>45352</v>
      </c>
      <c r="H50" s="132"/>
    </row>
    <row r="51" spans="1:14" s="19" customFormat="1" ht="32.25" customHeight="1" x14ac:dyDescent="0.35">
      <c r="A51" s="140" t="s">
        <v>263</v>
      </c>
      <c r="B51" s="141"/>
      <c r="C51" s="135" t="s">
        <v>274</v>
      </c>
      <c r="D51" s="151"/>
      <c r="E51" s="136"/>
      <c r="F51" s="16" t="s">
        <v>42</v>
      </c>
      <c r="G51" s="131">
        <f>G50</f>
        <v>45352</v>
      </c>
      <c r="H51" s="132"/>
    </row>
    <row r="52" spans="1:14" s="19" customFormat="1" ht="47.15" customHeight="1" x14ac:dyDescent="0.35">
      <c r="A52" s="142"/>
      <c r="B52" s="143"/>
      <c r="C52" s="144" t="s">
        <v>287</v>
      </c>
      <c r="D52" s="145"/>
      <c r="E52" s="145"/>
      <c r="F52" s="145"/>
      <c r="G52" s="145"/>
      <c r="H52" s="146"/>
    </row>
    <row r="53" spans="1:14" x14ac:dyDescent="0.35">
      <c r="A53" s="206" t="s">
        <v>44</v>
      </c>
      <c r="B53" s="207"/>
      <c r="C53" s="206" t="s">
        <v>106</v>
      </c>
      <c r="D53" s="208"/>
      <c r="E53" s="207"/>
      <c r="F53" s="40" t="s">
        <v>42</v>
      </c>
      <c r="G53" s="154" t="s">
        <v>29</v>
      </c>
      <c r="H53" s="155"/>
    </row>
    <row r="54" spans="1:14" x14ac:dyDescent="0.35">
      <c r="A54" s="152" t="s">
        <v>46</v>
      </c>
      <c r="B54" s="152"/>
      <c r="C54" s="152"/>
      <c r="D54" s="152"/>
      <c r="E54" s="152"/>
      <c r="F54" s="152"/>
      <c r="G54" s="152"/>
      <c r="H54" s="152"/>
    </row>
    <row r="55" spans="1:14" x14ac:dyDescent="0.35">
      <c r="A55" s="153" t="s">
        <v>91</v>
      </c>
      <c r="B55" s="153"/>
      <c r="C55" s="153"/>
      <c r="D55" s="87">
        <f>E45</f>
        <v>10115.629999999999</v>
      </c>
      <c r="E55" s="87"/>
      <c r="F55" s="87"/>
      <c r="G55" s="87"/>
      <c r="H55" s="87"/>
    </row>
    <row r="56" spans="1:14" x14ac:dyDescent="0.35">
      <c r="A56" s="134" t="s">
        <v>47</v>
      </c>
      <c r="B56" s="149"/>
      <c r="C56" s="149"/>
      <c r="D56" s="149" t="s">
        <v>284</v>
      </c>
      <c r="E56" s="149"/>
      <c r="F56" s="149"/>
      <c r="G56" s="149"/>
      <c r="H56" s="149"/>
      <c r="I56" s="20"/>
    </row>
    <row r="57" spans="1:14" x14ac:dyDescent="0.35">
      <c r="A57" s="128" t="s">
        <v>48</v>
      </c>
      <c r="B57" s="129"/>
      <c r="C57" s="130"/>
      <c r="D57" s="126" t="s">
        <v>285</v>
      </c>
      <c r="E57" s="127"/>
      <c r="F57" s="127"/>
      <c r="G57" s="127"/>
      <c r="H57" s="127"/>
    </row>
    <row r="58" spans="1:14" ht="15.75" customHeight="1" x14ac:dyDescent="0.35">
      <c r="A58" s="128" t="s">
        <v>89</v>
      </c>
      <c r="B58" s="129"/>
      <c r="C58" s="129"/>
      <c r="D58" s="134" t="s">
        <v>286</v>
      </c>
      <c r="E58" s="149"/>
      <c r="F58" s="149"/>
      <c r="G58" s="149"/>
      <c r="H58" s="149"/>
    </row>
    <row r="59" spans="1:14" ht="15.75" customHeight="1" x14ac:dyDescent="0.35">
      <c r="A59" s="87" t="s">
        <v>45</v>
      </c>
      <c r="B59" s="87"/>
      <c r="C59" s="87"/>
      <c r="D59" s="150" t="s">
        <v>253</v>
      </c>
      <c r="E59" s="150"/>
      <c r="F59" s="150"/>
      <c r="G59" s="150"/>
      <c r="H59" s="150"/>
      <c r="J59" s="21"/>
      <c r="K59" s="20"/>
      <c r="N59" s="20"/>
    </row>
    <row r="60" spans="1:14" ht="15.75" customHeight="1" x14ac:dyDescent="0.35">
      <c r="A60" s="87" t="s">
        <v>87</v>
      </c>
      <c r="B60" s="87"/>
      <c r="C60" s="87"/>
      <c r="D60" s="156" t="str">
        <f>(IF(G53="NA","60 Years After Completion",IF(G53&lt;&gt;"NA",""&amp;60-ROUNDDOWN((E3-G53)/360,0)&amp;" Years"," ")))</f>
        <v>60 Years After Completion</v>
      </c>
      <c r="E60" s="156"/>
      <c r="F60" s="156"/>
      <c r="G60" s="156"/>
      <c r="H60" s="156"/>
      <c r="N60" s="20"/>
    </row>
    <row r="61" spans="1:14" ht="15.75" customHeight="1" x14ac:dyDescent="0.35">
      <c r="A61" s="87" t="s">
        <v>88</v>
      </c>
      <c r="B61" s="87"/>
      <c r="C61" s="87"/>
      <c r="D61" s="153" t="s">
        <v>24</v>
      </c>
      <c r="E61" s="153"/>
      <c r="F61" s="153"/>
      <c r="G61" s="153"/>
      <c r="H61" s="153"/>
      <c r="J61" s="22"/>
      <c r="K61" s="22"/>
    </row>
    <row r="62" spans="1:14" x14ac:dyDescent="0.35">
      <c r="A62" s="149" t="s">
        <v>261</v>
      </c>
      <c r="B62" s="149"/>
      <c r="C62" s="149"/>
      <c r="D62" s="134" t="s">
        <v>273</v>
      </c>
      <c r="E62" s="153"/>
      <c r="F62" s="153"/>
      <c r="G62" s="153"/>
      <c r="H62" s="153"/>
    </row>
    <row r="63" spans="1:14" x14ac:dyDescent="0.35">
      <c r="A63" s="153" t="s">
        <v>152</v>
      </c>
      <c r="B63" s="153"/>
      <c r="C63" s="153"/>
      <c r="D63" s="153" t="s">
        <v>29</v>
      </c>
      <c r="E63" s="153"/>
      <c r="F63" s="153"/>
      <c r="G63" s="153"/>
      <c r="H63" s="153"/>
      <c r="I63" s="23"/>
      <c r="J63" s="23"/>
      <c r="K63" s="23"/>
      <c r="L63" s="23"/>
      <c r="M63" s="23"/>
      <c r="N63" s="23"/>
    </row>
    <row r="64" spans="1:14" ht="15.75" customHeight="1" x14ac:dyDescent="0.35">
      <c r="A64" s="87" t="s">
        <v>86</v>
      </c>
      <c r="B64" s="87"/>
      <c r="C64" s="87"/>
      <c r="D64" s="134" t="str">
        <f ca="1">(IF(G70&gt;95%,"Nothing",IF(G70&gt;0%,"Cement, Aggregate, Steel, etc",IF(G70=0%,"Work not yet Started"))))</f>
        <v>Cement, Aggregate, Steel, etc</v>
      </c>
      <c r="E64" s="134"/>
      <c r="F64" s="134"/>
      <c r="G64" s="134"/>
      <c r="H64" s="134"/>
      <c r="J64" s="22"/>
    </row>
    <row r="65" spans="1:14" ht="33.75" customHeight="1" thickBot="1" x14ac:dyDescent="0.4">
      <c r="A65" s="153" t="s">
        <v>119</v>
      </c>
      <c r="B65" s="153"/>
      <c r="C65" s="153"/>
      <c r="D65" s="134" t="str">
        <f ca="1">(IF(D64="Nothing","Yes",IF(D64="Cement, Aggregate, Steel, etc","Under Construction",IF(D64="Work not yet Started","Work not yet Started"))))</f>
        <v>Under Construction</v>
      </c>
      <c r="E65" s="134"/>
      <c r="F65" s="134" t="str">
        <f ca="1">(IF(D64="Nothing","Yes",IF(D64="Cement, Aggregate, Steel, etc","Under Construction",IF(D64="Work not yet Started","Work not yet Started"))))</f>
        <v>Under Construction</v>
      </c>
      <c r="G65" s="134"/>
      <c r="H65" s="134"/>
    </row>
    <row r="66" spans="1:14" ht="15.75" customHeight="1" x14ac:dyDescent="0.35">
      <c r="A66" s="167" t="s">
        <v>142</v>
      </c>
      <c r="B66" s="167"/>
      <c r="C66" s="168" t="str">
        <f>D58</f>
        <v>2B + Gr/Stilt + 1st to 13th Floor</v>
      </c>
      <c r="D66" s="168"/>
      <c r="E66" s="168"/>
      <c r="F66" s="168"/>
      <c r="G66" s="168"/>
      <c r="H66" s="168"/>
      <c r="I66" s="69" t="str">
        <f ca="1">IF(D79=100%,"All work Completed. Possession granted to the Building.",IF(D78=100%,"All work Completed, Waiting for OC",I67&amp;""&amp;I68&amp;""&amp;J67&amp;""&amp;J66&amp;" "&amp;J68))</f>
        <v>Excavation, Plinth Completed, RCC upto 13 Slab, Brickwork upto 9 Floor, Internal Plaster upto 2 Floor Completed</v>
      </c>
      <c r="J66" s="4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13 Slab, Brickwork upto 9 Floor, Internal Plaster upto 2 Floor</v>
      </c>
    </row>
    <row r="67" spans="1:14" x14ac:dyDescent="0.35">
      <c r="A67" s="44" t="s">
        <v>144</v>
      </c>
      <c r="B67" s="44">
        <f>IF(AND(ISNUMBER(SEARCH("1B",C66))),1,IF(AND(ISNUMBER(SEARCH("2B",C66))),2,IF(AND(ISNUMBER(SEARCH("3B",C66))),3,IF(AND(ISNUMBER(SEARCH("4B",C66))),4,IF(ISNUMBER(SEARCH("5B",C66)),5,0)))))</f>
        <v>2</v>
      </c>
      <c r="C67" s="44" t="s">
        <v>72</v>
      </c>
      <c r="D67" s="44">
        <v>1</v>
      </c>
      <c r="E67" s="44" t="s">
        <v>71</v>
      </c>
      <c r="F67" s="44">
        <v>0</v>
      </c>
      <c r="G67" s="44" t="s">
        <v>80</v>
      </c>
      <c r="H67" s="44">
        <f ca="1">--TRIM(RIGHT(SUBSTITUTE(LEFT(C66,_xlfn.AGGREGATE(16,6,FIND({0,1,2,3,4,5,6,7,8,9},C66,ROW(INDIRECT("1:"&amp;LEN(C66)))),1))," ",REPT(" ",LEN(C66))),LEN(C66)))</f>
        <v>13</v>
      </c>
      <c r="I67" s="7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4" ht="33" customHeight="1" x14ac:dyDescent="0.35">
      <c r="A68" s="165" t="s">
        <v>90</v>
      </c>
      <c r="B68" s="165"/>
      <c r="C68" s="168" t="str">
        <f ca="1">I66</f>
        <v>Excavation, Plinth Completed, RCC upto 13 Slab, Brickwork upto 9 Floor, Internal Plaster upto 2 Floor Completed</v>
      </c>
      <c r="D68" s="168"/>
      <c r="E68" s="168"/>
      <c r="F68" s="168"/>
      <c r="G68" s="168"/>
      <c r="H68" s="168"/>
      <c r="I68" s="70" t="str">
        <f ca="1">IF(I67&lt;&gt;""," Completed","")</f>
        <v xml:space="preserve"> Completed</v>
      </c>
      <c r="J68" s="43" t="str">
        <f ca="1">IF(J66&lt;&gt;"","Completed","")</f>
        <v>Completed</v>
      </c>
    </row>
    <row r="69" spans="1:14" ht="15.75" customHeight="1" x14ac:dyDescent="0.35">
      <c r="A69" s="106" t="s">
        <v>49</v>
      </c>
      <c r="B69" s="107"/>
      <c r="C69" s="49" t="s">
        <v>141</v>
      </c>
      <c r="D69" s="49" t="s">
        <v>83</v>
      </c>
      <c r="E69" s="169" t="s">
        <v>85</v>
      </c>
      <c r="F69" s="169"/>
      <c r="G69" s="169" t="s">
        <v>84</v>
      </c>
      <c r="H69" s="170"/>
      <c r="I69" s="14" t="s">
        <v>143</v>
      </c>
      <c r="J69" s="24">
        <f ca="1">H67*25%</f>
        <v>3.25</v>
      </c>
    </row>
    <row r="70" spans="1:14" x14ac:dyDescent="0.35">
      <c r="A70" s="106" t="s">
        <v>130</v>
      </c>
      <c r="B70" s="107"/>
      <c r="C70" s="49">
        <f ca="1">J71</f>
        <v>13</v>
      </c>
      <c r="D70" s="50">
        <f ca="1">((100/H67)*C70)/100</f>
        <v>1</v>
      </c>
      <c r="E70" s="171">
        <f ca="1">(((C71/H67*10)+(40/(D67+F67+H67)*C72)+(7.5/(H67)*C73)+(7.5/(H67)*C74)+(10/H67*C75)+(10/H67*C76)+(5/H67*C77)+(5/H67*C78)+(5/H67*C79))/100)</f>
        <v>0.53489010989010988</v>
      </c>
      <c r="F70" s="172"/>
      <c r="G70" s="171">
        <f ca="1">((((C70/H67)*20)+((C71/H67)*25)+(30/(H67+F67+D67)*C72)+(5/H67*C73)+(5/H67*C74)+(5/H67*C75)+(5/H67*C76)+(0/H67*C77)+(0/H67*C78)+(5/H67*C79))/100)</f>
        <v>0.77087912087912103</v>
      </c>
      <c r="H70" s="177"/>
      <c r="I70" s="14" t="s">
        <v>101</v>
      </c>
      <c r="J70" s="25">
        <f ca="1">H67*50%</f>
        <v>6.5</v>
      </c>
    </row>
    <row r="71" spans="1:14" x14ac:dyDescent="0.35">
      <c r="A71" s="106" t="s">
        <v>50</v>
      </c>
      <c r="B71" s="107"/>
      <c r="C71" s="65">
        <v>13</v>
      </c>
      <c r="D71" s="50">
        <f ca="1">((100/H67)*C71)/100</f>
        <v>1</v>
      </c>
      <c r="E71" s="173"/>
      <c r="F71" s="174"/>
      <c r="G71" s="173"/>
      <c r="H71" s="178"/>
      <c r="I71" s="14" t="s">
        <v>102</v>
      </c>
      <c r="J71" s="25">
        <f ca="1">H67</f>
        <v>13</v>
      </c>
    </row>
    <row r="72" spans="1:14" ht="15.75" customHeight="1" x14ac:dyDescent="0.35">
      <c r="A72" s="106" t="s">
        <v>131</v>
      </c>
      <c r="B72" s="107"/>
      <c r="C72" s="49">
        <v>13</v>
      </c>
      <c r="D72" s="50">
        <f ca="1">((100/(D67+F67+H67))*C72)/100</f>
        <v>0.9285714285714286</v>
      </c>
      <c r="E72" s="173"/>
      <c r="F72" s="174"/>
      <c r="G72" s="173"/>
      <c r="H72" s="178"/>
      <c r="I72" s="14" t="s">
        <v>103</v>
      </c>
      <c r="J72" s="26">
        <f ca="1">(IF(B67&gt;1,(H67/(B67+2)),H67/4))</f>
        <v>3.25</v>
      </c>
    </row>
    <row r="73" spans="1:14" ht="15.75" customHeight="1" x14ac:dyDescent="0.35">
      <c r="A73" s="106" t="s">
        <v>138</v>
      </c>
      <c r="B73" s="107" t="s">
        <v>132</v>
      </c>
      <c r="C73" s="49">
        <v>9</v>
      </c>
      <c r="D73" s="50">
        <f ca="1">((100/H67)*C73)/100</f>
        <v>0.69230769230769229</v>
      </c>
      <c r="E73" s="173"/>
      <c r="F73" s="174"/>
      <c r="G73" s="173"/>
      <c r="H73" s="178"/>
      <c r="I73" s="14" t="s">
        <v>104</v>
      </c>
      <c r="J73" s="26">
        <f ca="1">(IF(B67&gt;1,(H67/(B67+2)+J72),H67/4+J72))</f>
        <v>6.5</v>
      </c>
    </row>
    <row r="74" spans="1:14" ht="15.75" customHeight="1" x14ac:dyDescent="0.35">
      <c r="A74" s="106" t="s">
        <v>139</v>
      </c>
      <c r="B74" s="107" t="s">
        <v>132</v>
      </c>
      <c r="C74" s="49">
        <v>2</v>
      </c>
      <c r="D74" s="50">
        <f ca="1">((100/H67)*C74)/100</f>
        <v>0.15384615384615385</v>
      </c>
      <c r="E74" s="173"/>
      <c r="F74" s="174"/>
      <c r="G74" s="173"/>
      <c r="H74" s="178"/>
      <c r="I74" s="14" t="s">
        <v>150</v>
      </c>
      <c r="J74" s="26">
        <f ca="1">(IF(B67&gt;1,(H67/(B67+2)+J73),0))</f>
        <v>9.75</v>
      </c>
    </row>
    <row r="75" spans="1:14" ht="15" customHeight="1" x14ac:dyDescent="0.35">
      <c r="A75" s="106" t="s">
        <v>137</v>
      </c>
      <c r="B75" s="107" t="s">
        <v>134</v>
      </c>
      <c r="C75" s="49">
        <v>0</v>
      </c>
      <c r="D75" s="50">
        <f ca="1">((100/(H67))*C75)/100</f>
        <v>0</v>
      </c>
      <c r="E75" s="173"/>
      <c r="F75" s="174"/>
      <c r="G75" s="173"/>
      <c r="H75" s="178"/>
      <c r="I75" s="14" t="s">
        <v>145</v>
      </c>
      <c r="J75" s="26">
        <f>(IF(B67&gt;2,(H67/(B67+2)+J74),0))</f>
        <v>0</v>
      </c>
    </row>
    <row r="76" spans="1:14" ht="15.75" customHeight="1" x14ac:dyDescent="0.35">
      <c r="A76" s="106" t="s">
        <v>133</v>
      </c>
      <c r="B76" s="107" t="s">
        <v>133</v>
      </c>
      <c r="C76" s="49">
        <v>0</v>
      </c>
      <c r="D76" s="50">
        <f ca="1">((100/H67)*C76)/100</f>
        <v>0</v>
      </c>
      <c r="E76" s="173"/>
      <c r="F76" s="174"/>
      <c r="G76" s="173"/>
      <c r="H76" s="178"/>
      <c r="I76" s="14" t="s">
        <v>146</v>
      </c>
      <c r="J76" s="27">
        <f>(IF(B67&gt;3,(H67/(B67+2)+J75),0))</f>
        <v>0</v>
      </c>
    </row>
    <row r="77" spans="1:14" ht="15.75" customHeight="1" x14ac:dyDescent="0.35">
      <c r="A77" s="106" t="s">
        <v>140</v>
      </c>
      <c r="B77" s="107"/>
      <c r="C77" s="49">
        <v>0</v>
      </c>
      <c r="D77" s="50">
        <f ca="1">((100/H67)*C77)/100</f>
        <v>0</v>
      </c>
      <c r="E77" s="173"/>
      <c r="F77" s="174"/>
      <c r="G77" s="173"/>
      <c r="H77" s="178"/>
      <c r="I77" s="14" t="s">
        <v>147</v>
      </c>
      <c r="J77" s="26">
        <f>(IF(B67&gt;4,(H67/(B67+2)+J76),0))</f>
        <v>0</v>
      </c>
    </row>
    <row r="78" spans="1:14" ht="15.75" customHeight="1" x14ac:dyDescent="0.35">
      <c r="A78" s="106" t="s">
        <v>135</v>
      </c>
      <c r="B78" s="107" t="s">
        <v>135</v>
      </c>
      <c r="C78" s="49">
        <v>0</v>
      </c>
      <c r="D78" s="50">
        <f ca="1">((100/(H67))*C78)/100</f>
        <v>0</v>
      </c>
      <c r="E78" s="173"/>
      <c r="F78" s="174"/>
      <c r="G78" s="173"/>
      <c r="H78" s="178"/>
      <c r="I78" s="14" t="s">
        <v>151</v>
      </c>
      <c r="J78" s="26">
        <f>(IF(B67=1,(H67/(B67+3)+J73),IF(B67=0,(H67/4+J73),IF(B67&gt;1,0))))</f>
        <v>0</v>
      </c>
    </row>
    <row r="79" spans="1:14" ht="16" thickBot="1" x14ac:dyDescent="0.4">
      <c r="A79" s="114" t="s">
        <v>136</v>
      </c>
      <c r="B79" s="115"/>
      <c r="C79" s="51">
        <v>0</v>
      </c>
      <c r="D79" s="52">
        <f ca="1">((100/(H67))*C79)/100</f>
        <v>0</v>
      </c>
      <c r="E79" s="175"/>
      <c r="F79" s="176"/>
      <c r="G79" s="175"/>
      <c r="H79" s="179"/>
      <c r="I79" s="15" t="s">
        <v>105</v>
      </c>
      <c r="J79" s="28">
        <f ca="1">(IF(B67&gt;1.5,(H67/(B67+2)+J73+MAX(0,J74-J73)+MAX(0,J75-J74)+MAX(0,J76-J75)+MAX(0,J77-J76)+MAX(0,J78-J77)),IF(B67=1,(H67/(B67+3)+J78),IF(B67=0,H67/4+J78))))</f>
        <v>13</v>
      </c>
    </row>
    <row r="80" spans="1:14" x14ac:dyDescent="0.35">
      <c r="A80" s="116" t="s">
        <v>160</v>
      </c>
      <c r="B80" s="116"/>
      <c r="C80" s="116"/>
      <c r="D80" s="116"/>
      <c r="E80" s="116"/>
      <c r="F80" s="117" t="s">
        <v>163</v>
      </c>
      <c r="G80" s="117"/>
      <c r="H80" s="117"/>
      <c r="I80" s="58"/>
      <c r="J80" s="58" t="s">
        <v>264</v>
      </c>
      <c r="K80" s="58" t="s">
        <v>265</v>
      </c>
      <c r="L80" s="58" t="s">
        <v>268</v>
      </c>
      <c r="M80" s="58"/>
      <c r="N80" s="58"/>
    </row>
    <row r="81" spans="1:14" x14ac:dyDescent="0.35">
      <c r="A81" s="87" t="s">
        <v>161</v>
      </c>
      <c r="B81" s="87"/>
      <c r="C81" s="87"/>
      <c r="D81" s="87"/>
      <c r="E81" s="87"/>
      <c r="F81" s="86">
        <v>5600</v>
      </c>
      <c r="G81" s="86"/>
      <c r="H81" s="86"/>
      <c r="I81" s="61">
        <f>AVERAGE(J81:L81)</f>
        <v>6626.9360269360268</v>
      </c>
      <c r="J81" s="58">
        <v>7500</v>
      </c>
      <c r="K81" s="61">
        <f>AVERAGE(L163,K216:K217)</f>
        <v>6080.8080808080813</v>
      </c>
      <c r="L81" s="58">
        <v>6300</v>
      </c>
      <c r="M81" s="58"/>
      <c r="N81" s="58"/>
    </row>
    <row r="82" spans="1:14" x14ac:dyDescent="0.35">
      <c r="A82" s="87" t="s">
        <v>266</v>
      </c>
      <c r="B82" s="87"/>
      <c r="C82" s="87"/>
      <c r="D82" s="87"/>
      <c r="E82" s="87"/>
      <c r="F82" s="86">
        <v>7800</v>
      </c>
      <c r="G82" s="86"/>
      <c r="H82" s="86"/>
      <c r="I82" s="58">
        <f>AVERAGE(J82:L82)</f>
        <v>10950</v>
      </c>
      <c r="J82" s="58">
        <v>11900</v>
      </c>
      <c r="K82" s="58"/>
      <c r="L82" s="58">
        <v>10000</v>
      </c>
      <c r="M82" s="58"/>
      <c r="N82" s="58"/>
    </row>
    <row r="83" spans="1:14" x14ac:dyDescent="0.35">
      <c r="A83" s="87" t="s">
        <v>267</v>
      </c>
      <c r="B83" s="87"/>
      <c r="C83" s="87"/>
      <c r="D83" s="87"/>
      <c r="E83" s="87"/>
      <c r="F83" s="86">
        <v>7000</v>
      </c>
      <c r="G83" s="86"/>
      <c r="H83" s="86"/>
      <c r="I83" s="58"/>
      <c r="J83" s="58">
        <v>10900</v>
      </c>
      <c r="K83" s="58"/>
      <c r="L83" s="58"/>
      <c r="M83" s="58"/>
      <c r="N83" s="58"/>
    </row>
    <row r="84" spans="1:14" hidden="1" x14ac:dyDescent="0.35">
      <c r="A84" s="87" t="s">
        <v>162</v>
      </c>
      <c r="B84" s="87"/>
      <c r="C84" s="87"/>
      <c r="D84" s="87"/>
      <c r="E84" s="87"/>
      <c r="F84" s="86"/>
      <c r="G84" s="86"/>
      <c r="H84" s="86"/>
      <c r="I84" s="58"/>
      <c r="J84" s="58"/>
      <c r="K84" s="58"/>
      <c r="L84" s="58"/>
      <c r="M84" s="58"/>
      <c r="N84" s="58"/>
    </row>
    <row r="85" spans="1:14" s="29" customFormat="1" hidden="1" x14ac:dyDescent="0.3">
      <c r="A85" s="87" t="s">
        <v>178</v>
      </c>
      <c r="B85" s="87"/>
      <c r="C85" s="87"/>
      <c r="D85" s="87"/>
      <c r="E85" s="87"/>
      <c r="F85" s="86"/>
      <c r="G85" s="86"/>
      <c r="H85" s="86"/>
      <c r="I85" s="59"/>
      <c r="J85" s="59"/>
      <c r="K85" s="59"/>
      <c r="L85" s="59"/>
      <c r="M85" s="59"/>
      <c r="N85" s="59"/>
    </row>
    <row r="86" spans="1:14" s="29" customFormat="1" hidden="1" x14ac:dyDescent="0.3">
      <c r="A86" s="87" t="s">
        <v>95</v>
      </c>
      <c r="B86" s="87"/>
      <c r="C86" s="87"/>
      <c r="D86" s="87"/>
      <c r="E86" s="87"/>
      <c r="F86" s="86"/>
      <c r="G86" s="86"/>
      <c r="H86" s="86"/>
      <c r="I86" s="59"/>
      <c r="J86" s="59"/>
      <c r="K86" s="59"/>
      <c r="L86" s="59"/>
      <c r="M86" s="59"/>
      <c r="N86" s="59"/>
    </row>
    <row r="87" spans="1:14" s="29" customFormat="1" hidden="1" x14ac:dyDescent="0.3">
      <c r="A87" s="87" t="s">
        <v>96</v>
      </c>
      <c r="B87" s="87"/>
      <c r="C87" s="87"/>
      <c r="D87" s="87"/>
      <c r="E87" s="87"/>
      <c r="F87" s="86"/>
      <c r="G87" s="86"/>
      <c r="H87" s="86"/>
      <c r="I87" s="59"/>
      <c r="J87" s="59"/>
      <c r="K87" s="59"/>
      <c r="L87" s="59"/>
      <c r="M87" s="59"/>
      <c r="N87" s="59"/>
    </row>
    <row r="88" spans="1:14" s="29" customFormat="1" hidden="1" x14ac:dyDescent="0.3">
      <c r="A88" s="87" t="s">
        <v>164</v>
      </c>
      <c r="B88" s="87"/>
      <c r="C88" s="87"/>
      <c r="D88" s="87"/>
      <c r="E88" s="87"/>
      <c r="F88" s="86"/>
      <c r="G88" s="86"/>
      <c r="H88" s="86"/>
      <c r="I88" s="59"/>
      <c r="J88" s="59"/>
      <c r="K88" s="59"/>
      <c r="L88" s="59"/>
      <c r="M88" s="59"/>
      <c r="N88" s="59"/>
    </row>
    <row r="89" spans="1:14" s="29" customFormat="1" hidden="1" x14ac:dyDescent="0.3">
      <c r="A89" s="87" t="s">
        <v>97</v>
      </c>
      <c r="B89" s="87"/>
      <c r="C89" s="87"/>
      <c r="D89" s="87"/>
      <c r="E89" s="87"/>
      <c r="F89" s="86"/>
      <c r="G89" s="86"/>
      <c r="H89" s="86"/>
      <c r="I89" s="59"/>
      <c r="J89" s="59"/>
      <c r="K89" s="59"/>
      <c r="L89" s="59"/>
      <c r="M89" s="59"/>
      <c r="N89" s="59"/>
    </row>
    <row r="90" spans="1:14" s="29" customFormat="1" hidden="1" x14ac:dyDescent="0.3">
      <c r="A90" s="87" t="s">
        <v>98</v>
      </c>
      <c r="B90" s="87"/>
      <c r="C90" s="87"/>
      <c r="D90" s="87"/>
      <c r="E90" s="87"/>
      <c r="F90" s="86"/>
      <c r="G90" s="86"/>
      <c r="H90" s="86"/>
      <c r="I90" s="59"/>
      <c r="J90" s="59"/>
      <c r="K90" s="59"/>
      <c r="L90" s="59"/>
      <c r="M90" s="59"/>
      <c r="N90" s="59"/>
    </row>
    <row r="91" spans="1:14" s="29" customFormat="1" hidden="1" x14ac:dyDescent="0.3">
      <c r="A91" s="87" t="s">
        <v>99</v>
      </c>
      <c r="B91" s="87"/>
      <c r="C91" s="87"/>
      <c r="D91" s="87"/>
      <c r="E91" s="87"/>
      <c r="F91" s="86"/>
      <c r="G91" s="86"/>
      <c r="H91" s="86"/>
      <c r="I91" s="59"/>
      <c r="J91" s="59"/>
      <c r="K91" s="59"/>
      <c r="L91" s="59"/>
      <c r="M91" s="59"/>
      <c r="N91" s="59"/>
    </row>
    <row r="92" spans="1:14" s="29" customFormat="1" hidden="1" x14ac:dyDescent="0.3">
      <c r="A92" s="87" t="s">
        <v>100</v>
      </c>
      <c r="B92" s="87"/>
      <c r="C92" s="87"/>
      <c r="D92" s="87"/>
      <c r="E92" s="87"/>
      <c r="F92" s="86"/>
      <c r="G92" s="86"/>
      <c r="H92" s="86"/>
      <c r="I92" s="59"/>
      <c r="J92" s="59"/>
      <c r="K92" s="59"/>
      <c r="L92" s="59"/>
      <c r="M92" s="59"/>
      <c r="N92" s="59"/>
    </row>
    <row r="93" spans="1:14" x14ac:dyDescent="0.35">
      <c r="A93" s="87" t="s">
        <v>51</v>
      </c>
      <c r="B93" s="87"/>
      <c r="C93" s="87"/>
      <c r="D93" s="87"/>
      <c r="E93" s="87"/>
      <c r="F93" s="86">
        <v>300000</v>
      </c>
      <c r="G93" s="86"/>
      <c r="H93" s="86"/>
      <c r="I93" s="68"/>
      <c r="J93" s="68" t="s">
        <v>288</v>
      </c>
      <c r="K93" s="58"/>
      <c r="L93" s="58"/>
      <c r="M93" s="58"/>
      <c r="N93" s="58"/>
    </row>
    <row r="94" spans="1:14" s="30" customFormat="1" x14ac:dyDescent="0.35">
      <c r="A94" s="125" t="s">
        <v>52</v>
      </c>
      <c r="B94" s="125"/>
      <c r="C94" s="125"/>
      <c r="D94" s="125"/>
      <c r="E94" s="125"/>
      <c r="F94" s="86">
        <f>F81*0.8</f>
        <v>4480</v>
      </c>
      <c r="G94" s="86"/>
      <c r="H94" s="86"/>
      <c r="I94" s="60"/>
      <c r="J94" s="60"/>
      <c r="K94" s="60"/>
      <c r="L94" s="60"/>
      <c r="M94" s="60"/>
      <c r="N94" s="60"/>
    </row>
    <row r="95" spans="1:14" s="31" customFormat="1" ht="15.75" customHeight="1" x14ac:dyDescent="0.35">
      <c r="A95" s="98" t="s">
        <v>75</v>
      </c>
      <c r="B95" s="98"/>
      <c r="C95" s="98"/>
      <c r="D95" s="98"/>
      <c r="E95" s="98"/>
      <c r="F95" s="98"/>
      <c r="G95" s="98"/>
      <c r="H95" s="98"/>
    </row>
    <row r="96" spans="1:14" s="31" customFormat="1" ht="15.75" customHeight="1" x14ac:dyDescent="0.35">
      <c r="A96" s="103" t="s">
        <v>53</v>
      </c>
      <c r="B96" s="103"/>
      <c r="C96" s="100" t="s">
        <v>78</v>
      </c>
      <c r="D96" s="100"/>
      <c r="E96" s="102" t="s">
        <v>54</v>
      </c>
      <c r="F96" s="102"/>
      <c r="G96" s="103" t="s">
        <v>55</v>
      </c>
      <c r="H96" s="103"/>
    </row>
    <row r="97" spans="1:14" s="31" customFormat="1" x14ac:dyDescent="0.35">
      <c r="A97" s="104" t="s">
        <v>255</v>
      </c>
      <c r="B97" s="104"/>
      <c r="C97" s="105">
        <f>COUNT(D112:D121)+COUNT(D123:D132)</f>
        <v>20</v>
      </c>
      <c r="D97" s="96"/>
      <c r="E97" s="105">
        <f>SUM(D112:D121)+SUM(D123:D132)</f>
        <v>9933.3313559999988</v>
      </c>
      <c r="F97" s="96"/>
      <c r="G97" s="105">
        <f>SUM(F112:F121)+SUM(F123:F132)</f>
        <v>20370</v>
      </c>
      <c r="H97" s="96"/>
    </row>
    <row r="98" spans="1:14" s="31" customFormat="1" hidden="1" x14ac:dyDescent="0.35">
      <c r="A98" s="104"/>
      <c r="B98" s="104"/>
      <c r="C98" s="95"/>
      <c r="D98" s="95"/>
      <c r="E98" s="96"/>
      <c r="F98" s="96"/>
      <c r="G98" s="97"/>
      <c r="H98" s="97"/>
    </row>
    <row r="99" spans="1:14" s="31" customFormat="1" x14ac:dyDescent="0.35">
      <c r="A99" s="98" t="s">
        <v>154</v>
      </c>
      <c r="B99" s="98"/>
      <c r="C99" s="99">
        <f>SUM(C97:C98)</f>
        <v>20</v>
      </c>
      <c r="D99" s="100"/>
      <c r="E99" s="101">
        <f>SUM(E97:E98)</f>
        <v>9933.3313559999988</v>
      </c>
      <c r="F99" s="102"/>
      <c r="G99" s="103">
        <f>SUM(G97:G98)</f>
        <v>20370</v>
      </c>
      <c r="H99" s="103"/>
    </row>
    <row r="100" spans="1:14" s="31" customFormat="1" x14ac:dyDescent="0.35">
      <c r="A100" s="98" t="s">
        <v>70</v>
      </c>
      <c r="B100" s="98"/>
      <c r="C100" s="98"/>
      <c r="D100" s="98"/>
      <c r="E100" s="98"/>
      <c r="F100" s="98"/>
      <c r="G100" s="98"/>
      <c r="H100" s="98"/>
    </row>
    <row r="101" spans="1:14" s="31" customFormat="1" ht="15.75" customHeight="1" x14ac:dyDescent="0.35">
      <c r="A101" s="103" t="s">
        <v>53</v>
      </c>
      <c r="B101" s="103"/>
      <c r="C101" s="100" t="s">
        <v>78</v>
      </c>
      <c r="D101" s="100"/>
      <c r="E101" s="102" t="s">
        <v>54</v>
      </c>
      <c r="F101" s="102"/>
      <c r="G101" s="103" t="s">
        <v>55</v>
      </c>
      <c r="H101" s="103"/>
    </row>
    <row r="102" spans="1:14" s="31" customFormat="1" x14ac:dyDescent="0.35">
      <c r="A102" s="104" t="s">
        <v>260</v>
      </c>
      <c r="B102" s="104"/>
      <c r="C102" s="105">
        <f>COUNT(D137:D147)+COUNT(D149:D163)*7+COUNT(D165:D170,D173:D179)+COUNT(D181:D186,D189:D195)+COUNT(D197:D209,D211)</f>
        <v>156</v>
      </c>
      <c r="D102" s="105"/>
      <c r="E102" s="105">
        <f>SUM(D137:D147)+SUM(D149:D163)*7+SUM(D165:D170,D173:D179)+SUM(D181:D186,D189:D195)+SUM(D197:D209,D211)</f>
        <v>80573.956982999996</v>
      </c>
      <c r="F102" s="105"/>
      <c r="G102" s="105">
        <f>SUM(F137:F147)+SUM(F149:F163)*7+SUM(F165:F170,F173:F179)+SUM(F181:F186,F189:F195)+SUM(F197:F209,F211)</f>
        <v>140210</v>
      </c>
      <c r="H102" s="105"/>
    </row>
    <row r="103" spans="1:14" s="31" customFormat="1" hidden="1" x14ac:dyDescent="0.35">
      <c r="A103" s="104"/>
      <c r="B103" s="104"/>
      <c r="C103" s="95"/>
      <c r="D103" s="95"/>
      <c r="E103" s="96"/>
      <c r="F103" s="96"/>
      <c r="G103" s="97"/>
      <c r="H103" s="97"/>
    </row>
    <row r="104" spans="1:14" s="31" customFormat="1" ht="16" thickBot="1" x14ac:dyDescent="0.4">
      <c r="A104" s="118" t="s">
        <v>154</v>
      </c>
      <c r="B104" s="118"/>
      <c r="C104" s="202">
        <f>SUM(C102:C103)</f>
        <v>156</v>
      </c>
      <c r="D104" s="203"/>
      <c r="E104" s="119">
        <f>SUM(E102:E103)</f>
        <v>80573.956982999996</v>
      </c>
      <c r="F104" s="120"/>
      <c r="G104" s="94">
        <f>SUM(G102:G103)</f>
        <v>140210</v>
      </c>
      <c r="H104" s="94"/>
    </row>
    <row r="105" spans="1:14" s="31" customFormat="1" ht="16" thickBot="1" x14ac:dyDescent="0.4">
      <c r="A105" s="183" t="s">
        <v>170</v>
      </c>
      <c r="B105" s="184"/>
      <c r="C105" s="185">
        <f>C99+C104</f>
        <v>176</v>
      </c>
      <c r="D105" s="186"/>
      <c r="E105" s="187">
        <f>E99+E104</f>
        <v>90507.288338999992</v>
      </c>
      <c r="F105" s="187"/>
      <c r="G105" s="188">
        <f>G99+G104</f>
        <v>160580</v>
      </c>
      <c r="H105" s="189"/>
    </row>
    <row r="106" spans="1:14" s="30" customFormat="1" x14ac:dyDescent="0.35">
      <c r="A106" s="117" t="s">
        <v>56</v>
      </c>
      <c r="B106" s="117"/>
      <c r="C106" s="117"/>
      <c r="D106" s="117"/>
      <c r="E106" s="117"/>
      <c r="F106" s="117"/>
      <c r="G106" s="117"/>
      <c r="H106" s="117"/>
    </row>
    <row r="107" spans="1:14" x14ac:dyDescent="0.35">
      <c r="A107" s="164" t="s">
        <v>177</v>
      </c>
      <c r="B107" s="164"/>
      <c r="C107" s="164"/>
      <c r="D107" s="164"/>
      <c r="E107" s="164"/>
      <c r="F107" s="164"/>
      <c r="G107" s="164"/>
      <c r="H107" s="164"/>
    </row>
    <row r="108" spans="1:14" ht="47.25" customHeight="1" x14ac:dyDescent="0.35">
      <c r="A108" s="89" t="s">
        <v>121</v>
      </c>
      <c r="B108" s="89" t="s">
        <v>179</v>
      </c>
      <c r="C108" s="89" t="s">
        <v>57</v>
      </c>
      <c r="D108" s="89" t="s">
        <v>58</v>
      </c>
      <c r="E108" s="108" t="s">
        <v>159</v>
      </c>
      <c r="F108" s="39" t="s">
        <v>262</v>
      </c>
      <c r="G108" s="110" t="s">
        <v>60</v>
      </c>
      <c r="H108" s="111"/>
    </row>
    <row r="109" spans="1:14" s="33" customFormat="1" x14ac:dyDescent="0.35">
      <c r="A109" s="90"/>
      <c r="B109" s="90"/>
      <c r="C109" s="90"/>
      <c r="D109" s="90"/>
      <c r="E109" s="109"/>
      <c r="F109" s="13">
        <v>1.1000000000000001</v>
      </c>
      <c r="G109" s="112"/>
      <c r="H109" s="113"/>
      <c r="J109" s="54">
        <v>10.763999999999999</v>
      </c>
    </row>
    <row r="110" spans="1:14" s="33" customFormat="1" ht="15.75" customHeight="1" x14ac:dyDescent="0.35">
      <c r="A110" s="91" t="s">
        <v>275</v>
      </c>
      <c r="B110" s="92"/>
      <c r="C110" s="92"/>
      <c r="D110" s="92"/>
      <c r="E110" s="92"/>
      <c r="F110" s="92"/>
      <c r="G110" s="92"/>
      <c r="H110" s="93"/>
      <c r="J110" s="32"/>
    </row>
    <row r="111" spans="1:14" s="33" customFormat="1" ht="15.75" customHeight="1" x14ac:dyDescent="0.35">
      <c r="A111" s="91" t="s">
        <v>254</v>
      </c>
      <c r="B111" s="92"/>
      <c r="C111" s="92"/>
      <c r="D111" s="92"/>
      <c r="E111" s="92"/>
      <c r="F111" s="92"/>
      <c r="G111" s="92"/>
      <c r="H111" s="93"/>
      <c r="J111" s="32"/>
    </row>
    <row r="112" spans="1:14" s="33" customFormat="1" ht="15.75" customHeight="1" x14ac:dyDescent="0.35">
      <c r="A112" s="75">
        <v>1</v>
      </c>
      <c r="B112" s="76"/>
      <c r="C112" s="38" t="s">
        <v>255</v>
      </c>
      <c r="D112" s="54">
        <f>(51.253)*10.764</f>
        <v>551.68729199999996</v>
      </c>
      <c r="E112" s="38">
        <v>0</v>
      </c>
      <c r="F112" s="55">
        <v>1160</v>
      </c>
      <c r="G112" s="77" t="str">
        <f>A111</f>
        <v>Ground Floor for Commercial &amp; Parking</v>
      </c>
      <c r="H112" s="79"/>
      <c r="I112" s="32">
        <f>3.4*14.08+1.5*0.9+1.8*1</f>
        <v>51.021999999999998</v>
      </c>
      <c r="J112" s="55">
        <v>1160</v>
      </c>
      <c r="K112" s="53">
        <f>J112/D112</f>
        <v>2.1026404211609067</v>
      </c>
      <c r="L112" s="74"/>
      <c r="M112" s="74"/>
      <c r="N112" s="32"/>
    </row>
    <row r="113" spans="1:14" s="33" customFormat="1" x14ac:dyDescent="0.35">
      <c r="A113" s="75">
        <f t="shared" ref="A113:A121" si="0">A112+1</f>
        <v>2</v>
      </c>
      <c r="B113" s="76"/>
      <c r="C113" s="38" t="s">
        <v>255</v>
      </c>
      <c r="D113" s="54">
        <f>(51.253)*10.764</f>
        <v>551.68729199999996</v>
      </c>
      <c r="E113" s="38">
        <v>0</v>
      </c>
      <c r="F113" s="55">
        <v>1160</v>
      </c>
      <c r="G113" s="83"/>
      <c r="H113" s="85"/>
      <c r="I113" s="32"/>
      <c r="J113" s="55">
        <v>1160</v>
      </c>
      <c r="K113" s="53">
        <f t="shared" ref="K113:K132" si="1">J113/D113</f>
        <v>2.1026404211609067</v>
      </c>
      <c r="L113" s="74"/>
      <c r="M113" s="74"/>
      <c r="N113" s="32"/>
    </row>
    <row r="114" spans="1:14" s="33" customFormat="1" x14ac:dyDescent="0.35">
      <c r="A114" s="75">
        <f t="shared" si="0"/>
        <v>3</v>
      </c>
      <c r="B114" s="76"/>
      <c r="C114" s="38" t="s">
        <v>255</v>
      </c>
      <c r="D114" s="54">
        <f>(52.765)*10.764</f>
        <v>567.96245999999996</v>
      </c>
      <c r="E114" s="38">
        <v>0</v>
      </c>
      <c r="F114" s="55">
        <v>1185</v>
      </c>
      <c r="G114" s="83"/>
      <c r="H114" s="85"/>
      <c r="I114" s="32"/>
      <c r="J114" s="55">
        <v>1185</v>
      </c>
      <c r="K114" s="53">
        <f t="shared" si="1"/>
        <v>2.0864054994057177</v>
      </c>
      <c r="L114" s="74"/>
      <c r="M114" s="74"/>
      <c r="N114" s="32"/>
    </row>
    <row r="115" spans="1:14" s="33" customFormat="1" x14ac:dyDescent="0.35">
      <c r="A115" s="75">
        <f t="shared" si="0"/>
        <v>4</v>
      </c>
      <c r="B115" s="76"/>
      <c r="C115" s="38" t="s">
        <v>255</v>
      </c>
      <c r="D115" s="54">
        <f>(47.748)*10.764</f>
        <v>513.95947199999989</v>
      </c>
      <c r="E115" s="38">
        <v>0</v>
      </c>
      <c r="F115" s="55">
        <v>1075</v>
      </c>
      <c r="G115" s="83"/>
      <c r="H115" s="85"/>
      <c r="I115" s="32"/>
      <c r="J115" s="55">
        <v>1075</v>
      </c>
      <c r="K115" s="53">
        <f t="shared" si="1"/>
        <v>2.0916046080769579</v>
      </c>
      <c r="L115" s="74"/>
      <c r="M115" s="74"/>
      <c r="N115" s="32"/>
    </row>
    <row r="116" spans="1:14" s="33" customFormat="1" x14ac:dyDescent="0.35">
      <c r="A116" s="75">
        <f t="shared" si="0"/>
        <v>5</v>
      </c>
      <c r="B116" s="76"/>
      <c r="C116" s="38" t="s">
        <v>255</v>
      </c>
      <c r="D116" s="54">
        <f>(47.748)*10.764</f>
        <v>513.95947199999989</v>
      </c>
      <c r="E116" s="38">
        <v>0</v>
      </c>
      <c r="F116" s="55">
        <v>1075</v>
      </c>
      <c r="G116" s="83"/>
      <c r="H116" s="85"/>
      <c r="I116" s="32"/>
      <c r="J116" s="55">
        <v>1075</v>
      </c>
      <c r="K116" s="53">
        <f t="shared" si="1"/>
        <v>2.0916046080769579</v>
      </c>
      <c r="L116" s="74"/>
      <c r="M116" s="74"/>
      <c r="N116" s="32"/>
    </row>
    <row r="117" spans="1:14" s="33" customFormat="1" x14ac:dyDescent="0.35">
      <c r="A117" s="75">
        <f t="shared" si="0"/>
        <v>6</v>
      </c>
      <c r="B117" s="76"/>
      <c r="C117" s="38" t="s">
        <v>255</v>
      </c>
      <c r="D117" s="54">
        <f>(47.748)*10.764</f>
        <v>513.95947199999989</v>
      </c>
      <c r="E117" s="38">
        <v>0</v>
      </c>
      <c r="F117" s="55">
        <v>1075</v>
      </c>
      <c r="G117" s="83"/>
      <c r="H117" s="85"/>
      <c r="I117" s="32"/>
      <c r="J117" s="55">
        <v>1075</v>
      </c>
      <c r="K117" s="53">
        <f t="shared" si="1"/>
        <v>2.0916046080769579</v>
      </c>
      <c r="L117" s="74"/>
      <c r="M117" s="74"/>
      <c r="N117" s="32"/>
    </row>
    <row r="118" spans="1:14" s="33" customFormat="1" x14ac:dyDescent="0.35">
      <c r="A118" s="75">
        <f t="shared" si="0"/>
        <v>7</v>
      </c>
      <c r="B118" s="76"/>
      <c r="C118" s="38" t="s">
        <v>255</v>
      </c>
      <c r="D118" s="54">
        <f>(47.926)*10.764</f>
        <v>515.87546399999997</v>
      </c>
      <c r="E118" s="38">
        <v>0</v>
      </c>
      <c r="F118" s="55">
        <v>1075</v>
      </c>
      <c r="G118" s="83"/>
      <c r="H118" s="85"/>
      <c r="I118" s="32"/>
      <c r="J118" s="55">
        <v>1075</v>
      </c>
      <c r="K118" s="53">
        <f t="shared" si="1"/>
        <v>2.0838362647927759</v>
      </c>
      <c r="L118" s="74"/>
      <c r="M118" s="74"/>
      <c r="N118" s="32"/>
    </row>
    <row r="119" spans="1:14" s="33" customFormat="1" x14ac:dyDescent="0.35">
      <c r="A119" s="75">
        <f t="shared" si="0"/>
        <v>8</v>
      </c>
      <c r="B119" s="76"/>
      <c r="C119" s="38" t="s">
        <v>255</v>
      </c>
      <c r="D119" s="54">
        <f>(52.765)*10.764</f>
        <v>567.96245999999996</v>
      </c>
      <c r="E119" s="38">
        <v>0</v>
      </c>
      <c r="F119" s="55">
        <v>1185</v>
      </c>
      <c r="G119" s="83"/>
      <c r="H119" s="85"/>
      <c r="I119" s="32"/>
      <c r="J119" s="55">
        <v>1185</v>
      </c>
      <c r="K119" s="53">
        <f t="shared" si="1"/>
        <v>2.0864054994057177</v>
      </c>
      <c r="L119" s="74"/>
      <c r="M119" s="74"/>
      <c r="N119" s="32"/>
    </row>
    <row r="120" spans="1:14" s="33" customFormat="1" x14ac:dyDescent="0.35">
      <c r="A120" s="75">
        <f t="shared" si="0"/>
        <v>9</v>
      </c>
      <c r="B120" s="76"/>
      <c r="C120" s="38" t="s">
        <v>255</v>
      </c>
      <c r="D120" s="54">
        <f>(58.82)*10.764</f>
        <v>633.13847999999996</v>
      </c>
      <c r="E120" s="38">
        <v>0</v>
      </c>
      <c r="F120" s="55">
        <v>1325</v>
      </c>
      <c r="G120" s="83"/>
      <c r="H120" s="85"/>
      <c r="I120" s="32"/>
      <c r="J120" s="55">
        <v>1325</v>
      </c>
      <c r="K120" s="53">
        <f t="shared" si="1"/>
        <v>2.0927491249623622</v>
      </c>
      <c r="L120" s="74"/>
      <c r="M120" s="74"/>
      <c r="N120" s="32"/>
    </row>
    <row r="121" spans="1:14" s="33" customFormat="1" x14ac:dyDescent="0.35">
      <c r="A121" s="75">
        <f t="shared" si="0"/>
        <v>10</v>
      </c>
      <c r="B121" s="76"/>
      <c r="C121" s="38" t="s">
        <v>255</v>
      </c>
      <c r="D121" s="54">
        <f>(58.82)*10.764</f>
        <v>633.13847999999996</v>
      </c>
      <c r="E121" s="38">
        <v>0</v>
      </c>
      <c r="F121" s="55">
        <v>1325</v>
      </c>
      <c r="G121" s="80"/>
      <c r="H121" s="82"/>
      <c r="I121" s="32"/>
      <c r="J121" s="55">
        <v>1325</v>
      </c>
      <c r="K121" s="53">
        <f t="shared" si="1"/>
        <v>2.0927491249623622</v>
      </c>
      <c r="L121" s="74"/>
      <c r="M121" s="74"/>
      <c r="N121" s="32"/>
    </row>
    <row r="122" spans="1:14" s="33" customFormat="1" ht="15.75" customHeight="1" x14ac:dyDescent="0.35">
      <c r="A122" s="91" t="s">
        <v>272</v>
      </c>
      <c r="B122" s="92"/>
      <c r="C122" s="92"/>
      <c r="D122" s="92"/>
      <c r="E122" s="92"/>
      <c r="F122" s="92"/>
      <c r="G122" s="92"/>
      <c r="H122" s="93"/>
      <c r="J122" s="32"/>
      <c r="K122" s="53"/>
    </row>
    <row r="123" spans="1:14" s="33" customFormat="1" ht="15.75" customHeight="1" x14ac:dyDescent="0.35">
      <c r="A123" s="75">
        <v>1</v>
      </c>
      <c r="B123" s="76"/>
      <c r="C123" s="38" t="s">
        <v>255</v>
      </c>
      <c r="D123" s="54">
        <f>(46.416)*10.764</f>
        <v>499.62182399999995</v>
      </c>
      <c r="E123" s="38">
        <v>0</v>
      </c>
      <c r="F123" s="55">
        <v>1000</v>
      </c>
      <c r="G123" s="77" t="str">
        <f>A122</f>
        <v>1st Floor for Commercial &amp; Parking</v>
      </c>
      <c r="H123" s="79"/>
      <c r="I123" s="32"/>
      <c r="J123" s="55">
        <v>1000</v>
      </c>
      <c r="K123" s="53">
        <f t="shared" si="1"/>
        <v>2.0015138490027211</v>
      </c>
      <c r="L123" s="74"/>
      <c r="M123" s="74"/>
      <c r="N123" s="32"/>
    </row>
    <row r="124" spans="1:14" s="33" customFormat="1" x14ac:dyDescent="0.35">
      <c r="A124" s="75">
        <f t="shared" ref="A124:A132" si="2">A123+1</f>
        <v>2</v>
      </c>
      <c r="B124" s="76"/>
      <c r="C124" s="38" t="s">
        <v>255</v>
      </c>
      <c r="D124" s="54">
        <f>(44.455)*10.764</f>
        <v>478.51361999999995</v>
      </c>
      <c r="E124" s="38">
        <v>0</v>
      </c>
      <c r="F124" s="55">
        <v>955</v>
      </c>
      <c r="G124" s="83"/>
      <c r="H124" s="85"/>
      <c r="I124" s="32"/>
      <c r="J124" s="55">
        <v>955</v>
      </c>
      <c r="K124" s="53">
        <f t="shared" si="1"/>
        <v>1.9957634643711919</v>
      </c>
      <c r="L124" s="74"/>
      <c r="M124" s="74"/>
      <c r="N124" s="32"/>
    </row>
    <row r="125" spans="1:14" s="33" customFormat="1" x14ac:dyDescent="0.35">
      <c r="A125" s="75">
        <f t="shared" si="2"/>
        <v>3</v>
      </c>
      <c r="B125" s="76"/>
      <c r="C125" s="38" t="s">
        <v>255</v>
      </c>
      <c r="D125" s="54">
        <f>(39.878)*10.764</f>
        <v>429.24679199999997</v>
      </c>
      <c r="E125" s="38">
        <v>0</v>
      </c>
      <c r="F125" s="55">
        <v>860</v>
      </c>
      <c r="G125" s="83"/>
      <c r="H125" s="85"/>
      <c r="I125" s="32"/>
      <c r="J125" s="55">
        <v>860</v>
      </c>
      <c r="K125" s="53">
        <f t="shared" si="1"/>
        <v>2.0035094403221541</v>
      </c>
      <c r="L125" s="74"/>
      <c r="M125" s="74"/>
      <c r="N125" s="32"/>
    </row>
    <row r="126" spans="1:14" s="33" customFormat="1" x14ac:dyDescent="0.35">
      <c r="A126" s="75">
        <f t="shared" si="2"/>
        <v>4</v>
      </c>
      <c r="B126" s="76"/>
      <c r="C126" s="38" t="s">
        <v>255</v>
      </c>
      <c r="D126" s="54">
        <f>(36.087)*10.764</f>
        <v>388.44046800000001</v>
      </c>
      <c r="E126" s="38">
        <v>0</v>
      </c>
      <c r="F126" s="55">
        <v>775</v>
      </c>
      <c r="G126" s="83"/>
      <c r="H126" s="85"/>
      <c r="I126" s="32"/>
      <c r="J126" s="55">
        <v>775</v>
      </c>
      <c r="K126" s="53">
        <f t="shared" si="1"/>
        <v>1.9951577238857614</v>
      </c>
      <c r="L126" s="74"/>
      <c r="M126" s="74"/>
      <c r="N126" s="32"/>
    </row>
    <row r="127" spans="1:14" s="33" customFormat="1" x14ac:dyDescent="0.35">
      <c r="A127" s="75">
        <f t="shared" si="2"/>
        <v>5</v>
      </c>
      <c r="B127" s="76"/>
      <c r="C127" s="38" t="s">
        <v>255</v>
      </c>
      <c r="D127" s="54">
        <f>(36.087)*10.764</f>
        <v>388.44046800000001</v>
      </c>
      <c r="E127" s="38">
        <v>0</v>
      </c>
      <c r="F127" s="55">
        <v>775</v>
      </c>
      <c r="G127" s="83"/>
      <c r="H127" s="85"/>
      <c r="I127" s="32"/>
      <c r="J127" s="55">
        <v>775</v>
      </c>
      <c r="K127" s="53">
        <f t="shared" si="1"/>
        <v>1.9951577238857614</v>
      </c>
      <c r="L127" s="74"/>
      <c r="M127" s="74"/>
      <c r="N127" s="32"/>
    </row>
    <row r="128" spans="1:14" s="33" customFormat="1" x14ac:dyDescent="0.35">
      <c r="A128" s="75">
        <f t="shared" si="2"/>
        <v>6</v>
      </c>
      <c r="B128" s="76"/>
      <c r="C128" s="38" t="s">
        <v>255</v>
      </c>
      <c r="D128" s="54">
        <f>(36.087)*10.764</f>
        <v>388.44046800000001</v>
      </c>
      <c r="E128" s="38">
        <v>0</v>
      </c>
      <c r="F128" s="55">
        <v>775</v>
      </c>
      <c r="G128" s="83"/>
      <c r="H128" s="85"/>
      <c r="I128" s="32"/>
      <c r="J128" s="55">
        <v>775</v>
      </c>
      <c r="K128" s="53">
        <f t="shared" si="1"/>
        <v>1.9951577238857614</v>
      </c>
      <c r="L128" s="74"/>
      <c r="M128" s="74"/>
      <c r="N128" s="32"/>
    </row>
    <row r="129" spans="1:14" s="33" customFormat="1" x14ac:dyDescent="0.35">
      <c r="A129" s="75">
        <f t="shared" si="2"/>
        <v>7</v>
      </c>
      <c r="B129" s="76"/>
      <c r="C129" s="38" t="s">
        <v>255</v>
      </c>
      <c r="D129" s="54">
        <f>(36.221)*10.764</f>
        <v>389.88284399999992</v>
      </c>
      <c r="E129" s="38">
        <v>0</v>
      </c>
      <c r="F129" s="55">
        <v>775</v>
      </c>
      <c r="G129" s="83"/>
      <c r="H129" s="85"/>
      <c r="I129" s="32"/>
      <c r="J129" s="55">
        <v>775</v>
      </c>
      <c r="K129" s="53">
        <f t="shared" si="1"/>
        <v>1.9877766152747161</v>
      </c>
      <c r="L129" s="74"/>
      <c r="M129" s="74"/>
      <c r="N129" s="32"/>
    </row>
    <row r="130" spans="1:14" s="33" customFormat="1" x14ac:dyDescent="0.35">
      <c r="A130" s="75">
        <f t="shared" si="2"/>
        <v>8</v>
      </c>
      <c r="B130" s="76"/>
      <c r="C130" s="38" t="s">
        <v>255</v>
      </c>
      <c r="D130" s="54">
        <f>(39.878)*10.764</f>
        <v>429.24679199999997</v>
      </c>
      <c r="E130" s="38">
        <v>0</v>
      </c>
      <c r="F130" s="55">
        <v>860</v>
      </c>
      <c r="G130" s="83"/>
      <c r="H130" s="85"/>
      <c r="I130" s="32"/>
      <c r="J130" s="55">
        <v>860</v>
      </c>
      <c r="K130" s="53">
        <f t="shared" si="1"/>
        <v>2.0035094403221541</v>
      </c>
      <c r="L130" s="74"/>
      <c r="M130" s="74"/>
      <c r="N130" s="32"/>
    </row>
    <row r="131" spans="1:14" s="33" customFormat="1" x14ac:dyDescent="0.35">
      <c r="A131" s="75">
        <f t="shared" si="2"/>
        <v>9</v>
      </c>
      <c r="B131" s="76"/>
      <c r="C131" s="38" t="s">
        <v>255</v>
      </c>
      <c r="D131" s="54">
        <f>(44.455)*10.764</f>
        <v>478.51361999999995</v>
      </c>
      <c r="E131" s="38">
        <v>0</v>
      </c>
      <c r="F131" s="55">
        <v>955</v>
      </c>
      <c r="G131" s="83"/>
      <c r="H131" s="85"/>
      <c r="I131" s="32"/>
      <c r="J131" s="55">
        <v>955</v>
      </c>
      <c r="K131" s="53">
        <f t="shared" si="1"/>
        <v>1.9957634643711919</v>
      </c>
      <c r="L131" s="74"/>
      <c r="M131" s="74"/>
      <c r="N131" s="32"/>
    </row>
    <row r="132" spans="1:14" s="33" customFormat="1" x14ac:dyDescent="0.35">
      <c r="A132" s="75">
        <f t="shared" si="2"/>
        <v>10</v>
      </c>
      <c r="B132" s="76"/>
      <c r="C132" s="38" t="s">
        <v>255</v>
      </c>
      <c r="D132" s="54">
        <f>(46.419)*10.764</f>
        <v>499.65411599999993</v>
      </c>
      <c r="E132" s="38">
        <v>0</v>
      </c>
      <c r="F132" s="55">
        <v>1000</v>
      </c>
      <c r="G132" s="80"/>
      <c r="H132" s="82"/>
      <c r="I132" s="32"/>
      <c r="J132" s="55">
        <v>1000</v>
      </c>
      <c r="K132" s="53">
        <f t="shared" si="1"/>
        <v>2.0013844937484717</v>
      </c>
      <c r="L132" s="74"/>
      <c r="M132" s="74"/>
      <c r="N132" s="32"/>
    </row>
    <row r="133" spans="1:14" s="33" customFormat="1" x14ac:dyDescent="0.35">
      <c r="A133" s="75"/>
      <c r="B133" s="201"/>
      <c r="C133" s="201"/>
      <c r="D133" s="201"/>
      <c r="E133" s="201"/>
      <c r="F133" s="201"/>
      <c r="G133" s="201"/>
      <c r="H133" s="76"/>
      <c r="I133" s="32"/>
      <c r="N133" s="32"/>
    </row>
    <row r="134" spans="1:14" ht="47.25" customHeight="1" x14ac:dyDescent="0.35">
      <c r="A134" s="110" t="s">
        <v>122</v>
      </c>
      <c r="B134" s="89" t="s">
        <v>180</v>
      </c>
      <c r="C134" s="89" t="s">
        <v>57</v>
      </c>
      <c r="D134" s="89" t="s">
        <v>58</v>
      </c>
      <c r="E134" s="108" t="s">
        <v>59</v>
      </c>
      <c r="F134" s="39" t="s">
        <v>262</v>
      </c>
      <c r="G134" s="110" t="s">
        <v>60</v>
      </c>
      <c r="H134" s="111"/>
      <c r="I134" s="32"/>
    </row>
    <row r="135" spans="1:14" s="33" customFormat="1" x14ac:dyDescent="0.35">
      <c r="A135" s="112"/>
      <c r="B135" s="90"/>
      <c r="C135" s="90"/>
      <c r="D135" s="90"/>
      <c r="E135" s="109"/>
      <c r="F135" s="13">
        <v>0.7</v>
      </c>
      <c r="G135" s="112"/>
      <c r="H135" s="113"/>
      <c r="I135" s="32"/>
    </row>
    <row r="136" spans="1:14" s="33" customFormat="1" x14ac:dyDescent="0.35">
      <c r="A136" s="91" t="s">
        <v>276</v>
      </c>
      <c r="B136" s="92"/>
      <c r="C136" s="92"/>
      <c r="D136" s="92"/>
      <c r="E136" s="92"/>
      <c r="F136" s="92"/>
      <c r="G136" s="92"/>
      <c r="H136" s="93"/>
      <c r="J136" s="32"/>
    </row>
    <row r="137" spans="1:14" s="33" customFormat="1" ht="15.75" customHeight="1" x14ac:dyDescent="0.35">
      <c r="A137" s="75">
        <v>1</v>
      </c>
      <c r="B137" s="76"/>
      <c r="C137" s="38" t="s">
        <v>256</v>
      </c>
      <c r="D137" s="54">
        <f>(54.703+3.6+0.75*(2.1*2.75))*10.764</f>
        <v>674.19506700000011</v>
      </c>
      <c r="E137" s="54">
        <f>(2*3.05)*10.764</f>
        <v>65.660399999999996</v>
      </c>
      <c r="F137" s="63">
        <v>1235</v>
      </c>
      <c r="G137" s="77" t="str">
        <f>A136</f>
        <v>2nd Floor for Residential &amp; Drivers Room, Fitness Center, Society Office, Lawn, Swimming pool</v>
      </c>
      <c r="H137" s="79"/>
      <c r="I137" s="33">
        <f>1*1.35+3.05*5.05+3.1*0.9+2.1*3.05+2.75*3.05+3.55*3.1+2.1*1.2+2.1*1.2+0.9*2.5</f>
        <v>52.629999999999995</v>
      </c>
      <c r="J137" s="55">
        <v>1510</v>
      </c>
      <c r="K137" s="48">
        <f>F137/(D137+E137)</f>
        <v>1.6692449472702211</v>
      </c>
      <c r="L137" s="74">
        <v>0.75</v>
      </c>
      <c r="M137" s="74"/>
      <c r="N137" s="32"/>
    </row>
    <row r="138" spans="1:14" s="33" customFormat="1" x14ac:dyDescent="0.35">
      <c r="A138" s="75">
        <f t="shared" ref="A138:A147" si="3">A137+1</f>
        <v>2</v>
      </c>
      <c r="B138" s="76"/>
      <c r="C138" s="38" t="s">
        <v>256</v>
      </c>
      <c r="D138" s="54">
        <f>(55.927+3.6+0.75*(2.1*2.85))*10.764</f>
        <v>689.06553299999996</v>
      </c>
      <c r="E138" s="54">
        <f>(3.05*1.2)*10.764</f>
        <v>39.396239999999992</v>
      </c>
      <c r="F138" s="63">
        <v>1235</v>
      </c>
      <c r="G138" s="83"/>
      <c r="H138" s="85"/>
      <c r="I138" s="48">
        <f>3*1.2</f>
        <v>3.5999999999999996</v>
      </c>
      <c r="J138" s="55">
        <v>1355</v>
      </c>
      <c r="K138" s="48">
        <f t="shared" ref="K138:K147" si="4">F138/(D138+E138)</f>
        <v>1.6953532028371789</v>
      </c>
      <c r="L138" s="74">
        <f>$L$137*N138*10.764</f>
        <v>61.35479999999999</v>
      </c>
      <c r="M138" s="74"/>
      <c r="N138" s="32">
        <f>2.75+2.1+2.75</f>
        <v>7.6</v>
      </c>
    </row>
    <row r="139" spans="1:14" s="33" customFormat="1" x14ac:dyDescent="0.35">
      <c r="A139" s="75">
        <f t="shared" si="3"/>
        <v>3</v>
      </c>
      <c r="B139" s="76"/>
      <c r="C139" s="38" t="s">
        <v>256</v>
      </c>
      <c r="D139" s="54">
        <f>(54.706+3.6+0.75*(2.1*2.75))*10.764</f>
        <v>674.22735900000009</v>
      </c>
      <c r="E139" s="54">
        <f>(2*3.05)*10.764</f>
        <v>65.660399999999996</v>
      </c>
      <c r="F139" s="63">
        <v>1235</v>
      </c>
      <c r="G139" s="83"/>
      <c r="H139" s="85"/>
      <c r="I139" s="32"/>
      <c r="J139" s="55">
        <v>1235</v>
      </c>
      <c r="K139" s="48">
        <f t="shared" si="4"/>
        <v>1.6691720939797301</v>
      </c>
      <c r="L139" s="74">
        <f t="shared" ref="L139:L147" si="5">$L$137*N139*10.764</f>
        <v>0</v>
      </c>
      <c r="M139" s="74"/>
      <c r="N139" s="32"/>
    </row>
    <row r="140" spans="1:14" s="33" customFormat="1" x14ac:dyDescent="0.35">
      <c r="A140" s="75">
        <f t="shared" si="3"/>
        <v>4</v>
      </c>
      <c r="B140" s="76"/>
      <c r="C140" s="38" t="s">
        <v>257</v>
      </c>
      <c r="D140" s="54">
        <f>(35.332)*10.764</f>
        <v>380.313648</v>
      </c>
      <c r="E140" s="54">
        <f>(3.25*2.75+5.35*1)*10.764</f>
        <v>153.79065</v>
      </c>
      <c r="F140" s="63">
        <v>890</v>
      </c>
      <c r="G140" s="83"/>
      <c r="H140" s="85"/>
      <c r="I140" s="32"/>
      <c r="J140" s="55">
        <v>890</v>
      </c>
      <c r="K140" s="48">
        <f t="shared" si="4"/>
        <v>1.6663412058893412</v>
      </c>
      <c r="L140" s="74">
        <f t="shared" si="5"/>
        <v>0</v>
      </c>
      <c r="M140" s="74"/>
      <c r="N140" s="32"/>
    </row>
    <row r="141" spans="1:14" s="33" customFormat="1" x14ac:dyDescent="0.35">
      <c r="A141" s="75">
        <f t="shared" si="3"/>
        <v>5</v>
      </c>
      <c r="B141" s="76"/>
      <c r="C141" s="38" t="s">
        <v>257</v>
      </c>
      <c r="D141" s="54">
        <f>(31.386)*10.764</f>
        <v>337.83890399999996</v>
      </c>
      <c r="E141" s="54">
        <f>(3.25*2.25+5.35*1)*10.764</f>
        <v>136.29915</v>
      </c>
      <c r="F141" s="63">
        <v>800</v>
      </c>
      <c r="G141" s="83"/>
      <c r="H141" s="85"/>
      <c r="I141" s="32"/>
      <c r="J141" s="55">
        <v>830</v>
      </c>
      <c r="K141" s="48">
        <f t="shared" si="4"/>
        <v>1.6872722896863286</v>
      </c>
      <c r="L141" s="74">
        <f t="shared" si="5"/>
        <v>0</v>
      </c>
      <c r="M141" s="74"/>
      <c r="N141" s="32"/>
    </row>
    <row r="142" spans="1:14" s="33" customFormat="1" x14ac:dyDescent="0.35">
      <c r="A142" s="75">
        <f t="shared" si="3"/>
        <v>6</v>
      </c>
      <c r="B142" s="76"/>
      <c r="C142" s="38" t="s">
        <v>257</v>
      </c>
      <c r="D142" s="54">
        <f>(31.386)*10.764</f>
        <v>337.83890399999996</v>
      </c>
      <c r="E142" s="54">
        <f>(3.25*2.25+5.35*1)*10.764</f>
        <v>136.29915</v>
      </c>
      <c r="F142" s="63">
        <v>800</v>
      </c>
      <c r="G142" s="83"/>
      <c r="H142" s="85"/>
      <c r="I142" s="32"/>
      <c r="J142" s="55">
        <v>830</v>
      </c>
      <c r="K142" s="48">
        <f t="shared" si="4"/>
        <v>1.6872722896863286</v>
      </c>
      <c r="L142" s="74">
        <f t="shared" si="5"/>
        <v>0</v>
      </c>
      <c r="M142" s="74"/>
      <c r="N142" s="32"/>
    </row>
    <row r="143" spans="1:14" s="33" customFormat="1" x14ac:dyDescent="0.35">
      <c r="A143" s="75">
        <f t="shared" si="3"/>
        <v>7</v>
      </c>
      <c r="B143" s="76"/>
      <c r="C143" s="38" t="s">
        <v>257</v>
      </c>
      <c r="D143" s="54">
        <f>(35.33)*10.764</f>
        <v>380.29211999999995</v>
      </c>
      <c r="E143" s="62">
        <f>(2.75*3.25+1*5.4)*10.764</f>
        <v>154.32884999999999</v>
      </c>
      <c r="F143" s="63">
        <v>890</v>
      </c>
      <c r="G143" s="83"/>
      <c r="H143" s="85"/>
      <c r="I143" s="32"/>
      <c r="J143" s="55">
        <v>890</v>
      </c>
      <c r="K143" s="48">
        <f t="shared" si="4"/>
        <v>1.6647308091936612</v>
      </c>
      <c r="L143" s="74">
        <f t="shared" si="5"/>
        <v>0</v>
      </c>
      <c r="M143" s="74"/>
      <c r="N143" s="32"/>
    </row>
    <row r="144" spans="1:14" s="33" customFormat="1" x14ac:dyDescent="0.35">
      <c r="A144" s="75">
        <f t="shared" si="3"/>
        <v>8</v>
      </c>
      <c r="B144" s="76"/>
      <c r="C144" s="38" t="s">
        <v>256</v>
      </c>
      <c r="D144" s="54">
        <f>(48.585)*10.764</f>
        <v>522.96893999999998</v>
      </c>
      <c r="E144" s="62">
        <f>(3.05*4+2.35*2.5+3*2.45+2*3+0.5*2.5*2)*10.764</f>
        <v>365.16869999999994</v>
      </c>
      <c r="F144" s="63">
        <v>1250</v>
      </c>
      <c r="G144" s="83"/>
      <c r="H144" s="85"/>
      <c r="I144" s="32"/>
      <c r="J144" s="55">
        <v>1330</v>
      </c>
      <c r="K144" s="48">
        <f>F144/(D144+E144/2)</f>
        <v>1.7716592321467315</v>
      </c>
      <c r="L144" s="74">
        <f t="shared" si="5"/>
        <v>0</v>
      </c>
      <c r="M144" s="74"/>
      <c r="N144" s="32"/>
    </row>
    <row r="145" spans="1:14" s="33" customFormat="1" x14ac:dyDescent="0.35">
      <c r="A145" s="75">
        <f t="shared" si="3"/>
        <v>9</v>
      </c>
      <c r="B145" s="76"/>
      <c r="C145" s="38" t="s">
        <v>257</v>
      </c>
      <c r="D145" s="54">
        <f>(32.865)*10.764</f>
        <v>353.75886000000003</v>
      </c>
      <c r="E145" s="62">
        <f>(2.2*4+3.2*1.65)*10.764</f>
        <v>151.55712</v>
      </c>
      <c r="F145" s="63">
        <v>900</v>
      </c>
      <c r="G145" s="83"/>
      <c r="H145" s="85"/>
      <c r="I145" s="32"/>
      <c r="J145" s="55">
        <v>950</v>
      </c>
      <c r="K145" s="48">
        <f t="shared" si="4"/>
        <v>1.7810638009112634</v>
      </c>
      <c r="L145" s="74">
        <f t="shared" si="5"/>
        <v>0</v>
      </c>
      <c r="M145" s="74"/>
      <c r="N145" s="32"/>
    </row>
    <row r="146" spans="1:14" s="33" customFormat="1" x14ac:dyDescent="0.35">
      <c r="A146" s="75">
        <f t="shared" si="3"/>
        <v>10</v>
      </c>
      <c r="B146" s="76"/>
      <c r="C146" s="38" t="s">
        <v>257</v>
      </c>
      <c r="D146" s="54">
        <f>(32.865)*10.764</f>
        <v>353.75886000000003</v>
      </c>
      <c r="E146" s="62">
        <f>(2.2*4+3.2*1.65)*10.764</f>
        <v>151.55712</v>
      </c>
      <c r="F146" s="63">
        <v>900</v>
      </c>
      <c r="G146" s="83"/>
      <c r="H146" s="85"/>
      <c r="I146" s="32"/>
      <c r="J146" s="55">
        <v>950</v>
      </c>
      <c r="K146" s="48">
        <f t="shared" si="4"/>
        <v>1.7810638009112634</v>
      </c>
      <c r="L146" s="74">
        <f t="shared" si="5"/>
        <v>0</v>
      </c>
      <c r="M146" s="74"/>
      <c r="N146" s="32"/>
    </row>
    <row r="147" spans="1:14" s="33" customFormat="1" x14ac:dyDescent="0.35">
      <c r="A147" s="75">
        <f t="shared" si="3"/>
        <v>11</v>
      </c>
      <c r="B147" s="76"/>
      <c r="C147" s="38" t="s">
        <v>257</v>
      </c>
      <c r="D147" s="54">
        <f>(32.865)*10.764</f>
        <v>353.75886000000003</v>
      </c>
      <c r="E147" s="62">
        <f>(2.2*4+2.8*1.65+0.5*2.8*1.65)*10.764</f>
        <v>169.31772000000001</v>
      </c>
      <c r="F147" s="63">
        <v>900</v>
      </c>
      <c r="G147" s="80"/>
      <c r="H147" s="82"/>
      <c r="I147" s="32"/>
      <c r="J147" s="55">
        <v>1085</v>
      </c>
      <c r="K147" s="48">
        <f t="shared" si="4"/>
        <v>1.7205893637983178</v>
      </c>
      <c r="L147" s="74">
        <f t="shared" si="5"/>
        <v>0</v>
      </c>
      <c r="M147" s="74"/>
      <c r="N147" s="32"/>
    </row>
    <row r="148" spans="1:14" s="33" customFormat="1" x14ac:dyDescent="0.35">
      <c r="A148" s="91" t="s">
        <v>277</v>
      </c>
      <c r="B148" s="92"/>
      <c r="C148" s="92"/>
      <c r="D148" s="92"/>
      <c r="E148" s="92"/>
      <c r="F148" s="92"/>
      <c r="G148" s="92"/>
      <c r="H148" s="93"/>
      <c r="J148" s="32"/>
      <c r="L148" s="33">
        <v>5700</v>
      </c>
    </row>
    <row r="149" spans="1:14" s="33" customFormat="1" ht="15.75" customHeight="1" x14ac:dyDescent="0.35">
      <c r="A149" s="75">
        <v>1</v>
      </c>
      <c r="B149" s="76"/>
      <c r="C149" s="38" t="s">
        <v>256</v>
      </c>
      <c r="D149" s="54">
        <f>(43.55+0.75*(2.8+4.3+2.59))*10.764</f>
        <v>546.99956999999995</v>
      </c>
      <c r="E149" s="38">
        <v>0</v>
      </c>
      <c r="F149" s="55">
        <v>935</v>
      </c>
      <c r="G149" s="77" t="str">
        <f>A148</f>
        <v>3rd to 7th, 9th &amp; 10th Floor</v>
      </c>
      <c r="H149" s="79"/>
      <c r="I149" s="48"/>
      <c r="J149" s="55">
        <v>935</v>
      </c>
      <c r="K149" s="48">
        <f>J149/D149</f>
        <v>1.7093249268916246</v>
      </c>
      <c r="L149" s="64">
        <f>$L$148*F149</f>
        <v>5329500</v>
      </c>
      <c r="M149" s="64"/>
      <c r="N149" s="32"/>
    </row>
    <row r="150" spans="1:14" s="33" customFormat="1" x14ac:dyDescent="0.35">
      <c r="A150" s="75">
        <f t="shared" ref="A150:A163" si="6">A149+1</f>
        <v>2</v>
      </c>
      <c r="B150" s="76"/>
      <c r="C150" s="38" t="s">
        <v>256</v>
      </c>
      <c r="D150" s="54">
        <f>(45.215+0.75*(2.75+4.3+1.7))*10.764</f>
        <v>557.33301000000006</v>
      </c>
      <c r="E150" s="38">
        <v>0</v>
      </c>
      <c r="F150" s="55">
        <v>955</v>
      </c>
      <c r="G150" s="83"/>
      <c r="H150" s="85"/>
      <c r="I150" s="32"/>
      <c r="J150" s="55">
        <v>955</v>
      </c>
      <c r="K150" s="48">
        <f>J150/D150</f>
        <v>1.713517740497732</v>
      </c>
      <c r="L150" s="64">
        <f t="shared" ref="L150:L162" si="7">$L$148*F150</f>
        <v>5443500</v>
      </c>
      <c r="M150" s="64"/>
      <c r="N150" s="32"/>
    </row>
    <row r="151" spans="1:14" s="33" customFormat="1" x14ac:dyDescent="0.35">
      <c r="A151" s="75">
        <f t="shared" si="6"/>
        <v>3</v>
      </c>
      <c r="B151" s="76"/>
      <c r="C151" s="38" t="s">
        <v>256</v>
      </c>
      <c r="D151" s="54">
        <f>(54.703+3.6+0.75*(2.75+2.1*2))*10.764</f>
        <v>683.68084199999998</v>
      </c>
      <c r="E151" s="38">
        <v>0</v>
      </c>
      <c r="F151" s="55">
        <v>1155</v>
      </c>
      <c r="G151" s="83"/>
      <c r="H151" s="85"/>
      <c r="I151" s="32"/>
      <c r="J151" s="55">
        <v>1155</v>
      </c>
      <c r="K151" s="48">
        <f t="shared" ref="K151:K163" si="8">J151/D151</f>
        <v>1.6893847670518753</v>
      </c>
      <c r="L151" s="64">
        <f t="shared" si="7"/>
        <v>6583500</v>
      </c>
      <c r="M151" s="64"/>
      <c r="N151" s="32"/>
    </row>
    <row r="152" spans="1:14" s="33" customFormat="1" x14ac:dyDescent="0.35">
      <c r="A152" s="75">
        <f t="shared" si="6"/>
        <v>4</v>
      </c>
      <c r="B152" s="76"/>
      <c r="C152" s="38" t="s">
        <v>256</v>
      </c>
      <c r="D152" s="54">
        <f>(55.927+3.6+0.75*(2.85+2.1+3.05))*10.764</f>
        <v>705.332628</v>
      </c>
      <c r="E152" s="38">
        <v>0</v>
      </c>
      <c r="F152" s="55">
        <v>1190</v>
      </c>
      <c r="G152" s="83"/>
      <c r="H152" s="85"/>
      <c r="I152" s="32"/>
      <c r="J152" s="55">
        <v>1190</v>
      </c>
      <c r="K152" s="48">
        <f t="shared" si="8"/>
        <v>1.6871472448031994</v>
      </c>
      <c r="L152" s="64">
        <f t="shared" si="7"/>
        <v>6783000</v>
      </c>
      <c r="M152" s="64"/>
      <c r="N152" s="32"/>
    </row>
    <row r="153" spans="1:14" s="33" customFormat="1" x14ac:dyDescent="0.35">
      <c r="A153" s="75">
        <f t="shared" si="6"/>
        <v>5</v>
      </c>
      <c r="B153" s="76"/>
      <c r="C153" s="38" t="s">
        <v>256</v>
      </c>
      <c r="D153" s="54">
        <f>(54.706+3.6+0.75*(2.1+2.75+2.1))*10.764</f>
        <v>683.71313399999997</v>
      </c>
      <c r="E153" s="38">
        <v>0</v>
      </c>
      <c r="F153" s="55">
        <v>1155</v>
      </c>
      <c r="G153" s="83"/>
      <c r="H153" s="85"/>
      <c r="I153" s="32"/>
      <c r="J153" s="55">
        <v>1155</v>
      </c>
      <c r="K153" s="48">
        <f t="shared" si="8"/>
        <v>1.6893049768442798</v>
      </c>
      <c r="L153" s="64">
        <f t="shared" si="7"/>
        <v>6583500</v>
      </c>
      <c r="M153" s="64"/>
      <c r="N153" s="32"/>
    </row>
    <row r="154" spans="1:14" s="33" customFormat="1" x14ac:dyDescent="0.35">
      <c r="A154" s="75">
        <f t="shared" si="6"/>
        <v>6</v>
      </c>
      <c r="B154" s="76"/>
      <c r="C154" s="38" t="s">
        <v>257</v>
      </c>
      <c r="D154" s="54">
        <f>(35.332+0.75*(2.75+2.4+2.75))*10.764</f>
        <v>444.09034800000001</v>
      </c>
      <c r="E154" s="38">
        <v>0</v>
      </c>
      <c r="F154" s="55">
        <v>760</v>
      </c>
      <c r="G154" s="83"/>
      <c r="H154" s="85"/>
      <c r="I154" s="32"/>
      <c r="J154" s="55">
        <v>760</v>
      </c>
      <c r="K154" s="48">
        <f t="shared" si="8"/>
        <v>1.7113634723716176</v>
      </c>
      <c r="L154" s="64">
        <f t="shared" si="7"/>
        <v>4332000</v>
      </c>
      <c r="M154" s="64"/>
      <c r="N154" s="32"/>
    </row>
    <row r="155" spans="1:14" s="33" customFormat="1" x14ac:dyDescent="0.35">
      <c r="A155" s="75">
        <f t="shared" si="6"/>
        <v>7</v>
      </c>
      <c r="B155" s="76"/>
      <c r="C155" s="38" t="s">
        <v>257</v>
      </c>
      <c r="D155" s="54">
        <f>(31.386+0.75*(2.75+2.25+2.1))*10.764</f>
        <v>395.15720399999998</v>
      </c>
      <c r="E155" s="38">
        <v>0</v>
      </c>
      <c r="F155" s="55">
        <v>680</v>
      </c>
      <c r="G155" s="83"/>
      <c r="H155" s="85"/>
      <c r="I155" s="32"/>
      <c r="J155" s="55">
        <v>680</v>
      </c>
      <c r="K155" s="48">
        <f t="shared" si="8"/>
        <v>1.7208341215006675</v>
      </c>
      <c r="L155" s="64">
        <f t="shared" si="7"/>
        <v>3876000</v>
      </c>
      <c r="M155" s="64"/>
      <c r="N155" s="32"/>
    </row>
    <row r="156" spans="1:14" s="33" customFormat="1" x14ac:dyDescent="0.35">
      <c r="A156" s="75">
        <f t="shared" si="6"/>
        <v>8</v>
      </c>
      <c r="B156" s="76"/>
      <c r="C156" s="38" t="s">
        <v>257</v>
      </c>
      <c r="D156" s="54">
        <f>(31.386+0.75*(2.75+2.25+2.1))*10.764</f>
        <v>395.15720399999998</v>
      </c>
      <c r="E156" s="38">
        <v>0</v>
      </c>
      <c r="F156" s="55">
        <v>680</v>
      </c>
      <c r="G156" s="83"/>
      <c r="H156" s="85"/>
      <c r="I156" s="32"/>
      <c r="J156" s="55">
        <v>680</v>
      </c>
      <c r="K156" s="48">
        <f t="shared" si="8"/>
        <v>1.7208341215006675</v>
      </c>
      <c r="L156" s="64">
        <f t="shared" si="7"/>
        <v>3876000</v>
      </c>
      <c r="M156" s="64"/>
      <c r="N156" s="32"/>
    </row>
    <row r="157" spans="1:14" s="33" customFormat="1" x14ac:dyDescent="0.35">
      <c r="A157" s="75">
        <f t="shared" si="6"/>
        <v>9</v>
      </c>
      <c r="B157" s="76"/>
      <c r="C157" s="38" t="s">
        <v>257</v>
      </c>
      <c r="D157" s="54">
        <f>(35.33+0.75*(2.75+2.4+2.75))*10.764</f>
        <v>444.0688199999999</v>
      </c>
      <c r="E157" s="38">
        <v>0</v>
      </c>
      <c r="F157" s="55">
        <v>760</v>
      </c>
      <c r="G157" s="83"/>
      <c r="H157" s="85"/>
      <c r="I157" s="32"/>
      <c r="J157" s="55">
        <v>760</v>
      </c>
      <c r="K157" s="48">
        <f t="shared" si="8"/>
        <v>1.7114464375138974</v>
      </c>
      <c r="L157" s="64">
        <f t="shared" si="7"/>
        <v>4332000</v>
      </c>
      <c r="M157" s="64"/>
      <c r="N157" s="32"/>
    </row>
    <row r="158" spans="1:14" s="33" customFormat="1" x14ac:dyDescent="0.35">
      <c r="A158" s="75">
        <f t="shared" si="6"/>
        <v>10</v>
      </c>
      <c r="B158" s="76"/>
      <c r="C158" s="38" t="s">
        <v>256</v>
      </c>
      <c r="D158" s="54">
        <f>(48.585+0.75*(2.75+2.1*2+3.05))*10.764</f>
        <v>603.69893999999999</v>
      </c>
      <c r="E158" s="38">
        <v>0</v>
      </c>
      <c r="F158" s="55">
        <v>1025</v>
      </c>
      <c r="G158" s="83"/>
      <c r="H158" s="85"/>
      <c r="I158" s="32"/>
      <c r="J158" s="55">
        <v>1025</v>
      </c>
      <c r="K158" s="48">
        <f t="shared" si="8"/>
        <v>1.6978661582543113</v>
      </c>
      <c r="L158" s="64">
        <f t="shared" si="7"/>
        <v>5842500</v>
      </c>
      <c r="M158" s="64"/>
      <c r="N158" s="32"/>
    </row>
    <row r="159" spans="1:14" s="33" customFormat="1" x14ac:dyDescent="0.35">
      <c r="A159" s="75">
        <f t="shared" si="6"/>
        <v>11</v>
      </c>
      <c r="B159" s="76"/>
      <c r="C159" s="38" t="s">
        <v>257</v>
      </c>
      <c r="D159" s="54">
        <f>(32.865+0.75*(2.75+2.25+2.1))*10.764</f>
        <v>411.07715999999994</v>
      </c>
      <c r="E159" s="38">
        <v>0</v>
      </c>
      <c r="F159" s="55">
        <v>700</v>
      </c>
      <c r="G159" s="83"/>
      <c r="H159" s="85"/>
      <c r="I159" s="32"/>
      <c r="J159" s="55">
        <v>700</v>
      </c>
      <c r="K159" s="48">
        <f t="shared" si="8"/>
        <v>1.702843329948081</v>
      </c>
      <c r="L159" s="64">
        <f t="shared" si="7"/>
        <v>3990000</v>
      </c>
      <c r="M159" s="64"/>
      <c r="N159" s="32"/>
    </row>
    <row r="160" spans="1:14" s="33" customFormat="1" x14ac:dyDescent="0.35">
      <c r="A160" s="75">
        <f t="shared" si="6"/>
        <v>12</v>
      </c>
      <c r="B160" s="76"/>
      <c r="C160" s="38" t="s">
        <v>257</v>
      </c>
      <c r="D160" s="54">
        <f>(32.865+0.75*(2.75+2.25+2.1))*10.764</f>
        <v>411.07715999999994</v>
      </c>
      <c r="E160" s="38">
        <v>0</v>
      </c>
      <c r="F160" s="55">
        <v>700</v>
      </c>
      <c r="G160" s="83"/>
      <c r="H160" s="85"/>
      <c r="I160" s="32"/>
      <c r="J160" s="55">
        <v>700</v>
      </c>
      <c r="K160" s="48">
        <f t="shared" si="8"/>
        <v>1.702843329948081</v>
      </c>
      <c r="L160" s="64">
        <f t="shared" si="7"/>
        <v>3990000</v>
      </c>
      <c r="M160" s="64"/>
      <c r="N160" s="32"/>
    </row>
    <row r="161" spans="1:14" s="33" customFormat="1" x14ac:dyDescent="0.35">
      <c r="A161" s="75">
        <f t="shared" si="6"/>
        <v>13</v>
      </c>
      <c r="B161" s="76"/>
      <c r="C161" s="38" t="s">
        <v>257</v>
      </c>
      <c r="D161" s="54">
        <f>(32.865+0.75*(2.75+2.25+2.1))*10.764</f>
        <v>411.07715999999994</v>
      </c>
      <c r="E161" s="38">
        <v>0</v>
      </c>
      <c r="F161" s="55">
        <v>700</v>
      </c>
      <c r="G161" s="83"/>
      <c r="H161" s="85"/>
      <c r="I161" s="32"/>
      <c r="J161" s="55">
        <v>700</v>
      </c>
      <c r="K161" s="48">
        <f t="shared" si="8"/>
        <v>1.702843329948081</v>
      </c>
      <c r="L161" s="64">
        <f t="shared" si="7"/>
        <v>3990000</v>
      </c>
      <c r="M161" s="64"/>
      <c r="N161" s="32"/>
    </row>
    <row r="162" spans="1:14" s="33" customFormat="1" x14ac:dyDescent="0.35">
      <c r="A162" s="75">
        <f t="shared" si="6"/>
        <v>14</v>
      </c>
      <c r="B162" s="76"/>
      <c r="C162" s="38" t="s">
        <v>256</v>
      </c>
      <c r="D162" s="54">
        <f>(45.215+0.75*(2.75+2.1+2+1.9))*10.764</f>
        <v>557.33301000000006</v>
      </c>
      <c r="E162" s="38">
        <v>0</v>
      </c>
      <c r="F162" s="55">
        <v>955</v>
      </c>
      <c r="G162" s="83"/>
      <c r="H162" s="85"/>
      <c r="I162" s="32"/>
      <c r="J162" s="55">
        <v>955</v>
      </c>
      <c r="K162" s="48">
        <f t="shared" si="8"/>
        <v>1.713517740497732</v>
      </c>
      <c r="L162" s="64">
        <f t="shared" si="7"/>
        <v>5443500</v>
      </c>
      <c r="M162" s="64"/>
      <c r="N162" s="32"/>
    </row>
    <row r="163" spans="1:14" s="33" customFormat="1" x14ac:dyDescent="0.35">
      <c r="A163" s="75">
        <f t="shared" si="6"/>
        <v>15</v>
      </c>
      <c r="B163" s="76"/>
      <c r="C163" s="38" t="s">
        <v>256</v>
      </c>
      <c r="D163" s="54">
        <f>(43.55+0.75*(2.59+2+2.1+2.8))*10.764</f>
        <v>545.38496999999995</v>
      </c>
      <c r="E163" s="38">
        <v>0</v>
      </c>
      <c r="F163" s="55">
        <v>935</v>
      </c>
      <c r="G163" s="80"/>
      <c r="H163" s="82"/>
      <c r="I163" s="32"/>
      <c r="J163" s="55">
        <v>935</v>
      </c>
      <c r="K163" s="48">
        <f t="shared" si="8"/>
        <v>1.7143853450893596</v>
      </c>
      <c r="L163" s="32">
        <f>5740000/F163</f>
        <v>6139.0374331550802</v>
      </c>
      <c r="N163" s="32"/>
    </row>
    <row r="164" spans="1:14" s="33" customFormat="1" x14ac:dyDescent="0.35">
      <c r="A164" s="91" t="s">
        <v>278</v>
      </c>
      <c r="B164" s="92"/>
      <c r="C164" s="92"/>
      <c r="D164" s="92"/>
      <c r="E164" s="92"/>
      <c r="F164" s="92"/>
      <c r="G164" s="92"/>
      <c r="H164" s="93"/>
      <c r="I164" s="66"/>
      <c r="J164" s="64"/>
      <c r="K164" s="64"/>
      <c r="L164" s="64"/>
      <c r="M164" s="64"/>
    </row>
    <row r="165" spans="1:14" s="33" customFormat="1" ht="15.75" customHeight="1" x14ac:dyDescent="0.35">
      <c r="A165" s="75">
        <v>1</v>
      </c>
      <c r="B165" s="76"/>
      <c r="C165" s="38" t="s">
        <v>256</v>
      </c>
      <c r="D165" s="54">
        <f>(43.55+0.75*(2.8+4.3+2.59))*10.764</f>
        <v>546.99956999999995</v>
      </c>
      <c r="E165" s="38">
        <v>0</v>
      </c>
      <c r="F165" s="55">
        <v>935</v>
      </c>
      <c r="G165" s="77" t="str">
        <f>A164</f>
        <v>8th Floor (Part Refuge Area)</v>
      </c>
      <c r="H165" s="79"/>
      <c r="I165" s="66"/>
      <c r="J165" s="64"/>
      <c r="K165" s="64"/>
      <c r="L165" s="64"/>
      <c r="M165" s="64"/>
      <c r="N165" s="32"/>
    </row>
    <row r="166" spans="1:14" s="33" customFormat="1" x14ac:dyDescent="0.35">
      <c r="A166" s="75">
        <f t="shared" ref="A166:A179" si="9">A165+1</f>
        <v>2</v>
      </c>
      <c r="B166" s="76"/>
      <c r="C166" s="38" t="s">
        <v>256</v>
      </c>
      <c r="D166" s="54">
        <f>(45.215+0.75*(2.75+4.3+1.7))*10.764</f>
        <v>557.33301000000006</v>
      </c>
      <c r="E166" s="38">
        <v>0</v>
      </c>
      <c r="F166" s="55">
        <v>955</v>
      </c>
      <c r="G166" s="83"/>
      <c r="H166" s="85"/>
      <c r="I166" s="66"/>
      <c r="J166" s="64"/>
      <c r="K166" s="64"/>
      <c r="L166" s="64"/>
      <c r="M166" s="64"/>
      <c r="N166" s="32"/>
    </row>
    <row r="167" spans="1:14" s="33" customFormat="1" x14ac:dyDescent="0.35">
      <c r="A167" s="75">
        <f t="shared" si="9"/>
        <v>3</v>
      </c>
      <c r="B167" s="76"/>
      <c r="C167" s="38" t="s">
        <v>256</v>
      </c>
      <c r="D167" s="54">
        <f>(54.703+3.6+0.75*(2.75+2.1*2))*10.764</f>
        <v>683.68084199999998</v>
      </c>
      <c r="E167" s="38">
        <v>0</v>
      </c>
      <c r="F167" s="55">
        <v>1155</v>
      </c>
      <c r="G167" s="83"/>
      <c r="H167" s="85"/>
      <c r="I167" s="66"/>
      <c r="J167" s="64"/>
      <c r="K167" s="64"/>
      <c r="L167" s="64"/>
      <c r="M167" s="64"/>
      <c r="N167" s="32"/>
    </row>
    <row r="168" spans="1:14" s="33" customFormat="1" x14ac:dyDescent="0.35">
      <c r="A168" s="75">
        <f t="shared" si="9"/>
        <v>4</v>
      </c>
      <c r="B168" s="76"/>
      <c r="C168" s="38" t="s">
        <v>256</v>
      </c>
      <c r="D168" s="54">
        <f>(55.927+3.6+0.75*(2.85+2.1+3.05))*10.764</f>
        <v>705.332628</v>
      </c>
      <c r="E168" s="38">
        <v>0</v>
      </c>
      <c r="F168" s="55">
        <v>1190</v>
      </c>
      <c r="G168" s="83"/>
      <c r="H168" s="85"/>
      <c r="I168" s="66"/>
      <c r="J168" s="64"/>
      <c r="K168" s="64"/>
      <c r="L168" s="64"/>
      <c r="M168" s="64"/>
      <c r="N168" s="32"/>
    </row>
    <row r="169" spans="1:14" s="33" customFormat="1" x14ac:dyDescent="0.35">
      <c r="A169" s="75">
        <f t="shared" si="9"/>
        <v>5</v>
      </c>
      <c r="B169" s="76"/>
      <c r="C169" s="38" t="s">
        <v>256</v>
      </c>
      <c r="D169" s="54">
        <f>(54.706+3.6+0.75*(2.1+2.75+2.1))*10.764</f>
        <v>683.71313399999997</v>
      </c>
      <c r="E169" s="38">
        <v>0</v>
      </c>
      <c r="F169" s="55">
        <v>1155</v>
      </c>
      <c r="G169" s="83"/>
      <c r="H169" s="85"/>
      <c r="I169" s="66"/>
      <c r="J169" s="64"/>
      <c r="K169" s="64"/>
      <c r="L169" s="64"/>
      <c r="M169" s="64"/>
      <c r="N169" s="32"/>
    </row>
    <row r="170" spans="1:14" s="33" customFormat="1" x14ac:dyDescent="0.35">
      <c r="A170" s="75">
        <f t="shared" si="9"/>
        <v>6</v>
      </c>
      <c r="B170" s="76"/>
      <c r="C170" s="38" t="s">
        <v>257</v>
      </c>
      <c r="D170" s="54">
        <f>(35.332+0.75*(2.75+2.4+2.75))*10.764</f>
        <v>444.09034800000001</v>
      </c>
      <c r="E170" s="38">
        <v>0</v>
      </c>
      <c r="F170" s="55">
        <v>760</v>
      </c>
      <c r="G170" s="83"/>
      <c r="H170" s="85"/>
      <c r="I170" s="66"/>
      <c r="J170" s="64"/>
      <c r="K170" s="64"/>
      <c r="L170" s="64"/>
      <c r="M170" s="64"/>
      <c r="N170" s="32"/>
    </row>
    <row r="171" spans="1:14" s="33" customFormat="1" x14ac:dyDescent="0.35">
      <c r="A171" s="75">
        <f t="shared" si="9"/>
        <v>7</v>
      </c>
      <c r="B171" s="76"/>
      <c r="C171" s="77" t="s">
        <v>279</v>
      </c>
      <c r="D171" s="78"/>
      <c r="E171" s="78"/>
      <c r="F171" s="79"/>
      <c r="G171" s="83"/>
      <c r="H171" s="85"/>
      <c r="I171" s="66"/>
      <c r="J171" s="64"/>
      <c r="K171" s="64"/>
      <c r="L171" s="64"/>
      <c r="M171" s="64"/>
      <c r="N171" s="32"/>
    </row>
    <row r="172" spans="1:14" s="33" customFormat="1" x14ac:dyDescent="0.35">
      <c r="A172" s="75">
        <f t="shared" si="9"/>
        <v>8</v>
      </c>
      <c r="B172" s="76"/>
      <c r="C172" s="80"/>
      <c r="D172" s="81"/>
      <c r="E172" s="81"/>
      <c r="F172" s="82"/>
      <c r="G172" s="83"/>
      <c r="H172" s="85"/>
      <c r="I172" s="66"/>
      <c r="J172" s="64"/>
      <c r="K172" s="64"/>
      <c r="L172" s="64"/>
      <c r="M172" s="64"/>
      <c r="N172" s="32"/>
    </row>
    <row r="173" spans="1:14" s="33" customFormat="1" x14ac:dyDescent="0.35">
      <c r="A173" s="75">
        <f t="shared" si="9"/>
        <v>9</v>
      </c>
      <c r="B173" s="76"/>
      <c r="C173" s="38" t="s">
        <v>257</v>
      </c>
      <c r="D173" s="54">
        <f>(35.33+0.75*(2.75+2.4+2.75))*10.764</f>
        <v>444.0688199999999</v>
      </c>
      <c r="E173" s="38">
        <v>0</v>
      </c>
      <c r="F173" s="55">
        <v>760</v>
      </c>
      <c r="G173" s="83"/>
      <c r="H173" s="85"/>
      <c r="I173" s="66"/>
      <c r="J173" s="64"/>
      <c r="K173" s="64"/>
      <c r="L173" s="64"/>
      <c r="M173" s="64"/>
      <c r="N173" s="32"/>
    </row>
    <row r="174" spans="1:14" s="33" customFormat="1" x14ac:dyDescent="0.35">
      <c r="A174" s="75">
        <f t="shared" si="9"/>
        <v>10</v>
      </c>
      <c r="B174" s="76"/>
      <c r="C174" s="38" t="s">
        <v>256</v>
      </c>
      <c r="D174" s="54">
        <f>(48.585+0.75*(2.75+2.1*2+3.05))*10.764</f>
        <v>603.69893999999999</v>
      </c>
      <c r="E174" s="38">
        <v>0</v>
      </c>
      <c r="F174" s="55">
        <v>1025</v>
      </c>
      <c r="G174" s="83"/>
      <c r="H174" s="85"/>
      <c r="I174" s="66"/>
      <c r="J174" s="64"/>
      <c r="K174" s="64"/>
      <c r="L174" s="64"/>
      <c r="M174" s="64"/>
      <c r="N174" s="32"/>
    </row>
    <row r="175" spans="1:14" s="33" customFormat="1" x14ac:dyDescent="0.35">
      <c r="A175" s="75">
        <f t="shared" si="9"/>
        <v>11</v>
      </c>
      <c r="B175" s="76"/>
      <c r="C175" s="38" t="s">
        <v>257</v>
      </c>
      <c r="D175" s="54">
        <f>(32.865+0.75*(2.75+2.25+2.1))*10.764</f>
        <v>411.07715999999994</v>
      </c>
      <c r="E175" s="38">
        <v>0</v>
      </c>
      <c r="F175" s="55">
        <v>700</v>
      </c>
      <c r="G175" s="83"/>
      <c r="H175" s="85"/>
      <c r="I175" s="66"/>
      <c r="J175" s="64"/>
      <c r="K175" s="64"/>
      <c r="L175" s="64"/>
      <c r="M175" s="64"/>
      <c r="N175" s="32"/>
    </row>
    <row r="176" spans="1:14" s="33" customFormat="1" x14ac:dyDescent="0.35">
      <c r="A176" s="75">
        <f t="shared" si="9"/>
        <v>12</v>
      </c>
      <c r="B176" s="76"/>
      <c r="C176" s="38" t="s">
        <v>257</v>
      </c>
      <c r="D176" s="54">
        <f>(32.865+0.75*(2.75+2.25+2.1))*10.764</f>
        <v>411.07715999999994</v>
      </c>
      <c r="E176" s="38">
        <v>0</v>
      </c>
      <c r="F176" s="55">
        <v>700</v>
      </c>
      <c r="G176" s="83"/>
      <c r="H176" s="85"/>
      <c r="I176" s="66"/>
      <c r="J176" s="64"/>
      <c r="K176" s="64"/>
      <c r="L176" s="64"/>
      <c r="M176" s="64"/>
      <c r="N176" s="32"/>
    </row>
    <row r="177" spans="1:14" s="33" customFormat="1" x14ac:dyDescent="0.35">
      <c r="A177" s="75">
        <f t="shared" si="9"/>
        <v>13</v>
      </c>
      <c r="B177" s="76"/>
      <c r="C177" s="38" t="s">
        <v>257</v>
      </c>
      <c r="D177" s="54">
        <f>(32.865+0.75*(2.75+2.25+2.1))*10.764</f>
        <v>411.07715999999994</v>
      </c>
      <c r="E177" s="38">
        <v>0</v>
      </c>
      <c r="F177" s="55">
        <v>700</v>
      </c>
      <c r="G177" s="83"/>
      <c r="H177" s="85"/>
      <c r="I177" s="66"/>
      <c r="J177" s="64"/>
      <c r="K177" s="64"/>
      <c r="L177" s="64"/>
      <c r="M177" s="64"/>
      <c r="N177" s="32"/>
    </row>
    <row r="178" spans="1:14" s="33" customFormat="1" x14ac:dyDescent="0.35">
      <c r="A178" s="75">
        <f t="shared" si="9"/>
        <v>14</v>
      </c>
      <c r="B178" s="76"/>
      <c r="C178" s="38" t="s">
        <v>256</v>
      </c>
      <c r="D178" s="54">
        <f>(45.215+0.75*(2.75+2.1+2+1.9))*10.764</f>
        <v>557.33301000000006</v>
      </c>
      <c r="E178" s="38">
        <v>0</v>
      </c>
      <c r="F178" s="55">
        <v>955</v>
      </c>
      <c r="G178" s="83"/>
      <c r="H178" s="85"/>
      <c r="I178" s="66"/>
      <c r="J178" s="64"/>
      <c r="K178" s="64"/>
      <c r="L178" s="64"/>
      <c r="M178" s="64"/>
      <c r="N178" s="32"/>
    </row>
    <row r="179" spans="1:14" s="33" customFormat="1" x14ac:dyDescent="0.35">
      <c r="A179" s="75">
        <f t="shared" si="9"/>
        <v>15</v>
      </c>
      <c r="B179" s="76"/>
      <c r="C179" s="38" t="s">
        <v>256</v>
      </c>
      <c r="D179" s="54">
        <f>(43.55+0.75*(2.59+2+2.1+2.8))*10.764</f>
        <v>545.38496999999995</v>
      </c>
      <c r="E179" s="38">
        <v>0</v>
      </c>
      <c r="F179" s="55">
        <v>935</v>
      </c>
      <c r="G179" s="80"/>
      <c r="H179" s="82"/>
      <c r="I179" s="66"/>
      <c r="J179" s="64"/>
      <c r="K179" s="64"/>
      <c r="L179" s="64"/>
      <c r="M179" s="64"/>
      <c r="N179" s="32"/>
    </row>
    <row r="180" spans="1:14" s="33" customFormat="1" x14ac:dyDescent="0.35">
      <c r="A180" s="91" t="s">
        <v>280</v>
      </c>
      <c r="B180" s="92"/>
      <c r="C180" s="92"/>
      <c r="D180" s="92"/>
      <c r="E180" s="92"/>
      <c r="F180" s="92"/>
      <c r="G180" s="92"/>
      <c r="H180" s="93"/>
      <c r="I180" s="66"/>
      <c r="J180" s="64"/>
      <c r="K180" s="64"/>
      <c r="L180" s="64"/>
      <c r="M180" s="64"/>
    </row>
    <row r="181" spans="1:14" s="33" customFormat="1" ht="15.75" customHeight="1" x14ac:dyDescent="0.35">
      <c r="A181" s="75">
        <v>1</v>
      </c>
      <c r="B181" s="76"/>
      <c r="C181" s="38" t="s">
        <v>256</v>
      </c>
      <c r="D181" s="54">
        <f>(43.55+0.75*(2.8+4.3+2.59))*10.764</f>
        <v>546.99956999999995</v>
      </c>
      <c r="E181" s="38">
        <v>0</v>
      </c>
      <c r="F181" s="55">
        <v>935</v>
      </c>
      <c r="G181" s="77" t="str">
        <f>A180</f>
        <v>11th Floor (Part Refuge Area)</v>
      </c>
      <c r="H181" s="79"/>
      <c r="I181" s="66"/>
      <c r="J181" s="64"/>
      <c r="K181" s="64"/>
      <c r="L181" s="64"/>
      <c r="M181" s="64"/>
      <c r="N181" s="32"/>
    </row>
    <row r="182" spans="1:14" s="33" customFormat="1" x14ac:dyDescent="0.35">
      <c r="A182" s="75">
        <f t="shared" ref="A182:A195" si="10">A181+1</f>
        <v>2</v>
      </c>
      <c r="B182" s="76"/>
      <c r="C182" s="38" t="s">
        <v>256</v>
      </c>
      <c r="D182" s="54">
        <f>(45.215+0.75*(2.75+4.3+1.7))*10.764</f>
        <v>557.33301000000006</v>
      </c>
      <c r="E182" s="38">
        <v>0</v>
      </c>
      <c r="F182" s="55">
        <v>955</v>
      </c>
      <c r="G182" s="83"/>
      <c r="H182" s="85"/>
      <c r="I182" s="66"/>
      <c r="J182" s="64"/>
      <c r="K182" s="64"/>
      <c r="L182" s="64"/>
      <c r="M182" s="64"/>
      <c r="N182" s="32"/>
    </row>
    <row r="183" spans="1:14" s="33" customFormat="1" x14ac:dyDescent="0.35">
      <c r="A183" s="75">
        <f t="shared" si="10"/>
        <v>3</v>
      </c>
      <c r="B183" s="76"/>
      <c r="C183" s="38" t="s">
        <v>256</v>
      </c>
      <c r="D183" s="54">
        <f>(54.703+3.6+0.75*(2.75+2.1*2))*10.764</f>
        <v>683.68084199999998</v>
      </c>
      <c r="E183" s="38">
        <v>0</v>
      </c>
      <c r="F183" s="55">
        <v>1155</v>
      </c>
      <c r="G183" s="83"/>
      <c r="H183" s="85"/>
      <c r="I183" s="66"/>
      <c r="J183" s="64"/>
      <c r="K183" s="64"/>
      <c r="L183" s="64"/>
      <c r="M183" s="64"/>
      <c r="N183" s="32"/>
    </row>
    <row r="184" spans="1:14" s="33" customFormat="1" x14ac:dyDescent="0.35">
      <c r="A184" s="75">
        <f t="shared" si="10"/>
        <v>4</v>
      </c>
      <c r="B184" s="76"/>
      <c r="C184" s="38" t="s">
        <v>256</v>
      </c>
      <c r="D184" s="54">
        <f>(55.927+3.6+0.75*(2.85+2.1+3.05))*10.764</f>
        <v>705.332628</v>
      </c>
      <c r="E184" s="38">
        <v>0</v>
      </c>
      <c r="F184" s="55">
        <v>1190</v>
      </c>
      <c r="G184" s="83"/>
      <c r="H184" s="85"/>
      <c r="I184" s="66"/>
      <c r="J184" s="64"/>
      <c r="K184" s="64"/>
      <c r="L184" s="64"/>
      <c r="M184" s="64"/>
      <c r="N184" s="32"/>
    </row>
    <row r="185" spans="1:14" s="33" customFormat="1" x14ac:dyDescent="0.35">
      <c r="A185" s="75">
        <f t="shared" si="10"/>
        <v>5</v>
      </c>
      <c r="B185" s="76"/>
      <c r="C185" s="38" t="s">
        <v>256</v>
      </c>
      <c r="D185" s="54">
        <f>(54.706+3.6+0.75*(2.1+2.75+2.1))*10.764</f>
        <v>683.71313399999997</v>
      </c>
      <c r="E185" s="38">
        <v>0</v>
      </c>
      <c r="F185" s="55">
        <v>1155</v>
      </c>
      <c r="G185" s="83"/>
      <c r="H185" s="85"/>
      <c r="I185" s="66"/>
      <c r="J185" s="64"/>
      <c r="K185" s="64"/>
      <c r="L185" s="64"/>
      <c r="M185" s="64"/>
      <c r="N185" s="32"/>
    </row>
    <row r="186" spans="1:14" s="33" customFormat="1" x14ac:dyDescent="0.35">
      <c r="A186" s="75">
        <f t="shared" si="10"/>
        <v>6</v>
      </c>
      <c r="B186" s="76"/>
      <c r="C186" s="38" t="s">
        <v>257</v>
      </c>
      <c r="D186" s="54">
        <f>(30.869+5.15+0.75*2.75)*10.764</f>
        <v>409.90926599999995</v>
      </c>
      <c r="E186" s="38">
        <v>0</v>
      </c>
      <c r="F186" s="55">
        <v>760</v>
      </c>
      <c r="G186" s="83"/>
      <c r="H186" s="85"/>
      <c r="I186" s="67">
        <f>4.3*2.75+3*0.85+2.15*2.4+2.15*2.75+2.1*1.2+2.1*1.2</f>
        <v>30.487499999999997</v>
      </c>
      <c r="J186" s="64"/>
      <c r="K186" s="64"/>
      <c r="L186" s="64"/>
      <c r="M186" s="64"/>
      <c r="N186" s="32"/>
    </row>
    <row r="187" spans="1:14" s="33" customFormat="1" x14ac:dyDescent="0.35">
      <c r="A187" s="75">
        <f t="shared" si="10"/>
        <v>7</v>
      </c>
      <c r="B187" s="76"/>
      <c r="C187" s="77" t="s">
        <v>279</v>
      </c>
      <c r="D187" s="78"/>
      <c r="E187" s="78"/>
      <c r="F187" s="79"/>
      <c r="G187" s="83"/>
      <c r="H187" s="85"/>
      <c r="I187" s="66"/>
      <c r="J187" s="64"/>
      <c r="K187" s="64"/>
      <c r="L187" s="64"/>
      <c r="M187" s="64"/>
      <c r="N187" s="32"/>
    </row>
    <row r="188" spans="1:14" s="33" customFormat="1" x14ac:dyDescent="0.35">
      <c r="A188" s="75">
        <f t="shared" si="10"/>
        <v>8</v>
      </c>
      <c r="B188" s="76"/>
      <c r="C188" s="80"/>
      <c r="D188" s="81"/>
      <c r="E188" s="81"/>
      <c r="F188" s="82"/>
      <c r="G188" s="83"/>
      <c r="H188" s="85"/>
      <c r="I188" s="66"/>
      <c r="J188" s="64"/>
      <c r="K188" s="64"/>
      <c r="L188" s="64"/>
      <c r="M188" s="64"/>
      <c r="N188" s="32"/>
    </row>
    <row r="189" spans="1:14" s="33" customFormat="1" x14ac:dyDescent="0.35">
      <c r="A189" s="75">
        <f t="shared" si="10"/>
        <v>9</v>
      </c>
      <c r="B189" s="76"/>
      <c r="C189" s="38" t="s">
        <v>257</v>
      </c>
      <c r="D189" s="54">
        <f>(30.868+5.15+0.75*2.75)*10.764</f>
        <v>409.89850200000001</v>
      </c>
      <c r="E189" s="38">
        <v>0</v>
      </c>
      <c r="F189" s="55">
        <v>760</v>
      </c>
      <c r="G189" s="83"/>
      <c r="H189" s="85"/>
      <c r="I189" s="66"/>
      <c r="J189" s="64"/>
      <c r="K189" s="64"/>
      <c r="L189" s="64"/>
      <c r="M189" s="64"/>
      <c r="N189" s="32"/>
    </row>
    <row r="190" spans="1:14" s="33" customFormat="1" x14ac:dyDescent="0.35">
      <c r="A190" s="75">
        <f t="shared" si="10"/>
        <v>10</v>
      </c>
      <c r="B190" s="76"/>
      <c r="C190" s="38" t="s">
        <v>256</v>
      </c>
      <c r="D190" s="54">
        <f>(48.585+0.75*(2.75+2.1*2+3.05))*10.764</f>
        <v>603.69893999999999</v>
      </c>
      <c r="E190" s="38">
        <v>0</v>
      </c>
      <c r="F190" s="55">
        <v>1025</v>
      </c>
      <c r="G190" s="83"/>
      <c r="H190" s="85"/>
      <c r="I190" s="66"/>
      <c r="J190" s="64"/>
      <c r="K190" s="64"/>
      <c r="L190" s="64"/>
      <c r="M190" s="64"/>
      <c r="N190" s="32"/>
    </row>
    <row r="191" spans="1:14" s="33" customFormat="1" x14ac:dyDescent="0.35">
      <c r="A191" s="75">
        <f t="shared" si="10"/>
        <v>11</v>
      </c>
      <c r="B191" s="76"/>
      <c r="C191" s="38" t="s">
        <v>257</v>
      </c>
      <c r="D191" s="54">
        <f>(32.865+0.75*(2.75+2.25+2.1))*10.764</f>
        <v>411.07715999999994</v>
      </c>
      <c r="E191" s="38">
        <v>0</v>
      </c>
      <c r="F191" s="55">
        <v>700</v>
      </c>
      <c r="G191" s="83"/>
      <c r="H191" s="85"/>
      <c r="I191" s="66"/>
      <c r="J191" s="64"/>
      <c r="K191" s="64"/>
      <c r="L191" s="64"/>
      <c r="M191" s="64"/>
      <c r="N191" s="32"/>
    </row>
    <row r="192" spans="1:14" s="33" customFormat="1" x14ac:dyDescent="0.35">
      <c r="A192" s="75">
        <f t="shared" si="10"/>
        <v>12</v>
      </c>
      <c r="B192" s="76"/>
      <c r="C192" s="38" t="s">
        <v>257</v>
      </c>
      <c r="D192" s="54">
        <f>(32.865+0.75*(2.75+2.25+2.1))*10.764</f>
        <v>411.07715999999994</v>
      </c>
      <c r="E192" s="38">
        <v>0</v>
      </c>
      <c r="F192" s="55">
        <v>700</v>
      </c>
      <c r="G192" s="83"/>
      <c r="H192" s="85"/>
      <c r="I192" s="66"/>
      <c r="J192" s="64"/>
      <c r="K192" s="64"/>
      <c r="L192" s="64"/>
      <c r="M192" s="64"/>
      <c r="N192" s="32"/>
    </row>
    <row r="193" spans="1:14" s="33" customFormat="1" x14ac:dyDescent="0.35">
      <c r="A193" s="75">
        <f t="shared" si="10"/>
        <v>13</v>
      </c>
      <c r="B193" s="76"/>
      <c r="C193" s="38" t="s">
        <v>257</v>
      </c>
      <c r="D193" s="54">
        <f>(32.865+0.75*(2.75+2.25+2.1))*10.764</f>
        <v>411.07715999999994</v>
      </c>
      <c r="E193" s="38">
        <v>0</v>
      </c>
      <c r="F193" s="55">
        <v>700</v>
      </c>
      <c r="G193" s="83"/>
      <c r="H193" s="85"/>
      <c r="I193" s="66"/>
      <c r="J193" s="64"/>
      <c r="K193" s="64"/>
      <c r="L193" s="64"/>
      <c r="M193" s="64"/>
      <c r="N193" s="32"/>
    </row>
    <row r="194" spans="1:14" s="33" customFormat="1" x14ac:dyDescent="0.35">
      <c r="A194" s="75">
        <f t="shared" si="10"/>
        <v>14</v>
      </c>
      <c r="B194" s="76"/>
      <c r="C194" s="38" t="s">
        <v>256</v>
      </c>
      <c r="D194" s="54">
        <f>(45.215+0.75*(2.75+2.1+2+1.9))*10.764</f>
        <v>557.33301000000006</v>
      </c>
      <c r="E194" s="38">
        <v>0</v>
      </c>
      <c r="F194" s="55">
        <v>955</v>
      </c>
      <c r="G194" s="83"/>
      <c r="H194" s="85"/>
      <c r="I194" s="66"/>
      <c r="J194" s="64"/>
      <c r="K194" s="64"/>
      <c r="L194" s="64"/>
      <c r="M194" s="64"/>
      <c r="N194" s="32"/>
    </row>
    <row r="195" spans="1:14" s="33" customFormat="1" x14ac:dyDescent="0.35">
      <c r="A195" s="75">
        <f t="shared" si="10"/>
        <v>15</v>
      </c>
      <c r="B195" s="76"/>
      <c r="C195" s="38" t="s">
        <v>256</v>
      </c>
      <c r="D195" s="54">
        <f>(43.55+0.75*(2.59+2+2.1+2.8))*10.764</f>
        <v>545.38496999999995</v>
      </c>
      <c r="E195" s="38">
        <v>0</v>
      </c>
      <c r="F195" s="55">
        <v>935</v>
      </c>
      <c r="G195" s="80"/>
      <c r="H195" s="82"/>
      <c r="I195" s="66"/>
      <c r="J195" s="64"/>
      <c r="K195" s="64"/>
      <c r="L195" s="64"/>
      <c r="M195" s="64"/>
      <c r="N195" s="32"/>
    </row>
    <row r="196" spans="1:14" s="33" customFormat="1" x14ac:dyDescent="0.35">
      <c r="A196" s="91" t="s">
        <v>281</v>
      </c>
      <c r="B196" s="92"/>
      <c r="C196" s="92"/>
      <c r="D196" s="92"/>
      <c r="E196" s="92"/>
      <c r="F196" s="92"/>
      <c r="G196" s="92"/>
      <c r="H196" s="93"/>
      <c r="I196" s="66"/>
      <c r="J196" s="64"/>
      <c r="K196" s="64"/>
      <c r="L196" s="64"/>
      <c r="M196" s="64"/>
    </row>
    <row r="197" spans="1:14" s="33" customFormat="1" ht="15.75" customHeight="1" x14ac:dyDescent="0.35">
      <c r="A197" s="75">
        <v>1</v>
      </c>
      <c r="B197" s="76"/>
      <c r="C197" s="38" t="s">
        <v>256</v>
      </c>
      <c r="D197" s="54">
        <f>(43.55+0.75*(2.8+4.3+2.59))*10.764</f>
        <v>546.99956999999995</v>
      </c>
      <c r="E197" s="38">
        <v>0</v>
      </c>
      <c r="F197" s="55">
        <v>935</v>
      </c>
      <c r="G197" s="77" t="str">
        <f>A196</f>
        <v>12th Floor (Part Terrace Area)</v>
      </c>
      <c r="H197" s="79"/>
      <c r="I197" s="66"/>
      <c r="J197" s="64"/>
      <c r="K197" s="64"/>
      <c r="L197" s="64"/>
      <c r="M197" s="64"/>
      <c r="N197" s="32"/>
    </row>
    <row r="198" spans="1:14" s="33" customFormat="1" x14ac:dyDescent="0.35">
      <c r="A198" s="75">
        <f t="shared" ref="A198:A211" si="11">A197+1</f>
        <v>2</v>
      </c>
      <c r="B198" s="76"/>
      <c r="C198" s="38" t="s">
        <v>256</v>
      </c>
      <c r="D198" s="54">
        <f>(45.215+0.75*(2.75+4.3+1.7))*10.764</f>
        <v>557.33301000000006</v>
      </c>
      <c r="E198" s="38">
        <v>0</v>
      </c>
      <c r="F198" s="55">
        <v>955</v>
      </c>
      <c r="G198" s="83"/>
      <c r="H198" s="85"/>
      <c r="I198" s="66"/>
      <c r="J198" s="64"/>
      <c r="K198" s="64"/>
      <c r="L198" s="64"/>
      <c r="M198" s="64"/>
      <c r="N198" s="32"/>
    </row>
    <row r="199" spans="1:14" s="33" customFormat="1" x14ac:dyDescent="0.35">
      <c r="A199" s="75">
        <f t="shared" si="11"/>
        <v>3</v>
      </c>
      <c r="B199" s="76"/>
      <c r="C199" s="38" t="s">
        <v>256</v>
      </c>
      <c r="D199" s="54">
        <f>(54.703+3.6+0.75*(2.75+2.1*2))*10.764</f>
        <v>683.68084199999998</v>
      </c>
      <c r="E199" s="38">
        <v>0</v>
      </c>
      <c r="F199" s="55">
        <v>1155</v>
      </c>
      <c r="G199" s="83"/>
      <c r="H199" s="85"/>
      <c r="I199" s="66"/>
      <c r="J199" s="64"/>
      <c r="K199" s="64"/>
      <c r="L199" s="64"/>
      <c r="M199" s="64"/>
      <c r="N199" s="32"/>
    </row>
    <row r="200" spans="1:14" s="33" customFormat="1" x14ac:dyDescent="0.35">
      <c r="A200" s="75">
        <f t="shared" si="11"/>
        <v>4</v>
      </c>
      <c r="B200" s="76"/>
      <c r="C200" s="38" t="s">
        <v>256</v>
      </c>
      <c r="D200" s="54">
        <f>(55.927+3.6+0.75*(2.85+2.1+3.05))*10.764</f>
        <v>705.332628</v>
      </c>
      <c r="E200" s="38">
        <v>0</v>
      </c>
      <c r="F200" s="55">
        <v>1190</v>
      </c>
      <c r="G200" s="83"/>
      <c r="H200" s="85"/>
      <c r="I200" s="66"/>
      <c r="J200" s="64"/>
      <c r="K200" s="64"/>
      <c r="L200" s="64"/>
      <c r="M200" s="64"/>
      <c r="N200" s="32"/>
    </row>
    <row r="201" spans="1:14" s="33" customFormat="1" x14ac:dyDescent="0.35">
      <c r="A201" s="75">
        <f t="shared" si="11"/>
        <v>5</v>
      </c>
      <c r="B201" s="76"/>
      <c r="C201" s="38" t="s">
        <v>256</v>
      </c>
      <c r="D201" s="54">
        <f>(54.706+3.6+0.75*(2.1+2.75+2.1))*10.764</f>
        <v>683.71313399999997</v>
      </c>
      <c r="E201" s="38">
        <v>0</v>
      </c>
      <c r="F201" s="55">
        <v>1155</v>
      </c>
      <c r="G201" s="83"/>
      <c r="H201" s="85"/>
      <c r="I201" s="66"/>
      <c r="J201" s="64"/>
      <c r="K201" s="64"/>
      <c r="L201" s="64"/>
      <c r="M201" s="64"/>
      <c r="N201" s="32"/>
    </row>
    <row r="202" spans="1:14" s="33" customFormat="1" x14ac:dyDescent="0.35">
      <c r="A202" s="75">
        <f t="shared" si="11"/>
        <v>6</v>
      </c>
      <c r="B202" s="76"/>
      <c r="C202" s="38" t="s">
        <v>257</v>
      </c>
      <c r="D202" s="54">
        <f>(30.869+5.15+0.75*2.75)*10.764</f>
        <v>409.90926599999995</v>
      </c>
      <c r="E202" s="38">
        <v>0</v>
      </c>
      <c r="F202" s="55">
        <v>760</v>
      </c>
      <c r="G202" s="83"/>
      <c r="H202" s="85"/>
      <c r="I202" s="66"/>
      <c r="J202" s="64"/>
      <c r="K202" s="64"/>
      <c r="L202" s="64"/>
      <c r="M202" s="64"/>
      <c r="N202" s="32"/>
    </row>
    <row r="203" spans="1:14" s="33" customFormat="1" x14ac:dyDescent="0.35">
      <c r="A203" s="75">
        <f t="shared" si="11"/>
        <v>7</v>
      </c>
      <c r="B203" s="76"/>
      <c r="C203" s="38" t="s">
        <v>257</v>
      </c>
      <c r="D203" s="54">
        <f>(27.178+4.85+0.75*2.25)*10.764</f>
        <v>362.91364199999998</v>
      </c>
      <c r="E203" s="38">
        <v>0</v>
      </c>
      <c r="F203" s="55">
        <v>680</v>
      </c>
      <c r="G203" s="83"/>
      <c r="H203" s="85"/>
      <c r="I203" s="66"/>
      <c r="J203" s="64"/>
      <c r="K203" s="64"/>
      <c r="L203" s="64"/>
      <c r="M203" s="64"/>
      <c r="N203" s="32"/>
    </row>
    <row r="204" spans="1:14" s="33" customFormat="1" x14ac:dyDescent="0.35">
      <c r="A204" s="75">
        <f t="shared" si="11"/>
        <v>8</v>
      </c>
      <c r="B204" s="76"/>
      <c r="C204" s="38" t="s">
        <v>257</v>
      </c>
      <c r="D204" s="54">
        <f>(27.178+4.85+0.75*2.25)*10.764</f>
        <v>362.91364199999998</v>
      </c>
      <c r="E204" s="38">
        <v>0</v>
      </c>
      <c r="F204" s="55">
        <v>680</v>
      </c>
      <c r="G204" s="83"/>
      <c r="H204" s="85"/>
      <c r="I204" s="66"/>
      <c r="J204" s="64"/>
      <c r="K204" s="64"/>
      <c r="L204" s="64"/>
      <c r="M204" s="64"/>
      <c r="N204" s="32"/>
    </row>
    <row r="205" spans="1:14" s="33" customFormat="1" x14ac:dyDescent="0.35">
      <c r="A205" s="75">
        <f t="shared" si="11"/>
        <v>9</v>
      </c>
      <c r="B205" s="76"/>
      <c r="C205" s="38" t="s">
        <v>257</v>
      </c>
      <c r="D205" s="54">
        <f>(30.869+5.15+0.75*2.75)*10.764</f>
        <v>409.90926599999995</v>
      </c>
      <c r="E205" s="38">
        <v>0</v>
      </c>
      <c r="F205" s="55">
        <v>760</v>
      </c>
      <c r="G205" s="83"/>
      <c r="H205" s="85"/>
      <c r="I205" s="66"/>
      <c r="J205" s="64"/>
      <c r="K205" s="64"/>
      <c r="L205" s="64"/>
      <c r="M205" s="64"/>
      <c r="N205" s="32"/>
    </row>
    <row r="206" spans="1:14" s="33" customFormat="1" x14ac:dyDescent="0.35">
      <c r="A206" s="75">
        <f t="shared" si="11"/>
        <v>10</v>
      </c>
      <c r="B206" s="76"/>
      <c r="C206" s="38" t="s">
        <v>256</v>
      </c>
      <c r="D206" s="54">
        <f>(48.585+0.75*(2.75+2.1*2+3.05))*10.764</f>
        <v>603.69893999999999</v>
      </c>
      <c r="E206" s="38">
        <v>0</v>
      </c>
      <c r="F206" s="55">
        <v>1025</v>
      </c>
      <c r="G206" s="83"/>
      <c r="H206" s="85"/>
      <c r="I206" s="66"/>
      <c r="J206" s="64"/>
      <c r="K206" s="64"/>
      <c r="L206" s="64"/>
      <c r="M206" s="64"/>
      <c r="N206" s="32"/>
    </row>
    <row r="207" spans="1:14" s="33" customFormat="1" x14ac:dyDescent="0.35">
      <c r="A207" s="75">
        <f t="shared" si="11"/>
        <v>11</v>
      </c>
      <c r="B207" s="76"/>
      <c r="C207" s="38" t="s">
        <v>257</v>
      </c>
      <c r="D207" s="54">
        <f>(28.657+4.85+0.75*2.25)*10.764</f>
        <v>378.83359799999994</v>
      </c>
      <c r="E207" s="38">
        <v>0</v>
      </c>
      <c r="F207" s="55">
        <v>700</v>
      </c>
      <c r="G207" s="83"/>
      <c r="H207" s="85"/>
      <c r="I207" s="66"/>
      <c r="J207" s="64"/>
      <c r="K207" s="64"/>
      <c r="L207" s="64"/>
      <c r="M207" s="64"/>
      <c r="N207" s="32"/>
    </row>
    <row r="208" spans="1:14" s="33" customFormat="1" x14ac:dyDescent="0.35">
      <c r="A208" s="75">
        <f t="shared" si="11"/>
        <v>12</v>
      </c>
      <c r="B208" s="76"/>
      <c r="C208" s="38" t="s">
        <v>257</v>
      </c>
      <c r="D208" s="54">
        <f>(28.657+4.85+0.75*2.25)*10.764</f>
        <v>378.83359799999994</v>
      </c>
      <c r="E208" s="38">
        <v>0</v>
      </c>
      <c r="F208" s="55">
        <v>700</v>
      </c>
      <c r="G208" s="83"/>
      <c r="H208" s="85"/>
      <c r="I208" s="66"/>
      <c r="J208" s="64"/>
      <c r="K208" s="64"/>
      <c r="L208" s="64"/>
      <c r="M208" s="64"/>
      <c r="N208" s="32"/>
    </row>
    <row r="209" spans="1:14" s="33" customFormat="1" x14ac:dyDescent="0.35">
      <c r="A209" s="75">
        <f t="shared" si="11"/>
        <v>13</v>
      </c>
      <c r="B209" s="76"/>
      <c r="C209" s="38" t="s">
        <v>257</v>
      </c>
      <c r="D209" s="54">
        <f>(28.657+4.85+0.75*2.25)*10.764</f>
        <v>378.83359799999994</v>
      </c>
      <c r="E209" s="38">
        <v>0</v>
      </c>
      <c r="F209" s="55">
        <v>700</v>
      </c>
      <c r="G209" s="83"/>
      <c r="H209" s="85"/>
      <c r="I209" s="66"/>
      <c r="J209" s="64"/>
      <c r="K209" s="64"/>
      <c r="L209" s="64"/>
      <c r="M209" s="64"/>
      <c r="N209" s="32"/>
    </row>
    <row r="210" spans="1:14" s="33" customFormat="1" x14ac:dyDescent="0.35">
      <c r="A210" s="75">
        <f t="shared" si="11"/>
        <v>14</v>
      </c>
      <c r="B210" s="76"/>
      <c r="C210" s="75" t="s">
        <v>259</v>
      </c>
      <c r="D210" s="201"/>
      <c r="E210" s="201"/>
      <c r="F210" s="76"/>
      <c r="G210" s="83"/>
      <c r="H210" s="85"/>
      <c r="I210" s="66"/>
      <c r="J210" s="64"/>
      <c r="K210" s="64"/>
      <c r="L210" s="64"/>
      <c r="M210" s="64"/>
      <c r="N210" s="32"/>
    </row>
    <row r="211" spans="1:14" s="33" customFormat="1" x14ac:dyDescent="0.35">
      <c r="A211" s="75">
        <f t="shared" si="11"/>
        <v>15</v>
      </c>
      <c r="B211" s="76"/>
      <c r="C211" s="38" t="s">
        <v>256</v>
      </c>
      <c r="D211" s="54">
        <f>(43.55+0.75*(2.59+2+2.1+2.8))*10.764</f>
        <v>545.38496999999995</v>
      </c>
      <c r="E211" s="38">
        <v>0</v>
      </c>
      <c r="F211" s="55">
        <v>935</v>
      </c>
      <c r="G211" s="80"/>
      <c r="H211" s="82"/>
      <c r="N211" s="32"/>
    </row>
    <row r="212" spans="1:14" s="33" customFormat="1" hidden="1" x14ac:dyDescent="0.35">
      <c r="A212" s="190" t="s">
        <v>258</v>
      </c>
      <c r="B212" s="191"/>
      <c r="C212" s="191"/>
      <c r="D212" s="191"/>
      <c r="E212" s="191"/>
      <c r="F212" s="191"/>
      <c r="G212" s="191"/>
      <c r="H212" s="192"/>
      <c r="I212" s="66"/>
      <c r="J212" s="64"/>
      <c r="K212" s="64"/>
      <c r="L212" s="64"/>
      <c r="M212" s="64"/>
    </row>
    <row r="213" spans="1:14" s="33" customFormat="1" ht="15.75" hidden="1" customHeight="1" x14ac:dyDescent="0.35">
      <c r="A213" s="75">
        <v>1</v>
      </c>
      <c r="B213" s="76"/>
      <c r="C213" s="77" t="s">
        <v>259</v>
      </c>
      <c r="D213" s="78"/>
      <c r="E213" s="78"/>
      <c r="F213" s="79"/>
      <c r="G213" s="77" t="str">
        <f>A212</f>
        <v>7th Floor (Part Terrace Area)</v>
      </c>
      <c r="H213" s="79"/>
      <c r="I213" s="66"/>
      <c r="J213" s="64"/>
      <c r="K213" s="64"/>
      <c r="L213" s="64"/>
      <c r="M213" s="64"/>
      <c r="N213" s="32"/>
    </row>
    <row r="214" spans="1:14" s="33" customFormat="1" hidden="1" x14ac:dyDescent="0.35">
      <c r="A214" s="75">
        <f t="shared" ref="A214:A227" si="12">A213+1</f>
        <v>2</v>
      </c>
      <c r="B214" s="76"/>
      <c r="C214" s="80"/>
      <c r="D214" s="81"/>
      <c r="E214" s="81"/>
      <c r="F214" s="82"/>
      <c r="G214" s="83"/>
      <c r="H214" s="85"/>
      <c r="I214" s="32"/>
      <c r="L214" s="74"/>
      <c r="M214" s="74"/>
      <c r="N214" s="32"/>
    </row>
    <row r="215" spans="1:14" s="33" customFormat="1" hidden="1" x14ac:dyDescent="0.35">
      <c r="A215" s="75">
        <f t="shared" si="12"/>
        <v>3</v>
      </c>
      <c r="B215" s="76"/>
      <c r="C215" s="38" t="s">
        <v>256</v>
      </c>
      <c r="D215" s="54">
        <f>(54.703+3.6+0.75*(2.75+2.1*2))*10.764</f>
        <v>683.68084199999998</v>
      </c>
      <c r="E215" s="38">
        <v>0</v>
      </c>
      <c r="F215" s="55">
        <v>1155</v>
      </c>
      <c r="G215" s="83"/>
      <c r="H215" s="85"/>
      <c r="I215" s="32"/>
      <c r="L215" s="74"/>
      <c r="M215" s="74"/>
      <c r="N215" s="32"/>
    </row>
    <row r="216" spans="1:14" s="33" customFormat="1" hidden="1" x14ac:dyDescent="0.35">
      <c r="A216" s="75">
        <f t="shared" si="12"/>
        <v>4</v>
      </c>
      <c r="B216" s="76"/>
      <c r="C216" s="38" t="s">
        <v>256</v>
      </c>
      <c r="D216" s="54">
        <f>(55.927+3.6+0.75*(2.85+2.1+3.05))*10.764</f>
        <v>705.332628</v>
      </c>
      <c r="E216" s="38">
        <v>0</v>
      </c>
      <c r="F216" s="55">
        <v>1190</v>
      </c>
      <c r="G216" s="83"/>
      <c r="H216" s="85"/>
      <c r="I216" s="32"/>
      <c r="K216" s="32">
        <f>7500000/F216</f>
        <v>6302.5210084033615</v>
      </c>
      <c r="L216" s="74"/>
      <c r="M216" s="74"/>
      <c r="N216" s="32"/>
    </row>
    <row r="217" spans="1:14" s="33" customFormat="1" hidden="1" x14ac:dyDescent="0.35">
      <c r="A217" s="75">
        <f t="shared" si="12"/>
        <v>5</v>
      </c>
      <c r="B217" s="76"/>
      <c r="C217" s="38" t="s">
        <v>256</v>
      </c>
      <c r="D217" s="54">
        <f>(54.706+3.6+0.75*(2.1+2.75+2.1))*10.764</f>
        <v>683.71313399999997</v>
      </c>
      <c r="E217" s="38">
        <v>0</v>
      </c>
      <c r="F217" s="55">
        <v>1155</v>
      </c>
      <c r="G217" s="83"/>
      <c r="H217" s="85"/>
      <c r="I217" s="32"/>
      <c r="K217" s="32">
        <f>6700000/F217</f>
        <v>5800.8658008658012</v>
      </c>
      <c r="L217" s="74"/>
      <c r="M217" s="74"/>
      <c r="N217" s="32"/>
    </row>
    <row r="218" spans="1:14" s="33" customFormat="1" hidden="1" x14ac:dyDescent="0.35">
      <c r="A218" s="75">
        <f t="shared" si="12"/>
        <v>6</v>
      </c>
      <c r="B218" s="76"/>
      <c r="C218" s="38" t="s">
        <v>257</v>
      </c>
      <c r="D218" s="54">
        <f>(35.332+0.75*(2.75*2+2.1))*10.764</f>
        <v>441.66844799999996</v>
      </c>
      <c r="E218" s="38">
        <v>0</v>
      </c>
      <c r="F218" s="55">
        <v>760</v>
      </c>
      <c r="G218" s="83"/>
      <c r="H218" s="85"/>
      <c r="I218" s="32"/>
      <c r="L218" s="74"/>
      <c r="M218" s="74"/>
      <c r="N218" s="32"/>
    </row>
    <row r="219" spans="1:14" s="33" customFormat="1" hidden="1" x14ac:dyDescent="0.35">
      <c r="A219" s="75">
        <f t="shared" si="12"/>
        <v>7</v>
      </c>
      <c r="B219" s="76"/>
      <c r="C219" s="38" t="s">
        <v>257</v>
      </c>
      <c r="D219" s="54">
        <f>(31.386+0.75*(2.75+2.25+2.1))*10.764</f>
        <v>395.15720399999998</v>
      </c>
      <c r="E219" s="38">
        <v>0</v>
      </c>
      <c r="F219" s="55">
        <v>680</v>
      </c>
      <c r="G219" s="83"/>
      <c r="H219" s="85"/>
      <c r="I219" s="32"/>
      <c r="L219" s="74"/>
      <c r="M219" s="74"/>
      <c r="N219" s="32"/>
    </row>
    <row r="220" spans="1:14" s="33" customFormat="1" hidden="1" x14ac:dyDescent="0.35">
      <c r="A220" s="75">
        <f t="shared" si="12"/>
        <v>8</v>
      </c>
      <c r="B220" s="76"/>
      <c r="C220" s="38" t="s">
        <v>256</v>
      </c>
      <c r="D220" s="54">
        <f>(31.386+0.75*(2.75+2.25+2.1))*10.764</f>
        <v>395.15720399999998</v>
      </c>
      <c r="E220" s="38">
        <v>0</v>
      </c>
      <c r="F220" s="55">
        <v>680</v>
      </c>
      <c r="G220" s="83"/>
      <c r="H220" s="85"/>
      <c r="I220" s="32"/>
      <c r="L220" s="74"/>
      <c r="M220" s="74"/>
      <c r="N220" s="32"/>
    </row>
    <row r="221" spans="1:14" s="33" customFormat="1" hidden="1" x14ac:dyDescent="0.35">
      <c r="A221" s="75">
        <f t="shared" si="12"/>
        <v>9</v>
      </c>
      <c r="B221" s="76"/>
      <c r="C221" s="38" t="s">
        <v>257</v>
      </c>
      <c r="D221" s="54">
        <f>(35.33+0.75*(2.75*2+2.1))*10.764</f>
        <v>441.64691999999997</v>
      </c>
      <c r="E221" s="38">
        <v>0</v>
      </c>
      <c r="F221" s="55">
        <v>760</v>
      </c>
      <c r="G221" s="83"/>
      <c r="H221" s="85"/>
      <c r="I221" s="32"/>
      <c r="L221" s="74"/>
      <c r="M221" s="74"/>
      <c r="N221" s="32"/>
    </row>
    <row r="222" spans="1:14" s="33" customFormat="1" hidden="1" x14ac:dyDescent="0.35">
      <c r="A222" s="75">
        <f t="shared" si="12"/>
        <v>10</v>
      </c>
      <c r="B222" s="76"/>
      <c r="C222" s="38" t="s">
        <v>256</v>
      </c>
      <c r="D222" s="54">
        <f>(48.743+0.75*(2.75+2.1*2+3.05))*10.764</f>
        <v>605.39965199999995</v>
      </c>
      <c r="E222" s="38">
        <v>0</v>
      </c>
      <c r="F222" s="55">
        <v>1025</v>
      </c>
      <c r="G222" s="83"/>
      <c r="H222" s="85"/>
      <c r="I222" s="32"/>
      <c r="L222" s="74"/>
      <c r="M222" s="74"/>
      <c r="N222" s="32"/>
    </row>
    <row r="223" spans="1:14" s="33" customFormat="1" hidden="1" x14ac:dyDescent="0.35">
      <c r="A223" s="75">
        <f t="shared" si="12"/>
        <v>11</v>
      </c>
      <c r="B223" s="76"/>
      <c r="C223" s="38" t="s">
        <v>257</v>
      </c>
      <c r="D223" s="54">
        <f>(32.915+0.75*(2.75+2.25+2.1))*10.764</f>
        <v>411.6153599999999</v>
      </c>
      <c r="E223" s="38">
        <v>0</v>
      </c>
      <c r="F223" s="55">
        <v>700</v>
      </c>
      <c r="G223" s="83"/>
      <c r="H223" s="85"/>
      <c r="I223" s="32"/>
      <c r="L223" s="74"/>
      <c r="M223" s="74"/>
      <c r="N223" s="32"/>
    </row>
    <row r="224" spans="1:14" s="33" customFormat="1" hidden="1" x14ac:dyDescent="0.35">
      <c r="A224" s="75">
        <f t="shared" si="12"/>
        <v>12</v>
      </c>
      <c r="B224" s="76"/>
      <c r="C224" s="77" t="s">
        <v>259</v>
      </c>
      <c r="D224" s="78"/>
      <c r="E224" s="78"/>
      <c r="F224" s="79"/>
      <c r="G224" s="83"/>
      <c r="H224" s="85"/>
      <c r="I224" s="32"/>
      <c r="L224" s="74"/>
      <c r="M224" s="74"/>
      <c r="N224" s="32"/>
    </row>
    <row r="225" spans="1:14" s="33" customFormat="1" hidden="1" x14ac:dyDescent="0.35">
      <c r="A225" s="75">
        <f t="shared" si="12"/>
        <v>13</v>
      </c>
      <c r="B225" s="76"/>
      <c r="C225" s="83"/>
      <c r="D225" s="84"/>
      <c r="E225" s="84"/>
      <c r="F225" s="85"/>
      <c r="G225" s="83"/>
      <c r="H225" s="85"/>
      <c r="I225" s="32"/>
      <c r="L225" s="74"/>
      <c r="M225" s="74"/>
      <c r="N225" s="32"/>
    </row>
    <row r="226" spans="1:14" s="33" customFormat="1" hidden="1" x14ac:dyDescent="0.35">
      <c r="A226" s="75">
        <f t="shared" si="12"/>
        <v>14</v>
      </c>
      <c r="B226" s="76"/>
      <c r="C226" s="83"/>
      <c r="D226" s="84"/>
      <c r="E226" s="84"/>
      <c r="F226" s="85"/>
      <c r="G226" s="83"/>
      <c r="H226" s="85"/>
      <c r="I226" s="32"/>
      <c r="L226" s="74"/>
      <c r="M226" s="74"/>
      <c r="N226" s="32"/>
    </row>
    <row r="227" spans="1:14" s="33" customFormat="1" hidden="1" x14ac:dyDescent="0.35">
      <c r="A227" s="75">
        <f t="shared" si="12"/>
        <v>15</v>
      </c>
      <c r="B227" s="76"/>
      <c r="C227" s="80"/>
      <c r="D227" s="81"/>
      <c r="E227" s="81"/>
      <c r="F227" s="82"/>
      <c r="G227" s="80"/>
      <c r="H227" s="82"/>
      <c r="I227" s="32"/>
      <c r="L227" s="74"/>
      <c r="M227" s="74"/>
      <c r="N227" s="32"/>
    </row>
    <row r="228" spans="1:14" s="33" customFormat="1" hidden="1" x14ac:dyDescent="0.35">
      <c r="A228" s="182" t="s">
        <v>120</v>
      </c>
      <c r="B228" s="182"/>
      <c r="C228" s="182"/>
      <c r="D228" s="182"/>
      <c r="E228" s="182"/>
      <c r="F228" s="182"/>
      <c r="G228" s="182"/>
      <c r="H228" s="182"/>
      <c r="I228" s="32"/>
      <c r="L228" s="74"/>
      <c r="M228" s="74"/>
    </row>
    <row r="229" spans="1:14" s="33" customFormat="1" hidden="1" x14ac:dyDescent="0.35">
      <c r="A229" s="88">
        <f>LEFT(A228,SUM(LEN(A228)-LEN(SUBSTITUTE(A228,{"0","1","2","3","4","5","6","7","8","9"},""))))*100+1</f>
        <v>201</v>
      </c>
      <c r="B229" s="88"/>
      <c r="C229" s="38"/>
      <c r="D229" s="38"/>
      <c r="E229" s="38">
        <v>0</v>
      </c>
      <c r="F229" s="38">
        <f t="shared" ref="F229:F230" si="13">D229*(($F$135)+1)+(IF(E229&lt;101,E229,IF(E229&lt;201,E229/2,IF(E229&lt;=301,E229/3,E229/4))))</f>
        <v>0</v>
      </c>
      <c r="G229" s="88" t="str">
        <f>A228</f>
        <v>2nd Floor</v>
      </c>
      <c r="H229" s="88"/>
      <c r="I229" s="32"/>
      <c r="N229" s="32"/>
    </row>
    <row r="230" spans="1:14" s="33" customFormat="1" hidden="1" x14ac:dyDescent="0.35">
      <c r="A230" s="88">
        <f>A229+1</f>
        <v>202</v>
      </c>
      <c r="B230" s="88"/>
      <c r="C230" s="38"/>
      <c r="D230" s="38"/>
      <c r="E230" s="38">
        <v>0</v>
      </c>
      <c r="F230" s="38">
        <f t="shared" si="13"/>
        <v>0</v>
      </c>
      <c r="G230" s="88" t="str">
        <f>G229</f>
        <v>2nd Floor</v>
      </c>
      <c r="H230" s="88"/>
      <c r="I230" s="32"/>
      <c r="N230" s="32"/>
    </row>
    <row r="231" spans="1:14" s="33" customFormat="1" hidden="1" x14ac:dyDescent="0.35">
      <c r="A231" s="88">
        <f>A230+1</f>
        <v>203</v>
      </c>
      <c r="B231" s="88"/>
      <c r="C231" s="38"/>
      <c r="D231" s="38"/>
      <c r="E231" s="38">
        <v>0</v>
      </c>
      <c r="F231" s="38">
        <f>D231*(($F$135)+1)+(IF(E231&lt;101,E231,IF(E231&lt;201,E231/2,IF(E231&lt;=301,E231/3,E231/4))))</f>
        <v>0</v>
      </c>
      <c r="G231" s="88" t="str">
        <f>G230</f>
        <v>2nd Floor</v>
      </c>
      <c r="H231" s="88"/>
      <c r="I231" s="32"/>
      <c r="N231" s="32"/>
    </row>
    <row r="232" spans="1:14" s="33" customFormat="1" hidden="1" x14ac:dyDescent="0.35">
      <c r="A232" s="88">
        <f>A231+1</f>
        <v>204</v>
      </c>
      <c r="B232" s="88"/>
      <c r="C232" s="38"/>
      <c r="D232" s="38"/>
      <c r="E232" s="38">
        <v>0</v>
      </c>
      <c r="F232" s="38">
        <f>D232*(($F$135)+1)+(IF(E232&lt;101,E232,IF(E232&lt;201,E232/2,IF(E232&lt;=301,E232/3,E232/4))))</f>
        <v>0</v>
      </c>
      <c r="G232" s="88" t="str">
        <f>G231</f>
        <v>2nd Floor</v>
      </c>
      <c r="H232" s="88"/>
      <c r="I232" s="32"/>
      <c r="N232" s="32"/>
    </row>
    <row r="233" spans="1:14" s="33" customFormat="1" hidden="1" x14ac:dyDescent="0.35">
      <c r="A233" s="88">
        <f>A232+1</f>
        <v>205</v>
      </c>
      <c r="B233" s="88"/>
      <c r="C233" s="38"/>
      <c r="D233" s="38"/>
      <c r="E233" s="38">
        <v>0</v>
      </c>
      <c r="F233" s="38">
        <f>D233*(($F$135)+1)+(IF(E233&lt;101,E233,IF(E233&lt;201,E233/2,IF(E233&lt;=301,E233/3,E233/4))))</f>
        <v>0</v>
      </c>
      <c r="G233" s="88" t="str">
        <f>G232</f>
        <v>2nd Floor</v>
      </c>
      <c r="H233" s="88"/>
      <c r="I233" s="32"/>
      <c r="N233" s="32"/>
    </row>
    <row r="234" spans="1:14" s="33" customFormat="1" ht="15.75" hidden="1" customHeight="1" x14ac:dyDescent="0.35">
      <c r="A234" s="91" t="s">
        <v>153</v>
      </c>
      <c r="B234" s="92"/>
      <c r="C234" s="92"/>
      <c r="D234" s="92"/>
      <c r="E234" s="92"/>
      <c r="F234" s="92"/>
      <c r="G234" s="92"/>
      <c r="H234" s="93"/>
      <c r="I234" s="32"/>
    </row>
    <row r="235" spans="1:14" s="33" customFormat="1" hidden="1" x14ac:dyDescent="0.35">
      <c r="A235" s="75" t="str">
        <f ca="1">(SUMPRODUCT(MID(0&amp;(LEFT(A234,SUM(LEN(A234)-LEN(SUBSTITUTE(A234,{"0","1","2"},""))))), LARGE(INDEX(ISNUMBER(--MID((LEFT(A234,SUM(LEN(A234)-LEN(SUBSTITUTE(A234,{"0","1","2"},""))))), ROW(INDIRECT("1:"&amp;LEN((LEFT(A234,SUM(LEN(A234)-LEN(SUBSTITUTE(A234,{"0","1","2"},"")))))))), 1)) * ROW(INDIRECT("1:"&amp;LEN((LEFT(A234,SUM(LEN(A234)-LEN(SUBSTITUTE(A234,{"0","1","2"},"")))))))), 0), ROW(INDIRECT("1:"&amp;LEN((LEFT(A234,SUM(LEN(A234)-LEN(SUBSTITUTE(A234,{"0","1","2"},"")))))))))+1, 1) * 10^ROW(INDIRECT("1:"&amp;LEN((LEFT(A234,SUM(LEN(A234)-LEN(SUBSTITUTE(A234,{"0","1","2"},""))))))))/10))*100+1&amp;""&amp;" ,.., "&amp;""&amp;(SUMPRODUCT(MID(0&amp;(--TRIM(RIGHT(SUBSTITUTE(LEFT(A234,_xlfn.AGGREGATE(16,6,FIND({0,1,2,3,4,5,6,7,8,9},A234,ROW(INDIRECT("1:"&amp;LEN(A234)))),1))," ",REPT(" ",LEN(A234))),LEN(A234)))), LARGE(INDEX(ISNUMBER(--MID((--TRIM(RIGHT(SUBSTITUTE(LEFT(A234,_xlfn.AGGREGATE(16,6,FIND({0,1,2,3,4,5,6,7,8,9},A234,ROW(INDIRECT("1:"&amp;LEN(A234)))),1))," ",REPT(" ",LEN(A234))),LEN(A234)))), ROW(INDIRECT("1:"&amp;LEN((--TRIM(RIGHT(SUBSTITUTE(LEFT(A234,_xlfn.AGGREGATE(16,6,FIND({0,1,2,3,4,5,6,7,8,9},A234,ROW(INDIRECT("1:"&amp;LEN(A234)))),1))," ",REPT(" ",LEN(A234))),LEN(A234))))))), 1)) * ROW(INDIRECT("1:"&amp;LEN((--TRIM(RIGHT(SUBSTITUTE(LEFT(A234,_xlfn.AGGREGATE(16,6,FIND({0,1,2,3,4,5,6,7,8,9},A234,ROW(INDIRECT("1:"&amp;LEN(A234)))),1))," ",REPT(" ",LEN(A234))),LEN(A234))))))), 0), ROW(INDIRECT("1:"&amp;LEN((--TRIM(RIGHT(SUBSTITUTE(LEFT(A234,_xlfn.AGGREGATE(16,6,FIND({0,1,2,3,4,5,6,7,8,9},A234,ROW(INDIRECT("1:"&amp;LEN(A234)))),1))," ",REPT(" ",LEN(A234))),LEN(A234))))))))+1, 1) * 10^ROW(INDIRECT("1:"&amp;LEN((--TRIM(RIGHT(SUBSTITUTE(LEFT(A234,_xlfn.AGGREGATE(16,6,FIND({0,1,2,3,4,5,6,7,8,9},A234,ROW(INDIRECT("1:"&amp;LEN(A234)))),1))," ",REPT(" ",LEN(A234))),LEN(A234)))))))/10))*100+1</f>
        <v>301 ,.., 1501</v>
      </c>
      <c r="B235" s="76"/>
      <c r="C235" s="38"/>
      <c r="D235" s="38"/>
      <c r="E235" s="38">
        <v>0</v>
      </c>
      <c r="F235" s="38">
        <f>D235*(($F$135)+1)+(IF(E235&lt;101,E235,IF(E235&lt;201,E235/2,IF(E235&lt;=301,E235/3,E235/4))))</f>
        <v>0</v>
      </c>
      <c r="G235" s="75" t="str">
        <f>A234</f>
        <v>3rd, 5th, 7th, 9th, 11th, 13th, 15th Floor</v>
      </c>
      <c r="H235" s="76"/>
      <c r="I235" s="32"/>
    </row>
    <row r="236" spans="1:14" s="33" customFormat="1" hidden="1" x14ac:dyDescent="0.35">
      <c r="A236" s="75" t="str">
        <f ca="1">(SUMPRODUCT(MID(0&amp;(LEFT(A235,SUM(LEN(A235)-LEN(SUBSTITUTE(A235,{"0","1","2"},""))))), LARGE(INDEX(ISNUMBER(--MID((LEFT(A235,SUM(LEN(A235)-LEN(SUBSTITUTE(A235,{"0","1","2"},""))))), ROW(INDIRECT("1:"&amp;LEN((LEFT(A235,SUM(LEN(A235)-LEN(SUBSTITUTE(A235,{"0","1","2"},"")))))))), 1)) * ROW(INDIRECT("1:"&amp;LEN((LEFT(A235,SUM(LEN(A235)-LEN(SUBSTITUTE(A235,{"0","1","2"},"")))))))), 0), ROW(INDIRECT("1:"&amp;LEN((LEFT(A235,SUM(LEN(A235)-LEN(SUBSTITUTE(A235,{"0","1","2"},"")))))))))+1, 1) * 10^ROW(INDIRECT("1:"&amp;LEN((LEFT(A235,SUM(LEN(A235)-LEN(SUBSTITUTE(A235,{"0","1","2"},""))))))))/10))*1+1&amp;""&amp;" ,.., "&amp;""&amp;(SUMPRODUCT(MID(0&amp;(--TRIM(RIGHT(SUBSTITUTE(LEFT(A235,_xlfn.AGGREGATE(16,6,FIND({0,1,2,3,4,5,6,7,8,9},A235,ROW(INDIRECT("1:"&amp;LEN(A235)))),1))," ",REPT(" ",LEN(A235))),LEN(A235)))), LARGE(INDEX(ISNUMBER(--MID((--TRIM(RIGHT(SUBSTITUTE(LEFT(A235,_xlfn.AGGREGATE(16,6,FIND({0,1,2,3,4,5,6,7,8,9},A235,ROW(INDIRECT("1:"&amp;LEN(A235)))),1))," ",REPT(" ",LEN(A235))),LEN(A235)))), ROW(INDIRECT("1:"&amp;LEN((--TRIM(RIGHT(SUBSTITUTE(LEFT(A235,_xlfn.AGGREGATE(16,6,FIND({0,1,2,3,4,5,6,7,8,9},A235,ROW(INDIRECT("1:"&amp;LEN(A235)))),1))," ",REPT(" ",LEN(A235))),LEN(A235))))))), 1)) * ROW(INDIRECT("1:"&amp;LEN((--TRIM(RIGHT(SUBSTITUTE(LEFT(A235,_xlfn.AGGREGATE(16,6,FIND({0,1,2,3,4,5,6,7,8,9},A235,ROW(INDIRECT("1:"&amp;LEN(A235)))),1))," ",REPT(" ",LEN(A235))),LEN(A235))))))), 0), ROW(INDIRECT("1:"&amp;LEN((--TRIM(RIGHT(SUBSTITUTE(LEFT(A235,_xlfn.AGGREGATE(16,6,FIND({0,1,2,3,4,5,6,7,8,9},A235,ROW(INDIRECT("1:"&amp;LEN(A235)))),1))," ",REPT(" ",LEN(A235))),LEN(A235))))))))+1, 1) * 10^ROW(INDIRECT("1:"&amp;LEN((--TRIM(RIGHT(SUBSTITUTE(LEFT(A235,_xlfn.AGGREGATE(16,6,FIND({0,1,2,3,4,5,6,7,8,9},A235,ROW(INDIRECT("1:"&amp;LEN(A235)))),1))," ",REPT(" ",LEN(A235))),LEN(A235)))))))/10))*1+1</f>
        <v>302 ,.., 1502</v>
      </c>
      <c r="B236" s="76"/>
      <c r="C236" s="38"/>
      <c r="D236" s="38"/>
      <c r="E236" s="38">
        <v>0</v>
      </c>
      <c r="F236" s="38">
        <f>D236*(($F$135)+1)+(IF(E236&lt;101,E236,IF(E236&lt;201,E236/2,IF(E236&lt;=301,E236/3,E236/4))))</f>
        <v>0</v>
      </c>
      <c r="G236" s="75" t="str">
        <f>G235</f>
        <v>3rd, 5th, 7th, 9th, 11th, 13th, 15th Floor</v>
      </c>
      <c r="H236" s="76"/>
      <c r="I236" s="32"/>
    </row>
    <row r="237" spans="1:14" s="33" customFormat="1" ht="15.75" hidden="1" customHeight="1" x14ac:dyDescent="0.35">
      <c r="A237" s="75" t="str">
        <f ca="1">(SUMPRODUCT(MID(0&amp;(LEFT(A236,SUM(LEN(A236)-LEN(SUBSTITUTE(A236,{"0","1","2"},""))))), LARGE(INDEX(ISNUMBER(--MID((LEFT(A236,SUM(LEN(A236)-LEN(SUBSTITUTE(A236,{"0","1","2"},""))))), ROW(INDIRECT("1:"&amp;LEN((LEFT(A236,SUM(LEN(A236)-LEN(SUBSTITUTE(A236,{"0","1","2"},"")))))))), 1)) * ROW(INDIRECT("1:"&amp;LEN((LEFT(A236,SUM(LEN(A236)-LEN(SUBSTITUTE(A236,{"0","1","2"},"")))))))), 0), ROW(INDIRECT("1:"&amp;LEN((LEFT(A236,SUM(LEN(A236)-LEN(SUBSTITUTE(A236,{"0","1","2"},"")))))))))+1, 1) * 10^ROW(INDIRECT("1:"&amp;LEN((LEFT(A236,SUM(LEN(A236)-LEN(SUBSTITUTE(A236,{"0","1","2"},""))))))))/10))*1+1&amp;""&amp;" ,.., "&amp;""&amp;(SUMPRODUCT(MID(0&amp;(--TRIM(RIGHT(SUBSTITUTE(LEFT(A236,_xlfn.AGGREGATE(16,6,FIND({0,1,2,3,4,5,6,7,8,9},A236,ROW(INDIRECT("1:"&amp;LEN(A236)))),1))," ",REPT(" ",LEN(A236))),LEN(A236)))), LARGE(INDEX(ISNUMBER(--MID((--TRIM(RIGHT(SUBSTITUTE(LEFT(A236,_xlfn.AGGREGATE(16,6,FIND({0,1,2,3,4,5,6,7,8,9},A236,ROW(INDIRECT("1:"&amp;LEN(A236)))),1))," ",REPT(" ",LEN(A236))),LEN(A236)))), ROW(INDIRECT("1:"&amp;LEN((--TRIM(RIGHT(SUBSTITUTE(LEFT(A236,_xlfn.AGGREGATE(16,6,FIND({0,1,2,3,4,5,6,7,8,9},A236,ROW(INDIRECT("1:"&amp;LEN(A236)))),1))," ",REPT(" ",LEN(A236))),LEN(A236))))))), 1)) * ROW(INDIRECT("1:"&amp;LEN((--TRIM(RIGHT(SUBSTITUTE(LEFT(A236,_xlfn.AGGREGATE(16,6,FIND({0,1,2,3,4,5,6,7,8,9},A236,ROW(INDIRECT("1:"&amp;LEN(A236)))),1))," ",REPT(" ",LEN(A236))),LEN(A236))))))), 0), ROW(INDIRECT("1:"&amp;LEN((--TRIM(RIGHT(SUBSTITUTE(LEFT(A236,_xlfn.AGGREGATE(16,6,FIND({0,1,2,3,4,5,6,7,8,9},A236,ROW(INDIRECT("1:"&amp;LEN(A236)))),1))," ",REPT(" ",LEN(A236))),LEN(A236))))))))+1, 1) * 10^ROW(INDIRECT("1:"&amp;LEN((--TRIM(RIGHT(SUBSTITUTE(LEFT(A236,_xlfn.AGGREGATE(16,6,FIND({0,1,2,3,4,5,6,7,8,9},A236,ROW(INDIRECT("1:"&amp;LEN(A236)))),1))," ",REPT(" ",LEN(A236))),LEN(A236)))))))/10))*1+1</f>
        <v>303 ,.., 1503</v>
      </c>
      <c r="B237" s="76"/>
      <c r="C237" s="38"/>
      <c r="D237" s="38"/>
      <c r="E237" s="38">
        <v>0</v>
      </c>
      <c r="F237" s="38">
        <f>D237*(($F$135)+1)+(IF(E237&lt;101,E237,IF(E237&lt;201,E237/2,IF(E237&lt;=301,E237/3,E237/4))))</f>
        <v>0</v>
      </c>
      <c r="G237" s="75" t="str">
        <f>G236</f>
        <v>3rd, 5th, 7th, 9th, 11th, 13th, 15th Floor</v>
      </c>
      <c r="H237" s="76"/>
      <c r="I237" s="32"/>
    </row>
    <row r="238" spans="1:14" s="33" customFormat="1" ht="15.75" hidden="1" customHeight="1" x14ac:dyDescent="0.35">
      <c r="A238" s="75" t="str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10^ROW(INDIRECT("1:"&amp;LEN((LEFT(A237,SUM(LEN(A237)-LEN(SUBSTITUTE(A237,{"0","1","2"},""))))))))/10))*1+1&amp;""&amp;" ,.., "&amp;""&amp;(SUMPRODUCT(MID(0&amp;(--TRIM(RIGHT(SUBSTITUTE(LEFT(A237,_xlfn.AGGREGATE(16,6,FIND({0,1,2,3,4,5,6,7,8,9},A237,ROW(INDIRECT("1:"&amp;LEN(A237)))),1)),"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",LEN(A237))),LEN(A237)))))))/10))*1+1</f>
        <v>304 ,.., 1504</v>
      </c>
      <c r="B238" s="76"/>
      <c r="C238" s="38"/>
      <c r="D238" s="38"/>
      <c r="E238" s="38">
        <v>0</v>
      </c>
      <c r="F238" s="38">
        <f>D238*(($F$135)+1)+(IF(E238&lt;101,E238,IF(E238&lt;201,E238/2,IF(E238&lt;=301,E238/3,E238/4))))</f>
        <v>0</v>
      </c>
      <c r="G238" s="75" t="str">
        <f>G237</f>
        <v>3rd, 5th, 7th, 9th, 11th, 13th, 15th Floor</v>
      </c>
      <c r="H238" s="76"/>
      <c r="I238" s="32"/>
    </row>
    <row r="239" spans="1:14" s="33" customFormat="1" ht="15.75" hidden="1" customHeight="1" x14ac:dyDescent="0.35">
      <c r="A239" s="75" t="str">
        <f ca="1">(SUMPRODUCT(MID(0&amp;(LEFT(A238,SUM(LEN(A238)-LEN(SUBSTITUTE(A238,{"0","1","2"},""))))), LARGE(INDEX(ISNUMBER(--MID((LEFT(A238,SUM(LEN(A238)-LEN(SUBSTITUTE(A238,{"0","1","2"},""))))), ROW(INDIRECT("1:"&amp;LEN((LEFT(A238,SUM(LEN(A238)-LEN(SUBSTITUTE(A238,{"0","1","2"},"")))))))), 1)) * ROW(INDIRECT("1:"&amp;LEN((LEFT(A238,SUM(LEN(A238)-LEN(SUBSTITUTE(A238,{"0","1","2"},"")))))))), 0), ROW(INDIRECT("1:"&amp;LEN((LEFT(A238,SUM(LEN(A238)-LEN(SUBSTITUTE(A238,{"0","1","2"},"")))))))))+1, 1) * 10^ROW(INDIRECT("1:"&amp;LEN((LEFT(A238,SUM(LEN(A238)-LEN(SUBSTITUTE(A238,{"0","1","2"},""))))))))/10))*1+1&amp;""&amp;" ,.., "&amp;""&amp;(SUMPRODUCT(MID(0&amp;(--TRIM(RIGHT(SUBSTITUTE(LEFT(A238,_xlfn.AGGREGATE(16,6,FIND({0,1,2,3,4,5,6,7,8,9},A238,ROW(INDIRECT("1:"&amp;LEN(A238)))),1))," ",REPT(" ",LEN(A238))),LEN(A238)))), LARGE(INDEX(ISNUMBER(--MID((--TRIM(RIGHT(SUBSTITUTE(LEFT(A238,_xlfn.AGGREGATE(16,6,FIND({0,1,2,3,4,5,6,7,8,9},A238,ROW(INDIRECT("1:"&amp;LEN(A238)))),1))," ",REPT(" ",LEN(A238))),LEN(A238)))), ROW(INDIRECT("1:"&amp;LEN((--TRIM(RIGHT(SUBSTITUTE(LEFT(A238,_xlfn.AGGREGATE(16,6,FIND({0,1,2,3,4,5,6,7,8,9},A238,ROW(INDIRECT("1:"&amp;LEN(A238)))),1))," ",REPT(" ",LEN(A238))),LEN(A238))))))), 1)) * ROW(INDIRECT("1:"&amp;LEN((--TRIM(RIGHT(SUBSTITUTE(LEFT(A238,_xlfn.AGGREGATE(16,6,FIND({0,1,2,3,4,5,6,7,8,9},A238,ROW(INDIRECT("1:"&amp;LEN(A238)))),1))," ",REPT(" ",LEN(A238))),LEN(A238))))))), 0), ROW(INDIRECT("1:"&amp;LEN((--TRIM(RIGHT(SUBSTITUTE(LEFT(A238,_xlfn.AGGREGATE(16,6,FIND({0,1,2,3,4,5,6,7,8,9},A238,ROW(INDIRECT("1:"&amp;LEN(A238)))),1))," ",REPT(" ",LEN(A238))),LEN(A238))))))))+1, 1) * 10^ROW(INDIRECT("1:"&amp;LEN((--TRIM(RIGHT(SUBSTITUTE(LEFT(A238,_xlfn.AGGREGATE(16,6,FIND({0,1,2,3,4,5,6,7,8,9},A238,ROW(INDIRECT("1:"&amp;LEN(A238)))),1))," ",REPT(" ",LEN(A238))),LEN(A238)))))))/10))*1+1</f>
        <v>305 ,.., 1505</v>
      </c>
      <c r="B239" s="76"/>
      <c r="C239" s="38"/>
      <c r="D239" s="38"/>
      <c r="E239" s="38">
        <v>0</v>
      </c>
      <c r="F239" s="38">
        <f>D239*(($F$135)+1)+(IF(E239&lt;101,E239,IF(E239&lt;201,E239/2,IF(E239&lt;=301,E239/3,E239/4))))</f>
        <v>0</v>
      </c>
      <c r="G239" s="75" t="str">
        <f>G238</f>
        <v>3rd, 5th, 7th, 9th, 11th, 13th, 15th Floor</v>
      </c>
      <c r="H239" s="76"/>
      <c r="I239" s="32"/>
    </row>
    <row r="240" spans="1:14" s="33" customFormat="1" hidden="1" x14ac:dyDescent="0.35">
      <c r="A240" s="91" t="s">
        <v>148</v>
      </c>
      <c r="B240" s="92"/>
      <c r="C240" s="92"/>
      <c r="D240" s="92"/>
      <c r="E240" s="92"/>
      <c r="F240" s="92"/>
      <c r="G240" s="92"/>
      <c r="H240" s="93"/>
      <c r="I240" s="32"/>
    </row>
    <row r="241" spans="1:9" s="33" customFormat="1" hidden="1" x14ac:dyDescent="0.35">
      <c r="A241" s="75" t="str">
        <f ca="1">(SUMPRODUCT(MID(0&amp;(LEFT(A240,SUM(LEN(A240)-LEN(SUBSTITUTE(A240,{"0","1","2"},""))))), LARGE(INDEX(ISNUMBER(--MID((LEFT(A240,SUM(LEN(A240)-LEN(SUBSTITUTE(A240,{"0","1","2"},""))))), ROW(INDIRECT("1:"&amp;LEN((LEFT(A240,SUM(LEN(A240)-LEN(SUBSTITUTE(A240,{"0","1","2"},"")))))))), 1)) * ROW(INDIRECT("1:"&amp;LEN((LEFT(A240,SUM(LEN(A240)-LEN(SUBSTITUTE(A240,{"0","1","2"},"")))))))), 0), ROW(INDIRECT("1:"&amp;LEN((LEFT(A240,SUM(LEN(A240)-LEN(SUBSTITUTE(A240,{"0","1","2"},"")))))))))+1, 1) * 10^ROW(INDIRECT("1:"&amp;LEN((LEFT(A240,SUM(LEN(A240)-LEN(SUBSTITUTE(A240,{"0","1","2"},""))))))))/10))*100+1&amp;""&amp;" to "&amp;""&amp;(SUMPRODUCT(MID(0&amp;(--TRIM(RIGHT(SUBSTITUTE(LEFT(A240,_xlfn.AGGREGATE(16,6,FIND({0,1,2,3,4,5,6,7,8,9},A240,ROW(INDIRECT("1:"&amp;LEN(A240)))),1))," ",REPT(" ",LEN(A240))),LEN(A240)))), LARGE(INDEX(ISNUMBER(--MID((--TRIM(RIGHT(SUBSTITUTE(LEFT(A240,_xlfn.AGGREGATE(16,6,FIND({0,1,2,3,4,5,6,7,8,9},A240,ROW(INDIRECT("1:"&amp;LEN(A240)))),1))," ",REPT(" ",LEN(A240))),LEN(A240)))), ROW(INDIRECT("1:"&amp;LEN((--TRIM(RIGHT(SUBSTITUTE(LEFT(A240,_xlfn.AGGREGATE(16,6,FIND({0,1,2,3,4,5,6,7,8,9},A240,ROW(INDIRECT("1:"&amp;LEN(A240)))),1))," ",REPT(" ",LEN(A240))),LEN(A240))))))), 1)) * ROW(INDIRECT("1:"&amp;LEN((--TRIM(RIGHT(SUBSTITUTE(LEFT(A240,_xlfn.AGGREGATE(16,6,FIND({0,1,2,3,4,5,6,7,8,9},A240,ROW(INDIRECT("1:"&amp;LEN(A240)))),1))," ",REPT(" ",LEN(A240))),LEN(A240))))))), 0), ROW(INDIRECT("1:"&amp;LEN((--TRIM(RIGHT(SUBSTITUTE(LEFT(A240,_xlfn.AGGREGATE(16,6,FIND({0,1,2,3,4,5,6,7,8,9},A240,ROW(INDIRECT("1:"&amp;LEN(A240)))),1))," ",REPT(" ",LEN(A240))),LEN(A240))))))))+1, 1) * 10^ROW(INDIRECT("1:"&amp;LEN((--TRIM(RIGHT(SUBSTITUTE(LEFT(A240,_xlfn.AGGREGATE(16,6,FIND({0,1,2,3,4,5,6,7,8,9},A240,ROW(INDIRECT("1:"&amp;LEN(A240)))),1))," ",REPT(" ",LEN(A240))),LEN(A240)))))))/10))*100+1</f>
        <v>201 to 501</v>
      </c>
      <c r="B241" s="76"/>
      <c r="C241" s="38"/>
      <c r="D241" s="38"/>
      <c r="E241" s="38">
        <v>0</v>
      </c>
      <c r="F241" s="38">
        <f>D241*(($F$135)+1)+(IF(E241&lt;101,E241,IF(E241&lt;201,E241/2,IF(E241&lt;=301,E241/3,E241/4))))</f>
        <v>0</v>
      </c>
      <c r="G241" s="75" t="str">
        <f>A240</f>
        <v>2nd to 5th Floor</v>
      </c>
      <c r="H241" s="76"/>
      <c r="I241" s="32"/>
    </row>
    <row r="242" spans="1:9" s="33" customFormat="1" hidden="1" x14ac:dyDescent="0.35">
      <c r="A242" s="75" t="str">
        <f ca="1">(SUMPRODUCT(MID(0&amp;(LEFT(A241,SUM(LEN(A241)-LEN(SUBSTITUTE(A241,{"0","1","2"},""))))), LARGE(INDEX(ISNUMBER(--MID((LEFT(A241,SUM(LEN(A241)-LEN(SUBSTITUTE(A241,{"0","1","2"},""))))), ROW(INDIRECT("1:"&amp;LEN((LEFT(A241,SUM(LEN(A241)-LEN(SUBSTITUTE(A241,{"0","1","2"},"")))))))), 1)) * ROW(INDIRECT("1:"&amp;LEN((LEFT(A241,SUM(LEN(A241)-LEN(SUBSTITUTE(A241,{"0","1","2"},"")))))))), 0), ROW(INDIRECT("1:"&amp;LEN((LEFT(A241,SUM(LEN(A241)-LEN(SUBSTITUTE(A241,{"0","1","2"},"")))))))))+1, 1) * 10^ROW(INDIRECT("1:"&amp;LEN((LEFT(A241,SUM(LEN(A241)-LEN(SUBSTITUTE(A241,{"0","1","2"},""))))))))/10))*1+1&amp;""&amp;" to "&amp;""&amp;(SUMPRODUCT(MID(0&amp;(--TRIM(RIGHT(SUBSTITUTE(LEFT(A241,_xlfn.AGGREGATE(16,6,FIND({0,1,2,3,4,5,6,7,8,9},A241,ROW(INDIRECT("1:"&amp;LEN(A241)))),1))," ",REPT(" ",LEN(A241))),LEN(A241)))), LARGE(INDEX(ISNUMBER(--MID((--TRIM(RIGHT(SUBSTITUTE(LEFT(A241,_xlfn.AGGREGATE(16,6,FIND({0,1,2,3,4,5,6,7,8,9},A241,ROW(INDIRECT("1:"&amp;LEN(A241)))),1))," ",REPT(" ",LEN(A241))),LEN(A241)))), ROW(INDIRECT("1:"&amp;LEN((--TRIM(RIGHT(SUBSTITUTE(LEFT(A241,_xlfn.AGGREGATE(16,6,FIND({0,1,2,3,4,5,6,7,8,9},A241,ROW(INDIRECT("1:"&amp;LEN(A241)))),1))," ",REPT(" ",LEN(A241))),LEN(A241))))))), 1)) * ROW(INDIRECT("1:"&amp;LEN((--TRIM(RIGHT(SUBSTITUTE(LEFT(A241,_xlfn.AGGREGATE(16,6,FIND({0,1,2,3,4,5,6,7,8,9},A241,ROW(INDIRECT("1:"&amp;LEN(A241)))),1))," ",REPT(" ",LEN(A241))),LEN(A241))))))), 0), ROW(INDIRECT("1:"&amp;LEN((--TRIM(RIGHT(SUBSTITUTE(LEFT(A241,_xlfn.AGGREGATE(16,6,FIND({0,1,2,3,4,5,6,7,8,9},A241,ROW(INDIRECT("1:"&amp;LEN(A241)))),1))," ",REPT(" ",LEN(A241))),LEN(A241))))))))+1, 1) * 10^ROW(INDIRECT("1:"&amp;LEN((--TRIM(RIGHT(SUBSTITUTE(LEFT(A241,_xlfn.AGGREGATE(16,6,FIND({0,1,2,3,4,5,6,7,8,9},A241,ROW(INDIRECT("1:"&amp;LEN(A241)))),1))," ",REPT(" ",LEN(A241))),LEN(A241)))))))/10))*1+1</f>
        <v>202 to 502</v>
      </c>
      <c r="B242" s="76"/>
      <c r="C242" s="38"/>
      <c r="D242" s="38"/>
      <c r="E242" s="38">
        <v>0</v>
      </c>
      <c r="F242" s="38">
        <f>D242*(($F$135)+1)+(IF(E242&lt;101,E242,IF(E242&lt;201,E242/2,IF(E242&lt;=301,E242/3,E242/4))))</f>
        <v>0</v>
      </c>
      <c r="G242" s="75" t="str">
        <f>G241</f>
        <v>2nd to 5th Floor</v>
      </c>
      <c r="H242" s="76"/>
      <c r="I242" s="32"/>
    </row>
    <row r="243" spans="1:9" s="33" customFormat="1" hidden="1" x14ac:dyDescent="0.35">
      <c r="A243" s="75" t="str">
        <f ca="1">(SUMPRODUCT(MID(0&amp;(LEFT(A242,SUM(LEN(A242)-LEN(SUBSTITUTE(A242,{"0","1","2"},""))))), LARGE(INDEX(ISNUMBER(--MID((LEFT(A242,SUM(LEN(A242)-LEN(SUBSTITUTE(A242,{"0","1","2"},""))))), ROW(INDIRECT("1:"&amp;LEN((LEFT(A242,SUM(LEN(A242)-LEN(SUBSTITUTE(A242,{"0","1","2"},"")))))))), 1)) * ROW(INDIRECT("1:"&amp;LEN((LEFT(A242,SUM(LEN(A242)-LEN(SUBSTITUTE(A242,{"0","1","2"},"")))))))), 0), ROW(INDIRECT("1:"&amp;LEN((LEFT(A242,SUM(LEN(A242)-LEN(SUBSTITUTE(A242,{"0","1","2"},"")))))))))+1, 1) * 10^ROW(INDIRECT("1:"&amp;LEN((LEFT(A242,SUM(LEN(A242)-LEN(SUBSTITUTE(A242,{"0","1","2"},""))))))))/10))*1+1&amp;""&amp;" to "&amp;""&amp;(SUMPRODUCT(MID(0&amp;(--TRIM(RIGHT(SUBSTITUTE(LEFT(A242,_xlfn.AGGREGATE(16,6,FIND({0,1,2,3,4,5,6,7,8,9},A242,ROW(INDIRECT("1:"&amp;LEN(A242)))),1))," ",REPT(" ",LEN(A242))),LEN(A242)))), LARGE(INDEX(ISNUMBER(--MID((--TRIM(RIGHT(SUBSTITUTE(LEFT(A242,_xlfn.AGGREGATE(16,6,FIND({0,1,2,3,4,5,6,7,8,9},A242,ROW(INDIRECT("1:"&amp;LEN(A242)))),1))," ",REPT(" ",LEN(A242))),LEN(A242)))), ROW(INDIRECT("1:"&amp;LEN((--TRIM(RIGHT(SUBSTITUTE(LEFT(A242,_xlfn.AGGREGATE(16,6,FIND({0,1,2,3,4,5,6,7,8,9},A242,ROW(INDIRECT("1:"&amp;LEN(A242)))),1))," ",REPT(" ",LEN(A242))),LEN(A242))))))), 1)) * ROW(INDIRECT("1:"&amp;LEN((--TRIM(RIGHT(SUBSTITUTE(LEFT(A242,_xlfn.AGGREGATE(16,6,FIND({0,1,2,3,4,5,6,7,8,9},A242,ROW(INDIRECT("1:"&amp;LEN(A242)))),1))," ",REPT(" ",LEN(A242))),LEN(A242))))))), 0), ROW(INDIRECT("1:"&amp;LEN((--TRIM(RIGHT(SUBSTITUTE(LEFT(A242,_xlfn.AGGREGATE(16,6,FIND({0,1,2,3,4,5,6,7,8,9},A242,ROW(INDIRECT("1:"&amp;LEN(A242)))),1))," ",REPT(" ",LEN(A242))),LEN(A242))))))))+1, 1) * 10^ROW(INDIRECT("1:"&amp;LEN((--TRIM(RIGHT(SUBSTITUTE(LEFT(A242,_xlfn.AGGREGATE(16,6,FIND({0,1,2,3,4,5,6,7,8,9},A242,ROW(INDIRECT("1:"&amp;LEN(A242)))),1))," ",REPT(" ",LEN(A242))),LEN(A242)))))))/10))*1+1</f>
        <v>203 to 503</v>
      </c>
      <c r="B243" s="76"/>
      <c r="C243" s="38"/>
      <c r="D243" s="38"/>
      <c r="E243" s="38">
        <v>0</v>
      </c>
      <c r="F243" s="38">
        <f>D243*(($F$135)+1)+(IF(E243&lt;101,E243,IF(E243&lt;201,E243/2,IF(E243&lt;=301,E243/3,E243/4))))</f>
        <v>0</v>
      </c>
      <c r="G243" s="75" t="str">
        <f>G242</f>
        <v>2nd to 5th Floor</v>
      </c>
      <c r="H243" s="76"/>
      <c r="I243" s="32"/>
    </row>
    <row r="244" spans="1:9" s="33" customFormat="1" hidden="1" x14ac:dyDescent="0.35">
      <c r="A244" s="75" t="str">
        <f ca="1">(SUMPRODUCT(MID(0&amp;(LEFT(A243,SUM(LEN(A243)-LEN(SUBSTITUTE(A243,{"0","1","2"},""))))), LARGE(INDEX(ISNUMBER(--MID((LEFT(A243,SUM(LEN(A243)-LEN(SUBSTITUTE(A243,{"0","1","2"},""))))), ROW(INDIRECT("1:"&amp;LEN((LEFT(A243,SUM(LEN(A243)-LEN(SUBSTITUTE(A243,{"0","1","2"},"")))))))), 1)) * ROW(INDIRECT("1:"&amp;LEN((LEFT(A243,SUM(LEN(A243)-LEN(SUBSTITUTE(A243,{"0","1","2"},"")))))))), 0), ROW(INDIRECT("1:"&amp;LEN((LEFT(A243,SUM(LEN(A243)-LEN(SUBSTITUTE(A243,{"0","1","2"},"")))))))))+1, 1) * 10^ROW(INDIRECT("1:"&amp;LEN((LEFT(A243,SUM(LEN(A243)-LEN(SUBSTITUTE(A243,{"0","1","2"},""))))))))/10))*1+1&amp;""&amp;" to "&amp;""&amp;(SUMPRODUCT(MID(0&amp;(--TRIM(RIGHT(SUBSTITUTE(LEFT(A243,_xlfn.AGGREGATE(16,6,FIND({0,1,2,3,4,5,6,7,8,9},A243,ROW(INDIRECT("1:"&amp;LEN(A243)))),1))," ",REPT(" ",LEN(A243))),LEN(A243)))), LARGE(INDEX(ISNUMBER(--MID((--TRIM(RIGHT(SUBSTITUTE(LEFT(A243,_xlfn.AGGREGATE(16,6,FIND({0,1,2,3,4,5,6,7,8,9},A243,ROW(INDIRECT("1:"&amp;LEN(A243)))),1))," ",REPT(" ",LEN(A243))),LEN(A243)))), ROW(INDIRECT("1:"&amp;LEN((--TRIM(RIGHT(SUBSTITUTE(LEFT(A243,_xlfn.AGGREGATE(16,6,FIND({0,1,2,3,4,5,6,7,8,9},A243,ROW(INDIRECT("1:"&amp;LEN(A243)))),1))," ",REPT(" ",LEN(A243))),LEN(A243))))))), 1)) * ROW(INDIRECT("1:"&amp;LEN((--TRIM(RIGHT(SUBSTITUTE(LEFT(A243,_xlfn.AGGREGATE(16,6,FIND({0,1,2,3,4,5,6,7,8,9},A243,ROW(INDIRECT("1:"&amp;LEN(A243)))),1))," ",REPT(" ",LEN(A243))),LEN(A243))))))), 0), ROW(INDIRECT("1:"&amp;LEN((--TRIM(RIGHT(SUBSTITUTE(LEFT(A243,_xlfn.AGGREGATE(16,6,FIND({0,1,2,3,4,5,6,7,8,9},A243,ROW(INDIRECT("1:"&amp;LEN(A243)))),1))," ",REPT(" ",LEN(A243))),LEN(A243))))))))+1, 1) * 10^ROW(INDIRECT("1:"&amp;LEN((--TRIM(RIGHT(SUBSTITUTE(LEFT(A243,_xlfn.AGGREGATE(16,6,FIND({0,1,2,3,4,5,6,7,8,9},A243,ROW(INDIRECT("1:"&amp;LEN(A243)))),1))," ",REPT(" ",LEN(A243))),LEN(A243)))))))/10))*1+1</f>
        <v>204 to 504</v>
      </c>
      <c r="B244" s="76"/>
      <c r="C244" s="38"/>
      <c r="D244" s="38"/>
      <c r="E244" s="38">
        <v>0</v>
      </c>
      <c r="F244" s="38">
        <f>D244*(($F$135)+1)+(IF(E244&lt;101,E244,IF(E244&lt;201,E244/2,IF(E244&lt;=301,E244/3,E244/4))))</f>
        <v>0</v>
      </c>
      <c r="G244" s="75" t="str">
        <f>G243</f>
        <v>2nd to 5th Floor</v>
      </c>
      <c r="H244" s="76"/>
      <c r="I244" s="32"/>
    </row>
    <row r="245" spans="1:9" s="33" customFormat="1" hidden="1" x14ac:dyDescent="0.35">
      <c r="A245" s="75" t="str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10^ROW(INDIRECT("1:"&amp;LEN((LEFT(A244,SUM(LEN(A244)-LEN(SUBSTITUTE(A244,{"0","1","2"},""))))))))/10))*1+1&amp;""&amp;" to "&amp;""&amp;(SUMPRODUCT(MID(0&amp;(--TRIM(RIGHT(SUBSTITUTE(LEFT(A244,_xlfn.AGGREGATE(16,6,FIND({0,1,2,3,4,5,6,7,8,9},A244,ROW(INDIRECT("1:"&amp;LEN(A244)))),1)),"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",LEN(A244))),LEN(A244)))))))/10))*1+1</f>
        <v>205 to 505</v>
      </c>
      <c r="B245" s="76"/>
      <c r="C245" s="38"/>
      <c r="D245" s="38"/>
      <c r="E245" s="38">
        <v>0</v>
      </c>
      <c r="F245" s="38">
        <f>D245*(($F$135)+1)+(IF(E245&lt;101,E245,IF(E245&lt;201,E245/2,IF(E245&lt;=301,E245/3,E245/4))))</f>
        <v>0</v>
      </c>
      <c r="G245" s="75" t="str">
        <f>G244</f>
        <v>2nd to 5th Floor</v>
      </c>
      <c r="H245" s="76"/>
      <c r="I245" s="32"/>
    </row>
    <row r="246" spans="1:9" s="33" customFormat="1" hidden="1" x14ac:dyDescent="0.35">
      <c r="A246" s="91" t="s">
        <v>149</v>
      </c>
      <c r="B246" s="92"/>
      <c r="C246" s="92"/>
      <c r="D246" s="92"/>
      <c r="E246" s="92"/>
      <c r="F246" s="92"/>
      <c r="G246" s="92"/>
      <c r="H246" s="93"/>
      <c r="I246" s="32"/>
    </row>
    <row r="247" spans="1:9" s="33" customFormat="1" hidden="1" x14ac:dyDescent="0.35">
      <c r="A247" s="75" t="str">
        <f ca="1">(SUMPRODUCT(MID(0&amp;(LEFT(A246,SUM(LEN(A246)-LEN(SUBSTITUTE(A246,{"0","1","2"},""))))), LARGE(INDEX(ISNUMBER(--MID((LEFT(A246,SUM(LEN(A246)-LEN(SUBSTITUTE(A246,{"0","1","2"},""))))), ROW(INDIRECT("1:"&amp;LEN((LEFT(A246,SUM(LEN(A246)-LEN(SUBSTITUTE(A246,{"0","1","2"},"")))))))), 1)) * ROW(INDIRECT("1:"&amp;LEN((LEFT(A246,SUM(LEN(A246)-LEN(SUBSTITUTE(A246,{"0","1","2"},"")))))))), 0), ROW(INDIRECT("1:"&amp;LEN((LEFT(A246,SUM(LEN(A246)-LEN(SUBSTITUTE(A246,{"0","1","2"},"")))))))))+1, 1) * 10^ROW(INDIRECT("1:"&amp;LEN((LEFT(A246,SUM(LEN(A246)-LEN(SUBSTITUTE(A246,{"0","1","2"},""))))))))/10))*100+1&amp;""&amp;" &amp; "&amp;""&amp;(SUMPRODUCT(MID(0&amp;(--TRIM(RIGHT(SUBSTITUTE(LEFT(A246,_xlfn.AGGREGATE(16,6,FIND({0,1,2,3,4,5,6,7,8,9},A246,ROW(INDIRECT("1:"&amp;LEN(A246)))),1))," ",REPT(" ",LEN(A246))),LEN(A246)))), LARGE(INDEX(ISNUMBER(--MID((--TRIM(RIGHT(SUBSTITUTE(LEFT(A246,_xlfn.AGGREGATE(16,6,FIND({0,1,2,3,4,5,6,7,8,9},A246,ROW(INDIRECT("1:"&amp;LEN(A246)))),1))," ",REPT(" ",LEN(A246))),LEN(A246)))), ROW(INDIRECT("1:"&amp;LEN((--TRIM(RIGHT(SUBSTITUTE(LEFT(A246,_xlfn.AGGREGATE(16,6,FIND({0,1,2,3,4,5,6,7,8,9},A246,ROW(INDIRECT("1:"&amp;LEN(A246)))),1))," ",REPT(" ",LEN(A246))),LEN(A246))))))), 1)) * ROW(INDIRECT("1:"&amp;LEN((--TRIM(RIGHT(SUBSTITUTE(LEFT(A246,_xlfn.AGGREGATE(16,6,FIND({0,1,2,3,4,5,6,7,8,9},A246,ROW(INDIRECT("1:"&amp;LEN(A246)))),1))," ",REPT(" ",LEN(A246))),LEN(A246))))))), 0), ROW(INDIRECT("1:"&amp;LEN((--TRIM(RIGHT(SUBSTITUTE(LEFT(A246,_xlfn.AGGREGATE(16,6,FIND({0,1,2,3,4,5,6,7,8,9},A246,ROW(INDIRECT("1:"&amp;LEN(A246)))),1))," ",REPT(" ",LEN(A246))),LEN(A246))))))))+1, 1) * 10^ROW(INDIRECT("1:"&amp;LEN((--TRIM(RIGHT(SUBSTITUTE(LEFT(A246,_xlfn.AGGREGATE(16,6,FIND({0,1,2,3,4,5,6,7,8,9},A246,ROW(INDIRECT("1:"&amp;LEN(A246)))),1))," ",REPT(" ",LEN(A246))),LEN(A246)))))))/10))*100+1</f>
        <v>201 &amp; 501</v>
      </c>
      <c r="B247" s="76"/>
      <c r="C247" s="38"/>
      <c r="D247" s="38"/>
      <c r="E247" s="38">
        <v>0</v>
      </c>
      <c r="F247" s="38">
        <f>D247*(($F$135)+1)+(IF(E247&lt;101,E247,IF(E247&lt;201,E247/2,IF(E247&lt;=301,E247/3,E247/4))))</f>
        <v>0</v>
      </c>
      <c r="G247" s="75" t="str">
        <f>A246</f>
        <v>2nd &amp; 5th Floor</v>
      </c>
      <c r="H247" s="76"/>
      <c r="I247" s="32"/>
    </row>
    <row r="248" spans="1:9" s="33" customFormat="1" hidden="1" x14ac:dyDescent="0.35">
      <c r="A248" s="75" t="str">
        <f ca="1">(SUMPRODUCT(MID(0&amp;(LEFT(A247,SUM(LEN(A247)-LEN(SUBSTITUTE(A247,{"0","1","2"},""))))), LARGE(INDEX(ISNUMBER(--MID((LEFT(A247,SUM(LEN(A247)-LEN(SUBSTITUTE(A247,{"0","1","2"},""))))), ROW(INDIRECT("1:"&amp;LEN((LEFT(A247,SUM(LEN(A247)-LEN(SUBSTITUTE(A247,{"0","1","2"},"")))))))), 1)) * ROW(INDIRECT("1:"&amp;LEN((LEFT(A247,SUM(LEN(A247)-LEN(SUBSTITUTE(A247,{"0","1","2"},"")))))))), 0), ROW(INDIRECT("1:"&amp;LEN((LEFT(A247,SUM(LEN(A247)-LEN(SUBSTITUTE(A247,{"0","1","2"},"")))))))))+1, 1) * 10^ROW(INDIRECT("1:"&amp;LEN((LEFT(A247,SUM(LEN(A247)-LEN(SUBSTITUTE(A247,{"0","1","2"},""))))))))/10))*1+1&amp;""&amp;" &amp; "&amp;""&amp;(SUMPRODUCT(MID(0&amp;(--TRIM(RIGHT(SUBSTITUTE(LEFT(A247,_xlfn.AGGREGATE(16,6,FIND({0,1,2,3,4,5,6,7,8,9},A247,ROW(INDIRECT("1:"&amp;LEN(A247)))),1))," ",REPT(" ",LEN(A247))),LEN(A247)))), LARGE(INDEX(ISNUMBER(--MID((--TRIM(RIGHT(SUBSTITUTE(LEFT(A247,_xlfn.AGGREGATE(16,6,FIND({0,1,2,3,4,5,6,7,8,9},A247,ROW(INDIRECT("1:"&amp;LEN(A247)))),1))," ",REPT(" ",LEN(A247))),LEN(A247)))), ROW(INDIRECT("1:"&amp;LEN((--TRIM(RIGHT(SUBSTITUTE(LEFT(A247,_xlfn.AGGREGATE(16,6,FIND({0,1,2,3,4,5,6,7,8,9},A247,ROW(INDIRECT("1:"&amp;LEN(A247)))),1))," ",REPT(" ",LEN(A247))),LEN(A247))))))), 1)) * ROW(INDIRECT("1:"&amp;LEN((--TRIM(RIGHT(SUBSTITUTE(LEFT(A247,_xlfn.AGGREGATE(16,6,FIND({0,1,2,3,4,5,6,7,8,9},A247,ROW(INDIRECT("1:"&amp;LEN(A247)))),1))," ",REPT(" ",LEN(A247))),LEN(A247))))))), 0), ROW(INDIRECT("1:"&amp;LEN((--TRIM(RIGHT(SUBSTITUTE(LEFT(A247,_xlfn.AGGREGATE(16,6,FIND({0,1,2,3,4,5,6,7,8,9},A247,ROW(INDIRECT("1:"&amp;LEN(A247)))),1))," ",REPT(" ",LEN(A247))),LEN(A247))))))))+1, 1) * 10^ROW(INDIRECT("1:"&amp;LEN((--TRIM(RIGHT(SUBSTITUTE(LEFT(A247,_xlfn.AGGREGATE(16,6,FIND({0,1,2,3,4,5,6,7,8,9},A247,ROW(INDIRECT("1:"&amp;LEN(A247)))),1))," ",REPT(" ",LEN(A247))),LEN(A247)))))))/10))*1+1</f>
        <v>202 &amp; 502</v>
      </c>
      <c r="B248" s="76"/>
      <c r="C248" s="38"/>
      <c r="D248" s="38"/>
      <c r="E248" s="38">
        <v>0</v>
      </c>
      <c r="F248" s="38">
        <f>D248*(($F$135)+1)+(IF(E248&lt;101,E248,IF(E248&lt;201,E248/2,IF(E248&lt;=301,E248/3,E248/4))))</f>
        <v>0</v>
      </c>
      <c r="G248" s="75" t="str">
        <f t="shared" ref="G248:G251" si="14">G247</f>
        <v>2nd &amp; 5th Floor</v>
      </c>
      <c r="H248" s="76"/>
      <c r="I248" s="32"/>
    </row>
    <row r="249" spans="1:9" s="33" customFormat="1" hidden="1" x14ac:dyDescent="0.35">
      <c r="A249" s="75" t="str">
        <f ca="1">(SUMPRODUCT(MID(0&amp;(LEFT(A248,SUM(LEN(A248)-LEN(SUBSTITUTE(A248,{"0","1","2"},""))))), LARGE(INDEX(ISNUMBER(--MID((LEFT(A248,SUM(LEN(A248)-LEN(SUBSTITUTE(A248,{"0","1","2"},""))))), ROW(INDIRECT("1:"&amp;LEN((LEFT(A248,SUM(LEN(A248)-LEN(SUBSTITUTE(A248,{"0","1","2"},"")))))))), 1)) * ROW(INDIRECT("1:"&amp;LEN((LEFT(A248,SUM(LEN(A248)-LEN(SUBSTITUTE(A248,{"0","1","2"},"")))))))), 0), ROW(INDIRECT("1:"&amp;LEN((LEFT(A248,SUM(LEN(A248)-LEN(SUBSTITUTE(A248,{"0","1","2"},"")))))))))+1, 1) * 10^ROW(INDIRECT("1:"&amp;LEN((LEFT(A248,SUM(LEN(A248)-LEN(SUBSTITUTE(A248,{"0","1","2"},""))))))))/10))*1+1&amp;""&amp;" &amp; "&amp;""&amp;(SUMPRODUCT(MID(0&amp;(--TRIM(RIGHT(SUBSTITUTE(LEFT(A248,_xlfn.AGGREGATE(16,6,FIND({0,1,2,3,4,5,6,7,8,9},A248,ROW(INDIRECT("1:"&amp;LEN(A248)))),1))," ",REPT(" ",LEN(A248))),LEN(A248)))), LARGE(INDEX(ISNUMBER(--MID((--TRIM(RIGHT(SUBSTITUTE(LEFT(A248,_xlfn.AGGREGATE(16,6,FIND({0,1,2,3,4,5,6,7,8,9},A248,ROW(INDIRECT("1:"&amp;LEN(A248)))),1))," ",REPT(" ",LEN(A248))),LEN(A248)))), ROW(INDIRECT("1:"&amp;LEN((--TRIM(RIGHT(SUBSTITUTE(LEFT(A248,_xlfn.AGGREGATE(16,6,FIND({0,1,2,3,4,5,6,7,8,9},A248,ROW(INDIRECT("1:"&amp;LEN(A248)))),1))," ",REPT(" ",LEN(A248))),LEN(A248))))))), 1)) * ROW(INDIRECT("1:"&amp;LEN((--TRIM(RIGHT(SUBSTITUTE(LEFT(A248,_xlfn.AGGREGATE(16,6,FIND({0,1,2,3,4,5,6,7,8,9},A248,ROW(INDIRECT("1:"&amp;LEN(A248)))),1))," ",REPT(" ",LEN(A248))),LEN(A248))))))), 0), ROW(INDIRECT("1:"&amp;LEN((--TRIM(RIGHT(SUBSTITUTE(LEFT(A248,_xlfn.AGGREGATE(16,6,FIND({0,1,2,3,4,5,6,7,8,9},A248,ROW(INDIRECT("1:"&amp;LEN(A248)))),1))," ",REPT(" ",LEN(A248))),LEN(A248))))))))+1, 1) * 10^ROW(INDIRECT("1:"&amp;LEN((--TRIM(RIGHT(SUBSTITUTE(LEFT(A248,_xlfn.AGGREGATE(16,6,FIND({0,1,2,3,4,5,6,7,8,9},A248,ROW(INDIRECT("1:"&amp;LEN(A248)))),1))," ",REPT(" ",LEN(A248))),LEN(A248)))))))/10))*1+1</f>
        <v>203 &amp; 503</v>
      </c>
      <c r="B249" s="76"/>
      <c r="C249" s="38"/>
      <c r="D249" s="38"/>
      <c r="E249" s="38">
        <v>0</v>
      </c>
      <c r="F249" s="38">
        <f>D249*(($F$135)+1)+(IF(E249&lt;101,E249,IF(E249&lt;201,E249/2,IF(E249&lt;=301,E249/3,E249/4))))</f>
        <v>0</v>
      </c>
      <c r="G249" s="75" t="str">
        <f t="shared" si="14"/>
        <v>2nd &amp; 5th Floor</v>
      </c>
      <c r="H249" s="76"/>
      <c r="I249" s="32"/>
    </row>
    <row r="250" spans="1:9" s="33" customFormat="1" hidden="1" x14ac:dyDescent="0.35">
      <c r="A250" s="75" t="str">
        <f ca="1">(SUMPRODUCT(MID(0&amp;(LEFT(A249,SUM(LEN(A249)-LEN(SUBSTITUTE(A249,{"0","1","2"},""))))), LARGE(INDEX(ISNUMBER(--MID((LEFT(A249,SUM(LEN(A249)-LEN(SUBSTITUTE(A249,{"0","1","2"},""))))), ROW(INDIRECT("1:"&amp;LEN((LEFT(A249,SUM(LEN(A249)-LEN(SUBSTITUTE(A249,{"0","1","2"},"")))))))), 1)) * ROW(INDIRECT("1:"&amp;LEN((LEFT(A249,SUM(LEN(A249)-LEN(SUBSTITUTE(A249,{"0","1","2"},"")))))))), 0), ROW(INDIRECT("1:"&amp;LEN((LEFT(A249,SUM(LEN(A249)-LEN(SUBSTITUTE(A249,{"0","1","2"},"")))))))))+1, 1) * 10^ROW(INDIRECT("1:"&amp;LEN((LEFT(A249,SUM(LEN(A249)-LEN(SUBSTITUTE(A249,{"0","1","2"},""))))))))/10))*1+1&amp;""&amp;" &amp; "&amp;""&amp;(SUMPRODUCT(MID(0&amp;(--TRIM(RIGHT(SUBSTITUTE(LEFT(A249,_xlfn.AGGREGATE(16,6,FIND({0,1,2,3,4,5,6,7,8,9},A249,ROW(INDIRECT("1:"&amp;LEN(A249)))),1))," ",REPT(" ",LEN(A249))),LEN(A249)))), LARGE(INDEX(ISNUMBER(--MID((--TRIM(RIGHT(SUBSTITUTE(LEFT(A249,_xlfn.AGGREGATE(16,6,FIND({0,1,2,3,4,5,6,7,8,9},A249,ROW(INDIRECT("1:"&amp;LEN(A249)))),1))," ",REPT(" ",LEN(A249))),LEN(A249)))), ROW(INDIRECT("1:"&amp;LEN((--TRIM(RIGHT(SUBSTITUTE(LEFT(A249,_xlfn.AGGREGATE(16,6,FIND({0,1,2,3,4,5,6,7,8,9},A249,ROW(INDIRECT("1:"&amp;LEN(A249)))),1))," ",REPT(" ",LEN(A249))),LEN(A249))))))), 1)) * ROW(INDIRECT("1:"&amp;LEN((--TRIM(RIGHT(SUBSTITUTE(LEFT(A249,_xlfn.AGGREGATE(16,6,FIND({0,1,2,3,4,5,6,7,8,9},A249,ROW(INDIRECT("1:"&amp;LEN(A249)))),1))," ",REPT(" ",LEN(A249))),LEN(A249))))))), 0), ROW(INDIRECT("1:"&amp;LEN((--TRIM(RIGHT(SUBSTITUTE(LEFT(A249,_xlfn.AGGREGATE(16,6,FIND({0,1,2,3,4,5,6,7,8,9},A249,ROW(INDIRECT("1:"&amp;LEN(A249)))),1))," ",REPT(" ",LEN(A249))),LEN(A249))))))))+1, 1) * 10^ROW(INDIRECT("1:"&amp;LEN((--TRIM(RIGHT(SUBSTITUTE(LEFT(A249,_xlfn.AGGREGATE(16,6,FIND({0,1,2,3,4,5,6,7,8,9},A249,ROW(INDIRECT("1:"&amp;LEN(A249)))),1))," ",REPT(" ",LEN(A249))),LEN(A249)))))))/10))*1+1</f>
        <v>204 &amp; 504</v>
      </c>
      <c r="B250" s="76"/>
      <c r="C250" s="38"/>
      <c r="D250" s="38"/>
      <c r="E250" s="38">
        <v>0</v>
      </c>
      <c r="F250" s="38">
        <f>D250*(($F$135)+1)+(IF(E250&lt;101,E250,IF(E250&lt;201,E250/2,IF(E250&lt;=301,E250/3,E250/4))))</f>
        <v>0</v>
      </c>
      <c r="G250" s="75" t="str">
        <f t="shared" si="14"/>
        <v>2nd &amp; 5th Floor</v>
      </c>
      <c r="H250" s="76"/>
      <c r="I250" s="32"/>
    </row>
    <row r="251" spans="1:9" s="33" customFormat="1" hidden="1" x14ac:dyDescent="0.35">
      <c r="A251" s="75" t="str">
        <f ca="1">(SUMPRODUCT(MID(0&amp;(LEFT(A250,SUM(LEN(A250)-LEN(SUBSTITUTE(A250,{"0","1","2"},""))))), LARGE(INDEX(ISNUMBER(--MID((LEFT(A250,SUM(LEN(A250)-LEN(SUBSTITUTE(A250,{"0","1","2"},""))))), ROW(INDIRECT("1:"&amp;LEN((LEFT(A250,SUM(LEN(A250)-LEN(SUBSTITUTE(A250,{"0","1","2"},"")))))))), 1)) * ROW(INDIRECT("1:"&amp;LEN((LEFT(A250,SUM(LEN(A250)-LEN(SUBSTITUTE(A250,{"0","1","2"},"")))))))), 0), ROW(INDIRECT("1:"&amp;LEN((LEFT(A250,SUM(LEN(A250)-LEN(SUBSTITUTE(A250,{"0","1","2"},"")))))))))+1, 1) * 10^ROW(INDIRECT("1:"&amp;LEN((LEFT(A250,SUM(LEN(A250)-LEN(SUBSTITUTE(A250,{"0","1","2"},""))))))))/10))*1+1&amp;""&amp;" &amp; "&amp;""&amp;(SUMPRODUCT(MID(0&amp;(--TRIM(RIGHT(SUBSTITUTE(LEFT(A250,_xlfn.AGGREGATE(16,6,FIND({0,1,2,3,4,5,6,7,8,9},A250,ROW(INDIRECT("1:"&amp;LEN(A250)))),1))," ",REPT(" ",LEN(A250))),LEN(A250)))), LARGE(INDEX(ISNUMBER(--MID((--TRIM(RIGHT(SUBSTITUTE(LEFT(A250,_xlfn.AGGREGATE(16,6,FIND({0,1,2,3,4,5,6,7,8,9},A250,ROW(INDIRECT("1:"&amp;LEN(A250)))),1))," ",REPT(" ",LEN(A250))),LEN(A250)))), ROW(INDIRECT("1:"&amp;LEN((--TRIM(RIGHT(SUBSTITUTE(LEFT(A250,_xlfn.AGGREGATE(16,6,FIND({0,1,2,3,4,5,6,7,8,9},A250,ROW(INDIRECT("1:"&amp;LEN(A250)))),1))," ",REPT(" ",LEN(A250))),LEN(A250))))))), 1)) * ROW(INDIRECT("1:"&amp;LEN((--TRIM(RIGHT(SUBSTITUTE(LEFT(A250,_xlfn.AGGREGATE(16,6,FIND({0,1,2,3,4,5,6,7,8,9},A250,ROW(INDIRECT("1:"&amp;LEN(A250)))),1))," ",REPT(" ",LEN(A250))),LEN(A250))))))), 0), ROW(INDIRECT("1:"&amp;LEN((--TRIM(RIGHT(SUBSTITUTE(LEFT(A250,_xlfn.AGGREGATE(16,6,FIND({0,1,2,3,4,5,6,7,8,9},A250,ROW(INDIRECT("1:"&amp;LEN(A250)))),1))," ",REPT(" ",LEN(A250))),LEN(A250))))))))+1, 1) * 10^ROW(INDIRECT("1:"&amp;LEN((--TRIM(RIGHT(SUBSTITUTE(LEFT(A250,_xlfn.AGGREGATE(16,6,FIND({0,1,2,3,4,5,6,7,8,9},A250,ROW(INDIRECT("1:"&amp;LEN(A250)))),1))," ",REPT(" ",LEN(A250))),LEN(A250)))))))/10))*1+1</f>
        <v>205 &amp; 505</v>
      </c>
      <c r="B251" s="76"/>
      <c r="C251" s="38"/>
      <c r="D251" s="38"/>
      <c r="E251" s="38">
        <v>0</v>
      </c>
      <c r="F251" s="38">
        <f>D251*(($F$135)+1)+(IF(E251&lt;101,E251,IF(E251&lt;201,E251/2,IF(E251&lt;=301,E251/3,E251/4))))</f>
        <v>0</v>
      </c>
      <c r="G251" s="75" t="str">
        <f t="shared" si="14"/>
        <v>2nd &amp; 5th Floor</v>
      </c>
      <c r="H251" s="76"/>
      <c r="I251" s="32"/>
    </row>
    <row r="252" spans="1:9" s="31" customFormat="1" x14ac:dyDescent="0.35">
      <c r="A252" s="196" t="s">
        <v>68</v>
      </c>
      <c r="B252" s="196"/>
      <c r="C252" s="196"/>
      <c r="D252" s="196"/>
      <c r="E252" s="196"/>
      <c r="F252" s="196"/>
      <c r="G252" s="196"/>
      <c r="H252" s="196"/>
    </row>
    <row r="253" spans="1:9" s="31" customFormat="1" x14ac:dyDescent="0.35">
      <c r="A253" s="41" t="s">
        <v>157</v>
      </c>
      <c r="B253" s="193" t="s">
        <v>293</v>
      </c>
      <c r="C253" s="194"/>
      <c r="D253" s="194"/>
      <c r="E253" s="194"/>
      <c r="F253" s="194"/>
      <c r="G253" s="194"/>
      <c r="H253" s="195"/>
    </row>
    <row r="254" spans="1:9" s="31" customFormat="1" x14ac:dyDescent="0.35">
      <c r="A254" s="41" t="s">
        <v>157</v>
      </c>
      <c r="B254" s="193" t="str">
        <f>(IF(F134="Saleable area Loading :","We have considered Saleable area of Flats as per our Calculation.","We considered Saleable area of Flat as per Builder area Sheet."))</f>
        <v>We considered Saleable area of Flat as per Builder area Sheet.</v>
      </c>
      <c r="C254" s="194"/>
      <c r="D254" s="194"/>
      <c r="E254" s="194"/>
      <c r="F254" s="194"/>
      <c r="G254" s="194"/>
      <c r="H254" s="195"/>
    </row>
    <row r="255" spans="1:9" s="31" customFormat="1" x14ac:dyDescent="0.35">
      <c r="A255" s="41" t="s">
        <v>157</v>
      </c>
      <c r="B255" s="193" t="str">
        <f>(IF(F108="Saleable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55" s="194"/>
      <c r="D255" s="194"/>
      <c r="E255" s="194"/>
      <c r="F255" s="194"/>
      <c r="G255" s="194"/>
      <c r="H255" s="195"/>
    </row>
    <row r="256" spans="1:9" s="31" customFormat="1" x14ac:dyDescent="0.35">
      <c r="A256" s="41" t="s">
        <v>157</v>
      </c>
      <c r="B256" s="193" t="s">
        <v>125</v>
      </c>
      <c r="C256" s="194"/>
      <c r="D256" s="194"/>
      <c r="E256" s="194"/>
      <c r="F256" s="194"/>
      <c r="G256" s="194"/>
      <c r="H256" s="195"/>
    </row>
    <row r="257" spans="1:8" s="31" customFormat="1" ht="16.5" customHeight="1" x14ac:dyDescent="0.35">
      <c r="A257" s="41" t="s">
        <v>157</v>
      </c>
      <c r="B257" s="193" t="s">
        <v>282</v>
      </c>
      <c r="C257" s="194"/>
      <c r="D257" s="194"/>
      <c r="E257" s="194"/>
      <c r="F257" s="194"/>
      <c r="G257" s="194"/>
      <c r="H257" s="195"/>
    </row>
    <row r="258" spans="1:8" s="31" customFormat="1" x14ac:dyDescent="0.35">
      <c r="A258" s="41" t="s">
        <v>157</v>
      </c>
      <c r="B258" s="193" t="s">
        <v>156</v>
      </c>
      <c r="C258" s="194"/>
      <c r="D258" s="194"/>
      <c r="E258" s="194"/>
      <c r="F258" s="194"/>
      <c r="G258" s="194"/>
      <c r="H258" s="195"/>
    </row>
    <row r="259" spans="1:8" s="31" customFormat="1" x14ac:dyDescent="0.35">
      <c r="A259" s="41" t="s">
        <v>157</v>
      </c>
      <c r="B259" s="71" t="s">
        <v>126</v>
      </c>
      <c r="C259" s="72"/>
      <c r="D259" s="72"/>
      <c r="E259" s="72"/>
      <c r="F259" s="72"/>
      <c r="G259" s="72"/>
      <c r="H259" s="73"/>
    </row>
    <row r="260" spans="1:8" s="31" customFormat="1" ht="34.5" customHeight="1" x14ac:dyDescent="0.35">
      <c r="A260" s="41" t="s">
        <v>157</v>
      </c>
      <c r="B260" s="71" t="s">
        <v>158</v>
      </c>
      <c r="C260" s="72"/>
      <c r="D260" s="72"/>
      <c r="E260" s="72"/>
      <c r="F260" s="72"/>
      <c r="G260" s="72"/>
      <c r="H260" s="73"/>
    </row>
    <row r="261" spans="1:8" s="31" customFormat="1" x14ac:dyDescent="0.35">
      <c r="A261" s="41" t="s">
        <v>157</v>
      </c>
      <c r="B261" s="71" t="s">
        <v>127</v>
      </c>
      <c r="C261" s="72"/>
      <c r="D261" s="72"/>
      <c r="E261" s="72"/>
      <c r="F261" s="72"/>
      <c r="G261" s="72"/>
      <c r="H261" s="73"/>
    </row>
    <row r="262" spans="1:8" s="31" customFormat="1" ht="32.25" hidden="1" customHeight="1" x14ac:dyDescent="0.35">
      <c r="A262" s="41" t="s">
        <v>157</v>
      </c>
      <c r="B262" s="198" t="s">
        <v>181</v>
      </c>
      <c r="C262" s="199"/>
      <c r="D262" s="199"/>
      <c r="E262" s="199"/>
      <c r="F262" s="199"/>
      <c r="G262" s="199"/>
      <c r="H262" s="200"/>
    </row>
    <row r="263" spans="1:8" s="31" customFormat="1" x14ac:dyDescent="0.35">
      <c r="A263" s="41" t="s">
        <v>157</v>
      </c>
      <c r="B263" s="71" t="s">
        <v>283</v>
      </c>
      <c r="C263" s="72"/>
      <c r="D263" s="72"/>
      <c r="E263" s="72"/>
      <c r="F263" s="72"/>
      <c r="G263" s="72"/>
      <c r="H263" s="73"/>
    </row>
    <row r="264" spans="1:8" s="31" customFormat="1" x14ac:dyDescent="0.35">
      <c r="A264" s="41" t="s">
        <v>157</v>
      </c>
      <c r="B264" s="71" t="s">
        <v>289</v>
      </c>
      <c r="C264" s="72"/>
      <c r="D264" s="72"/>
      <c r="E264" s="72"/>
      <c r="F264" s="72"/>
      <c r="G264" s="72"/>
      <c r="H264" s="73"/>
    </row>
    <row r="265" spans="1:8" x14ac:dyDescent="0.35">
      <c r="A265" s="152" t="s">
        <v>61</v>
      </c>
      <c r="B265" s="152"/>
      <c r="C265" s="152"/>
      <c r="D265" s="152"/>
      <c r="E265" s="152"/>
      <c r="F265" s="152"/>
      <c r="G265" s="152"/>
      <c r="H265" s="152"/>
    </row>
    <row r="266" spans="1:8" x14ac:dyDescent="0.35">
      <c r="A266" s="87" t="s">
        <v>62</v>
      </c>
      <c r="B266" s="87"/>
      <c r="C266" s="87"/>
      <c r="D266" s="87"/>
      <c r="E266" s="87"/>
      <c r="F266" s="87"/>
      <c r="G266" s="87"/>
      <c r="H266" s="87"/>
    </row>
    <row r="267" spans="1:8" ht="15.75" customHeight="1" x14ac:dyDescent="0.35">
      <c r="A267" s="197" t="s">
        <v>63</v>
      </c>
      <c r="B267" s="197"/>
      <c r="C267" s="197"/>
      <c r="D267" s="197"/>
      <c r="E267" s="197"/>
      <c r="F267" s="197"/>
      <c r="G267" s="197"/>
      <c r="H267" s="197"/>
    </row>
    <row r="268" spans="1:8" x14ac:dyDescent="0.35">
      <c r="A268" s="87" t="s">
        <v>64</v>
      </c>
      <c r="B268" s="87"/>
      <c r="C268" s="87"/>
      <c r="D268" s="87"/>
      <c r="E268" s="87"/>
      <c r="F268" s="87"/>
      <c r="G268" s="87"/>
      <c r="H268" s="87"/>
    </row>
    <row r="269" spans="1:8" x14ac:dyDescent="0.35">
      <c r="A269" s="87" t="s">
        <v>65</v>
      </c>
      <c r="B269" s="87"/>
      <c r="C269" s="87"/>
      <c r="D269" s="87"/>
      <c r="E269" s="87"/>
      <c r="F269" s="87"/>
      <c r="G269" s="87"/>
      <c r="H269" s="87"/>
    </row>
    <row r="270" spans="1:8" hidden="1" x14ac:dyDescent="0.35">
      <c r="A270" s="87" t="s">
        <v>128</v>
      </c>
      <c r="B270" s="87"/>
      <c r="C270" s="87"/>
      <c r="D270" s="87"/>
      <c r="E270" s="87"/>
      <c r="F270" s="87"/>
      <c r="G270" s="87"/>
      <c r="H270" s="87"/>
    </row>
    <row r="271" spans="1:8" ht="34" hidden="1" customHeight="1" x14ac:dyDescent="0.35">
      <c r="A271" s="153" t="s">
        <v>129</v>
      </c>
      <c r="B271" s="153"/>
      <c r="C271" s="153"/>
      <c r="D271" s="153"/>
      <c r="E271" s="153"/>
      <c r="F271" s="153"/>
      <c r="G271" s="153"/>
      <c r="H271" s="153"/>
    </row>
    <row r="272" spans="1:8" x14ac:dyDescent="0.35">
      <c r="A272" s="181" t="s">
        <v>77</v>
      </c>
      <c r="B272" s="181"/>
      <c r="C272" s="181" t="s">
        <v>292</v>
      </c>
      <c r="D272" s="181"/>
      <c r="E272" s="181" t="s">
        <v>107</v>
      </c>
      <c r="F272" s="181"/>
      <c r="G272" s="181" t="s">
        <v>291</v>
      </c>
      <c r="H272" s="181"/>
    </row>
    <row r="273" spans="1:8" x14ac:dyDescent="0.35">
      <c r="A273" s="180" t="s">
        <v>79</v>
      </c>
      <c r="B273" s="180"/>
      <c r="C273" s="180"/>
      <c r="D273" s="180"/>
      <c r="E273" s="180"/>
      <c r="F273" s="180"/>
      <c r="G273" s="180"/>
      <c r="H273" s="180"/>
    </row>
    <row r="274" spans="1:8" x14ac:dyDescent="0.35">
      <c r="A274" s="180"/>
      <c r="B274" s="180"/>
      <c r="C274" s="180"/>
      <c r="D274" s="180"/>
      <c r="E274" s="180"/>
      <c r="F274" s="180"/>
      <c r="G274" s="180"/>
      <c r="H274" s="180"/>
    </row>
    <row r="275" spans="1:8" x14ac:dyDescent="0.35">
      <c r="A275" s="180"/>
      <c r="B275" s="180"/>
      <c r="C275" s="180"/>
      <c r="D275" s="180"/>
      <c r="E275" s="180"/>
      <c r="F275" s="180"/>
      <c r="G275" s="180"/>
      <c r="H275" s="180"/>
    </row>
    <row r="276" spans="1:8" x14ac:dyDescent="0.35">
      <c r="A276" s="180"/>
      <c r="B276" s="180"/>
      <c r="C276" s="180"/>
      <c r="D276" s="180"/>
      <c r="E276" s="180"/>
      <c r="F276" s="180"/>
      <c r="G276" s="180"/>
      <c r="H276" s="180"/>
    </row>
    <row r="277" spans="1:8" x14ac:dyDescent="0.35">
      <c r="A277" s="34" t="s">
        <v>66</v>
      </c>
      <c r="B277" s="35"/>
      <c r="C277" s="35"/>
      <c r="D277" s="34" t="str">
        <f>E8</f>
        <v>Shreeji Neelkanth</v>
      </c>
      <c r="F277" s="35"/>
      <c r="G277" s="35"/>
      <c r="H277" s="35"/>
    </row>
    <row r="278" spans="1:8" x14ac:dyDescent="0.35">
      <c r="A278" s="35"/>
      <c r="B278" s="35"/>
      <c r="C278" s="35"/>
      <c r="D278" s="35"/>
      <c r="E278" s="35"/>
      <c r="F278" s="35"/>
      <c r="G278" s="35"/>
      <c r="H278" s="35"/>
    </row>
    <row r="279" spans="1:8" x14ac:dyDescent="0.35">
      <c r="A279" s="35"/>
      <c r="B279" s="35"/>
      <c r="C279" s="35"/>
      <c r="D279" s="35"/>
      <c r="E279" s="35"/>
      <c r="F279" s="35"/>
      <c r="G279" s="35"/>
      <c r="H279" s="35"/>
    </row>
    <row r="280" spans="1:8" ht="15" customHeight="1" x14ac:dyDescent="0.35"/>
    <row r="319" spans="1:1" x14ac:dyDescent="0.35">
      <c r="A319" s="37" t="s">
        <v>167</v>
      </c>
    </row>
    <row r="361" spans="1:1" x14ac:dyDescent="0.35">
      <c r="A361" s="37" t="s">
        <v>67</v>
      </c>
    </row>
  </sheetData>
  <mergeCells count="484">
    <mergeCell ref="A250:B250"/>
    <mergeCell ref="B256:H256"/>
    <mergeCell ref="G249:H249"/>
    <mergeCell ref="A184:B184"/>
    <mergeCell ref="A185:B185"/>
    <mergeCell ref="A186:B186"/>
    <mergeCell ref="A187:B187"/>
    <mergeCell ref="C187:F188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C210:F210"/>
    <mergeCell ref="B263:H263"/>
    <mergeCell ref="A196:H196"/>
    <mergeCell ref="A197:B197"/>
    <mergeCell ref="G197:H211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7:B217"/>
    <mergeCell ref="B257:H257"/>
    <mergeCell ref="A211:B211"/>
    <mergeCell ref="B261:H261"/>
    <mergeCell ref="B259:H259"/>
    <mergeCell ref="B255:H255"/>
    <mergeCell ref="A249:B249"/>
    <mergeCell ref="I14:P14"/>
    <mergeCell ref="G242:H242"/>
    <mergeCell ref="F92:H92"/>
    <mergeCell ref="F90:H90"/>
    <mergeCell ref="A236:B236"/>
    <mergeCell ref="A107:H107"/>
    <mergeCell ref="G96:H96"/>
    <mergeCell ref="A91:E91"/>
    <mergeCell ref="A113:B113"/>
    <mergeCell ref="A53:B53"/>
    <mergeCell ref="C53:E53"/>
    <mergeCell ref="D55:H55"/>
    <mergeCell ref="F91:H91"/>
    <mergeCell ref="E96:F96"/>
    <mergeCell ref="A96:B96"/>
    <mergeCell ref="A98:B98"/>
    <mergeCell ref="C101:D101"/>
    <mergeCell ref="D63:H63"/>
    <mergeCell ref="A64:C64"/>
    <mergeCell ref="E42:H42"/>
    <mergeCell ref="A42:D42"/>
    <mergeCell ref="A75:B75"/>
    <mergeCell ref="A49:B49"/>
    <mergeCell ref="C49:E49"/>
    <mergeCell ref="F81:H81"/>
    <mergeCell ref="G97:H97"/>
    <mergeCell ref="F89:H89"/>
    <mergeCell ref="C96:D96"/>
    <mergeCell ref="C104:D104"/>
    <mergeCell ref="A136:H136"/>
    <mergeCell ref="A238:B238"/>
    <mergeCell ref="A235:B235"/>
    <mergeCell ref="G231:H231"/>
    <mergeCell ref="A112:B112"/>
    <mergeCell ref="E101:F101"/>
    <mergeCell ref="A83:E83"/>
    <mergeCell ref="F83:H83"/>
    <mergeCell ref="A164:H164"/>
    <mergeCell ref="A165:B165"/>
    <mergeCell ref="G165:H179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270:H270"/>
    <mergeCell ref="A267:H267"/>
    <mergeCell ref="G244:H244"/>
    <mergeCell ref="A229:B229"/>
    <mergeCell ref="A101:B101"/>
    <mergeCell ref="D134:D135"/>
    <mergeCell ref="E134:E135"/>
    <mergeCell ref="G134:H135"/>
    <mergeCell ref="B262:H262"/>
    <mergeCell ref="A266:H266"/>
    <mergeCell ref="A244:B244"/>
    <mergeCell ref="A174:B174"/>
    <mergeCell ref="A175:B175"/>
    <mergeCell ref="A176:B176"/>
    <mergeCell ref="A177:B177"/>
    <mergeCell ref="A178:B178"/>
    <mergeCell ref="A179:B179"/>
    <mergeCell ref="C171:F172"/>
    <mergeCell ref="A180:H180"/>
    <mergeCell ref="A181:B181"/>
    <mergeCell ref="G181:H195"/>
    <mergeCell ref="B260:H260"/>
    <mergeCell ref="B258:H258"/>
    <mergeCell ref="A133:H133"/>
    <mergeCell ref="A106:H106"/>
    <mergeCell ref="G250:H250"/>
    <mergeCell ref="B253:H253"/>
    <mergeCell ref="B254:H254"/>
    <mergeCell ref="A241:B241"/>
    <mergeCell ref="A134:A135"/>
    <mergeCell ref="A243:B243"/>
    <mergeCell ref="G247:H247"/>
    <mergeCell ref="G245:H245"/>
    <mergeCell ref="A252:H252"/>
    <mergeCell ref="A245:B245"/>
    <mergeCell ref="G243:H243"/>
    <mergeCell ref="A214:B214"/>
    <mergeCell ref="A219:B219"/>
    <mergeCell ref="A224:B224"/>
    <mergeCell ref="G248:H248"/>
    <mergeCell ref="A246:H246"/>
    <mergeCell ref="A247:B247"/>
    <mergeCell ref="A248:B248"/>
    <mergeCell ref="A251:B251"/>
    <mergeCell ref="G251:H251"/>
    <mergeCell ref="A143:B143"/>
    <mergeCell ref="A182:B182"/>
    <mergeCell ref="A183:B183"/>
    <mergeCell ref="A105:B105"/>
    <mergeCell ref="C105:D105"/>
    <mergeCell ref="E105:F105"/>
    <mergeCell ref="G105:H105"/>
    <mergeCell ref="A234:H234"/>
    <mergeCell ref="A140:B140"/>
    <mergeCell ref="G237:H237"/>
    <mergeCell ref="G235:H235"/>
    <mergeCell ref="A242:B242"/>
    <mergeCell ref="A232:B232"/>
    <mergeCell ref="G233:H233"/>
    <mergeCell ref="G239:H239"/>
    <mergeCell ref="G238:H238"/>
    <mergeCell ref="A240:H240"/>
    <mergeCell ref="A153:B153"/>
    <mergeCell ref="A154:B154"/>
    <mergeCell ref="A155:B155"/>
    <mergeCell ref="A156:B156"/>
    <mergeCell ref="A157:B157"/>
    <mergeCell ref="A158:B158"/>
    <mergeCell ref="A159:B159"/>
    <mergeCell ref="A212:H212"/>
    <mergeCell ref="A213:B213"/>
    <mergeCell ref="G213:H227"/>
    <mergeCell ref="A273:H276"/>
    <mergeCell ref="A272:B272"/>
    <mergeCell ref="E272:F272"/>
    <mergeCell ref="C272:D272"/>
    <mergeCell ref="G272:H272"/>
    <mergeCell ref="A95:H95"/>
    <mergeCell ref="A93:E93"/>
    <mergeCell ref="F93:H93"/>
    <mergeCell ref="A94:E94"/>
    <mergeCell ref="F94:H94"/>
    <mergeCell ref="A228:H228"/>
    <mergeCell ref="A102:B102"/>
    <mergeCell ref="A237:B237"/>
    <mergeCell ref="A97:B97"/>
    <mergeCell ref="A268:H268"/>
    <mergeCell ref="A100:H100"/>
    <mergeCell ref="A271:H271"/>
    <mergeCell ref="A269:H269"/>
    <mergeCell ref="A265:H265"/>
    <mergeCell ref="G101:H101"/>
    <mergeCell ref="G241:H241"/>
    <mergeCell ref="A239:B239"/>
    <mergeCell ref="C108:C109"/>
    <mergeCell ref="B134:B135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4:H64"/>
    <mergeCell ref="A70:B70"/>
    <mergeCell ref="G69:H69"/>
    <mergeCell ref="E70:F79"/>
    <mergeCell ref="G70:H79"/>
    <mergeCell ref="A78:B7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59:C59"/>
    <mergeCell ref="A60:C60"/>
    <mergeCell ref="D59:H59"/>
    <mergeCell ref="F36:H36"/>
    <mergeCell ref="A58:C58"/>
    <mergeCell ref="D58:H58"/>
    <mergeCell ref="C50:E50"/>
    <mergeCell ref="G49:H49"/>
    <mergeCell ref="G51:H51"/>
    <mergeCell ref="A50:B50"/>
    <mergeCell ref="A54:H54"/>
    <mergeCell ref="A55:C55"/>
    <mergeCell ref="A56:C56"/>
    <mergeCell ref="D56:H56"/>
    <mergeCell ref="G53:H53"/>
    <mergeCell ref="C51:E51"/>
    <mergeCell ref="D60:H60"/>
    <mergeCell ref="A43:D43"/>
    <mergeCell ref="A38:B38"/>
    <mergeCell ref="C38:H38"/>
    <mergeCell ref="A45:D45"/>
    <mergeCell ref="A46:D46"/>
    <mergeCell ref="A37:H37"/>
    <mergeCell ref="A36:B36"/>
    <mergeCell ref="C36:E36"/>
    <mergeCell ref="A41:D41"/>
    <mergeCell ref="E41:H41"/>
    <mergeCell ref="A40:H40"/>
    <mergeCell ref="A47:H47"/>
    <mergeCell ref="D57:H57"/>
    <mergeCell ref="A57:C57"/>
    <mergeCell ref="G50:H50"/>
    <mergeCell ref="A39:B39"/>
    <mergeCell ref="C39:H39"/>
    <mergeCell ref="A48:B48"/>
    <mergeCell ref="C48:H48"/>
    <mergeCell ref="A51:B52"/>
    <mergeCell ref="C52:H52"/>
    <mergeCell ref="E43:H43"/>
    <mergeCell ref="E44:H44"/>
    <mergeCell ref="E45:H45"/>
    <mergeCell ref="E46:H46"/>
    <mergeCell ref="A44:D44"/>
    <mergeCell ref="A77:B77"/>
    <mergeCell ref="C102:D102"/>
    <mergeCell ref="E102:F102"/>
    <mergeCell ref="G102:H102"/>
    <mergeCell ref="F88:H88"/>
    <mergeCell ref="A81:E81"/>
    <mergeCell ref="A111:H111"/>
    <mergeCell ref="E108:E109"/>
    <mergeCell ref="G108:H109"/>
    <mergeCell ref="A79:B79"/>
    <mergeCell ref="F86:H86"/>
    <mergeCell ref="A87:E87"/>
    <mergeCell ref="F87:H87"/>
    <mergeCell ref="A88:E88"/>
    <mergeCell ref="A90:E90"/>
    <mergeCell ref="F84:H84"/>
    <mergeCell ref="A89:E89"/>
    <mergeCell ref="A84:E84"/>
    <mergeCell ref="A80:E80"/>
    <mergeCell ref="F85:H85"/>
    <mergeCell ref="F80:H80"/>
    <mergeCell ref="A86:E86"/>
    <mergeCell ref="A104:B104"/>
    <mergeCell ref="E104:F104"/>
    <mergeCell ref="L228:M228"/>
    <mergeCell ref="A233:B233"/>
    <mergeCell ref="A230:B230"/>
    <mergeCell ref="A231:B231"/>
    <mergeCell ref="A92:E92"/>
    <mergeCell ref="G104:H104"/>
    <mergeCell ref="C98:D98"/>
    <mergeCell ref="E98:F98"/>
    <mergeCell ref="G98:H98"/>
    <mergeCell ref="A99:B99"/>
    <mergeCell ref="C99:D99"/>
    <mergeCell ref="E99:F99"/>
    <mergeCell ref="G99:H99"/>
    <mergeCell ref="A103:B103"/>
    <mergeCell ref="C103:D103"/>
    <mergeCell ref="E103:F103"/>
    <mergeCell ref="G103:H103"/>
    <mergeCell ref="C97:D97"/>
    <mergeCell ref="E97:F97"/>
    <mergeCell ref="G230:H230"/>
    <mergeCell ref="B108:B109"/>
    <mergeCell ref="A108:A109"/>
    <mergeCell ref="C134:C135"/>
    <mergeCell ref="A116:B116"/>
    <mergeCell ref="F82:H82"/>
    <mergeCell ref="A82:E82"/>
    <mergeCell ref="G236:H236"/>
    <mergeCell ref="G232:H232"/>
    <mergeCell ref="G229:H229"/>
    <mergeCell ref="D108:D109"/>
    <mergeCell ref="A85:E85"/>
    <mergeCell ref="A110:H110"/>
    <mergeCell ref="A122:H122"/>
    <mergeCell ref="A132:B132"/>
    <mergeCell ref="A142:B142"/>
    <mergeCell ref="A147:B147"/>
    <mergeCell ref="A148:H148"/>
    <mergeCell ref="A149:B149"/>
    <mergeCell ref="A120:B120"/>
    <mergeCell ref="A128:B128"/>
    <mergeCell ref="A160:B160"/>
    <mergeCell ref="A161:B161"/>
    <mergeCell ref="A162:B162"/>
    <mergeCell ref="A163:B163"/>
    <mergeCell ref="G149:H163"/>
    <mergeCell ref="A150:B150"/>
    <mergeCell ref="A151:B151"/>
    <mergeCell ref="A152:B152"/>
    <mergeCell ref="L120:M120"/>
    <mergeCell ref="A121:B121"/>
    <mergeCell ref="L121:M121"/>
    <mergeCell ref="G112:H121"/>
    <mergeCell ref="A141:B141"/>
    <mergeCell ref="L141:M141"/>
    <mergeCell ref="L116:M116"/>
    <mergeCell ref="A117:B117"/>
    <mergeCell ref="L117:M117"/>
    <mergeCell ref="A118:B118"/>
    <mergeCell ref="L118:M118"/>
    <mergeCell ref="A119:B119"/>
    <mergeCell ref="L119:M119"/>
    <mergeCell ref="A131:B131"/>
    <mergeCell ref="L131:M131"/>
    <mergeCell ref="L115:M115"/>
    <mergeCell ref="L114:M114"/>
    <mergeCell ref="L113:M113"/>
    <mergeCell ref="L112:M112"/>
    <mergeCell ref="A137:B137"/>
    <mergeCell ref="A115:B115"/>
    <mergeCell ref="A114:B114"/>
    <mergeCell ref="A123:B123"/>
    <mergeCell ref="G123:H132"/>
    <mergeCell ref="L143:M143"/>
    <mergeCell ref="L123:M123"/>
    <mergeCell ref="A124:B124"/>
    <mergeCell ref="L124:M124"/>
    <mergeCell ref="A125:B125"/>
    <mergeCell ref="L125:M125"/>
    <mergeCell ref="A126:B126"/>
    <mergeCell ref="L126:M126"/>
    <mergeCell ref="A127:B127"/>
    <mergeCell ref="L127:M127"/>
    <mergeCell ref="L217:M217"/>
    <mergeCell ref="A218:B218"/>
    <mergeCell ref="L218:M218"/>
    <mergeCell ref="L128:M128"/>
    <mergeCell ref="A129:B129"/>
    <mergeCell ref="L129:M129"/>
    <mergeCell ref="A130:B130"/>
    <mergeCell ref="L130:M130"/>
    <mergeCell ref="L132:M132"/>
    <mergeCell ref="L147:M147"/>
    <mergeCell ref="G137:H147"/>
    <mergeCell ref="A144:B144"/>
    <mergeCell ref="L144:M144"/>
    <mergeCell ref="A145:B145"/>
    <mergeCell ref="L145:M145"/>
    <mergeCell ref="A146:B146"/>
    <mergeCell ref="L146:M146"/>
    <mergeCell ref="L138:M138"/>
    <mergeCell ref="A139:B139"/>
    <mergeCell ref="L139:M139"/>
    <mergeCell ref="L140:M140"/>
    <mergeCell ref="L137:M137"/>
    <mergeCell ref="A138:B138"/>
    <mergeCell ref="L142:M142"/>
    <mergeCell ref="B264:H264"/>
    <mergeCell ref="L224:M224"/>
    <mergeCell ref="A225:B225"/>
    <mergeCell ref="L225:M225"/>
    <mergeCell ref="A226:B226"/>
    <mergeCell ref="L226:M226"/>
    <mergeCell ref="A227:B227"/>
    <mergeCell ref="L227:M227"/>
    <mergeCell ref="C213:F214"/>
    <mergeCell ref="C224:F227"/>
    <mergeCell ref="L219:M219"/>
    <mergeCell ref="A220:B220"/>
    <mergeCell ref="L220:M220"/>
    <mergeCell ref="A221:B221"/>
    <mergeCell ref="L221:M221"/>
    <mergeCell ref="A222:B222"/>
    <mergeCell ref="L222:M222"/>
    <mergeCell ref="A223:B223"/>
    <mergeCell ref="L223:M223"/>
    <mergeCell ref="L214:M214"/>
    <mergeCell ref="A215:B215"/>
    <mergeCell ref="L215:M215"/>
    <mergeCell ref="A216:B216"/>
    <mergeCell ref="L216:M216"/>
  </mergeCells>
  <dataValidations count="14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8:E109">
      <formula1>"Attached Loft area,Attached Terrace area,Attached Mezzanine area"</formula1>
    </dataValidation>
    <dataValidation type="list" allowBlank="1" showInputMessage="1" showErrorMessage="1" sqref="F109">
      <formula1>"45%,50%,55%,110%"</formula1>
    </dataValidation>
    <dataValidation type="list" allowBlank="1" showInputMessage="1" showErrorMessage="1" sqref="G272:H272">
      <formula1>"Kunal Kadam,Shruti Tathare,Pranita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3:H93">
      <formula1>"100000,150000,200000,250000,300000,350000,400000,500000,600000,700000,800000,900000,1000000,1200000,1400000,1500000"</formula1>
    </dataValidation>
    <dataValidation type="list" allowBlank="1" showInputMessage="1" showErrorMessage="1" sqref="F108 F134">
      <formula1>"Saleable area Loading :,Builder Saleable area"</formula1>
    </dataValidation>
    <dataValidation type="list" allowBlank="1" showInputMessage="1" showErrorMessage="1" sqref="B108:B109">
      <formula1>"Shop No. (Sale Plan),Sale / Rehab,Sale / Mhada"</formula1>
    </dataValidation>
    <dataValidation type="list" allowBlank="1" showInputMessage="1" showErrorMessage="1" sqref="B134:B135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F135">
      <formula1>"45%,50%,55%,70%"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276" max="16383" man="1"/>
    <brk id="318" max="16383" man="1"/>
    <brk id="36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43" zoomScale="85" zoomScaleNormal="85" workbookViewId="0">
      <selection activeCell="C61" sqref="C61"/>
    </sheetView>
  </sheetViews>
  <sheetFormatPr defaultColWidth="8.81640625" defaultRowHeight="14.5" x14ac:dyDescent="0.35"/>
  <cols>
    <col min="1" max="1" width="8.81640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81640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9" t="s">
        <v>108</v>
      </c>
      <c r="C3" s="209"/>
      <c r="D3" s="209"/>
      <c r="E3" s="209"/>
      <c r="F3" s="209"/>
      <c r="G3" s="209"/>
      <c r="H3" s="209"/>
    </row>
    <row r="4" spans="1:9" x14ac:dyDescent="0.3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5"/>
      <c r="C4" s="45" t="s">
        <v>12</v>
      </c>
      <c r="D4" s="46" t="s">
        <v>182</v>
      </c>
      <c r="E4" s="46" t="s">
        <v>192</v>
      </c>
      <c r="F4" s="46" t="s">
        <v>175</v>
      </c>
      <c r="G4" s="46" t="s">
        <v>197</v>
      </c>
      <c r="H4" s="46" t="s">
        <v>215</v>
      </c>
      <c r="J4" t="s">
        <v>197</v>
      </c>
      <c r="K4" t="s">
        <v>213</v>
      </c>
    </row>
    <row r="5" spans="2:11" x14ac:dyDescent="0.35">
      <c r="B5" s="45"/>
      <c r="C5" s="45"/>
      <c r="D5" s="46" t="s">
        <v>183</v>
      </c>
      <c r="E5" s="46" t="s">
        <v>190</v>
      </c>
      <c r="F5" s="46" t="s">
        <v>212</v>
      </c>
      <c r="G5" s="46" t="s">
        <v>198</v>
      </c>
      <c r="H5" s="46" t="s">
        <v>216</v>
      </c>
    </row>
    <row r="6" spans="2:11" x14ac:dyDescent="0.35">
      <c r="B6" s="45"/>
      <c r="C6" s="45"/>
      <c r="D6" s="46" t="s">
        <v>184</v>
      </c>
      <c r="E6" s="46" t="s">
        <v>191</v>
      </c>
      <c r="F6" s="46" t="s">
        <v>213</v>
      </c>
      <c r="G6" s="46" t="s">
        <v>199</v>
      </c>
      <c r="H6" s="46" t="s">
        <v>229</v>
      </c>
    </row>
    <row r="7" spans="2:11" x14ac:dyDescent="0.35">
      <c r="B7" s="45"/>
      <c r="C7" s="45"/>
      <c r="D7" s="46" t="s">
        <v>185</v>
      </c>
      <c r="E7" s="46" t="s">
        <v>193</v>
      </c>
      <c r="F7" s="46" t="s">
        <v>214</v>
      </c>
      <c r="G7" s="46" t="s">
        <v>200</v>
      </c>
      <c r="H7" s="46" t="s">
        <v>217</v>
      </c>
    </row>
    <row r="8" spans="2:11" x14ac:dyDescent="0.35">
      <c r="B8" s="45"/>
      <c r="C8" s="45"/>
      <c r="D8" s="46" t="s">
        <v>186</v>
      </c>
      <c r="E8" s="46" t="s">
        <v>194</v>
      </c>
      <c r="F8" s="46"/>
      <c r="G8" s="46" t="s">
        <v>201</v>
      </c>
      <c r="H8" s="46" t="s">
        <v>218</v>
      </c>
    </row>
    <row r="9" spans="2:11" x14ac:dyDescent="0.35">
      <c r="B9" s="45"/>
      <c r="C9" s="45"/>
      <c r="D9" s="46" t="s">
        <v>187</v>
      </c>
      <c r="E9" s="46" t="s">
        <v>192</v>
      </c>
      <c r="F9" s="46"/>
      <c r="G9" s="46" t="s">
        <v>202</v>
      </c>
      <c r="H9" s="46" t="s">
        <v>219</v>
      </c>
    </row>
    <row r="10" spans="2:11" x14ac:dyDescent="0.35">
      <c r="B10" s="45"/>
      <c r="C10" s="45"/>
      <c r="D10" s="46" t="s">
        <v>188</v>
      </c>
      <c r="E10" s="46" t="s">
        <v>195</v>
      </c>
      <c r="F10" s="46"/>
      <c r="G10" s="46" t="s">
        <v>203</v>
      </c>
      <c r="H10" s="46" t="s">
        <v>220</v>
      </c>
    </row>
    <row r="11" spans="2:11" x14ac:dyDescent="0.35">
      <c r="B11" s="45"/>
      <c r="C11" s="45"/>
      <c r="D11" s="46" t="s">
        <v>189</v>
      </c>
      <c r="E11" s="46" t="s">
        <v>196</v>
      </c>
      <c r="F11" s="46"/>
      <c r="G11" s="46" t="s">
        <v>204</v>
      </c>
      <c r="H11" s="46" t="s">
        <v>221</v>
      </c>
    </row>
    <row r="12" spans="2:11" x14ac:dyDescent="0.35">
      <c r="B12" s="45"/>
      <c r="C12" s="45"/>
      <c r="D12" s="46"/>
      <c r="E12" s="46"/>
      <c r="F12" s="46"/>
      <c r="G12" s="46" t="s">
        <v>205</v>
      </c>
      <c r="H12" s="46" t="s">
        <v>222</v>
      </c>
    </row>
    <row r="13" spans="2:11" x14ac:dyDescent="0.35">
      <c r="B13" s="45"/>
      <c r="C13" s="45"/>
      <c r="D13" s="46"/>
      <c r="E13" s="46"/>
      <c r="F13" s="46"/>
      <c r="G13" s="46" t="s">
        <v>206</v>
      </c>
      <c r="H13" s="46" t="s">
        <v>223</v>
      </c>
    </row>
    <row r="14" spans="2:11" x14ac:dyDescent="0.35">
      <c r="B14" s="45"/>
      <c r="C14" s="45"/>
      <c r="D14" s="46"/>
      <c r="E14" s="46"/>
      <c r="F14" s="46"/>
      <c r="G14" s="46" t="s">
        <v>207</v>
      </c>
      <c r="H14" s="46" t="s">
        <v>224</v>
      </c>
    </row>
    <row r="15" spans="2:11" x14ac:dyDescent="0.35">
      <c r="B15" s="45"/>
      <c r="C15" s="45"/>
      <c r="D15" s="46"/>
      <c r="E15" s="46"/>
      <c r="F15" s="46"/>
      <c r="G15" s="46" t="s">
        <v>208</v>
      </c>
      <c r="H15" s="46" t="s">
        <v>225</v>
      </c>
    </row>
    <row r="16" spans="2:11" x14ac:dyDescent="0.35">
      <c r="B16" s="45"/>
      <c r="C16" s="45"/>
      <c r="D16" s="46"/>
      <c r="E16" s="46"/>
      <c r="F16" s="46"/>
      <c r="G16" s="46" t="s">
        <v>209</v>
      </c>
      <c r="H16" s="46" t="s">
        <v>226</v>
      </c>
    </row>
    <row r="17" spans="2:8" x14ac:dyDescent="0.35">
      <c r="B17" s="45"/>
      <c r="C17" s="45"/>
      <c r="D17" s="46"/>
      <c r="E17" s="46"/>
      <c r="F17" s="46"/>
      <c r="G17" s="46" t="s">
        <v>210</v>
      </c>
      <c r="H17" s="46" t="s">
        <v>227</v>
      </c>
    </row>
    <row r="18" spans="2:8" x14ac:dyDescent="0.35">
      <c r="B18" s="45"/>
      <c r="C18" s="45"/>
      <c r="D18" s="46"/>
      <c r="E18" s="46"/>
      <c r="F18" s="46"/>
      <c r="G18" s="46" t="s">
        <v>211</v>
      </c>
      <c r="H18" s="46" t="s">
        <v>228</v>
      </c>
    </row>
    <row r="24" spans="2:8" x14ac:dyDescent="0.35">
      <c r="C24" t="s">
        <v>173</v>
      </c>
    </row>
    <row r="25" spans="2:8" x14ac:dyDescent="0.35">
      <c r="C25" t="s">
        <v>230</v>
      </c>
    </row>
    <row r="26" spans="2:8" x14ac:dyDescent="0.35">
      <c r="C26" t="s">
        <v>231</v>
      </c>
    </row>
    <row r="27" spans="2:8" x14ac:dyDescent="0.35">
      <c r="C27" t="s">
        <v>232</v>
      </c>
    </row>
    <row r="28" spans="2:8" x14ac:dyDescent="0.35">
      <c r="C28" t="s">
        <v>233</v>
      </c>
    </row>
    <row r="29" spans="2:8" x14ac:dyDescent="0.35">
      <c r="C29" t="s">
        <v>234</v>
      </c>
    </row>
    <row r="30" spans="2:8" x14ac:dyDescent="0.35">
      <c r="C30" t="s">
        <v>173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2025-09-18T12:23:51Z</cp:lastPrinted>
  <dcterms:created xsi:type="dcterms:W3CDTF">2019-07-16T09:29:46Z</dcterms:created>
  <dcterms:modified xsi:type="dcterms:W3CDTF">2025-09-18T12:25:05Z</dcterms:modified>
</cp:coreProperties>
</file>