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25"/>
  </bookViews>
  <sheets>
    <sheet name="Report" sheetId="1" r:id="rId1"/>
    <sheet name="Sheet1" sheetId="8" r:id="rId2"/>
    <sheet name="valuation" sheetId="5" r:id="rId3"/>
    <sheet name="Research" sheetId="4" r:id="rId4"/>
    <sheet name="Remarks" sheetId="6" r:id="rId5"/>
    <sheet name="Area Calculation" sheetId="7" r:id="rId6"/>
  </sheets>
  <definedNames>
    <definedName name="_xlnm.Print_Area" localSheetId="0">Report!$A$1:$H$478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0" i="1" l="1"/>
  <c r="I140" i="1"/>
  <c r="G322" i="1"/>
  <c r="G321" i="1"/>
  <c r="G320" i="1"/>
  <c r="G319" i="1"/>
  <c r="G318" i="1"/>
  <c r="G317" i="1"/>
  <c r="G316" i="1"/>
  <c r="G315" i="1"/>
  <c r="G314" i="1"/>
  <c r="G313" i="1"/>
  <c r="E322" i="1"/>
  <c r="D322" i="1"/>
  <c r="E321" i="1"/>
  <c r="D321" i="1"/>
  <c r="E320" i="1"/>
  <c r="D320" i="1"/>
  <c r="E319" i="1"/>
  <c r="D319" i="1"/>
  <c r="E318" i="1"/>
  <c r="D318" i="1"/>
  <c r="F318" i="1" s="1"/>
  <c r="E317" i="1"/>
  <c r="D317" i="1"/>
  <c r="E316" i="1"/>
  <c r="D316" i="1"/>
  <c r="E315" i="1"/>
  <c r="D315" i="1"/>
  <c r="E314" i="1"/>
  <c r="D314" i="1"/>
  <c r="F314" i="1" s="1"/>
  <c r="E313" i="1"/>
  <c r="D313" i="1"/>
  <c r="A314" i="1"/>
  <c r="A315" i="1" s="1"/>
  <c r="A316" i="1" s="1"/>
  <c r="A317" i="1" s="1"/>
  <c r="A318" i="1" s="1"/>
  <c r="A319" i="1" s="1"/>
  <c r="A320" i="1" s="1"/>
  <c r="A321" i="1" s="1"/>
  <c r="A322" i="1" s="1"/>
  <c r="E307" i="1"/>
  <c r="D307" i="1"/>
  <c r="E306" i="1"/>
  <c r="D306" i="1"/>
  <c r="E305" i="1"/>
  <c r="D305" i="1"/>
  <c r="E304" i="1"/>
  <c r="D304" i="1"/>
  <c r="D302" i="1"/>
  <c r="F302" i="1" s="1"/>
  <c r="H302" i="1" s="1"/>
  <c r="E301" i="1"/>
  <c r="D301" i="1"/>
  <c r="F301" i="1" s="1"/>
  <c r="H301" i="1" s="1"/>
  <c r="E300" i="1"/>
  <c r="D300" i="1"/>
  <c r="E299" i="1"/>
  <c r="D299" i="1"/>
  <c r="E296" i="1"/>
  <c r="D296" i="1"/>
  <c r="E297" i="1"/>
  <c r="D297" i="1"/>
  <c r="E295" i="1"/>
  <c r="D295" i="1"/>
  <c r="E294" i="1"/>
  <c r="D294" i="1"/>
  <c r="D293" i="1"/>
  <c r="F293" i="1" s="1"/>
  <c r="H293" i="1" s="1"/>
  <c r="D292" i="1"/>
  <c r="F292" i="1" s="1"/>
  <c r="H292" i="1" s="1"/>
  <c r="E291" i="1"/>
  <c r="D291" i="1"/>
  <c r="E290" i="1"/>
  <c r="D290" i="1"/>
  <c r="E289" i="1"/>
  <c r="D289" i="1"/>
  <c r="E287" i="1"/>
  <c r="D287" i="1"/>
  <c r="F6" i="8"/>
  <c r="E285" i="1"/>
  <c r="D285" i="1"/>
  <c r="F8" i="8"/>
  <c r="E284" i="1"/>
  <c r="D284" i="1"/>
  <c r="F4" i="8"/>
  <c r="D283" i="1"/>
  <c r="F283" i="1" s="1"/>
  <c r="H283" i="1" s="1"/>
  <c r="D282" i="1"/>
  <c r="F282" i="1" s="1"/>
  <c r="H282" i="1" s="1"/>
  <c r="F7" i="8"/>
  <c r="F10" i="8"/>
  <c r="F5" i="8"/>
  <c r="E281" i="1"/>
  <c r="D281" i="1"/>
  <c r="E280" i="1"/>
  <c r="D280" i="1"/>
  <c r="E279" i="1"/>
  <c r="D279" i="1"/>
  <c r="E270" i="1"/>
  <c r="D270" i="1"/>
  <c r="E269" i="1"/>
  <c r="D269" i="1"/>
  <c r="A300" i="1"/>
  <c r="A301" i="1" s="1"/>
  <c r="A302" i="1" s="1"/>
  <c r="A303" i="1" s="1"/>
  <c r="A304" i="1" s="1"/>
  <c r="A305" i="1" s="1"/>
  <c r="A306" i="1" s="1"/>
  <c r="A307" i="1" s="1"/>
  <c r="I299" i="1"/>
  <c r="A290" i="1"/>
  <c r="A291" i="1" s="1"/>
  <c r="A292" i="1" s="1"/>
  <c r="A293" i="1" s="1"/>
  <c r="A294" i="1" s="1"/>
  <c r="A295" i="1" s="1"/>
  <c r="A296" i="1" s="1"/>
  <c r="A297" i="1" s="1"/>
  <c r="I289" i="1"/>
  <c r="A280" i="1"/>
  <c r="A281" i="1" s="1"/>
  <c r="A282" i="1" s="1"/>
  <c r="A283" i="1" s="1"/>
  <c r="A284" i="1" s="1"/>
  <c r="A285" i="1" s="1"/>
  <c r="A286" i="1" s="1"/>
  <c r="A287" i="1" s="1"/>
  <c r="I279" i="1"/>
  <c r="I271" i="1"/>
  <c r="A270" i="1"/>
  <c r="A271" i="1" s="1"/>
  <c r="A272" i="1" s="1"/>
  <c r="A273" i="1" s="1"/>
  <c r="A274" i="1" s="1"/>
  <c r="A275" i="1" s="1"/>
  <c r="A276" i="1" s="1"/>
  <c r="A277" i="1" s="1"/>
  <c r="I139" i="1"/>
  <c r="E266" i="1"/>
  <c r="D266" i="1"/>
  <c r="E265" i="1"/>
  <c r="D265" i="1"/>
  <c r="E264" i="1"/>
  <c r="D264" i="1"/>
  <c r="E263" i="1"/>
  <c r="D263" i="1"/>
  <c r="E262" i="1"/>
  <c r="D262" i="1"/>
  <c r="E261" i="1"/>
  <c r="D261" i="1"/>
  <c r="E260" i="1"/>
  <c r="D260" i="1"/>
  <c r="E259" i="1"/>
  <c r="D259" i="1"/>
  <c r="E258" i="1"/>
  <c r="D258" i="1"/>
  <c r="E246" i="1"/>
  <c r="D246" i="1"/>
  <c r="E255" i="1"/>
  <c r="D255" i="1"/>
  <c r="E254" i="1"/>
  <c r="D254" i="1"/>
  <c r="E253" i="1"/>
  <c r="D253" i="1"/>
  <c r="E252" i="1"/>
  <c r="D252" i="1"/>
  <c r="E251" i="1"/>
  <c r="D251" i="1"/>
  <c r="E250" i="1"/>
  <c r="D250" i="1"/>
  <c r="E249" i="1"/>
  <c r="D249" i="1"/>
  <c r="E248" i="1"/>
  <c r="D248" i="1"/>
  <c r="E247" i="1"/>
  <c r="D247" i="1"/>
  <c r="E244" i="1"/>
  <c r="D244" i="1"/>
  <c r="E243" i="1"/>
  <c r="D243" i="1"/>
  <c r="E240" i="1"/>
  <c r="D240" i="1"/>
  <c r="E238" i="1"/>
  <c r="D238" i="1"/>
  <c r="E237" i="1"/>
  <c r="D237" i="1"/>
  <c r="E236" i="1"/>
  <c r="D236" i="1"/>
  <c r="E242" i="1"/>
  <c r="D242" i="1"/>
  <c r="E241" i="1"/>
  <c r="D241" i="1"/>
  <c r="E239" i="1"/>
  <c r="D239" i="1"/>
  <c r="E231" i="1"/>
  <c r="D231" i="1"/>
  <c r="E230" i="1"/>
  <c r="D230" i="1"/>
  <c r="E228" i="1"/>
  <c r="D228" i="1"/>
  <c r="I138" i="1"/>
  <c r="I190" i="1"/>
  <c r="D200" i="1"/>
  <c r="D184" i="1"/>
  <c r="D220" i="1"/>
  <c r="D204" i="1"/>
  <c r="D188" i="1"/>
  <c r="D172" i="1"/>
  <c r="J172" i="1"/>
  <c r="D62" i="1"/>
  <c r="F317" i="1" l="1"/>
  <c r="H317" i="1" s="1"/>
  <c r="F321" i="1"/>
  <c r="H321" i="1" s="1"/>
  <c r="F280" i="1"/>
  <c r="H280" i="1" s="1"/>
  <c r="F287" i="1"/>
  <c r="H287" i="1" s="1"/>
  <c r="F296" i="1"/>
  <c r="H296" i="1" s="1"/>
  <c r="F316" i="1"/>
  <c r="H316" i="1" s="1"/>
  <c r="F300" i="1"/>
  <c r="H300" i="1" s="1"/>
  <c r="F266" i="1"/>
  <c r="H266" i="1" s="1"/>
  <c r="F320" i="1"/>
  <c r="H320" i="1" s="1"/>
  <c r="F285" i="1"/>
  <c r="H285" i="1" s="1"/>
  <c r="F270" i="1"/>
  <c r="H270" i="1" s="1"/>
  <c r="F290" i="1"/>
  <c r="H290" i="1" s="1"/>
  <c r="F295" i="1"/>
  <c r="H295" i="1" s="1"/>
  <c r="F307" i="1"/>
  <c r="H307" i="1" s="1"/>
  <c r="C140" i="1"/>
  <c r="C142" i="1"/>
  <c r="H318" i="1"/>
  <c r="F322" i="1"/>
  <c r="H322" i="1" s="1"/>
  <c r="H314" i="1"/>
  <c r="F279" i="1"/>
  <c r="H279" i="1" s="1"/>
  <c r="F291" i="1"/>
  <c r="H291" i="1" s="1"/>
  <c r="F297" i="1"/>
  <c r="H297" i="1" s="1"/>
  <c r="F306" i="1"/>
  <c r="H306" i="1" s="1"/>
  <c r="F315" i="1"/>
  <c r="H315" i="1" s="1"/>
  <c r="F319" i="1"/>
  <c r="H319" i="1" s="1"/>
  <c r="F313" i="1"/>
  <c r="F242" i="1"/>
  <c r="H242" i="1" s="1"/>
  <c r="F281" i="1"/>
  <c r="H281" i="1" s="1"/>
  <c r="F289" i="1"/>
  <c r="H289" i="1" s="1"/>
  <c r="F294" i="1"/>
  <c r="H294" i="1" s="1"/>
  <c r="F305" i="1"/>
  <c r="H305" i="1" s="1"/>
  <c r="F304" i="1"/>
  <c r="H304" i="1" s="1"/>
  <c r="C139" i="1"/>
  <c r="F269" i="1"/>
  <c r="F299" i="1"/>
  <c r="H299" i="1" s="1"/>
  <c r="F284" i="1"/>
  <c r="H284" i="1" s="1"/>
  <c r="F230" i="1"/>
  <c r="H230" i="1" s="1"/>
  <c r="F231" i="1"/>
  <c r="H231" i="1" s="1"/>
  <c r="F228" i="1"/>
  <c r="H228" i="1" s="1"/>
  <c r="F265" i="1"/>
  <c r="H265" i="1" s="1"/>
  <c r="F264" i="1"/>
  <c r="H264" i="1" s="1"/>
  <c r="F263" i="1"/>
  <c r="H263" i="1" s="1"/>
  <c r="F262" i="1"/>
  <c r="H262" i="1" s="1"/>
  <c r="F261" i="1"/>
  <c r="H261" i="1" s="1"/>
  <c r="F260" i="1"/>
  <c r="H260" i="1" s="1"/>
  <c r="A258" i="1"/>
  <c r="A259" i="1" s="1"/>
  <c r="A260" i="1" s="1"/>
  <c r="A261" i="1" s="1"/>
  <c r="A262" i="1" s="1"/>
  <c r="A263" i="1" s="1"/>
  <c r="A264" i="1" s="1"/>
  <c r="A265" i="1" s="1"/>
  <c r="A266" i="1" s="1"/>
  <c r="I257" i="1"/>
  <c r="F254" i="1"/>
  <c r="H254" i="1" s="1"/>
  <c r="F253" i="1"/>
  <c r="H253" i="1" s="1"/>
  <c r="F252" i="1"/>
  <c r="H252" i="1" s="1"/>
  <c r="F251" i="1"/>
  <c r="H251" i="1" s="1"/>
  <c r="F250" i="1"/>
  <c r="H250" i="1" s="1"/>
  <c r="F248" i="1"/>
  <c r="H248" i="1" s="1"/>
  <c r="A247" i="1"/>
  <c r="A248" i="1" s="1"/>
  <c r="A249" i="1" s="1"/>
  <c r="A250" i="1" s="1"/>
  <c r="A251" i="1" s="1"/>
  <c r="A252" i="1" s="1"/>
  <c r="A253" i="1" s="1"/>
  <c r="A254" i="1" s="1"/>
  <c r="A255" i="1" s="1"/>
  <c r="I246" i="1"/>
  <c r="F244" i="1"/>
  <c r="H244" i="1" s="1"/>
  <c r="F243" i="1"/>
  <c r="H243" i="1" s="1"/>
  <c r="F241" i="1"/>
  <c r="H241" i="1" s="1"/>
  <c r="F240" i="1"/>
  <c r="H240" i="1" s="1"/>
  <c r="F239" i="1"/>
  <c r="H239" i="1" s="1"/>
  <c r="F238" i="1"/>
  <c r="H238" i="1" s="1"/>
  <c r="F237" i="1"/>
  <c r="H237" i="1" s="1"/>
  <c r="F236" i="1"/>
  <c r="H236" i="1" s="1"/>
  <c r="A236" i="1"/>
  <c r="A237" i="1" s="1"/>
  <c r="A238" i="1" s="1"/>
  <c r="A239" i="1" s="1"/>
  <c r="A240" i="1" s="1"/>
  <c r="A241" i="1" s="1"/>
  <c r="A242" i="1" s="1"/>
  <c r="A243" i="1" s="1"/>
  <c r="A244" i="1" s="1"/>
  <c r="I235" i="1"/>
  <c r="I226" i="1"/>
  <c r="A225" i="1"/>
  <c r="A226" i="1" s="1"/>
  <c r="A227" i="1" s="1"/>
  <c r="A228" i="1" s="1"/>
  <c r="A229" i="1" s="1"/>
  <c r="A230" i="1" s="1"/>
  <c r="A231" i="1" s="1"/>
  <c r="A232" i="1" s="1"/>
  <c r="A233" i="1" s="1"/>
  <c r="E221" i="1"/>
  <c r="D221" i="1"/>
  <c r="E220" i="1"/>
  <c r="F220" i="1" s="1"/>
  <c r="H220" i="1" s="1"/>
  <c r="E219" i="1"/>
  <c r="D219" i="1"/>
  <c r="E218" i="1"/>
  <c r="D218" i="1"/>
  <c r="E217" i="1"/>
  <c r="D217" i="1"/>
  <c r="D215" i="1"/>
  <c r="F215" i="1" s="1"/>
  <c r="H215" i="1" s="1"/>
  <c r="D214" i="1"/>
  <c r="F214" i="1" s="1"/>
  <c r="H214" i="1" s="1"/>
  <c r="D213" i="1"/>
  <c r="F213" i="1" s="1"/>
  <c r="H213" i="1" s="1"/>
  <c r="D212" i="1"/>
  <c r="F212" i="1" s="1"/>
  <c r="H212" i="1" s="1"/>
  <c r="D211" i="1"/>
  <c r="F211" i="1" s="1"/>
  <c r="H211" i="1" s="1"/>
  <c r="D210" i="1"/>
  <c r="D209" i="1"/>
  <c r="D208" i="1"/>
  <c r="D207" i="1"/>
  <c r="E207" i="1"/>
  <c r="E210" i="1"/>
  <c r="E209" i="1"/>
  <c r="E208" i="1"/>
  <c r="E205" i="1"/>
  <c r="D205" i="1"/>
  <c r="E204" i="1"/>
  <c r="E203" i="1"/>
  <c r="D203" i="1"/>
  <c r="E202" i="1"/>
  <c r="D202" i="1"/>
  <c r="E201" i="1"/>
  <c r="D201" i="1"/>
  <c r="E200" i="1"/>
  <c r="D199" i="1"/>
  <c r="D198" i="1"/>
  <c r="F198" i="1" s="1"/>
  <c r="H198" i="1" s="1"/>
  <c r="D197" i="1"/>
  <c r="D196" i="1"/>
  <c r="D195" i="1"/>
  <c r="E194" i="1"/>
  <c r="D194" i="1"/>
  <c r="E193" i="1"/>
  <c r="D193" i="1"/>
  <c r="E192" i="1"/>
  <c r="D192" i="1"/>
  <c r="E191" i="1"/>
  <c r="D191" i="1"/>
  <c r="E189" i="1"/>
  <c r="D189" i="1"/>
  <c r="E188" i="1"/>
  <c r="E187" i="1"/>
  <c r="D187" i="1"/>
  <c r="E186" i="1"/>
  <c r="D186" i="1"/>
  <c r="E185" i="1"/>
  <c r="D185" i="1"/>
  <c r="D183" i="1"/>
  <c r="D181" i="1"/>
  <c r="D180" i="1"/>
  <c r="D179" i="1"/>
  <c r="D178" i="1"/>
  <c r="E177" i="1"/>
  <c r="D177" i="1"/>
  <c r="E176" i="1"/>
  <c r="D176" i="1"/>
  <c r="E175" i="1"/>
  <c r="D175" i="1"/>
  <c r="E173" i="1"/>
  <c r="D173" i="1"/>
  <c r="E172" i="1"/>
  <c r="E171" i="1"/>
  <c r="D171" i="1"/>
  <c r="E170" i="1"/>
  <c r="D170" i="1"/>
  <c r="E169" i="1"/>
  <c r="D169" i="1"/>
  <c r="E161" i="1"/>
  <c r="D161" i="1"/>
  <c r="E160" i="1"/>
  <c r="D160" i="1"/>
  <c r="E159" i="1"/>
  <c r="D159" i="1"/>
  <c r="A208" i="1"/>
  <c r="A209" i="1" s="1"/>
  <c r="A210" i="1" s="1"/>
  <c r="A211" i="1" s="1"/>
  <c r="A212" i="1" s="1"/>
  <c r="A213" i="1" s="1"/>
  <c r="A214" i="1" s="1"/>
  <c r="A215" i="1" s="1"/>
  <c r="A216" i="1" s="1"/>
  <c r="A217" i="1" s="1"/>
  <c r="A218" i="1" s="1"/>
  <c r="A219" i="1" s="1"/>
  <c r="A220" i="1" s="1"/>
  <c r="A221" i="1" s="1"/>
  <c r="J207" i="1"/>
  <c r="H269" i="1" l="1"/>
  <c r="G140" i="1" s="1"/>
  <c r="E140" i="1"/>
  <c r="H313" i="1"/>
  <c r="G142" i="1" s="1"/>
  <c r="E142" i="1"/>
  <c r="F207" i="1"/>
  <c r="H207" i="1" s="1"/>
  <c r="F208" i="1"/>
  <c r="H208" i="1" s="1"/>
  <c r="F217" i="1"/>
  <c r="H217" i="1" s="1"/>
  <c r="F218" i="1"/>
  <c r="H218" i="1" s="1"/>
  <c r="F209" i="1"/>
  <c r="H209" i="1" s="1"/>
  <c r="F219" i="1"/>
  <c r="H219" i="1" s="1"/>
  <c r="F249" i="1"/>
  <c r="H249" i="1" s="1"/>
  <c r="F246" i="1"/>
  <c r="H246" i="1" s="1"/>
  <c r="F258" i="1"/>
  <c r="H258" i="1" s="1"/>
  <c r="F221" i="1"/>
  <c r="H221" i="1" s="1"/>
  <c r="F259" i="1"/>
  <c r="H259" i="1" s="1"/>
  <c r="F210" i="1"/>
  <c r="H210" i="1" s="1"/>
  <c r="F247" i="1"/>
  <c r="H247" i="1" s="1"/>
  <c r="C138" i="1"/>
  <c r="C141" i="1" s="1"/>
  <c r="C143" i="1" s="1"/>
  <c r="F255" i="1"/>
  <c r="H255" i="1" s="1"/>
  <c r="F205" i="1"/>
  <c r="H205" i="1" s="1"/>
  <c r="F204" i="1"/>
  <c r="H204" i="1" s="1"/>
  <c r="F203" i="1"/>
  <c r="H203" i="1" s="1"/>
  <c r="F202" i="1"/>
  <c r="H202" i="1" s="1"/>
  <c r="F201" i="1"/>
  <c r="H201" i="1" s="1"/>
  <c r="F200" i="1"/>
  <c r="H200" i="1" s="1"/>
  <c r="F199" i="1"/>
  <c r="H199" i="1" s="1"/>
  <c r="F197" i="1"/>
  <c r="H197" i="1" s="1"/>
  <c r="F196" i="1"/>
  <c r="H196" i="1" s="1"/>
  <c r="F195" i="1"/>
  <c r="F194" i="1"/>
  <c r="H194" i="1" s="1"/>
  <c r="F193" i="1"/>
  <c r="H193" i="1" s="1"/>
  <c r="F192" i="1"/>
  <c r="H192" i="1" s="1"/>
  <c r="A192" i="1"/>
  <c r="A193" i="1" s="1"/>
  <c r="A194" i="1" s="1"/>
  <c r="A195" i="1" s="1"/>
  <c r="A196" i="1" s="1"/>
  <c r="A197" i="1" s="1"/>
  <c r="A198" i="1" s="1"/>
  <c r="A199" i="1" s="1"/>
  <c r="A200" i="1" s="1"/>
  <c r="A201" i="1" s="1"/>
  <c r="A202" i="1" s="1"/>
  <c r="A203" i="1" s="1"/>
  <c r="A204" i="1" s="1"/>
  <c r="A205" i="1" s="1"/>
  <c r="J191" i="1"/>
  <c r="F191" i="1"/>
  <c r="H191" i="1" s="1"/>
  <c r="F181" i="1"/>
  <c r="H181" i="1" s="1"/>
  <c r="F189" i="1"/>
  <c r="H189" i="1" s="1"/>
  <c r="F187" i="1"/>
  <c r="H187" i="1" s="1"/>
  <c r="F185" i="1"/>
  <c r="H185" i="1" s="1"/>
  <c r="J161" i="1"/>
  <c r="J175" i="1"/>
  <c r="F188" i="1"/>
  <c r="H188" i="1" s="1"/>
  <c r="A176" i="1"/>
  <c r="A177" i="1" s="1"/>
  <c r="A178" i="1" s="1"/>
  <c r="A179" i="1" s="1"/>
  <c r="A180" i="1" s="1"/>
  <c r="A181" i="1" s="1"/>
  <c r="A182" i="1" s="1"/>
  <c r="A183" i="1" s="1"/>
  <c r="A184" i="1" s="1"/>
  <c r="A185" i="1" s="1"/>
  <c r="A186" i="1" s="1"/>
  <c r="A187" i="1" s="1"/>
  <c r="A188" i="1" s="1"/>
  <c r="A189" i="1" s="1"/>
  <c r="F186" i="1"/>
  <c r="H186" i="1" s="1"/>
  <c r="F184" i="1"/>
  <c r="H184" i="1" s="1"/>
  <c r="F183" i="1"/>
  <c r="H183" i="1" s="1"/>
  <c r="F180" i="1"/>
  <c r="H180" i="1" s="1"/>
  <c r="G139" i="1" l="1"/>
  <c r="E139" i="1"/>
  <c r="H195" i="1"/>
  <c r="F173" i="1"/>
  <c r="H173" i="1" s="1"/>
  <c r="F172" i="1"/>
  <c r="H172" i="1" s="1"/>
  <c r="F171" i="1"/>
  <c r="H171" i="1" s="1"/>
  <c r="F170" i="1"/>
  <c r="H170" i="1" s="1"/>
  <c r="F169" i="1"/>
  <c r="H169" i="1" s="1"/>
  <c r="E43" i="1" l="1"/>
  <c r="C104" i="1" l="1"/>
  <c r="F150" i="1" l="1"/>
  <c r="H150" i="1" s="1"/>
  <c r="E31" i="1" l="1"/>
  <c r="E26" i="1"/>
  <c r="F159" i="1" l="1"/>
  <c r="H159"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I42" i="7" l="1"/>
  <c r="H42" i="7" s="1"/>
  <c r="E42" i="7"/>
  <c r="L42" i="7"/>
  <c r="K42" i="7" s="1"/>
  <c r="D42" i="7"/>
  <c r="D44" i="7" s="1"/>
  <c r="E44" i="7"/>
  <c r="B325" i="1" l="1"/>
  <c r="F151" i="1" l="1"/>
  <c r="H151" i="1" s="1"/>
  <c r="F152" i="1"/>
  <c r="H152" i="1" s="1"/>
  <c r="F153" i="1"/>
  <c r="H153" i="1" s="1"/>
  <c r="G58" i="1" l="1"/>
  <c r="C58" i="1"/>
  <c r="G56" i="1"/>
  <c r="C56" i="1"/>
  <c r="C54" i="1"/>
  <c r="S33" i="1" l="1"/>
  <c r="F11" i="5" l="1"/>
  <c r="G11" i="5" s="1"/>
  <c r="F10" i="5"/>
  <c r="G10" i="5" s="1"/>
  <c r="F9" i="5"/>
  <c r="G9" i="5" s="1"/>
  <c r="G8" i="5"/>
  <c r="F8" i="5"/>
  <c r="G7" i="5"/>
  <c r="F7" i="5"/>
  <c r="G6" i="5"/>
  <c r="F6" i="5"/>
  <c r="F5" i="5"/>
  <c r="G5" i="5" s="1"/>
  <c r="G12" i="5" s="1"/>
  <c r="D350" i="1"/>
  <c r="B326" i="1"/>
  <c r="F179" i="1"/>
  <c r="H179" i="1" s="1"/>
  <c r="F178" i="1"/>
  <c r="H178" i="1" s="1"/>
  <c r="F177" i="1"/>
  <c r="H177" i="1" s="1"/>
  <c r="F176" i="1"/>
  <c r="H176" i="1" s="1"/>
  <c r="F175" i="1"/>
  <c r="H175" i="1" s="1"/>
  <c r="F161" i="1"/>
  <c r="H161" i="1" s="1"/>
  <c r="F160" i="1"/>
  <c r="A160" i="1"/>
  <c r="A161" i="1" s="1"/>
  <c r="A162" i="1" s="1"/>
  <c r="A163" i="1" s="1"/>
  <c r="A164" i="1" s="1"/>
  <c r="A165" i="1" s="1"/>
  <c r="A166" i="1" s="1"/>
  <c r="A167" i="1" s="1"/>
  <c r="A168" i="1" s="1"/>
  <c r="A169" i="1" s="1"/>
  <c r="A170" i="1" s="1"/>
  <c r="A171" i="1" s="1"/>
  <c r="A172" i="1" s="1"/>
  <c r="A173" i="1" s="1"/>
  <c r="A151" i="1"/>
  <c r="A152" i="1" s="1"/>
  <c r="A153" i="1" s="1"/>
  <c r="F130" i="1"/>
  <c r="C76" i="1"/>
  <c r="B77" i="1" s="1"/>
  <c r="G51" i="1"/>
  <c r="G52" i="1" s="1"/>
  <c r="C51" i="1"/>
  <c r="C52" i="1" s="1"/>
  <c r="E44" i="1"/>
  <c r="E45" i="1" s="1"/>
  <c r="E28" i="1"/>
  <c r="C16" i="1"/>
  <c r="I15" i="1"/>
  <c r="Z13" i="1"/>
  <c r="E8" i="1"/>
  <c r="E3" i="1"/>
  <c r="D70" i="1" s="1"/>
  <c r="H160" i="1" l="1"/>
  <c r="G138" i="1" s="1"/>
  <c r="G141" i="1" s="1"/>
  <c r="G143" i="1" s="1"/>
  <c r="E138" i="1"/>
  <c r="E141" i="1" s="1"/>
  <c r="E143" i="1" s="1"/>
  <c r="H77" i="1"/>
  <c r="D84" i="1" l="1"/>
  <c r="J82" i="1"/>
  <c r="J83" i="1" s="1"/>
  <c r="J88" i="1" s="1"/>
  <c r="D86" i="1"/>
  <c r="J81" i="1"/>
  <c r="C80" i="1" s="1"/>
  <c r="D80" i="1" s="1"/>
  <c r="D85" i="1"/>
  <c r="D89" i="1"/>
  <c r="J76" i="1"/>
  <c r="J78" i="1" s="1"/>
  <c r="J79" i="1"/>
  <c r="D88" i="1"/>
  <c r="D82" i="1"/>
  <c r="D87" i="1"/>
  <c r="D83" i="1"/>
  <c r="J80" i="1"/>
  <c r="J86" i="1"/>
  <c r="J84" i="1"/>
  <c r="J85" i="1"/>
  <c r="J87" i="1"/>
  <c r="B91" i="1" l="1"/>
  <c r="J89" i="1"/>
  <c r="C81" i="1" s="1"/>
  <c r="E80" i="1" s="1"/>
  <c r="B105" i="1"/>
  <c r="H105" i="1"/>
  <c r="H91" i="1"/>
  <c r="G80" i="1" l="1"/>
  <c r="D74" i="1" s="1"/>
  <c r="F75" i="1" s="1"/>
  <c r="D81" i="1"/>
  <c r="I77" i="1" s="1"/>
  <c r="I78" i="1" s="1"/>
  <c r="J77" i="1"/>
  <c r="J95" i="1"/>
  <c r="D94" i="1" s="1"/>
  <c r="J93" i="1"/>
  <c r="J90" i="1"/>
  <c r="J92" i="1" s="1"/>
  <c r="D103" i="1"/>
  <c r="D99" i="1"/>
  <c r="D102" i="1"/>
  <c r="D98" i="1"/>
  <c r="J94" i="1"/>
  <c r="D97" i="1"/>
  <c r="D101" i="1"/>
  <c r="D100" i="1"/>
  <c r="D96" i="1"/>
  <c r="J99" i="1"/>
  <c r="J98" i="1"/>
  <c r="J101" i="1"/>
  <c r="J100" i="1"/>
  <c r="J96" i="1"/>
  <c r="J97" i="1" s="1"/>
  <c r="J102" i="1" s="1"/>
  <c r="J107" i="1"/>
  <c r="D117" i="1"/>
  <c r="D111" i="1"/>
  <c r="J109" i="1"/>
  <c r="D115" i="1"/>
  <c r="J104" i="1"/>
  <c r="J106" i="1" s="1"/>
  <c r="D112" i="1"/>
  <c r="D116" i="1"/>
  <c r="D110" i="1"/>
  <c r="D114" i="1"/>
  <c r="J108" i="1"/>
  <c r="D113" i="1"/>
  <c r="J110" i="1"/>
  <c r="J111" i="1" s="1"/>
  <c r="J116" i="1" s="1"/>
  <c r="J117" i="1" s="1"/>
  <c r="J115" i="1"/>
  <c r="J114" i="1"/>
  <c r="J113" i="1"/>
  <c r="J112" i="1"/>
  <c r="I76" i="1" l="1"/>
  <c r="C78" i="1" s="1"/>
  <c r="D75" i="1"/>
  <c r="J91" i="1"/>
  <c r="J103" i="1"/>
  <c r="E108" i="1"/>
  <c r="D109" i="1"/>
  <c r="G108" i="1"/>
  <c r="D108" i="1"/>
  <c r="G94" i="1" l="1"/>
  <c r="E94" i="1"/>
  <c r="D95" i="1"/>
  <c r="I91" i="1" s="1"/>
  <c r="I105" i="1"/>
  <c r="I106" i="1" s="1"/>
  <c r="J105" i="1"/>
  <c r="I92" i="1" l="1"/>
  <c r="I90" i="1" s="1"/>
  <c r="C92" i="1" s="1"/>
  <c r="I104" i="1"/>
  <c r="C10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6" authorId="1" shapeId="0">
      <text>
        <r>
          <rPr>
            <b/>
            <sz val="9"/>
            <color indexed="81"/>
            <rFont val="Tahoma"/>
            <family val="2"/>
          </rPr>
          <t>SACHIN:</t>
        </r>
        <r>
          <rPr>
            <sz val="9"/>
            <color indexed="81"/>
            <rFont val="Tahoma"/>
            <family val="2"/>
          </rPr>
          <t xml:space="preserve">
Give loading of 50% for A Category</t>
        </r>
      </text>
    </comment>
    <comment ref="H31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<sst xmlns="http://schemas.openxmlformats.org/spreadsheetml/2006/main" count="846" uniqueCount="435">
  <si>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</si>
  <si>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</si>
  <si>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</si>
  <si>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</si>
  <si>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</si>
  <si>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</si>
  <si>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</si>
  <si>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</si>
  <si>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</si>
  <si>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</si>
  <si>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</si>
  <si>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</si>
  <si>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</si>
  <si>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</si>
  <si>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</si>
  <si>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</si>
  <si>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</si>
  <si>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</si>
  <si>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</si>
  <si>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</si>
  <si>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</si>
  <si>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</si>
  <si>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</si>
  <si>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</si>
  <si>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</si>
  <si>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</si>
  <si>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</si>
  <si>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</si>
  <si>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</si>
  <si>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</si>
  <si>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</si>
  <si>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</si>
  <si>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</si>
  <si>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</si>
  <si>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</si>
  <si>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</si>
  <si>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</si>
  <si>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</si>
  <si>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</si>
  <si>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</si>
  <si>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</si>
  <si>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</si>
  <si>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</si>
  <si>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</si>
  <si>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</si>
  <si>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</si>
  <si>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</si>
  <si>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</si>
  <si>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</si>
  <si>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</si>
  <si>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</si>
  <si>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</si>
  <si>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</si>
  <si>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</si>
  <si>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</si>
  <si>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</si>
  <si>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</si>
  <si>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</si>
  <si>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</si>
  <si>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</si>
  <si>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</si>
  <si>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</si>
  <si>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</si>
  <si>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</si>
  <si>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</si>
  <si>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</si>
  <si>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</si>
  <si>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</si>
  <si>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</si>
  <si>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</si>
  <si>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</si>
  <si>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</si>
  <si>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</si>
  <si>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</si>
  <si>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</si>
  <si>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</si>
  <si>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</si>
  <si>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</si>
  <si>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</si>
  <si>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</si>
  <si>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</si>
  <si>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</si>
  <si>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</si>
  <si>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</si>
  <si>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</si>
  <si>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</si>
  <si>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</si>
  <si>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</si>
  <si>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</si>
  <si>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</si>
  <si>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</si>
  <si>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</si>
  <si>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</si>
  <si>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</si>
  <si>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</si>
  <si>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</si>
  <si>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</si>
  <si>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</si>
  <si>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</si>
  <si>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</si>
  <si>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</si>
  <si>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</si>
  <si>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</si>
  <si>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</si>
  <si>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</si>
  <si>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</si>
  <si>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</si>
  <si>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</si>
  <si>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</si>
  <si>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</si>
  <si>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</si>
  <si>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</si>
  <si>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</si>
  <si>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</si>
  <si>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</si>
  <si>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</si>
  <si>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</si>
  <si>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</si>
  <si>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</si>
  <si>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</si>
  <si>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</si>
  <si>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</si>
  <si>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</si>
  <si>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</si>
  <si>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</si>
  <si>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</si>
  <si>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</si>
  <si>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</si>
  <si>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</si>
  <si>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</si>
  <si>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</si>
  <si>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</si>
  <si>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</si>
  <si>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</si>
  <si>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</si>
  <si>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</si>
  <si>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</si>
  <si>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</si>
  <si>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</si>
  <si>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</si>
  <si>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</si>
  <si>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</si>
  <si>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</si>
  <si>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</si>
  <si>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</si>
  <si>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</si>
  <si>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</si>
  <si>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</si>
  <si>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</si>
  <si>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</si>
  <si>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</si>
  <si>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</si>
  <si>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</si>
  <si>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</si>
  <si>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</si>
  <si>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</si>
  <si>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</si>
  <si>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</si>
  <si>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</si>
  <si>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</si>
  <si>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</si>
  <si>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</si>
  <si>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</si>
  <si>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</si>
  <si>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</si>
  <si>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</si>
  <si>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</si>
  <si>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</si>
  <si>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</si>
  <si>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</si>
  <si>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</si>
  <si>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</si>
  <si>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</si>
  <si>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</si>
  <si>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</si>
  <si>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</si>
  <si>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</si>
  <si>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</si>
  <si>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</si>
  <si>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</si>
  <si>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</si>
  <si>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</si>
  <si>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</si>
  <si>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</si>
  <si>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</si>
  <si>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</si>
  <si>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</si>
  <si>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</si>
  <si>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</si>
  <si>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</si>
  <si>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</si>
  <si>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</si>
  <si>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</si>
  <si>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</si>
  <si>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</si>
  <si>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</si>
  <si>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</si>
  <si>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</si>
  <si>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</si>
  <si>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</si>
  <si>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</si>
  <si>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</si>
  <si>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</si>
  <si>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</si>
  <si>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</si>
  <si>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</si>
  <si>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</si>
  <si>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</si>
  <si>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</si>
  <si>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</si>
  <si>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</si>
  <si>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</si>
  <si>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</si>
  <si>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</si>
  <si>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</si>
  <si>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</si>
  <si>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</si>
  <si>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</si>
  <si>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</si>
  <si>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</si>
  <si>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</si>
  <si>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</si>
  <si>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</si>
  <si>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</si>
  <si>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</si>
  <si>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</si>
  <si>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</si>
  <si>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</si>
  <si>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</si>
  <si>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</si>
  <si>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</si>
  <si>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</si>
  <si>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</si>
  <si>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</si>
  <si>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</si>
  <si>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</si>
  <si>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</si>
  <si>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</si>
  <si>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</si>
  <si>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</si>
  <si>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</si>
  <si>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</si>
  <si>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</si>
  <si>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</si>
  <si>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</si>
  <si>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</si>
  <si>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</si>
  <si>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</si>
  <si>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</si>
  <si>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</si>
  <si>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</si>
  <si>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</si>
  <si>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</si>
  <si>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</si>
  <si>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</si>
  <si>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</si>
  <si>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</si>
  <si>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</si>
  <si>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</si>
  <si>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</si>
  <si>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</si>
  <si>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</si>
  <si>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</si>
  <si>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</si>
  <si>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</si>
  <si>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</si>
  <si>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</si>
  <si>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</si>
  <si>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</si>
  <si>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</si>
  <si>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</si>
  <si>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</si>
  <si>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</si>
  <si>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</si>
  <si>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</si>
  <si>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</si>
  <si>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</si>
  <si>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</si>
  <si>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</si>
  <si>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</si>
  <si>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</si>
  <si>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</si>
  <si>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</si>
  <si>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</si>
  <si>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</si>
  <si>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</si>
  <si>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</si>
  <si>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</si>
  <si>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</si>
  <si>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</si>
  <si>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</si>
  <si>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</si>
  <si>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</si>
  <si>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</si>
  <si>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</si>
  <si>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</si>
  <si>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</si>
  <si>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</si>
  <si>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</si>
  <si>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</si>
  <si>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</si>
  <si>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</si>
  <si>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</si>
  <si>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</si>
  <si>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</si>
  <si>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</si>
  <si>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</si>
  <si>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</si>
  <si>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</si>
  <si>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</si>
  <si>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</si>
  <si>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</si>
  <si>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</si>
  <si>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</si>
  <si>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</si>
  <si>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</si>
  <si>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</si>
  <si>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</si>
  <si>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</si>
  <si>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</si>
  <si>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</si>
  <si>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</si>
  <si>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</si>
  <si>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</si>
  <si>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</si>
  <si>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</si>
  <si>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</si>
  <si>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</si>
  <si>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</si>
  <si>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</si>
  <si>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</si>
  <si>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</si>
  <si>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</si>
  <si>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</si>
  <si>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</si>
  <si>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</si>
  <si>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</si>
  <si>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</si>
  <si>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</si>
  <si>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</si>
  <si>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</si>
  <si>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</si>
  <si>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</si>
  <si>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</si>
  <si>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</si>
  <si>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</si>
  <si>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</si>
  <si>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</si>
  <si>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</si>
  <si>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</si>
  <si>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</si>
  <si>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Thane Municipal Corporation (TMC)</t>
  </si>
  <si>
    <t>P51700076963</t>
  </si>
  <si>
    <t>Mahindra Lifespace Developers limited</t>
  </si>
  <si>
    <t>Mr. Suhas Murage 9833540059</t>
  </si>
  <si>
    <t>Mahindra Happinest Kalyan - 2 Project B</t>
  </si>
  <si>
    <t>Ranjnoli</t>
  </si>
  <si>
    <t>Bhiwandi West</t>
  </si>
  <si>
    <t>Tata Housing Amantra</t>
  </si>
  <si>
    <t>32/A &amp; 37</t>
  </si>
  <si>
    <t>5.10KM from Bhiwandi Road Railway Station</t>
  </si>
  <si>
    <t>Mumbai Agra Road</t>
  </si>
  <si>
    <t>Saravali</t>
  </si>
  <si>
    <t>Approved Plans, CC.</t>
  </si>
  <si>
    <t>Other Plot</t>
  </si>
  <si>
    <t>Mahindra Codename Greenlife</t>
  </si>
  <si>
    <t>Open Plot</t>
  </si>
  <si>
    <t xml:space="preserve">Amantra By Tata Housing </t>
  </si>
  <si>
    <t>19.264805,73.081027</t>
  </si>
  <si>
    <t>https://maps.app.goo.gl/NfMZLuraZLfuDrcx8</t>
  </si>
  <si>
    <t>Check for Rowhouses count</t>
  </si>
  <si>
    <t>SROT/BSNA/2501/BP/Ranjoli-18/CC/500/2024</t>
  </si>
  <si>
    <t>Tower B, G &amp; H = Gr + 1st to 14th Floor</t>
  </si>
  <si>
    <t>As per RERA - 31/12/2028</t>
  </si>
  <si>
    <r>
      <t xml:space="preserve">Proposed Amenities :                                                                                                                                                                                                                         </t>
    </r>
    <r>
      <rPr>
        <b/>
        <sz val="12"/>
        <rFont val="Times New Roman"/>
        <family val="1"/>
      </rPr>
      <t xml:space="preserve">                                               </t>
    </r>
  </si>
  <si>
    <t>Clubhouse, Swimming Pool, Gym, Yoga, Kids Play Area, Multipurpose,Housekeeping, Vehicle Parking, Power Backup, Open Garden, Gated Community, Security System, etc.</t>
  </si>
  <si>
    <t>13 Buildings</t>
  </si>
  <si>
    <t xml:space="preserve">Tower B, G &amp; H
1 to 10 Row Houses </t>
  </si>
  <si>
    <t>1 to 10 Row Houses = Gr + 1st Floor</t>
  </si>
  <si>
    <t>Tower B, G &amp; H = Pt. Ground/Pt. Stilt + 14 Floor
Row Houses (10 Nos) = Gr + 1st Floor</t>
  </si>
  <si>
    <t>Tower B</t>
  </si>
  <si>
    <t>1BHK</t>
  </si>
  <si>
    <t>2BHK</t>
  </si>
  <si>
    <t>3BHK</t>
  </si>
  <si>
    <t>1st Floor</t>
  </si>
  <si>
    <t>Entrance Lobby, Control Room, LT Panel Room, &amp; Parking.</t>
  </si>
  <si>
    <t>Entrance Lobby Below</t>
  </si>
  <si>
    <t>2nd to 8th, 10th to 14th Floor</t>
  </si>
  <si>
    <t>9th Floor (Part Refuge Area)</t>
  </si>
  <si>
    <t>Refuge Area</t>
  </si>
  <si>
    <t>Tower G</t>
  </si>
  <si>
    <t>B+G+H+Row Houses</t>
  </si>
  <si>
    <t>Unit</t>
  </si>
  <si>
    <t>1C1</t>
  </si>
  <si>
    <t>2R1</t>
  </si>
  <si>
    <t>1R2</t>
  </si>
  <si>
    <t>3C1</t>
  </si>
  <si>
    <t>Gr</t>
  </si>
  <si>
    <t>2C1</t>
  </si>
  <si>
    <t>1C1A</t>
  </si>
  <si>
    <t>1C2</t>
  </si>
  <si>
    <t>1st to 14th</t>
  </si>
  <si>
    <t>add balcony Separate</t>
  </si>
  <si>
    <t>Row House</t>
  </si>
  <si>
    <t>Tower H</t>
  </si>
  <si>
    <t xml:space="preserve">Details of Residential in Building   </t>
  </si>
  <si>
    <t>Entrance Lobby &amp; Parking</t>
  </si>
  <si>
    <t>Panel Room &amp; Fire Control Room</t>
  </si>
  <si>
    <t>Parking</t>
  </si>
  <si>
    <t>Ground Floor For Residential, Commercial, Entrance Lobby, Control Room, LT Panel Room, 
Fire Control Room &amp; Parking</t>
  </si>
  <si>
    <t>Commercial, Entrance Lobbby, Panel Room, Fire Control Room &amp; Parking</t>
  </si>
  <si>
    <t>Ground Floor For Residential, Entrance Lobby, Control Room, LT Panel Room, 
Fire Control Room &amp; Parking</t>
  </si>
  <si>
    <t>Ground Floor For Residential, Entrance Lobby, Control Room, LT Panel Room &amp; Parking</t>
  </si>
  <si>
    <t>Server Room, Entrance Lobby Below</t>
  </si>
  <si>
    <t>Row Houses</t>
  </si>
  <si>
    <t>Gr + 1st Floor</t>
  </si>
  <si>
    <r>
      <t xml:space="preserve">RowHouse No.
</t>
    </r>
    <r>
      <rPr>
        <b/>
        <sz val="11"/>
        <color rgb="FF000000"/>
        <rFont val="Times New Roman"/>
        <family val="1"/>
      </rPr>
      <t>(Approved Plan)</t>
    </r>
  </si>
  <si>
    <t>RowHouse No. (Sale Plan)</t>
  </si>
  <si>
    <t>Yard + Deck + Internal Garden</t>
  </si>
  <si>
    <t>Total Flats</t>
  </si>
  <si>
    <t>Flats - 483, Row Houses - 10</t>
  </si>
  <si>
    <t>We considered Gross carpet area for Flats = Net carpet + Balcony.
We considered Gross carpet area for Rowhouse = Net carpet + Yard + Deck + Internal Garden.</t>
  </si>
  <si>
    <t>Tower G = Gr + 1st to 14th Floor</t>
  </si>
  <si>
    <t>as per Architecture letter</t>
  </si>
  <si>
    <t>High Tension Lines area passing nearby from Tower B, C &amp; D</t>
  </si>
  <si>
    <t>Mangesh Bapardekar</t>
  </si>
  <si>
    <t>We have not drafted commercial area for Tower H, Because Shop numbering was not mentioned in approved plans.</t>
  </si>
  <si>
    <t>Project A rate</t>
  </si>
  <si>
    <t>Tower B, G &amp; H = Gr + 1st to 14th Floor
1 to 10 Row Houses = Gr + 1st Floor</t>
  </si>
  <si>
    <t>Tower B, G &amp; H = Work is same as last visit (16/10/2024).
1 to 10 Rowhouses = Work not started yet.</t>
  </si>
  <si>
    <t>rate 7300 &amp; maintainance 75000 by bhargav from cost sheet on 01/07/2025</t>
  </si>
  <si>
    <t>Maintenance Charges</t>
  </si>
  <si>
    <t>Recommended Rates &amp; Other charges of the Property have been revised on 01/07/2025.</t>
  </si>
  <si>
    <t>Mr. Raj 9324959889</t>
  </si>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</sst>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0" fontId="7" fillId="0" borderId="0" xfId="1" applyFont="1" applyAlignment="1">
      <alignment horizontal="center" vertical="center"/>
    </xf>
    <xf numFmtId="1" fontId="8" fillId="0" borderId="3"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2" fillId="0" borderId="7" xfId="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0" xfId="1" applyFont="1" applyAlignment="1">
      <alignment horizontal="center" vertical="center"/>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Border="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16" xfId="1" applyFont="1" applyBorder="1" applyAlignment="1" applyProtection="1">
      <alignment horizontal="left"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67" fontId="12" fillId="0" borderId="1" xfId="9" applyNumberFormat="1" applyFont="1" applyFill="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2" fillId="0"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0" fillId="0" borderId="0" xfId="0" applyAlignment="1">
      <alignment horizontal="center" vertical="center"/>
    </xf>
    <xf numFmtId="0" fontId="0" fillId="0" borderId="0" xfId="0" applyAlignment="1">
      <alignment horizontal="center"/>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2" fillId="0" borderId="1" xfId="1" applyFont="1" applyFill="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21980</xdr:colOff>
      <xdr:row>16</xdr:row>
      <xdr:rowOff>65943</xdr:rowOff>
    </xdr:from>
    <xdr:to>
      <xdr:col>12</xdr:col>
      <xdr:colOff>68423</xdr:colOff>
      <xdr:row>20</xdr:row>
      <xdr:rowOff>48520</xdr:rowOff>
    </xdr:to>
    <xdr:pic>
      <xdr:nvPicPr>
        <xdr:cNvPr id="2" name="Picture 1"/>
        <xdr:cNvPicPr>
          <a:picLocks noChangeAspect="1"/>
        </xdr:cNvPicPr>
      </xdr:nvPicPr>
      <xdr:blipFill>
        <a:blip xmlns:r="http://schemas.openxmlformats.org/officeDocument/2006/relationships" r:embed="rId1"/>
        <a:stretch>
          <a:fillRect/>
        </a:stretch>
      </xdr:blipFill>
      <xdr:spPr>
        <a:xfrm>
          <a:off x="6337788" y="4476751"/>
          <a:ext cx="3600000" cy="773885"/>
        </a:xfrm>
        <a:prstGeom prst="rect">
          <a:avLst/>
        </a:prstGeom>
      </xdr:spPr>
    </xdr:pic>
    <xdr:clientData/>
  </xdr:twoCellAnchor>
  <xdr:twoCellAnchor editAs="oneCell">
    <xdr:from>
      <xdr:col>8</xdr:col>
      <xdr:colOff>124558</xdr:colOff>
      <xdr:row>40</xdr:row>
      <xdr:rowOff>109905</xdr:rowOff>
    </xdr:from>
    <xdr:to>
      <xdr:col>11</xdr:col>
      <xdr:colOff>374193</xdr:colOff>
      <xdr:row>48</xdr:row>
      <xdr:rowOff>421909</xdr:rowOff>
    </xdr:to>
    <xdr:pic>
      <xdr:nvPicPr>
        <xdr:cNvPr id="3" name="Picture 2"/>
        <xdr:cNvPicPr>
          <a:picLocks noChangeAspect="1"/>
        </xdr:cNvPicPr>
      </xdr:nvPicPr>
      <xdr:blipFill>
        <a:blip xmlns:r="http://schemas.openxmlformats.org/officeDocument/2006/relationships" r:embed="rId2"/>
        <a:stretch>
          <a:fillRect/>
        </a:stretch>
      </xdr:blipFill>
      <xdr:spPr>
        <a:xfrm>
          <a:off x="6440366" y="9539655"/>
          <a:ext cx="2880000" cy="1894619"/>
        </a:xfrm>
        <a:prstGeom prst="rect">
          <a:avLst/>
        </a:prstGeom>
        <a:ln>
          <a:solidFill>
            <a:schemeClr val="tx1"/>
          </a:solidFill>
        </a:ln>
      </xdr:spPr>
    </xdr:pic>
    <xdr:clientData/>
  </xdr:twoCellAnchor>
  <xdr:twoCellAnchor editAs="oneCell">
    <xdr:from>
      <xdr:col>8</xdr:col>
      <xdr:colOff>124558</xdr:colOff>
      <xdr:row>49</xdr:row>
      <xdr:rowOff>36635</xdr:rowOff>
    </xdr:from>
    <xdr:to>
      <xdr:col>11</xdr:col>
      <xdr:colOff>374193</xdr:colOff>
      <xdr:row>50</xdr:row>
      <xdr:rowOff>202327</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440366" y="11481289"/>
          <a:ext cx="2880000" cy="576000"/>
        </a:xfrm>
        <a:prstGeom prst="rect">
          <a:avLst/>
        </a:prstGeom>
        <a:ln>
          <a:solidFill>
            <a:schemeClr val="tx1"/>
          </a:solidFill>
        </a:ln>
      </xdr:spPr>
    </xdr:pic>
    <xdr:clientData/>
  </xdr:twoCellAnchor>
  <xdr:twoCellAnchor editAs="oneCell">
    <xdr:from>
      <xdr:col>8</xdr:col>
      <xdr:colOff>149406</xdr:colOff>
      <xdr:row>50</xdr:row>
      <xdr:rowOff>88879</xdr:rowOff>
    </xdr:from>
    <xdr:to>
      <xdr:col>11</xdr:col>
      <xdr:colOff>399041</xdr:colOff>
      <xdr:row>60</xdr:row>
      <xdr:rowOff>65068</xdr:rowOff>
    </xdr:to>
    <xdr:pic>
      <xdr:nvPicPr>
        <xdr:cNvPr id="5" name="Picture 4"/>
        <xdr:cNvPicPr>
          <a:picLocks noChangeAspect="1"/>
        </xdr:cNvPicPr>
      </xdr:nvPicPr>
      <xdr:blipFill>
        <a:blip xmlns:r="http://schemas.openxmlformats.org/officeDocument/2006/relationships" r:embed="rId4"/>
        <a:stretch>
          <a:fillRect/>
        </a:stretch>
      </xdr:blipFill>
      <xdr:spPr>
        <a:xfrm>
          <a:off x="6469036" y="11966140"/>
          <a:ext cx="2875222" cy="1409080"/>
        </a:xfrm>
        <a:prstGeom prst="rect">
          <a:avLst/>
        </a:prstGeom>
        <a:ln>
          <a:solidFill>
            <a:schemeClr val="tx1"/>
          </a:solidFill>
        </a:ln>
      </xdr:spPr>
    </xdr:pic>
    <xdr:clientData/>
  </xdr:twoCellAnchor>
  <xdr:twoCellAnchor editAs="oneCell">
    <xdr:from>
      <xdr:col>9</xdr:col>
      <xdr:colOff>160405</xdr:colOff>
      <xdr:row>137</xdr:row>
      <xdr:rowOff>189949</xdr:rowOff>
    </xdr:from>
    <xdr:to>
      <xdr:col>12</xdr:col>
      <xdr:colOff>706365</xdr:colOff>
      <xdr:row>156</xdr:row>
      <xdr:rowOff>85492</xdr:rowOff>
    </xdr:to>
    <xdr:pic>
      <xdr:nvPicPr>
        <xdr:cNvPr id="6" name="Picture 5"/>
        <xdr:cNvPicPr>
          <a:picLocks noChangeAspect="1"/>
        </xdr:cNvPicPr>
      </xdr:nvPicPr>
      <xdr:blipFill>
        <a:blip xmlns:r="http://schemas.openxmlformats.org/officeDocument/2006/relationships" r:embed="rId5"/>
        <a:stretch>
          <a:fillRect/>
        </a:stretch>
      </xdr:blipFill>
      <xdr:spPr>
        <a:xfrm>
          <a:off x="8002655" y="23583349"/>
          <a:ext cx="3047860" cy="2276793"/>
        </a:xfrm>
        <a:prstGeom prst="rect">
          <a:avLst/>
        </a:prstGeom>
        <a:ln>
          <a:solidFill>
            <a:schemeClr val="tx1"/>
          </a:solidFill>
        </a:ln>
      </xdr:spPr>
    </xdr:pic>
    <xdr:clientData/>
  </xdr:twoCellAnchor>
  <xdr:twoCellAnchor>
    <xdr:from>
      <xdr:col>10</xdr:col>
      <xdr:colOff>298173</xdr:colOff>
      <xdr:row>164</xdr:row>
      <xdr:rowOff>107674</xdr:rowOff>
    </xdr:from>
    <xdr:to>
      <xdr:col>12</xdr:col>
      <xdr:colOff>466499</xdr:colOff>
      <xdr:row>175</xdr:row>
      <xdr:rowOff>111216</xdr:rowOff>
    </xdr:to>
    <xdr:grpSp>
      <xdr:nvGrpSpPr>
        <xdr:cNvPr id="9" name="Group 8"/>
        <xdr:cNvGrpSpPr/>
      </xdr:nvGrpSpPr>
      <xdr:grpSpPr>
        <a:xfrm>
          <a:off x="8537298" y="27987349"/>
          <a:ext cx="1797101" cy="2203817"/>
          <a:chOff x="8481391" y="33784761"/>
          <a:chExt cx="1800000" cy="2190151"/>
        </a:xfrm>
      </xdr:grpSpPr>
      <xdr:pic>
        <xdr:nvPicPr>
          <xdr:cNvPr id="10" name="Picture 9"/>
          <xdr:cNvPicPr>
            <a:picLocks noChangeAspect="1"/>
          </xdr:cNvPicPr>
        </xdr:nvPicPr>
        <xdr:blipFill>
          <a:blip xmlns:r="http://schemas.openxmlformats.org/officeDocument/2006/relationships" r:embed="rId6"/>
          <a:stretch>
            <a:fillRect/>
          </a:stretch>
        </xdr:blipFill>
        <xdr:spPr>
          <a:xfrm>
            <a:off x="8481391" y="33801327"/>
            <a:ext cx="1800000" cy="2173585"/>
          </a:xfrm>
          <a:prstGeom prst="rect">
            <a:avLst/>
          </a:prstGeom>
          <a:ln>
            <a:solidFill>
              <a:schemeClr val="tx1"/>
            </a:solidFill>
          </a:ln>
        </xdr:spPr>
      </xdr:pic>
      <xdr:sp macro="" textlink="">
        <xdr:nvSpPr>
          <xdr:cNvPr id="8" name="TextBox 7"/>
          <xdr:cNvSpPr txBox="1"/>
        </xdr:nvSpPr>
        <xdr:spPr>
          <a:xfrm>
            <a:off x="9069457" y="33784761"/>
            <a:ext cx="48449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1C1A</a:t>
            </a:r>
          </a:p>
        </xdr:txBody>
      </xdr:sp>
    </xdr:grpSp>
    <xdr:clientData/>
  </xdr:twoCellAnchor>
  <xdr:twoCellAnchor>
    <xdr:from>
      <xdr:col>1</xdr:col>
      <xdr:colOff>182217</xdr:colOff>
      <xdr:row>394</xdr:row>
      <xdr:rowOff>0</xdr:rowOff>
    </xdr:from>
    <xdr:to>
      <xdr:col>6</xdr:col>
      <xdr:colOff>537541</xdr:colOff>
      <xdr:row>429</xdr:row>
      <xdr:rowOff>181813</xdr:rowOff>
    </xdr:to>
    <xdr:grpSp>
      <xdr:nvGrpSpPr>
        <xdr:cNvPr id="12" name="Group 11"/>
        <xdr:cNvGrpSpPr/>
      </xdr:nvGrpSpPr>
      <xdr:grpSpPr>
        <a:xfrm>
          <a:off x="944217" y="75666600"/>
          <a:ext cx="4441549" cy="7182688"/>
          <a:chOff x="944217" y="75992935"/>
          <a:chExt cx="4438650" cy="7139204"/>
        </a:xfrm>
      </xdr:grpSpPr>
      <xdr:grpSp>
        <xdr:nvGrpSpPr>
          <xdr:cNvPr id="13" name="Group 12"/>
          <xdr:cNvGrpSpPr/>
        </xdr:nvGrpSpPr>
        <xdr:grpSpPr>
          <a:xfrm>
            <a:off x="944217" y="75992935"/>
            <a:ext cx="4438650" cy="3714750"/>
            <a:chOff x="369283" y="1600087"/>
            <a:chExt cx="4438650" cy="3714750"/>
          </a:xfrm>
        </xdr:grpSpPr>
        <xdr:pic>
          <xdr:nvPicPr>
            <xdr:cNvPr id="14" name="Picture 13"/>
            <xdr:cNvPicPr>
              <a:picLocks noChangeAspect="1"/>
            </xdr:cNvPicPr>
          </xdr:nvPicPr>
          <xdr:blipFill>
            <a:blip xmlns:r="http://schemas.openxmlformats.org/officeDocument/2006/relationships" r:embed="rId7"/>
            <a:stretch>
              <a:fillRect/>
            </a:stretch>
          </xdr:blipFill>
          <xdr:spPr>
            <a:xfrm>
              <a:off x="369283" y="1600087"/>
              <a:ext cx="4438650" cy="3714750"/>
            </a:xfrm>
            <a:prstGeom prst="rect">
              <a:avLst/>
            </a:prstGeom>
            <a:ln>
              <a:solidFill>
                <a:schemeClr val="tx1"/>
              </a:solidFill>
            </a:ln>
          </xdr:spPr>
        </xdr:pic>
        <xdr:cxnSp macro="">
          <xdr:nvCxnSpPr>
            <xdr:cNvPr id="15" name="Straight Connector 14"/>
            <xdr:cNvCxnSpPr/>
          </xdr:nvCxnSpPr>
          <xdr:spPr>
            <a:xfrm flipV="1">
              <a:off x="558800" y="1733550"/>
              <a:ext cx="3441700" cy="184912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07107" y="1672719"/>
              <a:ext cx="3436243" cy="185743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flipV="1">
              <a:off x="507107" y="1733551"/>
              <a:ext cx="3175893" cy="16869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TextBox 6"/>
            <xdr:cNvSpPr txBox="1"/>
          </xdr:nvSpPr>
          <xdr:spPr>
            <a:xfrm rot="19979951">
              <a:off x="1664016" y="2161287"/>
              <a:ext cx="1122423"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High Tension Line</a:t>
              </a:r>
              <a:endParaRPr lang="en-IN" sz="1000" b="1">
                <a:solidFill>
                  <a:srgbClr val="FF0000"/>
                </a:solidFill>
              </a:endParaRPr>
            </a:p>
          </xdr:txBody>
        </xdr:sp>
        <xdr:sp macro="" textlink="">
          <xdr:nvSpPr>
            <xdr:cNvPr id="19" name="TextBox 9"/>
            <xdr:cNvSpPr txBox="1"/>
          </xdr:nvSpPr>
          <xdr:spPr>
            <a:xfrm>
              <a:off x="2422430" y="4602951"/>
              <a:ext cx="524503"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t>Tower F</a:t>
              </a:r>
              <a:endParaRPr lang="en-IN" sz="800" b="1"/>
            </a:p>
          </xdr:txBody>
        </xdr:sp>
        <xdr:sp macro="" textlink="">
          <xdr:nvSpPr>
            <xdr:cNvPr id="20" name="TextBox 10"/>
            <xdr:cNvSpPr txBox="1"/>
          </xdr:nvSpPr>
          <xdr:spPr>
            <a:xfrm>
              <a:off x="716926" y="4896516"/>
              <a:ext cx="527709"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t>Tower E</a:t>
              </a:r>
              <a:endParaRPr lang="en-IN" sz="800" b="1"/>
            </a:p>
          </xdr:txBody>
        </xdr:sp>
        <xdr:sp macro="" textlink="">
          <xdr:nvSpPr>
            <xdr:cNvPr id="21" name="TextBox 11"/>
            <xdr:cNvSpPr txBox="1"/>
          </xdr:nvSpPr>
          <xdr:spPr>
            <a:xfrm>
              <a:off x="723276" y="3817610"/>
              <a:ext cx="542136"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t>Tower D</a:t>
              </a:r>
              <a:endParaRPr lang="en-IN" sz="800" b="1"/>
            </a:p>
          </xdr:txBody>
        </xdr:sp>
        <xdr:sp macro="" textlink="">
          <xdr:nvSpPr>
            <xdr:cNvPr id="22" name="TextBox 12"/>
            <xdr:cNvSpPr txBox="1"/>
          </xdr:nvSpPr>
          <xdr:spPr>
            <a:xfrm>
              <a:off x="1515148" y="3291387"/>
              <a:ext cx="532518"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t>Tower C</a:t>
              </a:r>
              <a:endParaRPr lang="en-IN" sz="800" b="1"/>
            </a:p>
          </xdr:txBody>
        </xdr:sp>
        <xdr:sp macro="" textlink="">
          <xdr:nvSpPr>
            <xdr:cNvPr id="23" name="TextBox 13"/>
            <xdr:cNvSpPr txBox="1"/>
          </xdr:nvSpPr>
          <xdr:spPr>
            <a:xfrm>
              <a:off x="2276565" y="2861553"/>
              <a:ext cx="535724"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t>Tower B</a:t>
              </a:r>
              <a:endParaRPr lang="en-IN" sz="800" b="1"/>
            </a:p>
          </xdr:txBody>
        </xdr:sp>
        <xdr:sp macro="" textlink="">
          <xdr:nvSpPr>
            <xdr:cNvPr id="24" name="TextBox 14"/>
            <xdr:cNvSpPr txBox="1"/>
          </xdr:nvSpPr>
          <xdr:spPr>
            <a:xfrm>
              <a:off x="3683000" y="2436483"/>
              <a:ext cx="540533"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t>Tower A</a:t>
              </a:r>
              <a:endParaRPr lang="en-IN" sz="800" b="1"/>
            </a:p>
          </xdr:txBody>
        </xdr:sp>
        <xdr:sp macro="" textlink="">
          <xdr:nvSpPr>
            <xdr:cNvPr id="25" name="TextBox 24"/>
            <xdr:cNvSpPr txBox="1"/>
          </xdr:nvSpPr>
          <xdr:spPr>
            <a:xfrm>
              <a:off x="2812289" y="3653722"/>
              <a:ext cx="543739"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t>Tower G</a:t>
              </a:r>
              <a:endParaRPr lang="en-IN" sz="800" b="1"/>
            </a:p>
          </xdr:txBody>
        </xdr:sp>
        <xdr:sp macro="" textlink="">
          <xdr:nvSpPr>
            <xdr:cNvPr id="26" name="TextBox 25"/>
            <xdr:cNvSpPr txBox="1"/>
          </xdr:nvSpPr>
          <xdr:spPr>
            <a:xfrm>
              <a:off x="3154788" y="2988775"/>
              <a:ext cx="542136" cy="21544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t>Tower H</a:t>
              </a:r>
              <a:endParaRPr lang="en-IN" sz="800" b="1"/>
            </a:p>
          </xdr:txBody>
        </xdr:sp>
        <xdr:sp macro="" textlink="">
          <xdr:nvSpPr>
            <xdr:cNvPr id="27" name="Rectangle 26"/>
            <xdr:cNvSpPr/>
          </xdr:nvSpPr>
          <xdr:spPr>
            <a:xfrm rot="19911386">
              <a:off x="1888421" y="3804013"/>
              <a:ext cx="776288" cy="294243"/>
            </a:xfrm>
            <a:prstGeom prst="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8" name="TextBox 27"/>
            <xdr:cNvSpPr txBox="1"/>
          </xdr:nvSpPr>
          <xdr:spPr>
            <a:xfrm rot="19920554">
              <a:off x="1669295" y="3614062"/>
              <a:ext cx="790601" cy="24622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a:solidFill>
                    <a:srgbClr val="002060"/>
                  </a:solidFill>
                </a:rPr>
                <a:t>RowHouses</a:t>
              </a:r>
              <a:endParaRPr lang="en-IN" sz="1000">
                <a:solidFill>
                  <a:srgbClr val="002060"/>
                </a:solidFill>
              </a:endParaRPr>
            </a:p>
          </xdr:txBody>
        </xdr:sp>
      </xdr:grpSp>
      <xdr:pic>
        <xdr:nvPicPr>
          <xdr:cNvPr id="11" name="Picture 10"/>
          <xdr:cNvPicPr>
            <a:picLocks noChangeAspect="1"/>
          </xdr:cNvPicPr>
        </xdr:nvPicPr>
        <xdr:blipFill>
          <a:blip xmlns:r="http://schemas.openxmlformats.org/officeDocument/2006/relationships" r:embed="rId8"/>
          <a:stretch>
            <a:fillRect/>
          </a:stretch>
        </xdr:blipFill>
        <xdr:spPr>
          <a:xfrm>
            <a:off x="2120348" y="79894044"/>
            <a:ext cx="2390476" cy="3238095"/>
          </a:xfrm>
          <a:prstGeom prst="rect">
            <a:avLst/>
          </a:prstGeom>
          <a:ln>
            <a:solidFill>
              <a:schemeClr val="tx1"/>
            </a:solidFill>
          </a:ln>
        </xdr:spPr>
      </xdr:pic>
    </xdr:grpSp>
    <xdr:clientData/>
  </xdr:twoCellAnchor>
  <xdr:twoCellAnchor>
    <xdr:from>
      <xdr:col>0</xdr:col>
      <xdr:colOff>505239</xdr:colOff>
      <xdr:row>437</xdr:row>
      <xdr:rowOff>41413</xdr:rowOff>
    </xdr:from>
    <xdr:to>
      <xdr:col>7</xdr:col>
      <xdr:colOff>322761</xdr:colOff>
      <xdr:row>477</xdr:row>
      <xdr:rowOff>126960</xdr:rowOff>
    </xdr:to>
    <xdr:grpSp>
      <xdr:nvGrpSpPr>
        <xdr:cNvPr id="31" name="Group 30"/>
        <xdr:cNvGrpSpPr/>
      </xdr:nvGrpSpPr>
      <xdr:grpSpPr>
        <a:xfrm>
          <a:off x="505239" y="84309088"/>
          <a:ext cx="5399172" cy="8086547"/>
          <a:chOff x="533400" y="228601"/>
          <a:chExt cx="5400000" cy="8036851"/>
        </a:xfrm>
      </xdr:grpSpPr>
      <xdr:pic>
        <xdr:nvPicPr>
          <xdr:cNvPr id="32" name="Picture 31"/>
          <xdr:cNvPicPr>
            <a:picLocks noChangeAspect="1"/>
          </xdr:cNvPicPr>
        </xdr:nvPicPr>
        <xdr:blipFill rotWithShape="1">
          <a:blip xmlns:r="http://schemas.openxmlformats.org/officeDocument/2006/relationships" r:embed="rId9"/>
          <a:srcRect l="35358" t="28646" r="21597" b="16666"/>
          <a:stretch/>
        </xdr:blipFill>
        <xdr:spPr>
          <a:xfrm>
            <a:off x="533400" y="228601"/>
            <a:ext cx="5400000" cy="3857143"/>
          </a:xfrm>
          <a:prstGeom prst="rect">
            <a:avLst/>
          </a:prstGeom>
          <a:ln>
            <a:solidFill>
              <a:schemeClr val="tx1"/>
            </a:solidFill>
          </a:ln>
        </xdr:spPr>
      </xdr:pic>
      <xdr:grpSp>
        <xdr:nvGrpSpPr>
          <xdr:cNvPr id="33" name="Group 32"/>
          <xdr:cNvGrpSpPr/>
        </xdr:nvGrpSpPr>
        <xdr:grpSpPr>
          <a:xfrm>
            <a:off x="533400" y="4248151"/>
            <a:ext cx="5400000" cy="4017301"/>
            <a:chOff x="533400" y="4248151"/>
            <a:chExt cx="5400000" cy="4017301"/>
          </a:xfrm>
        </xdr:grpSpPr>
        <xdr:pic>
          <xdr:nvPicPr>
            <xdr:cNvPr id="34" name="Picture 33"/>
            <xdr:cNvPicPr>
              <a:picLocks noChangeAspect="1"/>
            </xdr:cNvPicPr>
          </xdr:nvPicPr>
          <xdr:blipFill rotWithShape="1">
            <a:blip xmlns:r="http://schemas.openxmlformats.org/officeDocument/2006/relationships" r:embed="rId10"/>
            <a:srcRect l="29209" t="28125" r="28478" b="15885"/>
            <a:stretch/>
          </xdr:blipFill>
          <xdr:spPr>
            <a:xfrm>
              <a:off x="533400" y="4248151"/>
              <a:ext cx="5400000" cy="4017301"/>
            </a:xfrm>
            <a:prstGeom prst="rect">
              <a:avLst/>
            </a:prstGeom>
            <a:ln>
              <a:solidFill>
                <a:schemeClr val="tx1"/>
              </a:solidFill>
            </a:ln>
          </xdr:spPr>
        </xdr:pic>
        <xdr:sp macro="" textlink="">
          <xdr:nvSpPr>
            <xdr:cNvPr id="35" name="Rectangle 34"/>
            <xdr:cNvSpPr/>
          </xdr:nvSpPr>
          <xdr:spPr>
            <a:xfrm rot="19719250">
              <a:off x="2116574" y="5851837"/>
              <a:ext cx="1836746" cy="1370564"/>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6" name="Rectangle 35"/>
            <xdr:cNvSpPr/>
          </xdr:nvSpPr>
          <xdr:spPr>
            <a:xfrm rot="19972773">
              <a:off x="3959167" y="5169310"/>
              <a:ext cx="491696" cy="845820"/>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xnSp macro="">
          <xdr:nvCxnSpPr>
            <xdr:cNvPr id="37" name="Straight Connector 36"/>
            <xdr:cNvCxnSpPr/>
          </xdr:nvCxnSpPr>
          <xdr:spPr>
            <a:xfrm flipV="1">
              <a:off x="1676400" y="4953000"/>
              <a:ext cx="2499363" cy="149352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xdr:cNvCxnSpPr/>
          </xdr:nvCxnSpPr>
          <xdr:spPr>
            <a:xfrm flipV="1">
              <a:off x="1676400" y="4845460"/>
              <a:ext cx="2499363" cy="149352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TextBox 8"/>
            <xdr:cNvSpPr txBox="1"/>
          </xdr:nvSpPr>
          <xdr:spPr>
            <a:xfrm rot="19914436">
              <a:off x="1410836" y="5730696"/>
              <a:ext cx="966591"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High Tension Line</a:t>
              </a:r>
              <a:endParaRPr lang="en-IN" sz="1200" b="1">
                <a:solidFill>
                  <a:srgbClr val="FF0000"/>
                </a:solidFill>
              </a:endParaRPr>
            </a:p>
          </xdr:txBody>
        </xdr:sp>
      </xdr:grpSp>
    </xdr:grpSp>
    <xdr:clientData/>
  </xdr:twoCellAnchor>
  <xdr:twoCellAnchor>
    <xdr:from>
      <xdr:col>0</xdr:col>
      <xdr:colOff>104775</xdr:colOff>
      <xdr:row>350</xdr:row>
      <xdr:rowOff>93662</xdr:rowOff>
    </xdr:from>
    <xdr:to>
      <xdr:col>7</xdr:col>
      <xdr:colOff>638175</xdr:colOff>
      <xdr:row>384</xdr:row>
      <xdr:rowOff>16875</xdr:rowOff>
    </xdr:to>
    <xdr:grpSp>
      <xdr:nvGrpSpPr>
        <xdr:cNvPr id="40" name="Group 39"/>
        <xdr:cNvGrpSpPr/>
      </xdr:nvGrpSpPr>
      <xdr:grpSpPr>
        <a:xfrm>
          <a:off x="104775" y="66968687"/>
          <a:ext cx="6115050" cy="6714538"/>
          <a:chOff x="104775" y="66968687"/>
          <a:chExt cx="6115050" cy="6714538"/>
        </a:xfrm>
      </xdr:grpSpPr>
      <xdr:grpSp>
        <xdr:nvGrpSpPr>
          <xdr:cNvPr id="29" name="Group 28"/>
          <xdr:cNvGrpSpPr/>
        </xdr:nvGrpSpPr>
        <xdr:grpSpPr>
          <a:xfrm>
            <a:off x="104775" y="66968687"/>
            <a:ext cx="6115050" cy="6714538"/>
            <a:chOff x="104775" y="66968687"/>
            <a:chExt cx="6115050" cy="6714538"/>
          </a:xfrm>
        </xdr:grpSpPr>
        <xdr:pic>
          <xdr:nvPicPr>
            <xdr:cNvPr id="44" name="Picture 43" descr="https://vsjcllp.vsjadon.com/upload/insp-246369-152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600575" y="71656575"/>
              <a:ext cx="1518405" cy="20266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6369-84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200400" y="69321362"/>
              <a:ext cx="3009900" cy="22592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6" name="Picture 45" descr="https://vsjcllp.vsjadon.com/upload/insp-246369-844.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04775" y="69311837"/>
              <a:ext cx="3009900" cy="22592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46369-849.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90500" y="71654987"/>
              <a:ext cx="2700055" cy="20266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46369-862.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3209925" y="66968687"/>
              <a:ext cx="3009900" cy="22592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6369-86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2981325" y="71656575"/>
              <a:ext cx="1518405" cy="20266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46369-87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14300" y="66968687"/>
              <a:ext cx="3009900" cy="22592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30" name="TextBox 29"/>
          <xdr:cNvSpPr txBox="1"/>
        </xdr:nvSpPr>
        <xdr:spPr>
          <a:xfrm>
            <a:off x="2124075" y="67036950"/>
            <a:ext cx="7905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Wing B</a:t>
            </a:r>
          </a:p>
        </xdr:txBody>
      </xdr:sp>
      <xdr:sp macro="" textlink="">
        <xdr:nvSpPr>
          <xdr:cNvPr id="64" name="TextBox 63"/>
          <xdr:cNvSpPr txBox="1"/>
        </xdr:nvSpPr>
        <xdr:spPr>
          <a:xfrm>
            <a:off x="2400300" y="69311837"/>
            <a:ext cx="7905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Wing H</a:t>
            </a:r>
          </a:p>
        </xdr:txBody>
      </xdr:sp>
      <xdr:sp macro="" textlink="">
        <xdr:nvSpPr>
          <xdr:cNvPr id="65" name="TextBox 64"/>
          <xdr:cNvSpPr txBox="1"/>
        </xdr:nvSpPr>
        <xdr:spPr>
          <a:xfrm>
            <a:off x="3152775" y="66968687"/>
            <a:ext cx="79057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rPr>
              <a:t>Wing 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fMZLuraZLfuDrcx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36"/>
  <sheetViews>
    <sheetView tabSelected="1" view="pageBreakPreview" zoomScaleNormal="100" zoomScaleSheetLayoutView="100" zoomScalePageLayoutView="85" workbookViewId="0">
      <selection activeCell="I11" sqref="I11"/>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27" t="s">
        <v>162</v>
      </c>
      <c r="B1" s="227"/>
      <c r="C1" s="227"/>
      <c r="D1" s="227"/>
      <c r="E1" s="227"/>
      <c r="F1" s="227"/>
      <c r="G1" s="227"/>
      <c r="H1" s="227"/>
    </row>
    <row r="2" spans="1:26" ht="16.5" customHeight="1" x14ac:dyDescent="0.25">
      <c r="A2" s="228" t="s">
        <v>0</v>
      </c>
      <c r="B2" s="228"/>
      <c r="C2" s="228"/>
      <c r="D2" s="228"/>
      <c r="E2" s="228"/>
      <c r="F2" s="228"/>
      <c r="G2" s="228"/>
      <c r="H2" s="228"/>
    </row>
    <row r="3" spans="1:26" x14ac:dyDescent="0.25">
      <c r="A3" s="181" t="s">
        <v>1</v>
      </c>
      <c r="B3" s="181"/>
      <c r="C3" s="181"/>
      <c r="D3" s="181"/>
      <c r="E3" s="181" t="str">
        <f ca="1">TEXT(TODAY(),"DD/MM/YYYY")</f>
        <v>18/09/2025</v>
      </c>
      <c r="F3" s="181"/>
      <c r="G3" s="181"/>
      <c r="H3" s="181"/>
      <c r="K3" s="54" t="s">
        <v>237</v>
      </c>
      <c r="L3" s="50" t="s">
        <v>235</v>
      </c>
      <c r="M3" s="50" t="s">
        <v>240</v>
      </c>
      <c r="N3" s="50" t="s">
        <v>238</v>
      </c>
      <c r="O3" s="50" t="s">
        <v>343</v>
      </c>
      <c r="P3" s="50" t="s">
        <v>241</v>
      </c>
    </row>
    <row r="4" spans="1:26" ht="15" customHeight="1" x14ac:dyDescent="0.25">
      <c r="A4" s="181" t="s">
        <v>234</v>
      </c>
      <c r="B4" s="181"/>
      <c r="C4" s="181"/>
      <c r="D4" s="181"/>
      <c r="E4" s="181" t="s">
        <v>235</v>
      </c>
      <c r="F4" s="181"/>
      <c r="G4" s="181"/>
      <c r="H4" s="181"/>
      <c r="K4" s="49" t="s">
        <v>236</v>
      </c>
      <c r="L4" s="50" t="s">
        <v>169</v>
      </c>
      <c r="M4" s="50" t="s">
        <v>245</v>
      </c>
      <c r="N4" s="50" t="s">
        <v>247</v>
      </c>
      <c r="O4" s="50" t="s">
        <v>344</v>
      </c>
      <c r="P4" s="50"/>
    </row>
    <row r="5" spans="1:26" ht="15" customHeight="1" x14ac:dyDescent="0.25">
      <c r="A5" s="181" t="s">
        <v>2</v>
      </c>
      <c r="B5" s="181"/>
      <c r="C5" s="181"/>
      <c r="D5" s="181"/>
      <c r="E5" s="181" t="s">
        <v>244</v>
      </c>
      <c r="F5" s="181"/>
      <c r="G5" s="181"/>
      <c r="H5" s="181"/>
      <c r="K5" s="49"/>
      <c r="L5" s="50" t="s">
        <v>242</v>
      </c>
      <c r="M5" s="50" t="s">
        <v>246</v>
      </c>
      <c r="N5" s="50" t="s">
        <v>248</v>
      </c>
      <c r="O5" s="50" t="s">
        <v>345</v>
      </c>
      <c r="P5" s="50"/>
    </row>
    <row r="6" spans="1:26" x14ac:dyDescent="0.25">
      <c r="A6" s="181" t="s">
        <v>3</v>
      </c>
      <c r="B6" s="181"/>
      <c r="C6" s="181"/>
      <c r="D6" s="181"/>
      <c r="E6" s="229">
        <v>45907</v>
      </c>
      <c r="F6" s="226"/>
      <c r="G6" s="226"/>
      <c r="H6" s="226"/>
      <c r="K6" s="49"/>
      <c r="L6" s="50" t="s">
        <v>243</v>
      </c>
      <c r="M6" s="50"/>
      <c r="N6" s="50"/>
      <c r="O6" s="50" t="s">
        <v>346</v>
      </c>
      <c r="P6" s="50"/>
    </row>
    <row r="7" spans="1:26" ht="16.5" customHeight="1" x14ac:dyDescent="0.25">
      <c r="A7" s="181" t="s">
        <v>4</v>
      </c>
      <c r="B7" s="181"/>
      <c r="C7" s="181"/>
      <c r="D7" s="181"/>
      <c r="E7" s="172" t="s">
        <v>353</v>
      </c>
      <c r="F7" s="181"/>
      <c r="G7" s="181"/>
      <c r="H7" s="181"/>
      <c r="K7" s="49"/>
      <c r="L7" s="50" t="s">
        <v>244</v>
      </c>
      <c r="M7" s="50"/>
      <c r="N7" s="50"/>
      <c r="O7" s="50" t="s">
        <v>346</v>
      </c>
      <c r="P7" s="50"/>
    </row>
    <row r="8" spans="1:26" ht="15" customHeight="1" x14ac:dyDescent="0.25">
      <c r="A8" s="181" t="s">
        <v>5</v>
      </c>
      <c r="B8" s="181"/>
      <c r="C8" s="181"/>
      <c r="D8" s="181"/>
      <c r="E8" s="181" t="str">
        <f>E7</f>
        <v>Mahindra Lifespace Developers limited</v>
      </c>
      <c r="F8" s="181"/>
      <c r="G8" s="181"/>
      <c r="H8" s="181"/>
      <c r="K8" s="49"/>
      <c r="L8" s="50"/>
      <c r="M8" s="50"/>
      <c r="N8" s="50"/>
      <c r="O8" s="50" t="s">
        <v>347</v>
      </c>
      <c r="P8" s="50"/>
    </row>
    <row r="9" spans="1:26" x14ac:dyDescent="0.25">
      <c r="A9" s="181" t="s">
        <v>6</v>
      </c>
      <c r="B9" s="181"/>
      <c r="C9" s="181"/>
      <c r="D9" s="181"/>
      <c r="E9" s="116" t="s">
        <v>355</v>
      </c>
      <c r="F9" s="115"/>
      <c r="G9" s="115"/>
      <c r="H9" s="115"/>
      <c r="K9" s="49"/>
      <c r="L9" s="50"/>
      <c r="M9" s="50"/>
      <c r="N9" s="50"/>
      <c r="O9" s="50" t="s">
        <v>348</v>
      </c>
      <c r="P9" s="50"/>
    </row>
    <row r="10" spans="1:26" x14ac:dyDescent="0.25">
      <c r="A10" s="181" t="s">
        <v>165</v>
      </c>
      <c r="B10" s="181"/>
      <c r="C10" s="181"/>
      <c r="D10" s="181"/>
      <c r="E10" s="181" t="s">
        <v>354</v>
      </c>
      <c r="F10" s="181"/>
      <c r="G10" s="181"/>
      <c r="H10" s="181"/>
      <c r="K10" s="49"/>
      <c r="L10" s="50"/>
      <c r="M10" s="50"/>
      <c r="N10" s="50"/>
      <c r="O10" s="50" t="s">
        <v>349</v>
      </c>
      <c r="P10" s="50"/>
    </row>
    <row r="11" spans="1:26" x14ac:dyDescent="0.25">
      <c r="A11" s="181" t="s">
        <v>166</v>
      </c>
      <c r="B11" s="181"/>
      <c r="C11" s="181"/>
      <c r="D11" s="181"/>
      <c r="E11" s="262" t="s">
        <v>433</v>
      </c>
      <c r="F11" s="226"/>
      <c r="G11" s="226"/>
      <c r="H11" s="226"/>
      <c r="O11" s="50" t="s">
        <v>350</v>
      </c>
    </row>
    <row r="12" spans="1:26" ht="33" customHeight="1" x14ac:dyDescent="0.25">
      <c r="A12" s="181" t="s">
        <v>7</v>
      </c>
      <c r="B12" s="181"/>
      <c r="C12" s="181"/>
      <c r="D12" s="181"/>
      <c r="E12" s="172" t="s">
        <v>377</v>
      </c>
      <c r="F12" s="181"/>
      <c r="G12" s="181"/>
      <c r="H12" s="181"/>
    </row>
    <row r="13" spans="1:26" x14ac:dyDescent="0.25">
      <c r="A13" s="181" t="s">
        <v>170</v>
      </c>
      <c r="B13" s="181"/>
      <c r="C13" s="181"/>
      <c r="D13" s="181"/>
      <c r="E13" s="181" t="s">
        <v>28</v>
      </c>
      <c r="F13" s="181"/>
      <c r="G13" s="181"/>
      <c r="H13" s="181"/>
      <c r="S13" s="50" t="s">
        <v>179</v>
      </c>
      <c r="T13" s="50" t="s">
        <v>188</v>
      </c>
      <c r="U13" s="50" t="s">
        <v>171</v>
      </c>
      <c r="V13" s="50" t="s">
        <v>193</v>
      </c>
      <c r="W13" s="50" t="s">
        <v>211</v>
      </c>
      <c r="X13"/>
      <c r="Y13" t="s">
        <v>193</v>
      </c>
      <c r="Z13" t="e">
        <f ca="1">OFFSET($S$13,1,MATCH($G20,$S$13:$W$13,0)-1,15,1)</f>
        <v>#VALUE!</v>
      </c>
    </row>
    <row r="14" spans="1:26" x14ac:dyDescent="0.25">
      <c r="A14" s="153" t="s">
        <v>280</v>
      </c>
      <c r="B14" s="153"/>
      <c r="C14" s="153"/>
      <c r="D14" s="153"/>
      <c r="E14" s="172" t="s">
        <v>363</v>
      </c>
      <c r="F14" s="172"/>
      <c r="G14" s="172"/>
      <c r="H14" s="172"/>
      <c r="S14" s="50" t="s">
        <v>179</v>
      </c>
      <c r="T14" s="50" t="s">
        <v>186</v>
      </c>
      <c r="U14" s="50" t="s">
        <v>208</v>
      </c>
      <c r="V14" s="50" t="s">
        <v>194</v>
      </c>
      <c r="W14" s="50" t="s">
        <v>212</v>
      </c>
      <c r="X14"/>
      <c r="Y14"/>
      <c r="Z14"/>
    </row>
    <row r="15" spans="1:26" x14ac:dyDescent="0.25">
      <c r="A15" s="153" t="s">
        <v>8</v>
      </c>
      <c r="B15" s="153"/>
      <c r="C15" s="153"/>
      <c r="D15" s="153"/>
      <c r="E15" s="172" t="s">
        <v>352</v>
      </c>
      <c r="F15" s="181"/>
      <c r="G15" s="181"/>
      <c r="H15" s="181"/>
      <c r="I15" s="243" t="e">
        <f ca="1">OFFSET($D$5,1,MATCH($J13,$D$5:$H$5,0)-1,15,1)</f>
        <v>#N/A</v>
      </c>
      <c r="J15" s="244"/>
      <c r="K15" s="244"/>
      <c r="L15" s="244"/>
      <c r="M15" s="244"/>
      <c r="N15" s="244"/>
      <c r="O15" s="244"/>
      <c r="P15" s="244"/>
      <c r="S15" s="50" t="s">
        <v>180</v>
      </c>
      <c r="T15" s="50" t="s">
        <v>187</v>
      </c>
      <c r="U15" s="50" t="s">
        <v>209</v>
      </c>
      <c r="V15" s="50" t="s">
        <v>195</v>
      </c>
      <c r="W15" s="50" t="s">
        <v>225</v>
      </c>
      <c r="X15"/>
      <c r="Y15"/>
      <c r="Z15"/>
    </row>
    <row r="16" spans="1:26" ht="48" customHeight="1" x14ac:dyDescent="0.25">
      <c r="A16" s="218" t="s">
        <v>9</v>
      </c>
      <c r="B16" s="218"/>
      <c r="C16" s="218" t="str">
        <f>CONCATENATE((IF(OR(E9="",E9="NA"),"",E9)),", ",(IF(OR(A17="",A17="NA"),"",A17)),".",(IF(OR(C17="",C17="NA"),"",C17)),", near ",(IF(OR(C22="",C22="NA"),"",C22)),", ",(IF(OR(C19="",C19="NA"),"",C19)),", ",(IF(OR(C18="",C18="NA"),"",C18)),", ",(IF(OR(G19="",G19="NA"),"",G19)),", ",(IF(OR(C20="",C20="NA"),"",C20)),", ",(IF(OR(C21="",C21="NA"),"",C21)),", ",(IF(OR(G20="",G20="NA"),"",G20))," - ",(IF(OR(G21="",G21="NA"),"",G21)),".")</f>
        <v>Mahindra Happinest Kalyan - 2 Project B, CTS No.32/A &amp; 37, near Tata Housing Amantra, Mumbai Agra Road, Saravali, Ranjnoli, Bhiwandi West, Bhiwandi, Thane - 421311.</v>
      </c>
      <c r="D16" s="218"/>
      <c r="E16" s="218"/>
      <c r="F16" s="218"/>
      <c r="G16" s="218"/>
      <c r="H16" s="218"/>
      <c r="S16" s="50" t="s">
        <v>181</v>
      </c>
      <c r="T16" s="50" t="s">
        <v>189</v>
      </c>
      <c r="U16" s="50" t="s">
        <v>210</v>
      </c>
      <c r="V16" s="50" t="s">
        <v>196</v>
      </c>
      <c r="W16" s="50" t="s">
        <v>213</v>
      </c>
      <c r="X16"/>
      <c r="Y16"/>
      <c r="Z16"/>
    </row>
    <row r="17" spans="1:26" x14ac:dyDescent="0.25">
      <c r="A17" s="172" t="s">
        <v>174</v>
      </c>
      <c r="B17" s="172"/>
      <c r="C17" s="172" t="s">
        <v>359</v>
      </c>
      <c r="D17" s="172"/>
      <c r="E17" s="172"/>
      <c r="F17" s="172"/>
      <c r="G17" s="172"/>
      <c r="H17" s="172"/>
      <c r="S17" s="50" t="s">
        <v>182</v>
      </c>
      <c r="T17" s="50" t="s">
        <v>190</v>
      </c>
      <c r="U17" s="50" t="s">
        <v>171</v>
      </c>
      <c r="V17" s="50" t="s">
        <v>197</v>
      </c>
      <c r="W17" s="50" t="s">
        <v>214</v>
      </c>
      <c r="X17"/>
      <c r="Y17"/>
      <c r="Z17"/>
    </row>
    <row r="18" spans="1:26" ht="15.75" customHeight="1" x14ac:dyDescent="0.25">
      <c r="A18" s="172" t="s">
        <v>160</v>
      </c>
      <c r="B18" s="172"/>
      <c r="C18" s="172" t="s">
        <v>362</v>
      </c>
      <c r="D18" s="172"/>
      <c r="E18" s="172"/>
      <c r="F18" s="172"/>
      <c r="G18" s="172"/>
      <c r="H18" s="172"/>
      <c r="S18" s="50" t="s">
        <v>183</v>
      </c>
      <c r="T18" s="50" t="s">
        <v>188</v>
      </c>
      <c r="U18" s="50"/>
      <c r="V18" s="50" t="s">
        <v>198</v>
      </c>
      <c r="W18" s="50" t="s">
        <v>215</v>
      </c>
      <c r="X18"/>
      <c r="Y18"/>
      <c r="Z18"/>
    </row>
    <row r="19" spans="1:26" ht="15.75" customHeight="1" x14ac:dyDescent="0.25">
      <c r="A19" s="172" t="s">
        <v>10</v>
      </c>
      <c r="B19" s="172"/>
      <c r="C19" s="181" t="s">
        <v>361</v>
      </c>
      <c r="D19" s="181"/>
      <c r="E19" s="172" t="s">
        <v>70</v>
      </c>
      <c r="F19" s="172"/>
      <c r="G19" s="172" t="s">
        <v>356</v>
      </c>
      <c r="H19" s="172"/>
      <c r="S19" s="50" t="s">
        <v>184</v>
      </c>
      <c r="T19" s="50" t="s">
        <v>191</v>
      </c>
      <c r="U19" s="50"/>
      <c r="V19" s="50" t="s">
        <v>199</v>
      </c>
      <c r="W19" s="50" t="s">
        <v>216</v>
      </c>
      <c r="X19"/>
      <c r="Y19"/>
      <c r="Z19"/>
    </row>
    <row r="20" spans="1:26" x14ac:dyDescent="0.25">
      <c r="A20" s="181" t="s">
        <v>12</v>
      </c>
      <c r="B20" s="181"/>
      <c r="C20" s="172" t="s">
        <v>357</v>
      </c>
      <c r="D20" s="172"/>
      <c r="E20" s="172" t="s">
        <v>11</v>
      </c>
      <c r="F20" s="172"/>
      <c r="G20" s="225" t="s">
        <v>179</v>
      </c>
      <c r="H20" s="225"/>
      <c r="S20" s="50" t="s">
        <v>185</v>
      </c>
      <c r="T20" s="50" t="s">
        <v>192</v>
      </c>
      <c r="U20" s="50"/>
      <c r="V20" s="50" t="s">
        <v>200</v>
      </c>
      <c r="W20" s="50" t="s">
        <v>217</v>
      </c>
      <c r="X20"/>
      <c r="Y20"/>
      <c r="Z20"/>
    </row>
    <row r="21" spans="1:26" x14ac:dyDescent="0.25">
      <c r="A21" s="181" t="s">
        <v>71</v>
      </c>
      <c r="B21" s="181"/>
      <c r="C21" s="172" t="s">
        <v>182</v>
      </c>
      <c r="D21" s="172"/>
      <c r="E21" s="172" t="s">
        <v>13</v>
      </c>
      <c r="F21" s="172"/>
      <c r="G21" s="172">
        <v>421311</v>
      </c>
      <c r="H21" s="172"/>
      <c r="S21" s="50"/>
      <c r="T21" s="50"/>
      <c r="U21" s="50"/>
      <c r="V21" s="50" t="s">
        <v>201</v>
      </c>
      <c r="W21" s="50" t="s">
        <v>218</v>
      </c>
      <c r="X21"/>
      <c r="Y21"/>
      <c r="Z21"/>
    </row>
    <row r="22" spans="1:26" ht="52.5" customHeight="1" x14ac:dyDescent="0.25">
      <c r="A22" s="181" t="s">
        <v>119</v>
      </c>
      <c r="B22" s="181"/>
      <c r="C22" s="172" t="s">
        <v>358</v>
      </c>
      <c r="D22" s="172"/>
      <c r="E22" s="172" t="s">
        <v>14</v>
      </c>
      <c r="F22" s="172"/>
      <c r="G22" s="172" t="s">
        <v>360</v>
      </c>
      <c r="H22" s="172"/>
      <c r="S22" s="50"/>
      <c r="T22" s="50"/>
      <c r="U22" s="50"/>
      <c r="V22" s="50" t="s">
        <v>202</v>
      </c>
      <c r="W22" s="50" t="s">
        <v>219</v>
      </c>
      <c r="X22"/>
      <c r="Y22"/>
      <c r="Z22"/>
    </row>
    <row r="23" spans="1:26" ht="15" customHeight="1" x14ac:dyDescent="0.25">
      <c r="A23" s="218" t="s">
        <v>73</v>
      </c>
      <c r="B23" s="218"/>
      <c r="C23" s="218"/>
      <c r="D23" s="218"/>
      <c r="E23" s="181" t="s">
        <v>15</v>
      </c>
      <c r="F23" s="181"/>
      <c r="G23" s="181"/>
      <c r="H23" s="181"/>
      <c r="S23" s="50"/>
      <c r="T23" s="50"/>
      <c r="U23" s="50"/>
      <c r="V23" s="50" t="s">
        <v>203</v>
      </c>
      <c r="W23" s="50" t="s">
        <v>220</v>
      </c>
      <c r="X23"/>
      <c r="Y23"/>
      <c r="Z23"/>
    </row>
    <row r="24" spans="1:26" ht="18.75" customHeight="1" x14ac:dyDescent="0.25">
      <c r="A24" s="218"/>
      <c r="B24" s="218"/>
      <c r="C24" s="218"/>
      <c r="D24" s="218"/>
      <c r="E24" s="181"/>
      <c r="F24" s="181"/>
      <c r="G24" s="181"/>
      <c r="H24" s="181"/>
      <c r="S24" s="50"/>
      <c r="T24" s="50"/>
      <c r="U24" s="50"/>
      <c r="V24" s="50" t="s">
        <v>204</v>
      </c>
      <c r="W24" s="50" t="s">
        <v>221</v>
      </c>
      <c r="X24"/>
      <c r="Y24"/>
      <c r="Z24"/>
    </row>
    <row r="25" spans="1:26" ht="15" customHeight="1" x14ac:dyDescent="0.25">
      <c r="A25" s="218" t="s">
        <v>16</v>
      </c>
      <c r="B25" s="218"/>
      <c r="C25" s="218"/>
      <c r="D25" s="218"/>
      <c r="E25" s="172" t="s">
        <v>17</v>
      </c>
      <c r="F25" s="172"/>
      <c r="G25" s="172"/>
      <c r="H25" s="172"/>
      <c r="S25" s="50"/>
      <c r="T25" s="50"/>
      <c r="U25" s="50"/>
      <c r="V25" s="50" t="s">
        <v>205</v>
      </c>
      <c r="W25" s="50" t="s">
        <v>222</v>
      </c>
      <c r="X25"/>
      <c r="Y25"/>
      <c r="Z25"/>
    </row>
    <row r="26" spans="1:26" ht="15" customHeight="1" x14ac:dyDescent="0.25">
      <c r="A26" s="153" t="s">
        <v>18</v>
      </c>
      <c r="B26" s="153"/>
      <c r="C26" s="153"/>
      <c r="D26" s="153"/>
      <c r="E26" s="172" t="str">
        <f>IF(AND(G20="Mumbai"),"Upper Class","Middle Class")</f>
        <v>Middle Class</v>
      </c>
      <c r="F26" s="172"/>
      <c r="G26" s="172"/>
      <c r="H26" s="172"/>
      <c r="S26" s="50"/>
      <c r="T26" s="50"/>
      <c r="U26" s="50"/>
      <c r="V26" s="50" t="s">
        <v>206</v>
      </c>
      <c r="W26" s="50" t="s">
        <v>223</v>
      </c>
      <c r="X26"/>
      <c r="Y26"/>
      <c r="Z26"/>
    </row>
    <row r="27" spans="1:26" x14ac:dyDescent="0.25">
      <c r="A27" s="153" t="s">
        <v>19</v>
      </c>
      <c r="B27" s="153"/>
      <c r="C27" s="153"/>
      <c r="D27" s="153"/>
      <c r="E27" s="172" t="s">
        <v>20</v>
      </c>
      <c r="F27" s="172"/>
      <c r="G27" s="172"/>
      <c r="H27" s="172"/>
      <c r="S27" s="50"/>
      <c r="T27" s="50"/>
      <c r="U27" s="50"/>
      <c r="V27" s="50" t="s">
        <v>207</v>
      </c>
      <c r="W27" s="50" t="s">
        <v>224</v>
      </c>
      <c r="X27"/>
      <c r="Y27"/>
      <c r="Z27"/>
    </row>
    <row r="28" spans="1:26" ht="15.75" customHeight="1" x14ac:dyDescent="0.25">
      <c r="A28" s="153" t="s">
        <v>21</v>
      </c>
      <c r="B28" s="153"/>
      <c r="C28" s="153"/>
      <c r="D28" s="153"/>
      <c r="E28" s="172" t="str">
        <f>IF(AND(G20="Mumbai"),"Developed","Developing")</f>
        <v>Developing</v>
      </c>
      <c r="F28" s="172"/>
      <c r="G28" s="172"/>
      <c r="H28" s="172"/>
    </row>
    <row r="29" spans="1:26" x14ac:dyDescent="0.25">
      <c r="A29" s="153" t="s">
        <v>22</v>
      </c>
      <c r="B29" s="153"/>
      <c r="C29" s="153"/>
      <c r="D29" s="153"/>
      <c r="E29" s="172" t="s">
        <v>23</v>
      </c>
      <c r="F29" s="172"/>
      <c r="G29" s="172"/>
      <c r="H29" s="172"/>
    </row>
    <row r="30" spans="1:26" ht="15.75" customHeight="1" x14ac:dyDescent="0.25">
      <c r="A30" s="153" t="s">
        <v>78</v>
      </c>
      <c r="B30" s="153"/>
      <c r="C30" s="153"/>
      <c r="D30" s="153"/>
      <c r="E30" s="172" t="s">
        <v>79</v>
      </c>
      <c r="F30" s="172"/>
      <c r="G30" s="172"/>
      <c r="H30" s="172"/>
    </row>
    <row r="31" spans="1:26" ht="15" customHeight="1" x14ac:dyDescent="0.25">
      <c r="A31" s="153" t="s">
        <v>30</v>
      </c>
      <c r="B31" s="153"/>
      <c r="C31" s="153"/>
      <c r="D31" s="153"/>
      <c r="E31" s="17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72"/>
      <c r="G31" s="172"/>
      <c r="H31" s="172"/>
    </row>
    <row r="32" spans="1:26" ht="15.75" customHeight="1" x14ac:dyDescent="0.25">
      <c r="A32" s="153" t="s">
        <v>90</v>
      </c>
      <c r="B32" s="153"/>
      <c r="C32" s="153"/>
      <c r="D32" s="153"/>
      <c r="E32" s="172" t="s">
        <v>31</v>
      </c>
      <c r="F32" s="172"/>
      <c r="G32" s="172"/>
      <c r="H32" s="172"/>
    </row>
    <row r="33" spans="1:19" s="19" customFormat="1" x14ac:dyDescent="0.25">
      <c r="A33" s="224" t="s">
        <v>91</v>
      </c>
      <c r="B33" s="224"/>
      <c r="C33" s="221" t="s">
        <v>172</v>
      </c>
      <c r="D33" s="222"/>
      <c r="E33" s="223"/>
      <c r="F33" s="221" t="s">
        <v>29</v>
      </c>
      <c r="G33" s="222"/>
      <c r="H33" s="223"/>
      <c r="S33" s="19" t="e">
        <f ca="1">OFFSET($S$13,1,MATCH($G20,$S$13:$W$13,0)-1,15,1)</f>
        <v>#VALUE!</v>
      </c>
    </row>
    <row r="34" spans="1:19" s="19" customFormat="1" x14ac:dyDescent="0.25">
      <c r="A34" s="194" t="s">
        <v>24</v>
      </c>
      <c r="B34" s="194" t="s">
        <v>28</v>
      </c>
      <c r="C34" s="195" t="s">
        <v>364</v>
      </c>
      <c r="D34" s="196"/>
      <c r="E34" s="197"/>
      <c r="F34" s="195" t="s">
        <v>367</v>
      </c>
      <c r="G34" s="196"/>
      <c r="H34" s="197"/>
    </row>
    <row r="35" spans="1:19" x14ac:dyDescent="0.25">
      <c r="A35" s="194" t="s">
        <v>25</v>
      </c>
      <c r="B35" s="194" t="s">
        <v>28</v>
      </c>
      <c r="C35" s="195" t="s">
        <v>364</v>
      </c>
      <c r="D35" s="196"/>
      <c r="E35" s="197"/>
      <c r="F35" s="195" t="s">
        <v>366</v>
      </c>
      <c r="G35" s="196"/>
      <c r="H35" s="197"/>
    </row>
    <row r="36" spans="1:19" s="19" customFormat="1" x14ac:dyDescent="0.25">
      <c r="A36" s="194" t="s">
        <v>27</v>
      </c>
      <c r="B36" s="194" t="s">
        <v>28</v>
      </c>
      <c r="C36" s="195" t="s">
        <v>364</v>
      </c>
      <c r="D36" s="196"/>
      <c r="E36" s="197"/>
      <c r="F36" s="195" t="s">
        <v>365</v>
      </c>
      <c r="G36" s="196"/>
      <c r="H36" s="197"/>
    </row>
    <row r="37" spans="1:19" x14ac:dyDescent="0.25">
      <c r="A37" s="194" t="s">
        <v>26</v>
      </c>
      <c r="B37" s="194" t="s">
        <v>28</v>
      </c>
      <c r="C37" s="195" t="s">
        <v>364</v>
      </c>
      <c r="D37" s="196"/>
      <c r="E37" s="197"/>
      <c r="F37" s="195" t="s">
        <v>366</v>
      </c>
      <c r="G37" s="196"/>
      <c r="H37" s="197"/>
    </row>
    <row r="38" spans="1:19" x14ac:dyDescent="0.25">
      <c r="A38" s="153" t="s">
        <v>281</v>
      </c>
      <c r="B38" s="153"/>
      <c r="C38" s="153"/>
      <c r="D38" s="153"/>
      <c r="E38" s="153"/>
      <c r="F38" s="153"/>
      <c r="G38" s="153"/>
      <c r="H38" s="153"/>
    </row>
    <row r="39" spans="1:19" ht="15.75" customHeight="1" x14ac:dyDescent="0.25">
      <c r="A39" s="153" t="s">
        <v>163</v>
      </c>
      <c r="B39" s="153"/>
      <c r="C39" s="185" t="s">
        <v>368</v>
      </c>
      <c r="D39" s="185"/>
      <c r="E39" s="185"/>
      <c r="F39" s="185"/>
      <c r="G39" s="185"/>
      <c r="H39" s="185"/>
    </row>
    <row r="40" spans="1:19" x14ac:dyDescent="0.25">
      <c r="A40" s="153" t="s">
        <v>159</v>
      </c>
      <c r="B40" s="153"/>
      <c r="C40" s="171" t="s">
        <v>369</v>
      </c>
      <c r="D40" s="172"/>
      <c r="E40" s="172"/>
      <c r="F40" s="172"/>
      <c r="G40" s="172"/>
      <c r="H40" s="172"/>
    </row>
    <row r="41" spans="1:19" x14ac:dyDescent="0.25">
      <c r="A41" s="185" t="s">
        <v>32</v>
      </c>
      <c r="B41" s="185"/>
      <c r="C41" s="185"/>
      <c r="D41" s="185"/>
      <c r="E41" s="185"/>
      <c r="F41" s="185"/>
      <c r="G41" s="185"/>
      <c r="H41" s="185"/>
    </row>
    <row r="42" spans="1:19" x14ac:dyDescent="0.25">
      <c r="A42" s="153" t="s">
        <v>33</v>
      </c>
      <c r="B42" s="153"/>
      <c r="C42" s="153"/>
      <c r="D42" s="153"/>
      <c r="E42" s="198">
        <v>39288.199999999997</v>
      </c>
      <c r="F42" s="198"/>
      <c r="G42" s="198"/>
      <c r="H42" s="198"/>
    </row>
    <row r="43" spans="1:19" x14ac:dyDescent="0.25">
      <c r="A43" s="153" t="s">
        <v>34</v>
      </c>
      <c r="B43" s="153"/>
      <c r="C43" s="153"/>
      <c r="D43" s="153"/>
      <c r="E43" s="179">
        <f>43217.02/E42</f>
        <v>1.1000000000000001</v>
      </c>
      <c r="F43" s="179"/>
      <c r="G43" s="179"/>
      <c r="H43" s="179"/>
    </row>
    <row r="44" spans="1:19" x14ac:dyDescent="0.25">
      <c r="A44" s="153" t="s">
        <v>35</v>
      </c>
      <c r="B44" s="153"/>
      <c r="C44" s="153"/>
      <c r="D44" s="153"/>
      <c r="E44" s="179">
        <f>E46/E42-E43</f>
        <v>1.1415689698179099</v>
      </c>
      <c r="F44" s="179"/>
      <c r="G44" s="179"/>
      <c r="H44" s="179"/>
    </row>
    <row r="45" spans="1:19" x14ac:dyDescent="0.25">
      <c r="A45" s="153" t="s">
        <v>36</v>
      </c>
      <c r="B45" s="153"/>
      <c r="C45" s="153"/>
      <c r="D45" s="153"/>
      <c r="E45" s="179">
        <f>E43+E44</f>
        <v>2.24156896981791</v>
      </c>
      <c r="F45" s="179"/>
      <c r="G45" s="179"/>
      <c r="H45" s="179"/>
    </row>
    <row r="46" spans="1:19" x14ac:dyDescent="0.25">
      <c r="A46" s="153" t="s">
        <v>89</v>
      </c>
      <c r="B46" s="153"/>
      <c r="C46" s="153"/>
      <c r="D46" s="153"/>
      <c r="E46" s="180">
        <v>88067.21</v>
      </c>
      <c r="F46" s="180"/>
      <c r="G46" s="180"/>
      <c r="H46" s="180"/>
    </row>
    <row r="47" spans="1:19" x14ac:dyDescent="0.25">
      <c r="A47" s="181" t="s">
        <v>37</v>
      </c>
      <c r="B47" s="181"/>
      <c r="C47" s="181"/>
      <c r="D47" s="181"/>
      <c r="E47" s="181" t="s">
        <v>376</v>
      </c>
      <c r="F47" s="181"/>
      <c r="G47" s="181"/>
      <c r="H47" s="181"/>
      <c r="I47" s="18" t="s">
        <v>370</v>
      </c>
    </row>
    <row r="48" spans="1:19" x14ac:dyDescent="0.25">
      <c r="A48" s="185" t="s">
        <v>38</v>
      </c>
      <c r="B48" s="185"/>
      <c r="C48" s="185"/>
      <c r="D48" s="185"/>
      <c r="E48" s="185"/>
      <c r="F48" s="185"/>
      <c r="G48" s="185"/>
      <c r="H48" s="185"/>
    </row>
    <row r="49" spans="1:24" ht="33.75" customHeight="1" x14ac:dyDescent="0.25">
      <c r="A49" s="182" t="s">
        <v>148</v>
      </c>
      <c r="B49" s="184"/>
      <c r="C49" s="209" t="s">
        <v>258</v>
      </c>
      <c r="D49" s="210"/>
      <c r="E49" s="210"/>
      <c r="F49" s="210"/>
      <c r="G49" s="210"/>
      <c r="H49" s="211"/>
      <c r="R49" t="s">
        <v>254</v>
      </c>
      <c r="S49" s="55" t="s">
        <v>171</v>
      </c>
      <c r="T49" s="55" t="s">
        <v>179</v>
      </c>
      <c r="U49" s="55" t="s">
        <v>193</v>
      </c>
      <c r="V49" s="55" t="s">
        <v>188</v>
      </c>
    </row>
    <row r="50" spans="1:24" ht="32.25" customHeight="1" x14ac:dyDescent="0.25">
      <c r="A50" s="182" t="s">
        <v>39</v>
      </c>
      <c r="B50" s="184"/>
      <c r="C50" s="182" t="s">
        <v>371</v>
      </c>
      <c r="D50" s="183"/>
      <c r="E50" s="184"/>
      <c r="F50" s="17" t="s">
        <v>40</v>
      </c>
      <c r="G50" s="200">
        <v>45415</v>
      </c>
      <c r="H50" s="184"/>
      <c r="R50"/>
      <c r="S50" s="55" t="s">
        <v>255</v>
      </c>
      <c r="T50" s="55" t="s">
        <v>260</v>
      </c>
      <c r="U50" s="55" t="s">
        <v>271</v>
      </c>
      <c r="V50" s="55" t="s">
        <v>276</v>
      </c>
    </row>
    <row r="51" spans="1:24" ht="32.25" customHeight="1" x14ac:dyDescent="0.25">
      <c r="A51" s="182" t="s">
        <v>41</v>
      </c>
      <c r="B51" s="184"/>
      <c r="C51" s="182" t="str">
        <f>C50</f>
        <v>SROT/BSNA/2501/BP/Ranjoli-18/CC/500/2024</v>
      </c>
      <c r="D51" s="183"/>
      <c r="E51" s="184"/>
      <c r="F51" s="17" t="s">
        <v>40</v>
      </c>
      <c r="G51" s="200">
        <f>G50</f>
        <v>45415</v>
      </c>
      <c r="H51" s="184"/>
      <c r="R51"/>
      <c r="S51" s="55" t="s">
        <v>256</v>
      </c>
      <c r="T51" s="55" t="s">
        <v>351</v>
      </c>
      <c r="U51" s="55" t="s">
        <v>269</v>
      </c>
      <c r="V51" s="55" t="s">
        <v>277</v>
      </c>
    </row>
    <row r="52" spans="1:24" s="20" customFormat="1" ht="34.5" customHeight="1" x14ac:dyDescent="0.25">
      <c r="A52" s="205" t="s">
        <v>152</v>
      </c>
      <c r="B52" s="206"/>
      <c r="C52" s="182" t="str">
        <f>C51</f>
        <v>SROT/BSNA/2501/BP/Ranjoli-18/CC/500/2024</v>
      </c>
      <c r="D52" s="183"/>
      <c r="E52" s="184"/>
      <c r="F52" s="17" t="s">
        <v>40</v>
      </c>
      <c r="G52" s="200">
        <f>G51</f>
        <v>45415</v>
      </c>
      <c r="H52" s="184"/>
      <c r="R52"/>
      <c r="S52" s="55" t="s">
        <v>257</v>
      </c>
      <c r="T52" s="55" t="s">
        <v>262</v>
      </c>
      <c r="U52" s="55" t="s">
        <v>259</v>
      </c>
      <c r="V52" s="55" t="s">
        <v>278</v>
      </c>
    </row>
    <row r="53" spans="1:24" s="20" customFormat="1" ht="30.75" customHeight="1" x14ac:dyDescent="0.25">
      <c r="A53" s="207"/>
      <c r="B53" s="208"/>
      <c r="C53" s="182" t="s">
        <v>379</v>
      </c>
      <c r="D53" s="183"/>
      <c r="E53" s="183"/>
      <c r="F53" s="183"/>
      <c r="G53" s="183"/>
      <c r="H53" s="184"/>
      <c r="R53"/>
      <c r="S53" s="55" t="s">
        <v>258</v>
      </c>
      <c r="T53" s="55" t="s">
        <v>265</v>
      </c>
      <c r="U53" s="55" t="s">
        <v>272</v>
      </c>
      <c r="V53" s="77"/>
    </row>
    <row r="54" spans="1:24" s="20" customFormat="1" hidden="1" x14ac:dyDescent="0.25">
      <c r="A54" s="201" t="s">
        <v>282</v>
      </c>
      <c r="B54" s="202"/>
      <c r="C54" s="182" t="str">
        <f>C53</f>
        <v>Tower B, G &amp; H = Pt. Ground/Pt. Stilt + 14 Floor
Row Houses (10 Nos) = Gr + 1st Floor</v>
      </c>
      <c r="D54" s="183"/>
      <c r="E54" s="184"/>
      <c r="F54" s="17" t="s">
        <v>40</v>
      </c>
      <c r="G54" s="182"/>
      <c r="H54" s="184"/>
      <c r="R54"/>
      <c r="S54" s="55" t="s">
        <v>257</v>
      </c>
      <c r="T54" s="55" t="s">
        <v>262</v>
      </c>
      <c r="U54" s="55" t="s">
        <v>259</v>
      </c>
      <c r="V54" s="55" t="s">
        <v>278</v>
      </c>
    </row>
    <row r="55" spans="1:24" s="20" customFormat="1" ht="32.25" hidden="1" customHeight="1" x14ac:dyDescent="0.25">
      <c r="A55" s="203"/>
      <c r="B55" s="204"/>
      <c r="C55" s="175"/>
      <c r="D55" s="176"/>
      <c r="E55" s="176"/>
      <c r="F55" s="176"/>
      <c r="G55" s="176"/>
      <c r="H55" s="177"/>
      <c r="R55"/>
      <c r="S55" s="55" t="s">
        <v>259</v>
      </c>
      <c r="T55" s="55" t="s">
        <v>263</v>
      </c>
      <c r="U55" s="55" t="s">
        <v>273</v>
      </c>
      <c r="V55" s="78"/>
      <c r="W55" s="18"/>
      <c r="X55" s="18"/>
    </row>
    <row r="56" spans="1:24" s="20" customFormat="1" ht="34.5" hidden="1" customHeight="1" x14ac:dyDescent="0.25">
      <c r="A56" s="201" t="s">
        <v>283</v>
      </c>
      <c r="B56" s="202"/>
      <c r="C56" s="182">
        <f>C55</f>
        <v>0</v>
      </c>
      <c r="D56" s="183"/>
      <c r="E56" s="184"/>
      <c r="F56" s="17" t="s">
        <v>40</v>
      </c>
      <c r="G56" s="182">
        <f>G55</f>
        <v>0</v>
      </c>
      <c r="H56" s="184"/>
      <c r="R56"/>
      <c r="S56" s="78"/>
      <c r="T56" s="55" t="s">
        <v>264</v>
      </c>
      <c r="U56" s="55" t="s">
        <v>274</v>
      </c>
      <c r="V56" s="78"/>
      <c r="W56" s="18"/>
      <c r="X56" s="18"/>
    </row>
    <row r="57" spans="1:24" s="20" customFormat="1" ht="41.25" hidden="1" customHeight="1" x14ac:dyDescent="0.25">
      <c r="A57" s="203"/>
      <c r="B57" s="204"/>
      <c r="C57" s="182"/>
      <c r="D57" s="183"/>
      <c r="E57" s="183"/>
      <c r="F57" s="183"/>
      <c r="G57" s="183"/>
      <c r="H57" s="184"/>
      <c r="R57"/>
      <c r="S57" s="78"/>
      <c r="T57" s="55" t="s">
        <v>266</v>
      </c>
      <c r="U57" s="55" t="s">
        <v>275</v>
      </c>
      <c r="V57" s="78"/>
      <c r="W57" s="18"/>
      <c r="X57" s="18"/>
    </row>
    <row r="58" spans="1:24" s="20" customFormat="1" ht="15.75" hidden="1" customHeight="1" x14ac:dyDescent="0.25">
      <c r="A58" s="201" t="s">
        <v>284</v>
      </c>
      <c r="B58" s="202"/>
      <c r="C58" s="182">
        <f>C57</f>
        <v>0</v>
      </c>
      <c r="D58" s="183"/>
      <c r="E58" s="184"/>
      <c r="F58" s="17" t="s">
        <v>40</v>
      </c>
      <c r="G58" s="182">
        <f>G57</f>
        <v>0</v>
      </c>
      <c r="H58" s="184"/>
      <c r="R58"/>
      <c r="S58" s="78"/>
      <c r="T58" s="55" t="s">
        <v>267</v>
      </c>
      <c r="U58" s="78" t="s">
        <v>298</v>
      </c>
      <c r="V58" s="78"/>
      <c r="W58" s="18"/>
      <c r="X58" s="18"/>
    </row>
    <row r="59" spans="1:24" s="20" customFormat="1" ht="33.75" hidden="1" customHeight="1" x14ac:dyDescent="0.25">
      <c r="A59" s="203"/>
      <c r="B59" s="204"/>
      <c r="C59" s="182"/>
      <c r="D59" s="183"/>
      <c r="E59" s="183"/>
      <c r="F59" s="183"/>
      <c r="G59" s="183"/>
      <c r="H59" s="184"/>
      <c r="R59"/>
      <c r="S59" s="78"/>
      <c r="T59" s="55" t="s">
        <v>268</v>
      </c>
      <c r="U59" s="78"/>
      <c r="V59" s="78"/>
      <c r="W59" s="18"/>
      <c r="X59" s="18"/>
    </row>
    <row r="60" spans="1:24" x14ac:dyDescent="0.25">
      <c r="A60" s="246" t="s">
        <v>42</v>
      </c>
      <c r="B60" s="247"/>
      <c r="C60" s="246" t="s">
        <v>102</v>
      </c>
      <c r="D60" s="248"/>
      <c r="E60" s="247"/>
      <c r="F60" s="40" t="s">
        <v>40</v>
      </c>
      <c r="G60" s="249" t="s">
        <v>28</v>
      </c>
      <c r="H60" s="250"/>
      <c r="R60"/>
      <c r="S60" s="78"/>
      <c r="T60" s="55" t="s">
        <v>270</v>
      </c>
      <c r="U60" s="78"/>
      <c r="V60" s="78"/>
    </row>
    <row r="61" spans="1:24" x14ac:dyDescent="0.25">
      <c r="A61" s="217" t="s">
        <v>44</v>
      </c>
      <c r="B61" s="217"/>
      <c r="C61" s="217"/>
      <c r="D61" s="217"/>
      <c r="E61" s="217"/>
      <c r="F61" s="217"/>
      <c r="G61" s="217"/>
      <c r="H61" s="217"/>
      <c r="S61" s="78"/>
      <c r="T61" s="55" t="s">
        <v>279</v>
      </c>
      <c r="U61" s="78"/>
      <c r="V61" s="78"/>
    </row>
    <row r="62" spans="1:24" x14ac:dyDescent="0.25">
      <c r="A62" s="218" t="s">
        <v>88</v>
      </c>
      <c r="B62" s="218"/>
      <c r="C62" s="218"/>
      <c r="D62" s="153">
        <f>13069.53+9222.47+8031.97+1111.3</f>
        <v>31435.27</v>
      </c>
      <c r="E62" s="153"/>
      <c r="F62" s="153"/>
      <c r="G62" s="153"/>
      <c r="H62" s="153"/>
      <c r="I62" s="18" t="s">
        <v>391</v>
      </c>
      <c r="R62"/>
      <c r="T62" s="18" t="s">
        <v>258</v>
      </c>
    </row>
    <row r="63" spans="1:24" x14ac:dyDescent="0.25">
      <c r="A63" s="172" t="s">
        <v>45</v>
      </c>
      <c r="B63" s="181"/>
      <c r="C63" s="181"/>
      <c r="D63" s="181" t="s">
        <v>420</v>
      </c>
      <c r="E63" s="181"/>
      <c r="F63" s="181"/>
      <c r="G63" s="181"/>
      <c r="H63" s="181"/>
      <c r="I63" s="21"/>
      <c r="R63"/>
    </row>
    <row r="64" spans="1:24" ht="34.5" customHeight="1" x14ac:dyDescent="0.25">
      <c r="A64" s="188" t="s">
        <v>46</v>
      </c>
      <c r="B64" s="189"/>
      <c r="C64" s="190"/>
      <c r="D64" s="186" t="s">
        <v>428</v>
      </c>
      <c r="E64" s="187"/>
      <c r="F64" s="187"/>
      <c r="G64" s="187"/>
      <c r="H64" s="187"/>
      <c r="R64"/>
    </row>
    <row r="65" spans="1:19" ht="15" customHeight="1" x14ac:dyDescent="0.25">
      <c r="A65" s="188" t="s">
        <v>86</v>
      </c>
      <c r="B65" s="189"/>
      <c r="C65" s="189"/>
      <c r="D65" s="102" t="s">
        <v>372</v>
      </c>
      <c r="E65" s="103"/>
      <c r="F65" s="103"/>
      <c r="G65" s="103"/>
      <c r="H65" s="104"/>
      <c r="R65"/>
    </row>
    <row r="66" spans="1:19" ht="15" hidden="1" customHeight="1" x14ac:dyDescent="0.25">
      <c r="A66" s="212"/>
      <c r="B66" s="213"/>
      <c r="C66" s="213"/>
      <c r="D66" s="102" t="s">
        <v>422</v>
      </c>
      <c r="E66" s="103"/>
      <c r="F66" s="103"/>
      <c r="G66" s="103"/>
      <c r="H66" s="104"/>
      <c r="R66"/>
    </row>
    <row r="67" spans="1:19" ht="15.75" customHeight="1" x14ac:dyDescent="0.25">
      <c r="A67" s="212"/>
      <c r="B67" s="214"/>
      <c r="C67" s="214"/>
      <c r="D67" s="102" t="s">
        <v>378</v>
      </c>
      <c r="E67" s="103"/>
      <c r="F67" s="103"/>
      <c r="G67" s="103"/>
      <c r="H67" s="104"/>
      <c r="R67"/>
    </row>
    <row r="68" spans="1:19" ht="15.75" hidden="1" customHeight="1" x14ac:dyDescent="0.25">
      <c r="A68" s="215"/>
      <c r="B68" s="216"/>
      <c r="C68" s="216"/>
      <c r="D68" s="251" t="s">
        <v>167</v>
      </c>
      <c r="E68" s="252"/>
      <c r="F68" s="252"/>
      <c r="G68" s="252"/>
      <c r="H68" s="253"/>
      <c r="S68"/>
    </row>
    <row r="69" spans="1:19" ht="15.75" customHeight="1" x14ac:dyDescent="0.25">
      <c r="A69" s="153" t="s">
        <v>43</v>
      </c>
      <c r="B69" s="153"/>
      <c r="C69" s="153"/>
      <c r="D69" s="199" t="s">
        <v>373</v>
      </c>
      <c r="E69" s="199"/>
      <c r="F69" s="199"/>
      <c r="G69" s="199"/>
      <c r="H69" s="199"/>
      <c r="J69" s="22"/>
      <c r="K69" s="21"/>
      <c r="N69" s="21"/>
      <c r="S69"/>
    </row>
    <row r="70" spans="1:19" ht="15.75" customHeight="1" x14ac:dyDescent="0.25">
      <c r="A70" s="153" t="s">
        <v>84</v>
      </c>
      <c r="B70" s="153"/>
      <c r="C70" s="153"/>
      <c r="D70" s="178" t="str">
        <f>(IF(G60="NA","60 Years After Completion",IF(G60&lt;&gt;"NA",""&amp;60-ROUNDDOWN((E3-G60)/360,0)&amp;" Years"," ")))</f>
        <v>60 Years After Completion</v>
      </c>
      <c r="E70" s="178"/>
      <c r="F70" s="178"/>
      <c r="G70" s="178"/>
      <c r="H70" s="178"/>
      <c r="N70" s="21"/>
      <c r="S70"/>
    </row>
    <row r="71" spans="1:19" ht="15.75" customHeight="1" x14ac:dyDescent="0.25">
      <c r="A71" s="153" t="s">
        <v>85</v>
      </c>
      <c r="B71" s="153"/>
      <c r="C71" s="153"/>
      <c r="D71" s="218" t="s">
        <v>23</v>
      </c>
      <c r="E71" s="218"/>
      <c r="F71" s="218"/>
      <c r="G71" s="218"/>
      <c r="H71" s="218"/>
      <c r="J71" s="23"/>
      <c r="K71" s="23"/>
      <c r="S71"/>
    </row>
    <row r="72" spans="1:19" ht="51" customHeight="1" x14ac:dyDescent="0.25">
      <c r="A72" s="181" t="s">
        <v>374</v>
      </c>
      <c r="B72" s="181"/>
      <c r="C72" s="181"/>
      <c r="D72" s="172" t="s">
        <v>375</v>
      </c>
      <c r="E72" s="218"/>
      <c r="F72" s="218"/>
      <c r="G72" s="218"/>
      <c r="H72" s="218"/>
      <c r="S72"/>
    </row>
    <row r="73" spans="1:19" x14ac:dyDescent="0.25">
      <c r="A73" s="218" t="s">
        <v>145</v>
      </c>
      <c r="B73" s="218"/>
      <c r="C73" s="218"/>
      <c r="D73" s="218" t="s">
        <v>28</v>
      </c>
      <c r="E73" s="218"/>
      <c r="F73" s="218"/>
      <c r="G73" s="218"/>
      <c r="H73" s="218"/>
      <c r="I73" s="24"/>
      <c r="J73" s="24"/>
      <c r="K73" s="24"/>
      <c r="L73" s="24"/>
      <c r="M73" s="24"/>
      <c r="N73" s="24"/>
    </row>
    <row r="74" spans="1:19" ht="15.75" customHeight="1" x14ac:dyDescent="0.25">
      <c r="A74" s="220" t="s">
        <v>83</v>
      </c>
      <c r="B74" s="220"/>
      <c r="C74" s="220"/>
      <c r="D74" s="186" t="str">
        <f ca="1">(IF(G80&gt;95%,"Nothing",IF(G80&gt;0%,"Cement, Aggregate, Steel, etc",IF(G80=0%,"Work not yet Started"))))</f>
        <v>Cement, Aggregate, Steel, etc</v>
      </c>
      <c r="E74" s="186"/>
      <c r="F74" s="186"/>
      <c r="G74" s="186"/>
      <c r="H74" s="186"/>
      <c r="J74" s="23"/>
      <c r="S74"/>
    </row>
    <row r="75" spans="1:19" ht="33.75" customHeight="1" thickBot="1" x14ac:dyDescent="0.3">
      <c r="A75" s="219" t="s">
        <v>115</v>
      </c>
      <c r="B75" s="219"/>
      <c r="C75" s="219"/>
      <c r="D75" s="186" t="str">
        <f ca="1">(IF(D74="Nothing","Yes",IF(D74="Cement, Aggregate, Steel, etc","Under Construction",IF(D74="Work not yet Started","Work not yet Started"))))</f>
        <v>Under Construction</v>
      </c>
      <c r="E75" s="186"/>
      <c r="F75" s="186" t="str">
        <f ca="1">(IF(D74="Nothing","Yes",IF(D74="Cement, Aggregate, Steel, etc","Under Construction",IF(D74="Work not yet Started","Work not yet Started"))))</f>
        <v>Under Construction</v>
      </c>
      <c r="G75" s="186"/>
      <c r="H75" s="186"/>
      <c r="S75"/>
    </row>
    <row r="76" spans="1:19" ht="15.75" customHeight="1" x14ac:dyDescent="0.25">
      <c r="A76" s="109" t="s">
        <v>137</v>
      </c>
      <c r="B76" s="110"/>
      <c r="C76" s="111" t="str">
        <f>D65</f>
        <v>Tower B, G &amp; H = Gr + 1st to 14th Floor</v>
      </c>
      <c r="D76" s="112"/>
      <c r="E76" s="112"/>
      <c r="F76" s="112"/>
      <c r="G76" s="112"/>
      <c r="H76" s="113"/>
      <c r="I76" s="43" t="str">
        <f ca="1">IF(D89=100%,"All work Completed. Possession granted to the Building.",IF(D88=100%,"All work Completed, Waiting for OC",I77&amp;""&amp;I78&amp;""&amp;J77&amp;""&amp;J76&amp;" "&amp;J78))</f>
        <v xml:space="preserve">Excavation, Plinth Completed </v>
      </c>
      <c r="J76" s="44"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K76" s="18" t="s">
        <v>423</v>
      </c>
      <c r="S76"/>
    </row>
    <row r="77" spans="1:19" x14ac:dyDescent="0.25">
      <c r="A77" s="15" t="s">
        <v>139</v>
      </c>
      <c r="B77" s="47">
        <f>IF(AND(ISNUMBER(SEARCH("1B",C76))),1,IF(AND(ISNUMBER(SEARCH("2B",C76))),2,IF(AND(ISNUMBER(SEARCH("3B",C76))),3,IF(AND(ISNUMBER(SEARCH("4B",C76))),4,IF(ISNUMBER(SEARCH("5B",C76)),5,0)))))</f>
        <v>0</v>
      </c>
      <c r="C77" s="47" t="s">
        <v>69</v>
      </c>
      <c r="D77" s="47">
        <v>1</v>
      </c>
      <c r="E77" s="47" t="s">
        <v>68</v>
      </c>
      <c r="F77" s="47">
        <v>0</v>
      </c>
      <c r="G77" s="47" t="s">
        <v>77</v>
      </c>
      <c r="H77" s="16">
        <f ca="1">--TRIM(RIGHT(SUBSTITUTE(LEFT(C76,_xlfn.AGGREGATE(16,6,FIND({0,1,2,3,4,5,6,7,8,9},C76,ROW(INDIRECT("1:"&amp;LEN(C76)))),1))," ",REPT(" ",LEN(C76))),LEN(C76)))</f>
        <v>14</v>
      </c>
      <c r="I77" s="45" t="str">
        <f ca="1">IF(D80=100%,"Excavation","")&amp;IF(D81=100%,", Plinth","")&amp;IF(D82=100%,", RCC Slab","")&amp;IF(D83=100%,", Brickwork","")&amp;IF(D84=100%,", Internal Plaster","")&amp;IF(D85=100%,", External Plaster","")&amp;IF(D86=100%,", Flooring","")&amp;IF(D87=100%,", Painting","")&amp;IF(D88=100%,", Building common Amenities","")</f>
        <v>Excavation, Plinth</v>
      </c>
      <c r="J77" s="46"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25">
      <c r="A78" s="114" t="s">
        <v>87</v>
      </c>
      <c r="B78" s="115"/>
      <c r="C78" s="116" t="str">
        <f ca="1">I76</f>
        <v xml:space="preserve">Excavation, Plinth Completed </v>
      </c>
      <c r="D78" s="116"/>
      <c r="E78" s="116"/>
      <c r="F78" s="116"/>
      <c r="G78" s="116"/>
      <c r="H78" s="117"/>
      <c r="I78" s="45" t="str">
        <f ca="1">IF(I77&lt;&gt;""," Completed","")</f>
        <v xml:space="preserve"> Completed</v>
      </c>
      <c r="J78" s="46" t="str">
        <f ca="1">IF(J76&lt;&gt;"","Completed","")</f>
        <v/>
      </c>
      <c r="S78"/>
    </row>
    <row r="79" spans="1:19" ht="15.75" customHeight="1" x14ac:dyDescent="0.25">
      <c r="A79" s="118" t="s">
        <v>47</v>
      </c>
      <c r="B79" s="119"/>
      <c r="C79" s="85" t="s">
        <v>136</v>
      </c>
      <c r="D79" s="85" t="s">
        <v>80</v>
      </c>
      <c r="E79" s="119" t="s">
        <v>82</v>
      </c>
      <c r="F79" s="119"/>
      <c r="G79" s="119" t="s">
        <v>81</v>
      </c>
      <c r="H79" s="120"/>
      <c r="I79" s="13" t="s">
        <v>138</v>
      </c>
      <c r="J79" s="25">
        <f ca="1">H77*25%</f>
        <v>3.5</v>
      </c>
      <c r="S79"/>
    </row>
    <row r="80" spans="1:19" x14ac:dyDescent="0.25">
      <c r="A80" s="118" t="s">
        <v>125</v>
      </c>
      <c r="B80" s="119"/>
      <c r="C80" s="85">
        <f ca="1">J81</f>
        <v>14</v>
      </c>
      <c r="D80" s="86">
        <f ca="1">((100/H77)*C80)/100</f>
        <v>1</v>
      </c>
      <c r="E80" s="121">
        <f ca="1">(((C81/H77*10)+(40/(D77+F77+H77)*C82)+(7.5/(H77)*C83)+(7.5/(H77)*C84)+(10/H77*C85)+(10/H77*C86)+(5/H77*C87)+(5/H77*C88)+(5/H77*C89))/100)</f>
        <v>0.1</v>
      </c>
      <c r="F80" s="122"/>
      <c r="G80" s="121">
        <f ca="1">((((C80/H77)*20)+((C81/H77)*25)+(30/(H77+F77+D77)*C82)+(5/H77*C83)+(5/H77*C84)+(5/H77*C85)+(5/H77*C86)+(0/H77*C87)+(0/H77*C88)+(5/H77*C89))/100)</f>
        <v>0.45</v>
      </c>
      <c r="H80" s="127"/>
      <c r="I80" s="13" t="s">
        <v>97</v>
      </c>
      <c r="J80" s="26">
        <f ca="1">H77*50%</f>
        <v>7</v>
      </c>
    </row>
    <row r="81" spans="1:19" x14ac:dyDescent="0.25">
      <c r="A81" s="118" t="s">
        <v>48</v>
      </c>
      <c r="B81" s="119"/>
      <c r="C81" s="95">
        <f ca="1">J89</f>
        <v>14</v>
      </c>
      <c r="D81" s="86">
        <f ca="1">((100/H77)*C81)/100</f>
        <v>1</v>
      </c>
      <c r="E81" s="123"/>
      <c r="F81" s="124"/>
      <c r="G81" s="123"/>
      <c r="H81" s="128"/>
      <c r="I81" s="13" t="s">
        <v>98</v>
      </c>
      <c r="J81" s="26">
        <f ca="1">H77</f>
        <v>14</v>
      </c>
      <c r="S81"/>
    </row>
    <row r="82" spans="1:19" ht="15.75" customHeight="1" x14ac:dyDescent="0.25">
      <c r="A82" s="118" t="s">
        <v>126</v>
      </c>
      <c r="B82" s="119"/>
      <c r="C82" s="85">
        <v>0</v>
      </c>
      <c r="D82" s="86">
        <f ca="1">((100/(D77+F77+H77))*C82)/100</f>
        <v>0</v>
      </c>
      <c r="E82" s="123"/>
      <c r="F82" s="124"/>
      <c r="G82" s="123"/>
      <c r="H82" s="128"/>
      <c r="I82" s="13" t="s">
        <v>99</v>
      </c>
      <c r="J82" s="27">
        <f ca="1">(IF(B77&gt;1,(H77/(B77+2)),H77/4))</f>
        <v>3.5</v>
      </c>
      <c r="S82"/>
    </row>
    <row r="83" spans="1:19" ht="15.75" customHeight="1" x14ac:dyDescent="0.25">
      <c r="A83" s="118" t="s">
        <v>133</v>
      </c>
      <c r="B83" s="119" t="s">
        <v>127</v>
      </c>
      <c r="C83" s="85">
        <v>0</v>
      </c>
      <c r="D83" s="86">
        <f ca="1">((100/H77)*C83)/100</f>
        <v>0</v>
      </c>
      <c r="E83" s="123"/>
      <c r="F83" s="124"/>
      <c r="G83" s="123"/>
      <c r="H83" s="128"/>
      <c r="I83" s="13" t="s">
        <v>100</v>
      </c>
      <c r="J83" s="27">
        <f ca="1">(IF(B77&gt;1,(H77/(B77+2)+J82),H77/4+J82))</f>
        <v>7</v>
      </c>
    </row>
    <row r="84" spans="1:19" ht="15.75" customHeight="1" x14ac:dyDescent="0.25">
      <c r="A84" s="118" t="s">
        <v>134</v>
      </c>
      <c r="B84" s="119" t="s">
        <v>127</v>
      </c>
      <c r="C84" s="85">
        <v>0</v>
      </c>
      <c r="D84" s="86">
        <f ca="1">((100/H77)*C84)/100</f>
        <v>0</v>
      </c>
      <c r="E84" s="123"/>
      <c r="F84" s="124"/>
      <c r="G84" s="123"/>
      <c r="H84" s="128"/>
      <c r="I84" s="13" t="s">
        <v>143</v>
      </c>
      <c r="J84" s="27">
        <f>(IF(B77&gt;1,(H77/(B77+2)+J83),0))</f>
        <v>0</v>
      </c>
    </row>
    <row r="85" spans="1:19" ht="15" customHeight="1" x14ac:dyDescent="0.25">
      <c r="A85" s="118" t="s">
        <v>132</v>
      </c>
      <c r="B85" s="119" t="s">
        <v>129</v>
      </c>
      <c r="C85" s="85">
        <v>0</v>
      </c>
      <c r="D85" s="86">
        <f ca="1">((100/(H77))*C85)/100</f>
        <v>0</v>
      </c>
      <c r="E85" s="123"/>
      <c r="F85" s="124"/>
      <c r="G85" s="123"/>
      <c r="H85" s="128"/>
      <c r="I85" s="13" t="s">
        <v>140</v>
      </c>
      <c r="J85" s="27">
        <f>(IF(B77&gt;2,(H77/(B77+2)+J84),0))</f>
        <v>0</v>
      </c>
    </row>
    <row r="86" spans="1:19" ht="15.75" customHeight="1" x14ac:dyDescent="0.25">
      <c r="A86" s="118" t="s">
        <v>128</v>
      </c>
      <c r="B86" s="119" t="s">
        <v>128</v>
      </c>
      <c r="C86" s="85">
        <v>0</v>
      </c>
      <c r="D86" s="86">
        <f ca="1">((100/H77)*C86)/100</f>
        <v>0</v>
      </c>
      <c r="E86" s="123"/>
      <c r="F86" s="124"/>
      <c r="G86" s="123"/>
      <c r="H86" s="128"/>
      <c r="I86" s="13" t="s">
        <v>141</v>
      </c>
      <c r="J86" s="28">
        <f>(IF(B77&gt;3,(H77/(B77+2)+J85),0))</f>
        <v>0</v>
      </c>
    </row>
    <row r="87" spans="1:19" ht="15.75" customHeight="1" x14ac:dyDescent="0.25">
      <c r="A87" s="118" t="s">
        <v>135</v>
      </c>
      <c r="B87" s="119"/>
      <c r="C87" s="85">
        <v>0</v>
      </c>
      <c r="D87" s="86">
        <f ca="1">((100/H77)*C87)/100</f>
        <v>0</v>
      </c>
      <c r="E87" s="123"/>
      <c r="F87" s="124"/>
      <c r="G87" s="123"/>
      <c r="H87" s="128"/>
      <c r="I87" s="13" t="s">
        <v>142</v>
      </c>
      <c r="J87" s="27">
        <f>(IF(B77&gt;4,(H77/(B77+2)+J86),0))</f>
        <v>0</v>
      </c>
    </row>
    <row r="88" spans="1:19" ht="15.75" customHeight="1" x14ac:dyDescent="0.25">
      <c r="A88" s="118" t="s">
        <v>130</v>
      </c>
      <c r="B88" s="119" t="s">
        <v>130</v>
      </c>
      <c r="C88" s="85">
        <v>0</v>
      </c>
      <c r="D88" s="86">
        <f ca="1">((100/(H77))*C88)/100</f>
        <v>0</v>
      </c>
      <c r="E88" s="123"/>
      <c r="F88" s="124"/>
      <c r="G88" s="123"/>
      <c r="H88" s="128"/>
      <c r="I88" s="13" t="s">
        <v>144</v>
      </c>
      <c r="J88" s="27">
        <f ca="1">(IF(B77=1,(H77/(B77+3)+J83),IF(B77=0,(H77/4+J83),IF(B77&gt;1,0))))</f>
        <v>10.5</v>
      </c>
    </row>
    <row r="89" spans="1:19" ht="16.5" thickBot="1" x14ac:dyDescent="0.3">
      <c r="A89" s="100" t="s">
        <v>131</v>
      </c>
      <c r="B89" s="101"/>
      <c r="C89" s="87">
        <v>0</v>
      </c>
      <c r="D89" s="88">
        <f ca="1">((100/(H77))*C89)/100</f>
        <v>0</v>
      </c>
      <c r="E89" s="125"/>
      <c r="F89" s="126"/>
      <c r="G89" s="125"/>
      <c r="H89" s="129"/>
      <c r="I89" s="14" t="s">
        <v>101</v>
      </c>
      <c r="J89" s="29">
        <f ca="1">(IF(B77&gt;1.5,(H77/(B77+2)+J83+MAX(0,J84-J83)+MAX(0,J85-J84)+MAX(0,J86-J85)+MAX(0,J87-J86)+MAX(0,J88-J87)),IF(B77=1,(H77/(B77+3)+J88),IF(B77=0,H77/4+J88))))</f>
        <v>14</v>
      </c>
    </row>
    <row r="90" spans="1:19" ht="15.75" hidden="1" customHeight="1" x14ac:dyDescent="0.25">
      <c r="A90" s="109" t="s">
        <v>137</v>
      </c>
      <c r="B90" s="110"/>
      <c r="C90" s="111" t="str">
        <f>D66</f>
        <v>Tower G = Gr + 1st to 14th Floor</v>
      </c>
      <c r="D90" s="112"/>
      <c r="E90" s="112"/>
      <c r="F90" s="112"/>
      <c r="G90" s="112"/>
      <c r="H90" s="113"/>
      <c r="I90" s="43" t="str">
        <f ca="1">IF(D103=100%,"All work Completed. Possession granted to the Building.",IF(D102=100%,"All work Completed, Waiting for OC",I91&amp;""&amp;I92&amp;""&amp;J91&amp;""&amp;J90&amp;" "&amp;J92))</f>
        <v xml:space="preserve">Work not yet Started. </v>
      </c>
      <c r="J90" s="44"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25">
      <c r="A91" s="15" t="s">
        <v>139</v>
      </c>
      <c r="B91" s="47">
        <f>IF(AND(ISNUMBER(SEARCH("1B",C90))),1,IF(AND(ISNUMBER(SEARCH("2B",C90))),2,IF(AND(ISNUMBER(SEARCH("3B",C90))),3,IF(AND(ISNUMBER(SEARCH("4B",C90))),4,IF(ISNUMBER(SEARCH("5B",C90)),5,0)))))</f>
        <v>0</v>
      </c>
      <c r="C91" s="47" t="s">
        <v>69</v>
      </c>
      <c r="D91" s="47">
        <v>1</v>
      </c>
      <c r="E91" s="47" t="s">
        <v>68</v>
      </c>
      <c r="F91" s="47">
        <v>0</v>
      </c>
      <c r="G91" s="47" t="s">
        <v>77</v>
      </c>
      <c r="H91" s="16">
        <f ca="1">--TRIM(RIGHT(SUBSTITUTE(LEFT(C90,_xlfn.AGGREGATE(16,6,FIND({0,1,2,3,4,5,6,7,8,9},C90,ROW(INDIRECT("1:"&amp;LEN(C90)))),1))," ",REPT(" ",LEN(C90))),LEN(C90)))</f>
        <v>14</v>
      </c>
      <c r="I91" s="45" t="str">
        <f ca="1">IF(D94=100%,"Excavation","")&amp;IF(D95=100%,", Plinth","")&amp;IF(D96=100%,", RCC Slab","")&amp;IF(D97=100%,", Brickwork","")&amp;IF(D98=100%,", Internal Plaster","")&amp;IF(D99=100%,", External Plaster","")&amp;IF(D100=100%,", Flooring","")&amp;IF(D101=100%,", Painting","")&amp;IF(D102=100%,", Building common Amenities","")</f>
        <v/>
      </c>
      <c r="J91" s="46" t="str">
        <f>(IF(C94=0,"Work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Work not yet Started.</v>
      </c>
      <c r="S91"/>
    </row>
    <row r="92" spans="1:19" hidden="1" x14ac:dyDescent="0.25">
      <c r="A92" s="114" t="s">
        <v>87</v>
      </c>
      <c r="B92" s="115"/>
      <c r="C92" s="116" t="str">
        <f ca="1">I90</f>
        <v xml:space="preserve">Work not yet Started. </v>
      </c>
      <c r="D92" s="116"/>
      <c r="E92" s="116"/>
      <c r="F92" s="116"/>
      <c r="G92" s="116"/>
      <c r="H92" s="117"/>
      <c r="I92" s="45" t="str">
        <f ca="1">IF(I91&lt;&gt;""," Completed","")</f>
        <v/>
      </c>
      <c r="J92" s="46" t="str">
        <f ca="1">IF(J90&lt;&gt;"","Completed","")</f>
        <v/>
      </c>
      <c r="S92"/>
    </row>
    <row r="93" spans="1:19" ht="15.75" hidden="1" customHeight="1" x14ac:dyDescent="0.25">
      <c r="A93" s="118" t="s">
        <v>47</v>
      </c>
      <c r="B93" s="119"/>
      <c r="C93" s="91" t="s">
        <v>136</v>
      </c>
      <c r="D93" s="91" t="s">
        <v>80</v>
      </c>
      <c r="E93" s="119" t="s">
        <v>82</v>
      </c>
      <c r="F93" s="119"/>
      <c r="G93" s="119" t="s">
        <v>81</v>
      </c>
      <c r="H93" s="120"/>
      <c r="I93" s="13" t="s">
        <v>138</v>
      </c>
      <c r="J93" s="25">
        <f ca="1">H91*25%</f>
        <v>3.5</v>
      </c>
      <c r="S93"/>
    </row>
    <row r="94" spans="1:19" hidden="1" x14ac:dyDescent="0.25">
      <c r="A94" s="118" t="s">
        <v>125</v>
      </c>
      <c r="B94" s="119"/>
      <c r="C94" s="91">
        <v>0</v>
      </c>
      <c r="D94" s="86">
        <f ca="1">((100/H91)*C94)/100</f>
        <v>0</v>
      </c>
      <c r="E94" s="121">
        <f ca="1">(((C95/H91*10)+(40/(D91+F91+H91)*C96)+(7.5/(H91)*C97)+(7.5/(H91)*C98)+(10/H91*C99)+(10/H91*C100)+(5/H91*C101)+(5/H91*C102)+(5/H91*C103))/100)</f>
        <v>0</v>
      </c>
      <c r="F94" s="122"/>
      <c r="G94" s="121">
        <f ca="1">((((C94/H91)*20)+((C95/H91)*25)+(30/(H91+F91+D91)*C96)+(5/H91*C97)+(5/H91*C98)+(5/H91*C99)+(5/H91*C100)+(0/H91*C101)+(0/H91*C102)+(5/H91*C103))/100)</f>
        <v>0</v>
      </c>
      <c r="H94" s="127"/>
      <c r="I94" s="13" t="s">
        <v>97</v>
      </c>
      <c r="J94" s="26">
        <f ca="1">H91*50%</f>
        <v>7</v>
      </c>
    </row>
    <row r="95" spans="1:19" hidden="1" x14ac:dyDescent="0.25">
      <c r="A95" s="118" t="s">
        <v>48</v>
      </c>
      <c r="B95" s="119"/>
      <c r="C95" s="95">
        <v>0</v>
      </c>
      <c r="D95" s="86">
        <f ca="1">((100/H91)*C95)/100</f>
        <v>0</v>
      </c>
      <c r="E95" s="123"/>
      <c r="F95" s="124"/>
      <c r="G95" s="123"/>
      <c r="H95" s="128"/>
      <c r="I95" s="13" t="s">
        <v>98</v>
      </c>
      <c r="J95" s="26">
        <f ca="1">H91</f>
        <v>14</v>
      </c>
      <c r="S95"/>
    </row>
    <row r="96" spans="1:19" ht="15.75" hidden="1" customHeight="1" x14ac:dyDescent="0.25">
      <c r="A96" s="118" t="s">
        <v>126</v>
      </c>
      <c r="B96" s="119"/>
      <c r="C96" s="91">
        <v>0</v>
      </c>
      <c r="D96" s="86">
        <f ca="1">((100/(D91+F91+H91))*C96)/100</f>
        <v>0</v>
      </c>
      <c r="E96" s="123"/>
      <c r="F96" s="124"/>
      <c r="G96" s="123"/>
      <c r="H96" s="128"/>
      <c r="I96" s="13" t="s">
        <v>99</v>
      </c>
      <c r="J96" s="27">
        <f ca="1">(IF(B91&gt;1,(H91/(B91+2)),H91/4))</f>
        <v>3.5</v>
      </c>
      <c r="S96"/>
    </row>
    <row r="97" spans="1:19" ht="15.75" hidden="1" customHeight="1" x14ac:dyDescent="0.25">
      <c r="A97" s="118" t="s">
        <v>133</v>
      </c>
      <c r="B97" s="119" t="s">
        <v>127</v>
      </c>
      <c r="C97" s="91">
        <v>0</v>
      </c>
      <c r="D97" s="86">
        <f ca="1">((100/H91)*C97)/100</f>
        <v>0</v>
      </c>
      <c r="E97" s="123"/>
      <c r="F97" s="124"/>
      <c r="G97" s="123"/>
      <c r="H97" s="128"/>
      <c r="I97" s="13" t="s">
        <v>100</v>
      </c>
      <c r="J97" s="27">
        <f ca="1">(IF(B91&gt;1,(H91/(B91+2)+J96),H91/4+J96))</f>
        <v>7</v>
      </c>
    </row>
    <row r="98" spans="1:19" ht="15.75" hidden="1" customHeight="1" x14ac:dyDescent="0.25">
      <c r="A98" s="118" t="s">
        <v>134</v>
      </c>
      <c r="B98" s="119" t="s">
        <v>127</v>
      </c>
      <c r="C98" s="91">
        <v>0</v>
      </c>
      <c r="D98" s="86">
        <f ca="1">((100/H91)*C98)/100</f>
        <v>0</v>
      </c>
      <c r="E98" s="123"/>
      <c r="F98" s="124"/>
      <c r="G98" s="123"/>
      <c r="H98" s="128"/>
      <c r="I98" s="13" t="s">
        <v>143</v>
      </c>
      <c r="J98" s="27">
        <f>(IF(B91&gt;1,(H91/(B91+2)+J97),0))</f>
        <v>0</v>
      </c>
    </row>
    <row r="99" spans="1:19" ht="15" hidden="1" customHeight="1" x14ac:dyDescent="0.25">
      <c r="A99" s="118" t="s">
        <v>132</v>
      </c>
      <c r="B99" s="119" t="s">
        <v>129</v>
      </c>
      <c r="C99" s="91">
        <v>0</v>
      </c>
      <c r="D99" s="86">
        <f ca="1">((100/(H91))*C99)/100</f>
        <v>0</v>
      </c>
      <c r="E99" s="123"/>
      <c r="F99" s="124"/>
      <c r="G99" s="123"/>
      <c r="H99" s="128"/>
      <c r="I99" s="13" t="s">
        <v>140</v>
      </c>
      <c r="J99" s="27">
        <f>(IF(B91&gt;2,(H91/(B91+2)+J98),0))</f>
        <v>0</v>
      </c>
    </row>
    <row r="100" spans="1:19" ht="15.75" hidden="1" customHeight="1" x14ac:dyDescent="0.25">
      <c r="A100" s="118" t="s">
        <v>128</v>
      </c>
      <c r="B100" s="119" t="s">
        <v>128</v>
      </c>
      <c r="C100" s="91">
        <v>0</v>
      </c>
      <c r="D100" s="86">
        <f ca="1">((100/H91)*C100)/100</f>
        <v>0</v>
      </c>
      <c r="E100" s="123"/>
      <c r="F100" s="124"/>
      <c r="G100" s="123"/>
      <c r="H100" s="128"/>
      <c r="I100" s="13" t="s">
        <v>141</v>
      </c>
      <c r="J100" s="28">
        <f>(IF(B91&gt;3,(H91/(B91+2)+J99),0))</f>
        <v>0</v>
      </c>
    </row>
    <row r="101" spans="1:19" ht="15.75" hidden="1" customHeight="1" x14ac:dyDescent="0.25">
      <c r="A101" s="118" t="s">
        <v>135</v>
      </c>
      <c r="B101" s="119"/>
      <c r="C101" s="91">
        <v>0</v>
      </c>
      <c r="D101" s="86">
        <f ca="1">((100/H91)*C101)/100</f>
        <v>0</v>
      </c>
      <c r="E101" s="123"/>
      <c r="F101" s="124"/>
      <c r="G101" s="123"/>
      <c r="H101" s="128"/>
      <c r="I101" s="13" t="s">
        <v>142</v>
      </c>
      <c r="J101" s="27">
        <f>(IF(B91&gt;4,(H91/(B91+2)+J100),0))</f>
        <v>0</v>
      </c>
    </row>
    <row r="102" spans="1:19" ht="15.75" hidden="1" customHeight="1" x14ac:dyDescent="0.25">
      <c r="A102" s="118" t="s">
        <v>130</v>
      </c>
      <c r="B102" s="119" t="s">
        <v>130</v>
      </c>
      <c r="C102" s="91">
        <v>0</v>
      </c>
      <c r="D102" s="86">
        <f ca="1">((100/(H91))*C102)/100</f>
        <v>0</v>
      </c>
      <c r="E102" s="123"/>
      <c r="F102" s="124"/>
      <c r="G102" s="123"/>
      <c r="H102" s="128"/>
      <c r="I102" s="13" t="s">
        <v>144</v>
      </c>
      <c r="J102" s="27">
        <f ca="1">(IF(B91=1,(H91/(B91+3)+J97),IF(B91=0,(H91/4+J97),IF(B91&gt;1,0))))</f>
        <v>10.5</v>
      </c>
    </row>
    <row r="103" spans="1:19" ht="16.5" hidden="1" thickBot="1" x14ac:dyDescent="0.3">
      <c r="A103" s="100" t="s">
        <v>131</v>
      </c>
      <c r="B103" s="101"/>
      <c r="C103" s="93">
        <v>0</v>
      </c>
      <c r="D103" s="88">
        <f ca="1">((100/(H91))*C103)/100</f>
        <v>0</v>
      </c>
      <c r="E103" s="125"/>
      <c r="F103" s="126"/>
      <c r="G103" s="125"/>
      <c r="H103" s="129"/>
      <c r="I103" s="14" t="s">
        <v>101</v>
      </c>
      <c r="J103" s="29">
        <f ca="1">(IF(B91&gt;1.5,(H91/(B91+2)+J97+MAX(0,J98-J97)+MAX(0,J99-J98)+MAX(0,J100-J99)+MAX(0,J101-J100)+MAX(0,J102-J101)),IF(B91=1,(H91/(B91+3)+J102),IF(B91=0,H91/4+J102))))</f>
        <v>14</v>
      </c>
    </row>
    <row r="104" spans="1:19" ht="15.75" customHeight="1" x14ac:dyDescent="0.25">
      <c r="A104" s="109" t="s">
        <v>137</v>
      </c>
      <c r="B104" s="110"/>
      <c r="C104" s="111" t="str">
        <f>D67</f>
        <v>1 to 10 Row Houses = Gr + 1st Floor</v>
      </c>
      <c r="D104" s="112"/>
      <c r="E104" s="112"/>
      <c r="F104" s="112"/>
      <c r="G104" s="112"/>
      <c r="H104" s="113"/>
      <c r="I104" s="43" t="str">
        <f ca="1">IF(D117=100%,"All work Completed. Possession granted to the Building.",IF(D116=100%,"All work Completed, Waiting for OC",I105&amp;""&amp;I106&amp;""&amp;J105&amp;""&amp;J104&amp;" "&amp;J106))</f>
        <v xml:space="preserve">Work not yet Started. </v>
      </c>
      <c r="J104" s="44"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x14ac:dyDescent="0.25">
      <c r="A105" s="15" t="s">
        <v>139</v>
      </c>
      <c r="B105" s="47">
        <f>IF(AND(ISNUMBER(SEARCH("1B",C104))),1,IF(AND(ISNUMBER(SEARCH("2B",C104))),2,IF(AND(ISNUMBER(SEARCH("3B",C104))),3,IF(AND(ISNUMBER(SEARCH("4B",C104))),4,IF(ISNUMBER(SEARCH("5B",C104)),5,0)))))</f>
        <v>0</v>
      </c>
      <c r="C105" s="47" t="s">
        <v>69</v>
      </c>
      <c r="D105" s="47">
        <v>1</v>
      </c>
      <c r="E105" s="47" t="s">
        <v>68</v>
      </c>
      <c r="F105" s="47">
        <v>0</v>
      </c>
      <c r="G105" s="42" t="s">
        <v>77</v>
      </c>
      <c r="H105" s="16">
        <f ca="1">--TRIM(RIGHT(SUBSTITUTE(LEFT(C104,_xlfn.AGGREGATE(16,6,FIND({0,1,2,3,4,5,6,7,8,9},C104,ROW(INDIRECT("1:"&amp;LEN(C104)))),1))," ",REPT(" ",LEN(C104))),LEN(C104)))</f>
        <v>1</v>
      </c>
      <c r="I105" s="45" t="str">
        <f ca="1">IF(D108=100%,"Excavation","")&amp;IF(D109=100%,", Plinth","")&amp;IF(D110=100%,", RCC Slab","")&amp;IF(D111=100%,", Brickwork","")&amp;IF(D112=100%,", Internal Plaster","")&amp;IF(D113=100%,", External Plaster","")&amp;IF(D114=100%,", Flooring","")&amp;IF(D115=100%,", Painting","")&amp;IF(D116=100%,", Building common Amenities","")</f>
        <v/>
      </c>
      <c r="J105" s="46" t="str">
        <f>(IF(C108=0,"Work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Work not yet Started.</v>
      </c>
      <c r="S105"/>
    </row>
    <row r="106" spans="1:19" x14ac:dyDescent="0.25">
      <c r="A106" s="114" t="s">
        <v>87</v>
      </c>
      <c r="B106" s="115"/>
      <c r="C106" s="116" t="str">
        <f ca="1">I104</f>
        <v xml:space="preserve">Work not yet Started. </v>
      </c>
      <c r="D106" s="116"/>
      <c r="E106" s="116"/>
      <c r="F106" s="116"/>
      <c r="G106" s="116"/>
      <c r="H106" s="117"/>
      <c r="I106" s="45" t="str">
        <f ca="1">IF(I105&lt;&gt;""," Completed","")</f>
        <v/>
      </c>
      <c r="J106" s="46" t="str">
        <f ca="1">IF(J104&lt;&gt;"","Completed","")</f>
        <v/>
      </c>
      <c r="S106"/>
    </row>
    <row r="107" spans="1:19" ht="15.75" customHeight="1" x14ac:dyDescent="0.25">
      <c r="A107" s="151" t="s">
        <v>47</v>
      </c>
      <c r="B107" s="152"/>
      <c r="C107" s="85" t="s">
        <v>136</v>
      </c>
      <c r="D107" s="85" t="s">
        <v>80</v>
      </c>
      <c r="E107" s="119" t="s">
        <v>82</v>
      </c>
      <c r="F107" s="119"/>
      <c r="G107" s="119" t="s">
        <v>81</v>
      </c>
      <c r="H107" s="120"/>
      <c r="I107" s="13" t="s">
        <v>138</v>
      </c>
      <c r="J107" s="25">
        <f ca="1">H105*25%</f>
        <v>0.25</v>
      </c>
      <c r="S107"/>
    </row>
    <row r="108" spans="1:19" x14ac:dyDescent="0.25">
      <c r="A108" s="151" t="s">
        <v>125</v>
      </c>
      <c r="B108" s="152"/>
      <c r="C108" s="85">
        <v>0</v>
      </c>
      <c r="D108" s="86">
        <f ca="1">((100/H105)*C108)/100</f>
        <v>0</v>
      </c>
      <c r="E108" s="121">
        <f ca="1">(((C109/H105*10)+(40/(D105+F105+H105)*C110)+(7.5/(H105)*C111)+(7.5/(H105)*C112)+(10/H105*C113)+(10/H105*C114)+(5/H105*C115)+(5/H105*C116)+(5/H105*C117))/100)</f>
        <v>0</v>
      </c>
      <c r="F108" s="122"/>
      <c r="G108" s="121">
        <f ca="1">((((C108/H105)*20)+((C109/H105)*25)+(30/(H105+F105+D105)*C110)+(5/H105*C111)+(5/H105*C112)+(5/H105*C113)+(5/H105*C114)+(0/H105*C115)+(0/H105*C116)+(5/H105*C117))/100)</f>
        <v>0</v>
      </c>
      <c r="H108" s="127"/>
      <c r="I108" s="13" t="s">
        <v>97</v>
      </c>
      <c r="J108" s="26">
        <f ca="1">H105*50%</f>
        <v>0.5</v>
      </c>
    </row>
    <row r="109" spans="1:19" x14ac:dyDescent="0.25">
      <c r="A109" s="151" t="s">
        <v>48</v>
      </c>
      <c r="B109" s="152"/>
      <c r="C109" s="85">
        <v>0</v>
      </c>
      <c r="D109" s="86">
        <f ca="1">((100/H105)*C109)/100</f>
        <v>0</v>
      </c>
      <c r="E109" s="123"/>
      <c r="F109" s="124"/>
      <c r="G109" s="123"/>
      <c r="H109" s="128"/>
      <c r="I109" s="13" t="s">
        <v>98</v>
      </c>
      <c r="J109" s="26">
        <f ca="1">H105</f>
        <v>1</v>
      </c>
      <c r="S109"/>
    </row>
    <row r="110" spans="1:19" ht="15.75" customHeight="1" x14ac:dyDescent="0.25">
      <c r="A110" s="151" t="s">
        <v>126</v>
      </c>
      <c r="B110" s="152"/>
      <c r="C110" s="85">
        <v>0</v>
      </c>
      <c r="D110" s="86">
        <f ca="1">((100/(D105+F105+H105))*C110)/100</f>
        <v>0</v>
      </c>
      <c r="E110" s="123"/>
      <c r="F110" s="124"/>
      <c r="G110" s="123"/>
      <c r="H110" s="128"/>
      <c r="I110" s="13" t="s">
        <v>99</v>
      </c>
      <c r="J110" s="27">
        <f ca="1">(IF(B105&gt;1,(H105/(B105+2)),H105/4))</f>
        <v>0.25</v>
      </c>
      <c r="S110"/>
    </row>
    <row r="111" spans="1:19" ht="15.75" customHeight="1" x14ac:dyDescent="0.25">
      <c r="A111" s="151" t="s">
        <v>133</v>
      </c>
      <c r="B111" s="152" t="s">
        <v>127</v>
      </c>
      <c r="C111" s="85">
        <v>0</v>
      </c>
      <c r="D111" s="86">
        <f ca="1">((100/H105)*C111)/100</f>
        <v>0</v>
      </c>
      <c r="E111" s="123"/>
      <c r="F111" s="124"/>
      <c r="G111" s="123"/>
      <c r="H111" s="128"/>
      <c r="I111" s="13" t="s">
        <v>100</v>
      </c>
      <c r="J111" s="27">
        <f ca="1">(IF(B105&gt;1,(H105/(B105+2)+J110),H105/4+J110))</f>
        <v>0.5</v>
      </c>
    </row>
    <row r="112" spans="1:19" ht="15.75" customHeight="1" x14ac:dyDescent="0.25">
      <c r="A112" s="151" t="s">
        <v>134</v>
      </c>
      <c r="B112" s="152" t="s">
        <v>127</v>
      </c>
      <c r="C112" s="85">
        <v>0</v>
      </c>
      <c r="D112" s="86">
        <f ca="1">((100/H105)*C112)/100</f>
        <v>0</v>
      </c>
      <c r="E112" s="123"/>
      <c r="F112" s="124"/>
      <c r="G112" s="123"/>
      <c r="H112" s="128"/>
      <c r="I112" s="13" t="s">
        <v>143</v>
      </c>
      <c r="J112" s="27">
        <f>(IF(B105&gt;1,(H105/(B105+2)+J111),0))</f>
        <v>0</v>
      </c>
    </row>
    <row r="113" spans="1:22" ht="15" customHeight="1" x14ac:dyDescent="0.25">
      <c r="A113" s="151" t="s">
        <v>132</v>
      </c>
      <c r="B113" s="152" t="s">
        <v>129</v>
      </c>
      <c r="C113" s="85">
        <v>0</v>
      </c>
      <c r="D113" s="86">
        <f ca="1">((100/(H105))*C113)/100</f>
        <v>0</v>
      </c>
      <c r="E113" s="123"/>
      <c r="F113" s="124"/>
      <c r="G113" s="123"/>
      <c r="H113" s="128"/>
      <c r="I113" s="13" t="s">
        <v>140</v>
      </c>
      <c r="J113" s="27">
        <f>(IF(B105&gt;2,(H105/(B105+2)+J112),0))</f>
        <v>0</v>
      </c>
    </row>
    <row r="114" spans="1:22" ht="15.75" customHeight="1" x14ac:dyDescent="0.25">
      <c r="A114" s="151" t="s">
        <v>128</v>
      </c>
      <c r="B114" s="152" t="s">
        <v>128</v>
      </c>
      <c r="C114" s="85">
        <v>0</v>
      </c>
      <c r="D114" s="86">
        <f ca="1">((100/H105)*C114)/100</f>
        <v>0</v>
      </c>
      <c r="E114" s="123"/>
      <c r="F114" s="124"/>
      <c r="G114" s="123"/>
      <c r="H114" s="128"/>
      <c r="I114" s="13" t="s">
        <v>141</v>
      </c>
      <c r="J114" s="28">
        <f>(IF(B105&gt;3,(H105/(B105+2)+J113),0))</f>
        <v>0</v>
      </c>
    </row>
    <row r="115" spans="1:22" ht="15.75" customHeight="1" x14ac:dyDescent="0.25">
      <c r="A115" s="151" t="s">
        <v>135</v>
      </c>
      <c r="B115" s="152"/>
      <c r="C115" s="85">
        <v>0</v>
      </c>
      <c r="D115" s="86">
        <f ca="1">((100/H105)*C115)/100</f>
        <v>0</v>
      </c>
      <c r="E115" s="123"/>
      <c r="F115" s="124"/>
      <c r="G115" s="123"/>
      <c r="H115" s="128"/>
      <c r="I115" s="13" t="s">
        <v>142</v>
      </c>
      <c r="J115" s="27">
        <f>(IF(B105&gt;4,(H105/(B105+2)+J114),0))</f>
        <v>0</v>
      </c>
    </row>
    <row r="116" spans="1:22" ht="15.75" customHeight="1" x14ac:dyDescent="0.25">
      <c r="A116" s="151" t="s">
        <v>130</v>
      </c>
      <c r="B116" s="152" t="s">
        <v>130</v>
      </c>
      <c r="C116" s="85">
        <v>0</v>
      </c>
      <c r="D116" s="86">
        <f ca="1">((100/(H105))*C116)/100</f>
        <v>0</v>
      </c>
      <c r="E116" s="123"/>
      <c r="F116" s="124"/>
      <c r="G116" s="123"/>
      <c r="H116" s="128"/>
      <c r="I116" s="13" t="s">
        <v>144</v>
      </c>
      <c r="J116" s="27">
        <f ca="1">(IF(B105=1,(H105/(B105+3)+J111),IF(B105=0,(H105/4+J111),IF(B105&gt;1,0))))</f>
        <v>0.75</v>
      </c>
    </row>
    <row r="117" spans="1:22" ht="16.5" thickBot="1" x14ac:dyDescent="0.3">
      <c r="A117" s="239" t="s">
        <v>131</v>
      </c>
      <c r="B117" s="240"/>
      <c r="C117" s="87">
        <v>0</v>
      </c>
      <c r="D117" s="88">
        <f ca="1">((100/(H105))*C117)/100</f>
        <v>0</v>
      </c>
      <c r="E117" s="125"/>
      <c r="F117" s="126"/>
      <c r="G117" s="125"/>
      <c r="H117" s="129"/>
      <c r="I117" s="14" t="s">
        <v>101</v>
      </c>
      <c r="J117" s="29">
        <f ca="1">(IF(B105&gt;1.5,(H105/(B105+2)+J111+MAX(0,J112-J111)+MAX(0,J113-J112)+MAX(0,J114-J113)+MAX(0,J115-J114)+MAX(0,J116-J115)),IF(B105=1,(H105/(B105+3)+J116),IF(B105=0,H105/4+J116))))</f>
        <v>1</v>
      </c>
    </row>
    <row r="118" spans="1:22" x14ac:dyDescent="0.25">
      <c r="A118" s="154" t="s">
        <v>154</v>
      </c>
      <c r="B118" s="154"/>
      <c r="C118" s="154"/>
      <c r="D118" s="154"/>
      <c r="E118" s="154"/>
      <c r="F118" s="232" t="s">
        <v>158</v>
      </c>
      <c r="G118" s="232"/>
      <c r="H118" s="232"/>
      <c r="R118" t="s">
        <v>254</v>
      </c>
      <c r="S118" t="s">
        <v>171</v>
      </c>
      <c r="T118" t="s">
        <v>179</v>
      </c>
      <c r="U118" t="s">
        <v>193</v>
      </c>
      <c r="V118" t="s">
        <v>188</v>
      </c>
    </row>
    <row r="119" spans="1:22" x14ac:dyDescent="0.25">
      <c r="A119" s="153" t="s">
        <v>156</v>
      </c>
      <c r="B119" s="153"/>
      <c r="C119" s="153"/>
      <c r="D119" s="153"/>
      <c r="E119" s="153"/>
      <c r="F119" s="191">
        <v>7300</v>
      </c>
      <c r="G119" s="191"/>
      <c r="H119" s="191"/>
      <c r="I119" s="18" t="s">
        <v>427</v>
      </c>
      <c r="J119" s="18" t="s">
        <v>430</v>
      </c>
      <c r="R119"/>
      <c r="S119">
        <v>800000</v>
      </c>
      <c r="T119">
        <v>150000</v>
      </c>
      <c r="U119">
        <v>100000</v>
      </c>
      <c r="V119">
        <v>100000</v>
      </c>
    </row>
    <row r="120" spans="1:22" hidden="1" x14ac:dyDescent="0.25">
      <c r="A120" s="153" t="s">
        <v>155</v>
      </c>
      <c r="B120" s="153"/>
      <c r="C120" s="153"/>
      <c r="D120" s="153"/>
      <c r="E120" s="153"/>
      <c r="F120" s="191"/>
      <c r="G120" s="191"/>
      <c r="H120" s="191"/>
      <c r="R120"/>
      <c r="S120">
        <v>900000</v>
      </c>
      <c r="T120">
        <v>200000</v>
      </c>
      <c r="U120">
        <v>150000</v>
      </c>
      <c r="V120">
        <v>150000</v>
      </c>
    </row>
    <row r="121" spans="1:22" hidden="1" x14ac:dyDescent="0.25">
      <c r="A121" s="153" t="s">
        <v>157</v>
      </c>
      <c r="B121" s="153"/>
      <c r="C121" s="153"/>
      <c r="D121" s="153"/>
      <c r="E121" s="153"/>
      <c r="F121" s="191"/>
      <c r="G121" s="191"/>
      <c r="H121" s="191"/>
      <c r="R121"/>
      <c r="S121">
        <v>1000000</v>
      </c>
      <c r="T121">
        <v>250000</v>
      </c>
      <c r="U121">
        <v>200000</v>
      </c>
      <c r="V121">
        <v>200000</v>
      </c>
    </row>
    <row r="122" spans="1:22" s="30" customFormat="1" hidden="1" x14ac:dyDescent="0.25">
      <c r="A122" s="153" t="s">
        <v>173</v>
      </c>
      <c r="B122" s="153"/>
      <c r="C122" s="153"/>
      <c r="D122" s="153"/>
      <c r="E122" s="153"/>
      <c r="F122" s="191"/>
      <c r="G122" s="191"/>
      <c r="H122" s="191"/>
      <c r="R122"/>
      <c r="S122">
        <v>1100000</v>
      </c>
      <c r="T122">
        <v>300000</v>
      </c>
      <c r="U122">
        <v>250000</v>
      </c>
      <c r="V122" s="20">
        <v>250000</v>
      </c>
    </row>
    <row r="123" spans="1:22" s="30" customFormat="1" hidden="1" x14ac:dyDescent="0.25">
      <c r="A123" s="153" t="s">
        <v>92</v>
      </c>
      <c r="B123" s="153"/>
      <c r="C123" s="153"/>
      <c r="D123" s="153"/>
      <c r="E123" s="153"/>
      <c r="F123" s="191"/>
      <c r="G123" s="191"/>
      <c r="H123" s="191"/>
      <c r="R123"/>
      <c r="S123">
        <v>1200000</v>
      </c>
      <c r="T123">
        <v>350000</v>
      </c>
      <c r="U123">
        <v>300000</v>
      </c>
      <c r="V123">
        <v>300000</v>
      </c>
    </row>
    <row r="124" spans="1:22" s="30" customFormat="1" hidden="1" x14ac:dyDescent="0.25">
      <c r="A124" s="153" t="s">
        <v>93</v>
      </c>
      <c r="B124" s="153"/>
      <c r="C124" s="153"/>
      <c r="D124" s="153"/>
      <c r="E124" s="153"/>
      <c r="F124" s="191"/>
      <c r="G124" s="191"/>
      <c r="H124" s="191"/>
      <c r="R124"/>
      <c r="S124">
        <v>1300000</v>
      </c>
      <c r="T124">
        <v>400000</v>
      </c>
      <c r="U124">
        <v>350000</v>
      </c>
      <c r="V124" s="20">
        <v>400000</v>
      </c>
    </row>
    <row r="125" spans="1:22" s="30" customFormat="1" hidden="1" x14ac:dyDescent="0.25">
      <c r="A125" s="153" t="s">
        <v>94</v>
      </c>
      <c r="B125" s="153"/>
      <c r="C125" s="153"/>
      <c r="D125" s="153"/>
      <c r="E125" s="153"/>
      <c r="F125" s="191"/>
      <c r="G125" s="191"/>
      <c r="H125" s="191"/>
      <c r="R125"/>
      <c r="S125">
        <v>1400000</v>
      </c>
      <c r="T125">
        <v>500000</v>
      </c>
      <c r="U125">
        <v>400000</v>
      </c>
      <c r="V125"/>
    </row>
    <row r="126" spans="1:22" s="30" customFormat="1" hidden="1" x14ac:dyDescent="0.25">
      <c r="A126" s="153" t="s">
        <v>95</v>
      </c>
      <c r="B126" s="153"/>
      <c r="C126" s="153"/>
      <c r="D126" s="153"/>
      <c r="E126" s="153"/>
      <c r="F126" s="191"/>
      <c r="G126" s="191"/>
      <c r="H126" s="191"/>
      <c r="R126"/>
      <c r="S126">
        <v>1500000</v>
      </c>
      <c r="T126">
        <v>600000</v>
      </c>
      <c r="U126">
        <v>500000</v>
      </c>
      <c r="V126" s="20"/>
    </row>
    <row r="127" spans="1:22" s="30" customFormat="1" hidden="1" x14ac:dyDescent="0.25">
      <c r="A127" s="153" t="s">
        <v>96</v>
      </c>
      <c r="B127" s="153"/>
      <c r="C127" s="153"/>
      <c r="D127" s="153"/>
      <c r="E127" s="153"/>
      <c r="F127" s="191"/>
      <c r="G127" s="191"/>
      <c r="H127" s="191"/>
      <c r="R127"/>
      <c r="S127">
        <v>1600000</v>
      </c>
      <c r="T127">
        <v>700000</v>
      </c>
      <c r="U127">
        <v>600000</v>
      </c>
      <c r="V127"/>
    </row>
    <row r="128" spans="1:22" s="30" customFormat="1" x14ac:dyDescent="0.25">
      <c r="A128" s="153" t="s">
        <v>431</v>
      </c>
      <c r="B128" s="153"/>
      <c r="C128" s="153"/>
      <c r="D128" s="153"/>
      <c r="E128" s="153"/>
      <c r="F128" s="191">
        <v>75000</v>
      </c>
      <c r="G128" s="191"/>
      <c r="H128" s="191"/>
      <c r="R128"/>
      <c r="S128">
        <v>1700000</v>
      </c>
      <c r="T128">
        <v>800000</v>
      </c>
      <c r="U128"/>
      <c r="V128" s="20"/>
    </row>
    <row r="129" spans="1:22" x14ac:dyDescent="0.25">
      <c r="A129" s="153" t="s">
        <v>49</v>
      </c>
      <c r="B129" s="153"/>
      <c r="C129" s="153"/>
      <c r="D129" s="153"/>
      <c r="E129" s="153"/>
      <c r="F129" s="191">
        <v>300000</v>
      </c>
      <c r="G129" s="191"/>
      <c r="H129" s="191"/>
      <c r="R129"/>
      <c r="S129">
        <v>1800000</v>
      </c>
      <c r="T129">
        <v>900000</v>
      </c>
      <c r="U129"/>
    </row>
    <row r="130" spans="1:22" s="31" customFormat="1" x14ac:dyDescent="0.25">
      <c r="A130" s="185" t="s">
        <v>50</v>
      </c>
      <c r="B130" s="185"/>
      <c r="C130" s="185"/>
      <c r="D130" s="185"/>
      <c r="E130" s="185"/>
      <c r="F130" s="191">
        <f>F119*0.8</f>
        <v>5840</v>
      </c>
      <c r="G130" s="191"/>
      <c r="H130" s="191"/>
      <c r="R130" s="18"/>
      <c r="S130" s="18"/>
      <c r="T130">
        <v>1000000</v>
      </c>
      <c r="U130"/>
      <c r="V130" s="18"/>
    </row>
    <row r="131" spans="1:22" s="32" customFormat="1" ht="15.75" hidden="1" customHeight="1" x14ac:dyDescent="0.25">
      <c r="A131" s="165" t="s">
        <v>72</v>
      </c>
      <c r="B131" s="165"/>
      <c r="C131" s="165"/>
      <c r="D131" s="165"/>
      <c r="E131" s="165"/>
      <c r="F131" s="165"/>
      <c r="G131" s="165"/>
      <c r="H131" s="165"/>
      <c r="R131"/>
      <c r="S131" s="18"/>
      <c r="T131"/>
      <c r="U131"/>
      <c r="V131" s="18"/>
    </row>
    <row r="132" spans="1:22" s="32" customFormat="1" ht="15.75" hidden="1" customHeight="1" x14ac:dyDescent="0.25">
      <c r="A132" s="168" t="s">
        <v>51</v>
      </c>
      <c r="B132" s="168"/>
      <c r="C132" s="166" t="s">
        <v>75</v>
      </c>
      <c r="D132" s="166"/>
      <c r="E132" s="167" t="s">
        <v>52</v>
      </c>
      <c r="F132" s="167"/>
      <c r="G132" s="168" t="s">
        <v>53</v>
      </c>
      <c r="H132" s="168"/>
      <c r="R132"/>
      <c r="S132" s="18"/>
      <c r="T132"/>
      <c r="U132" s="18"/>
      <c r="V132" s="18"/>
    </row>
    <row r="133" spans="1:22" s="32" customFormat="1" hidden="1" x14ac:dyDescent="0.25">
      <c r="A133" s="169"/>
      <c r="B133" s="169"/>
      <c r="C133" s="162"/>
      <c r="D133" s="162"/>
      <c r="E133" s="163"/>
      <c r="F133" s="163"/>
      <c r="G133" s="164"/>
      <c r="H133" s="164"/>
      <c r="R133"/>
      <c r="S133" s="18"/>
      <c r="T133"/>
      <c r="U133" s="18"/>
      <c r="V133" s="18"/>
    </row>
    <row r="134" spans="1:22" s="32" customFormat="1" hidden="1" x14ac:dyDescent="0.25">
      <c r="A134" s="169"/>
      <c r="B134" s="169"/>
      <c r="C134" s="162"/>
      <c r="D134" s="162"/>
      <c r="E134" s="163"/>
      <c r="F134" s="163"/>
      <c r="G134" s="164"/>
      <c r="H134" s="164"/>
      <c r="R134"/>
      <c r="S134" s="18"/>
      <c r="T134"/>
      <c r="U134" s="18"/>
      <c r="V134" s="18"/>
    </row>
    <row r="135" spans="1:22" s="32" customFormat="1" hidden="1" x14ac:dyDescent="0.25">
      <c r="A135" s="165" t="s">
        <v>147</v>
      </c>
      <c r="B135" s="165"/>
      <c r="C135" s="166"/>
      <c r="D135" s="166"/>
      <c r="E135" s="167"/>
      <c r="F135" s="167"/>
      <c r="G135" s="168"/>
      <c r="H135" s="168"/>
      <c r="R135"/>
      <c r="S135" s="18"/>
      <c r="T135"/>
      <c r="U135" s="18"/>
      <c r="V135" s="18"/>
    </row>
    <row r="136" spans="1:22" s="32" customFormat="1" x14ac:dyDescent="0.25">
      <c r="A136" s="165" t="s">
        <v>67</v>
      </c>
      <c r="B136" s="165"/>
      <c r="C136" s="165"/>
      <c r="D136" s="165"/>
      <c r="E136" s="165"/>
      <c r="F136" s="165"/>
      <c r="G136" s="165"/>
      <c r="H136" s="165"/>
      <c r="T136"/>
    </row>
    <row r="137" spans="1:22" s="32" customFormat="1" ht="15.75" customHeight="1" x14ac:dyDescent="0.25">
      <c r="A137" s="168" t="s">
        <v>51</v>
      </c>
      <c r="B137" s="168"/>
      <c r="C137" s="166" t="s">
        <v>75</v>
      </c>
      <c r="D137" s="166"/>
      <c r="E137" s="167" t="s">
        <v>52</v>
      </c>
      <c r="F137" s="167"/>
      <c r="G137" s="168" t="s">
        <v>53</v>
      </c>
      <c r="H137" s="168"/>
      <c r="T137"/>
    </row>
    <row r="138" spans="1:22" s="32" customFormat="1" x14ac:dyDescent="0.25">
      <c r="A138" s="169" t="s">
        <v>380</v>
      </c>
      <c r="B138" s="169"/>
      <c r="C138" s="170">
        <f>COUNT(D159:D161,D169:D173)+COUNT(D175:D181,D183:D189)+COUNT(D191:D205)*12+COUNT(D207:D215,D217:D221)</f>
        <v>216</v>
      </c>
      <c r="D138" s="162"/>
      <c r="E138" s="170">
        <f>SUM(F159:F161,F169:F173)+SUM(F175:F181,F183:F189)+SUM(F191:F205)*12+SUM(F207:F215,F217:F221)</f>
        <v>103048.22399039994</v>
      </c>
      <c r="F138" s="162"/>
      <c r="G138" s="170">
        <f t="shared" ref="G138" si="0">SUM(H159:H161,H169:H173)+SUM(H175:H181,H183:H189)+SUM(H191:H205)*12+SUM(H207:H215,H217:H221)</f>
        <v>154572.33598559996</v>
      </c>
      <c r="H138" s="162"/>
      <c r="I138" s="32">
        <f>157+59</f>
        <v>216</v>
      </c>
      <c r="T138"/>
    </row>
    <row r="139" spans="1:22" s="32" customFormat="1" x14ac:dyDescent="0.25">
      <c r="A139" s="169" t="s">
        <v>390</v>
      </c>
      <c r="B139" s="169"/>
      <c r="C139" s="170">
        <f>COUNT(D228,D230:D231)+COUNT(D236:D244)+COUNT(D246:D255)*12+COUNT(D258:D266)</f>
        <v>141</v>
      </c>
      <c r="D139" s="170"/>
      <c r="E139" s="170">
        <f t="shared" ref="E139" si="1">SUM(F228,F230:F231)+SUM(F236:F244)+SUM(F246:F255)*12+SUM(F258:F266)</f>
        <v>71152.478045999989</v>
      </c>
      <c r="F139" s="170"/>
      <c r="G139" s="170">
        <f t="shared" ref="G139" si="2">SUM(H228,H230:H231)+SUM(H236:H244)+SUM(H246:H255)*12+SUM(H258:H266)</f>
        <v>106728.71706899999</v>
      </c>
      <c r="H139" s="170"/>
      <c r="I139" s="32">
        <f>69+72</f>
        <v>141</v>
      </c>
      <c r="T139"/>
    </row>
    <row r="140" spans="1:22" s="32" customFormat="1" x14ac:dyDescent="0.25">
      <c r="A140" s="169" t="s">
        <v>404</v>
      </c>
      <c r="B140" s="169"/>
      <c r="C140" s="170">
        <f>COUNT(D269:D270)+COUNT(D279:D285,D287)+COUNT(D289:D297)*12+COUNT(D299:D302,D304:D307)</f>
        <v>126</v>
      </c>
      <c r="D140" s="170"/>
      <c r="E140" s="170">
        <f t="shared" ref="E140" si="3">SUM(F269:F270)+SUM(F279:F285,F287)+SUM(F289:F297)*12+SUM(F299:F302,F304:F307)</f>
        <v>58170.798035999978</v>
      </c>
      <c r="F140" s="170"/>
      <c r="G140" s="170">
        <f t="shared" ref="G140" si="4">SUM(H269:H270)+SUM(H279:H285,H287)+SUM(H289:H297)*12+SUM(H299:H302,H304:H307)</f>
        <v>87256.197054000004</v>
      </c>
      <c r="H140" s="170"/>
      <c r="I140" s="32">
        <f>70+56</f>
        <v>126</v>
      </c>
      <c r="T140"/>
    </row>
    <row r="141" spans="1:22" s="32" customFormat="1" x14ac:dyDescent="0.25">
      <c r="A141" s="158" t="s">
        <v>419</v>
      </c>
      <c r="B141" s="158"/>
      <c r="C141" s="241">
        <f>SUM(C138:D140)</f>
        <v>483</v>
      </c>
      <c r="D141" s="242"/>
      <c r="E141" s="159">
        <f>SUM(E138:F140)</f>
        <v>232371.50007239991</v>
      </c>
      <c r="F141" s="160"/>
      <c r="G141" s="161">
        <f>SUM(G138:H140)</f>
        <v>348557.25010859995</v>
      </c>
      <c r="H141" s="161"/>
      <c r="T141"/>
    </row>
    <row r="142" spans="1:22" s="32" customFormat="1" ht="16.5" thickBot="1" x14ac:dyDescent="0.3">
      <c r="A142" s="169" t="s">
        <v>403</v>
      </c>
      <c r="B142" s="169"/>
      <c r="C142" s="170">
        <f>COUNT(D313:D322)</f>
        <v>10</v>
      </c>
      <c r="D142" s="162"/>
      <c r="E142" s="170">
        <f t="shared" ref="E142" si="5">SUM(F313:F322)</f>
        <v>10673.905319999996</v>
      </c>
      <c r="F142" s="162"/>
      <c r="G142" s="170">
        <f t="shared" ref="G142" si="6">SUM(H313:H322)</f>
        <v>16323.326135999998</v>
      </c>
      <c r="H142" s="162"/>
      <c r="T142"/>
    </row>
    <row r="143" spans="1:22" s="32" customFormat="1" ht="16.5" thickBot="1" x14ac:dyDescent="0.3">
      <c r="A143" s="233" t="s">
        <v>164</v>
      </c>
      <c r="B143" s="234"/>
      <c r="C143" s="173">
        <f>C141+C142</f>
        <v>493</v>
      </c>
      <c r="D143" s="174"/>
      <c r="E143" s="173">
        <f>E141+E142</f>
        <v>243045.4053923999</v>
      </c>
      <c r="F143" s="174"/>
      <c r="G143" s="173">
        <f>G141+G142</f>
        <v>364880.57624459994</v>
      </c>
      <c r="H143" s="174"/>
      <c r="T143"/>
    </row>
    <row r="144" spans="1:22" s="31" customFormat="1" x14ac:dyDescent="0.25">
      <c r="A144" s="232" t="s">
        <v>54</v>
      </c>
      <c r="B144" s="232"/>
      <c r="C144" s="232"/>
      <c r="D144" s="232"/>
      <c r="E144" s="232"/>
      <c r="F144" s="232"/>
      <c r="G144" s="232"/>
      <c r="H144" s="232"/>
      <c r="T144" s="32"/>
    </row>
    <row r="145" spans="1:20" x14ac:dyDescent="0.25">
      <c r="A145" s="245" t="s">
        <v>405</v>
      </c>
      <c r="B145" s="245"/>
      <c r="C145" s="245"/>
      <c r="D145" s="245"/>
      <c r="E145" s="245"/>
      <c r="F145" s="245"/>
      <c r="G145" s="245"/>
      <c r="H145" s="245"/>
      <c r="T145" s="32"/>
    </row>
    <row r="146" spans="1:20" ht="47.25" hidden="1" customHeight="1" x14ac:dyDescent="0.25">
      <c r="A146" s="142" t="s">
        <v>117</v>
      </c>
      <c r="B146" s="142" t="s">
        <v>175</v>
      </c>
      <c r="C146" s="142" t="s">
        <v>55</v>
      </c>
      <c r="D146" s="192" t="s">
        <v>232</v>
      </c>
      <c r="E146" s="146" t="s">
        <v>153</v>
      </c>
      <c r="F146" s="142" t="s">
        <v>56</v>
      </c>
      <c r="G146" s="146" t="s">
        <v>57</v>
      </c>
      <c r="H146" s="66" t="s">
        <v>146</v>
      </c>
      <c r="T146" s="32"/>
    </row>
    <row r="147" spans="1:20" s="34" customFormat="1" hidden="1" x14ac:dyDescent="0.25">
      <c r="A147" s="143"/>
      <c r="B147" s="143"/>
      <c r="C147" s="143"/>
      <c r="D147" s="193"/>
      <c r="E147" s="147"/>
      <c r="F147" s="143"/>
      <c r="G147" s="147"/>
      <c r="H147" s="53">
        <v>0.45</v>
      </c>
      <c r="T147" s="32"/>
    </row>
    <row r="148" spans="1:20" s="89" customFormat="1" hidden="1" x14ac:dyDescent="0.25">
      <c r="A148" s="148" t="s">
        <v>404</v>
      </c>
      <c r="B148" s="149"/>
      <c r="C148" s="149"/>
      <c r="D148" s="149"/>
      <c r="E148" s="149"/>
      <c r="F148" s="149"/>
      <c r="G148" s="149"/>
      <c r="H148" s="150"/>
      <c r="J148" s="33"/>
      <c r="T148" s="32"/>
    </row>
    <row r="149" spans="1:20" s="34" customFormat="1" hidden="1" x14ac:dyDescent="0.25">
      <c r="A149" s="148" t="s">
        <v>116</v>
      </c>
      <c r="B149" s="149"/>
      <c r="C149" s="149"/>
      <c r="D149" s="149"/>
      <c r="E149" s="149"/>
      <c r="F149" s="149"/>
      <c r="G149" s="149"/>
      <c r="H149" s="150"/>
      <c r="J149" s="33"/>
      <c r="T149" s="32"/>
    </row>
    <row r="150" spans="1:20" s="34" customFormat="1" ht="15.75" hidden="1" customHeight="1" x14ac:dyDescent="0.25">
      <c r="A150" s="106">
        <v>1</v>
      </c>
      <c r="B150" s="108"/>
      <c r="C150" s="39"/>
      <c r="D150" s="39">
        <v>0</v>
      </c>
      <c r="E150" s="39">
        <v>0</v>
      </c>
      <c r="F150" s="59">
        <f>D150+(IF(E150&lt;201,E150,IF(E150&lt;301,E150/2,E150/3)))</f>
        <v>0</v>
      </c>
      <c r="G150" s="60">
        <v>0</v>
      </c>
      <c r="H150" s="59">
        <f>(F150+(IF(G150&lt;101,G150,IF(G150&lt;201,G150/2,IF(G150&lt;=301,G150/3,G150/4)))))*(($H$147)+1)</f>
        <v>0</v>
      </c>
      <c r="I150" s="33"/>
      <c r="L150" s="105"/>
      <c r="M150" s="105"/>
      <c r="N150" s="33"/>
      <c r="T150" s="32"/>
    </row>
    <row r="151" spans="1:20" s="34" customFormat="1" ht="15.75" hidden="1" customHeight="1" x14ac:dyDescent="0.25">
      <c r="A151" s="106">
        <f>A150+1</f>
        <v>2</v>
      </c>
      <c r="B151" s="108"/>
      <c r="C151" s="39"/>
      <c r="D151" s="39"/>
      <c r="E151" s="39">
        <v>0</v>
      </c>
      <c r="F151" s="59">
        <f t="shared" ref="F151:F153" si="7">D151+(IF(E151&lt;201,E151,IF(E151&lt;301,E151/2,E151/3)))</f>
        <v>0</v>
      </c>
      <c r="G151" s="51">
        <v>0</v>
      </c>
      <c r="H151" s="59">
        <f t="shared" ref="H151:H153" si="8">(F151+(IF(G151&lt;101,G151,IF(G151&lt;201,G151/2,IF(G151&lt;=301,G151/3,G151/4)))))*(($H$147)+1)</f>
        <v>0</v>
      </c>
      <c r="I151" s="33"/>
      <c r="L151" s="105"/>
      <c r="M151" s="105"/>
      <c r="N151" s="33"/>
      <c r="T151" s="31"/>
    </row>
    <row r="152" spans="1:20" s="34" customFormat="1" ht="15.75" hidden="1" customHeight="1" x14ac:dyDescent="0.25">
      <c r="A152" s="106">
        <f>A151+1</f>
        <v>3</v>
      </c>
      <c r="B152" s="108"/>
      <c r="C152" s="39"/>
      <c r="D152" s="39"/>
      <c r="E152" s="39">
        <v>0</v>
      </c>
      <c r="F152" s="59">
        <f t="shared" si="7"/>
        <v>0</v>
      </c>
      <c r="G152" s="51">
        <v>0</v>
      </c>
      <c r="H152" s="59">
        <f t="shared" si="8"/>
        <v>0</v>
      </c>
      <c r="I152" s="33"/>
      <c r="L152" s="105"/>
      <c r="M152" s="105"/>
      <c r="N152" s="33"/>
      <c r="T152" s="18"/>
    </row>
    <row r="153" spans="1:20" s="34" customFormat="1" ht="15.75" hidden="1" customHeight="1" x14ac:dyDescent="0.25">
      <c r="A153" s="106">
        <f>A152+1</f>
        <v>4</v>
      </c>
      <c r="B153" s="108"/>
      <c r="C153" s="39"/>
      <c r="D153" s="39"/>
      <c r="E153" s="39">
        <v>0</v>
      </c>
      <c r="F153" s="59">
        <f t="shared" si="7"/>
        <v>0</v>
      </c>
      <c r="G153" s="51">
        <v>0</v>
      </c>
      <c r="H153" s="59">
        <f t="shared" si="8"/>
        <v>0</v>
      </c>
      <c r="I153" s="33"/>
      <c r="L153" s="105"/>
      <c r="M153" s="105"/>
      <c r="N153" s="33"/>
      <c r="T153" s="18"/>
    </row>
    <row r="154" spans="1:20" s="34" customFormat="1" hidden="1" x14ac:dyDescent="0.25">
      <c r="A154" s="106"/>
      <c r="B154" s="107"/>
      <c r="C154" s="107"/>
      <c r="D154" s="107"/>
      <c r="E154" s="107"/>
      <c r="F154" s="107"/>
      <c r="G154" s="107"/>
      <c r="H154" s="108"/>
      <c r="I154" s="33"/>
      <c r="N154" s="33"/>
    </row>
    <row r="155" spans="1:20" ht="47.25" customHeight="1" x14ac:dyDescent="0.25">
      <c r="A155" s="140" t="s">
        <v>118</v>
      </c>
      <c r="B155" s="142" t="s">
        <v>176</v>
      </c>
      <c r="C155" s="142" t="s">
        <v>55</v>
      </c>
      <c r="D155" s="144" t="s">
        <v>232</v>
      </c>
      <c r="E155" s="142" t="s">
        <v>231</v>
      </c>
      <c r="F155" s="142" t="s">
        <v>56</v>
      </c>
      <c r="G155" s="146" t="s">
        <v>57</v>
      </c>
      <c r="H155" s="65" t="s">
        <v>146</v>
      </c>
      <c r="I155" s="33"/>
      <c r="T155" s="34"/>
    </row>
    <row r="156" spans="1:20" s="34" customFormat="1" x14ac:dyDescent="0.25">
      <c r="A156" s="141"/>
      <c r="B156" s="143"/>
      <c r="C156" s="143"/>
      <c r="D156" s="145"/>
      <c r="E156" s="143"/>
      <c r="F156" s="143"/>
      <c r="G156" s="147"/>
      <c r="H156" s="94">
        <v>0.5</v>
      </c>
      <c r="I156" s="33"/>
    </row>
    <row r="157" spans="1:20" s="82" customFormat="1" x14ac:dyDescent="0.25">
      <c r="A157" s="148" t="s">
        <v>380</v>
      </c>
      <c r="B157" s="149"/>
      <c r="C157" s="149"/>
      <c r="D157" s="149"/>
      <c r="E157" s="149"/>
      <c r="F157" s="149"/>
      <c r="G157" s="149"/>
      <c r="H157" s="150"/>
      <c r="J157" s="33"/>
    </row>
    <row r="158" spans="1:20" s="34" customFormat="1" x14ac:dyDescent="0.25">
      <c r="A158" s="148" t="s">
        <v>412</v>
      </c>
      <c r="B158" s="149"/>
      <c r="C158" s="149"/>
      <c r="D158" s="149"/>
      <c r="E158" s="149"/>
      <c r="F158" s="149"/>
      <c r="G158" s="149"/>
      <c r="H158" s="150"/>
      <c r="J158" s="33"/>
      <c r="L158" s="83">
        <v>10.763999999999999</v>
      </c>
    </row>
    <row r="159" spans="1:20" s="34" customFormat="1" ht="15.75" customHeight="1" x14ac:dyDescent="0.25">
      <c r="A159" s="106">
        <v>1</v>
      </c>
      <c r="B159" s="108"/>
      <c r="C159" s="39" t="s">
        <v>381</v>
      </c>
      <c r="D159" s="83">
        <f>(36.89)*10.764</f>
        <v>397.08395999999999</v>
      </c>
      <c r="E159" s="83">
        <f>(1.55*1)*10.764</f>
        <v>16.684200000000001</v>
      </c>
      <c r="F159" s="39">
        <f>D159+E159</f>
        <v>413.76815999999997</v>
      </c>
      <c r="G159" s="51">
        <v>0</v>
      </c>
      <c r="H159" s="51">
        <f>F159*(($H$156)+1)+(IF(G159&lt;101,G159,IF(G159&lt;201,G159/2,IF(G159&lt;=301,G159/3,G159/4))))</f>
        <v>620.65223999999989</v>
      </c>
      <c r="I159" s="33"/>
      <c r="L159" s="105"/>
      <c r="M159" s="105"/>
      <c r="N159" s="33"/>
    </row>
    <row r="160" spans="1:20" s="34" customFormat="1" ht="15.75" customHeight="1" x14ac:dyDescent="0.25">
      <c r="A160" s="106">
        <f>A159+1</f>
        <v>2</v>
      </c>
      <c r="B160" s="108"/>
      <c r="C160" s="83" t="s">
        <v>381</v>
      </c>
      <c r="D160" s="83">
        <f>(36.89)*10.764</f>
        <v>397.08395999999999</v>
      </c>
      <c r="E160" s="83">
        <f>(1.55*1)*10.764</f>
        <v>16.684200000000001</v>
      </c>
      <c r="F160" s="51">
        <f>D160+E160</f>
        <v>413.76815999999997</v>
      </c>
      <c r="G160" s="51">
        <v>0</v>
      </c>
      <c r="H160" s="51">
        <f>F160*(($H$156)+1)+(IF(G160&lt;101,G160,IF(G160&lt;201,G160/2,IF(G160&lt;=301,G160/3,G160/4))))</f>
        <v>620.65223999999989</v>
      </c>
      <c r="I160" s="33"/>
      <c r="L160" s="105"/>
      <c r="M160" s="105"/>
      <c r="N160" s="33"/>
    </row>
    <row r="161" spans="1:20" s="34" customFormat="1" ht="15.75" customHeight="1" x14ac:dyDescent="0.25">
      <c r="A161" s="106">
        <f>A160+1</f>
        <v>3</v>
      </c>
      <c r="B161" s="108"/>
      <c r="C161" s="39" t="s">
        <v>382</v>
      </c>
      <c r="D161" s="83">
        <f>(58.83)*10.764</f>
        <v>633.24611999999991</v>
      </c>
      <c r="E161" s="83">
        <f>(1.85*1.22)*10.764</f>
        <v>24.294347999999999</v>
      </c>
      <c r="F161" s="51">
        <f>D161+E161</f>
        <v>657.54046799999992</v>
      </c>
      <c r="G161" s="51">
        <v>0</v>
      </c>
      <c r="H161" s="51">
        <f>F161*(($H$156)+1)+(IF(G161&lt;101,G161,IF(G161&lt;201,G161/2,IF(G161&lt;=301,G161/3,G161/4))))</f>
        <v>986.31070199999988</v>
      </c>
      <c r="J161" s="33">
        <f>3.05*3.76+1.83*3.25+3.05*3.65+3.05*3.56+1.35*1.95+1.83*1.2+0.6*1.6+2.45*1.83+0.78*2.24+1.05*2.2+1.6*1.05+1.6*0.6</f>
        <v>56.375199999999992</v>
      </c>
      <c r="L161" s="105"/>
      <c r="M161" s="105"/>
      <c r="N161" s="33"/>
    </row>
    <row r="162" spans="1:20" s="34" customFormat="1" ht="15.75" customHeight="1" x14ac:dyDescent="0.25">
      <c r="A162" s="106">
        <f>A161+1</f>
        <v>4</v>
      </c>
      <c r="B162" s="108"/>
      <c r="C162" s="130" t="s">
        <v>385</v>
      </c>
      <c r="D162" s="131"/>
      <c r="E162" s="131"/>
      <c r="F162" s="131"/>
      <c r="G162" s="131"/>
      <c r="H162" s="132"/>
      <c r="I162" s="33"/>
      <c r="L162" s="105"/>
      <c r="M162" s="105"/>
      <c r="N162" s="33"/>
      <c r="T162" s="18"/>
    </row>
    <row r="163" spans="1:20" s="82" customFormat="1" ht="15.75" customHeight="1" x14ac:dyDescent="0.25">
      <c r="A163" s="106">
        <f t="shared" ref="A163:A173" si="9">A162+1</f>
        <v>5</v>
      </c>
      <c r="B163" s="108"/>
      <c r="C163" s="133"/>
      <c r="D163" s="134"/>
      <c r="E163" s="134"/>
      <c r="F163" s="134"/>
      <c r="G163" s="134"/>
      <c r="H163" s="135"/>
      <c r="I163" s="33"/>
      <c r="L163" s="105"/>
      <c r="M163" s="105"/>
      <c r="N163" s="33"/>
      <c r="T163" s="18"/>
    </row>
    <row r="164" spans="1:20" s="82" customFormat="1" ht="15.75" customHeight="1" x14ac:dyDescent="0.25">
      <c r="A164" s="106">
        <f t="shared" si="9"/>
        <v>6</v>
      </c>
      <c r="B164" s="108"/>
      <c r="C164" s="133"/>
      <c r="D164" s="134"/>
      <c r="E164" s="134"/>
      <c r="F164" s="134"/>
      <c r="G164" s="134"/>
      <c r="H164" s="135"/>
      <c r="I164" s="33"/>
      <c r="L164" s="105"/>
      <c r="M164" s="105"/>
      <c r="N164" s="33"/>
      <c r="T164" s="18"/>
    </row>
    <row r="165" spans="1:20" s="82" customFormat="1" ht="15.75" customHeight="1" x14ac:dyDescent="0.25">
      <c r="A165" s="106">
        <f t="shared" si="9"/>
        <v>7</v>
      </c>
      <c r="B165" s="108"/>
      <c r="C165" s="133"/>
      <c r="D165" s="134"/>
      <c r="E165" s="134"/>
      <c r="F165" s="134"/>
      <c r="G165" s="134"/>
      <c r="H165" s="135"/>
      <c r="I165" s="33"/>
      <c r="L165" s="105"/>
      <c r="M165" s="105"/>
      <c r="N165" s="33"/>
      <c r="T165" s="18"/>
    </row>
    <row r="166" spans="1:20" s="82" customFormat="1" ht="15.75" customHeight="1" x14ac:dyDescent="0.25">
      <c r="A166" s="106">
        <f t="shared" si="9"/>
        <v>8</v>
      </c>
      <c r="B166" s="108"/>
      <c r="C166" s="133"/>
      <c r="D166" s="134"/>
      <c r="E166" s="134"/>
      <c r="F166" s="134"/>
      <c r="G166" s="134"/>
      <c r="H166" s="135"/>
      <c r="I166" s="33"/>
      <c r="L166" s="105"/>
      <c r="M166" s="105"/>
      <c r="N166" s="33"/>
      <c r="T166" s="18"/>
    </row>
    <row r="167" spans="1:20" s="82" customFormat="1" ht="15.75" customHeight="1" x14ac:dyDescent="0.25">
      <c r="A167" s="106">
        <f t="shared" si="9"/>
        <v>9</v>
      </c>
      <c r="B167" s="108"/>
      <c r="C167" s="133"/>
      <c r="D167" s="134"/>
      <c r="E167" s="134"/>
      <c r="F167" s="134"/>
      <c r="G167" s="134"/>
      <c r="H167" s="135"/>
      <c r="I167" s="33"/>
      <c r="L167" s="105"/>
      <c r="M167" s="105"/>
      <c r="N167" s="33"/>
      <c r="T167" s="18"/>
    </row>
    <row r="168" spans="1:20" s="82" customFormat="1" ht="15.75" customHeight="1" x14ac:dyDescent="0.25">
      <c r="A168" s="106">
        <f t="shared" si="9"/>
        <v>10</v>
      </c>
      <c r="B168" s="108"/>
      <c r="C168" s="136"/>
      <c r="D168" s="137"/>
      <c r="E168" s="137"/>
      <c r="F168" s="137"/>
      <c r="G168" s="137"/>
      <c r="H168" s="138"/>
      <c r="I168" s="33"/>
      <c r="L168" s="105"/>
      <c r="M168" s="105"/>
      <c r="N168" s="33"/>
      <c r="T168" s="18"/>
    </row>
    <row r="169" spans="1:20" s="82" customFormat="1" ht="15.75" customHeight="1" x14ac:dyDescent="0.25">
      <c r="A169" s="106">
        <f t="shared" si="9"/>
        <v>11</v>
      </c>
      <c r="B169" s="108"/>
      <c r="C169" s="83" t="s">
        <v>381</v>
      </c>
      <c r="D169" s="83">
        <f>(41.9)*10.764</f>
        <v>451.01159999999993</v>
      </c>
      <c r="E169" s="83">
        <f>(1.55*1)*10.764</f>
        <v>16.684200000000001</v>
      </c>
      <c r="F169" s="83">
        <f t="shared" ref="F169:F173" si="10">D169+E169</f>
        <v>467.69579999999991</v>
      </c>
      <c r="G169" s="83">
        <v>0</v>
      </c>
      <c r="H169" s="83">
        <f t="shared" ref="H169:H173" si="11">F169*(($H$156)+1)+(IF(G169&lt;101,G169,IF(G169&lt;201,G169/2,IF(G169&lt;=301,G169/3,G169/4))))</f>
        <v>701.54369999999983</v>
      </c>
      <c r="I169" s="33"/>
      <c r="L169" s="105"/>
      <c r="M169" s="105"/>
      <c r="N169" s="33"/>
      <c r="T169" s="18"/>
    </row>
    <row r="170" spans="1:20" s="82" customFormat="1" ht="15.75" customHeight="1" x14ac:dyDescent="0.25">
      <c r="A170" s="106">
        <f t="shared" si="9"/>
        <v>12</v>
      </c>
      <c r="B170" s="108"/>
      <c r="C170" s="83" t="s">
        <v>381</v>
      </c>
      <c r="D170" s="83">
        <f>(36.89)*10.764</f>
        <v>397.08395999999999</v>
      </c>
      <c r="E170" s="83">
        <f>(1.55*1)*10.764</f>
        <v>16.684200000000001</v>
      </c>
      <c r="F170" s="83">
        <f t="shared" si="10"/>
        <v>413.76815999999997</v>
      </c>
      <c r="G170" s="83">
        <v>0</v>
      </c>
      <c r="H170" s="83">
        <f t="shared" si="11"/>
        <v>620.65223999999989</v>
      </c>
      <c r="I170" s="33"/>
      <c r="L170" s="105"/>
      <c r="M170" s="105"/>
      <c r="N170" s="33"/>
      <c r="T170" s="18"/>
    </row>
    <row r="171" spans="1:20" s="82" customFormat="1" ht="15.75" customHeight="1" x14ac:dyDescent="0.25">
      <c r="A171" s="106">
        <f t="shared" si="9"/>
        <v>13</v>
      </c>
      <c r="B171" s="108"/>
      <c r="C171" s="83" t="s">
        <v>381</v>
      </c>
      <c r="D171" s="83">
        <f>(36.89)*10.764</f>
        <v>397.08395999999999</v>
      </c>
      <c r="E171" s="83">
        <f>(1.55*1)*10.764</f>
        <v>16.684200000000001</v>
      </c>
      <c r="F171" s="83">
        <f t="shared" si="10"/>
        <v>413.76815999999997</v>
      </c>
      <c r="G171" s="83">
        <v>0</v>
      </c>
      <c r="H171" s="83">
        <f t="shared" si="11"/>
        <v>620.65223999999989</v>
      </c>
      <c r="I171" s="33"/>
      <c r="L171" s="105"/>
      <c r="M171" s="105"/>
      <c r="N171" s="33"/>
      <c r="T171" s="18"/>
    </row>
    <row r="172" spans="1:20" s="82" customFormat="1" ht="15.75" customHeight="1" x14ac:dyDescent="0.25">
      <c r="A172" s="106">
        <f t="shared" si="9"/>
        <v>14</v>
      </c>
      <c r="B172" s="108"/>
      <c r="C172" s="83" t="s">
        <v>383</v>
      </c>
      <c r="D172" s="83">
        <f>(78.32)*10.764</f>
        <v>843.03647999999987</v>
      </c>
      <c r="E172" s="83">
        <f>(4.85*1.22+1.38*1.72)*10.764</f>
        <v>89.240018399999983</v>
      </c>
      <c r="F172" s="83">
        <f t="shared" si="10"/>
        <v>932.27649839999981</v>
      </c>
      <c r="G172" s="83">
        <v>0</v>
      </c>
      <c r="H172" s="83">
        <f t="shared" si="11"/>
        <v>1398.4147475999998</v>
      </c>
      <c r="J172" s="33">
        <f>(4.85*2.95+4.56*0.91+3.4*2.2+3.05*3.63+3.05*3.48+3.12*3.06+0.35*0.9+1.35*2+1.2*1.83+2.04*1.35+1.6*0.6+0.6*2.06+1.6*0.6+1.34*0.85+1.39*1.45+1.3*0.23+1.55*0.86+1*1.04+0.88*1)</f>
        <v>74.997299999999996</v>
      </c>
      <c r="L172" s="105"/>
      <c r="M172" s="105"/>
      <c r="N172" s="33"/>
      <c r="T172" s="18"/>
    </row>
    <row r="173" spans="1:20" s="82" customFormat="1" x14ac:dyDescent="0.25">
      <c r="A173" s="106">
        <f t="shared" si="9"/>
        <v>15</v>
      </c>
      <c r="B173" s="108"/>
      <c r="C173" s="83" t="s">
        <v>381</v>
      </c>
      <c r="D173" s="83">
        <f>(36.89)*10.764</f>
        <v>397.08395999999999</v>
      </c>
      <c r="E173" s="83">
        <f>(1.55*1)*10.764</f>
        <v>16.684200000000001</v>
      </c>
      <c r="F173" s="83">
        <f t="shared" si="10"/>
        <v>413.76815999999997</v>
      </c>
      <c r="G173" s="83">
        <v>0</v>
      </c>
      <c r="H173" s="83">
        <f t="shared" si="11"/>
        <v>620.65223999999989</v>
      </c>
      <c r="I173" s="33"/>
      <c r="L173" s="105"/>
      <c r="M173" s="105"/>
      <c r="N173" s="33"/>
      <c r="T173" s="18"/>
    </row>
    <row r="174" spans="1:20" s="34" customFormat="1" x14ac:dyDescent="0.25">
      <c r="A174" s="139" t="s">
        <v>384</v>
      </c>
      <c r="B174" s="139"/>
      <c r="C174" s="139"/>
      <c r="D174" s="139"/>
      <c r="E174" s="139"/>
      <c r="F174" s="139"/>
      <c r="G174" s="139"/>
      <c r="H174" s="139"/>
      <c r="I174" s="33">
        <v>1</v>
      </c>
      <c r="L174" s="105"/>
      <c r="M174" s="105"/>
    </row>
    <row r="175" spans="1:20" s="34" customFormat="1" x14ac:dyDescent="0.25">
      <c r="A175" s="106">
        <v>1</v>
      </c>
      <c r="B175" s="108"/>
      <c r="C175" s="83" t="s">
        <v>381</v>
      </c>
      <c r="D175" s="83">
        <f>(36.89)*10.764</f>
        <v>397.08395999999999</v>
      </c>
      <c r="E175" s="83">
        <f>(1.55*1)*10.764</f>
        <v>16.684200000000001</v>
      </c>
      <c r="F175" s="51">
        <f>D175+E175</f>
        <v>413.76815999999997</v>
      </c>
      <c r="G175" s="51">
        <v>0</v>
      </c>
      <c r="H175" s="51">
        <f>F175*(($H$156)+1)+(IF(G175&lt;101,G175,IF(G175&lt;201,G175/2,IF(G175&lt;=301,G175/3,G175/4))))</f>
        <v>620.65223999999989</v>
      </c>
      <c r="J175" s="33">
        <f>2.75*3.16+1.83*2.55+3.05*2.9+1.95*1.35+1.35*1.2+1.93*1+1.6*0.9+0.6*1.6+0.48*1.34+2.15*1.83</f>
        <v>35.361699999999999</v>
      </c>
      <c r="N175" s="33"/>
    </row>
    <row r="176" spans="1:20" s="34" customFormat="1" x14ac:dyDescent="0.25">
      <c r="A176" s="106">
        <f>A175+1</f>
        <v>2</v>
      </c>
      <c r="B176" s="108"/>
      <c r="C176" s="83" t="s">
        <v>381</v>
      </c>
      <c r="D176" s="83">
        <f>(36.89)*10.764</f>
        <v>397.08395999999999</v>
      </c>
      <c r="E176" s="83">
        <f>(1.55*1)*10.764</f>
        <v>16.684200000000001</v>
      </c>
      <c r="F176" s="51">
        <f>D176+E176</f>
        <v>413.76815999999997</v>
      </c>
      <c r="G176" s="51">
        <v>0</v>
      </c>
      <c r="H176" s="51">
        <f>F176*(($H$156)+1)+(IF(G176&lt;101,G176,IF(G176&lt;201,G176/2,IF(G176&lt;=301,G176/3,G176/4))))</f>
        <v>620.65223999999989</v>
      </c>
      <c r="I176" s="33"/>
      <c r="N176" s="33"/>
    </row>
    <row r="177" spans="1:14" s="34" customFormat="1" x14ac:dyDescent="0.25">
      <c r="A177" s="106">
        <f>A176+1</f>
        <v>3</v>
      </c>
      <c r="B177" s="108"/>
      <c r="C177" s="83" t="s">
        <v>382</v>
      </c>
      <c r="D177" s="83">
        <f>(58.83)*10.764</f>
        <v>633.24611999999991</v>
      </c>
      <c r="E177" s="83">
        <f>(1.85*1.22)*10.764</f>
        <v>24.294347999999999</v>
      </c>
      <c r="F177" s="51">
        <f>D177+E177</f>
        <v>657.54046799999992</v>
      </c>
      <c r="G177" s="51">
        <v>0</v>
      </c>
      <c r="H177" s="51">
        <f>F177*(($H$156)+1)+(IF(G177&lt;101,G177,IF(G177&lt;201,G177/2,IF(G177&lt;=301,G177/3,G177/4))))</f>
        <v>986.31070199999988</v>
      </c>
      <c r="I177" s="33"/>
      <c r="N177" s="33"/>
    </row>
    <row r="178" spans="1:14" s="34" customFormat="1" x14ac:dyDescent="0.25">
      <c r="A178" s="106">
        <f>A177+1</f>
        <v>4</v>
      </c>
      <c r="B178" s="108"/>
      <c r="C178" s="39" t="s">
        <v>382</v>
      </c>
      <c r="D178" s="83">
        <f>(52.54)*10.764</f>
        <v>565.54055999999991</v>
      </c>
      <c r="E178" s="83">
        <v>0</v>
      </c>
      <c r="F178" s="51">
        <f>D178+E178</f>
        <v>565.54055999999991</v>
      </c>
      <c r="G178" s="51">
        <v>0</v>
      </c>
      <c r="H178" s="51">
        <f>F178*(($H$156)+1)+(IF(G178&lt;101,G178,IF(G178&lt;201,G178/2,IF(G178&lt;=301,G178/3,G178/4))))</f>
        <v>848.31083999999987</v>
      </c>
      <c r="I178" s="33"/>
      <c r="N178" s="33"/>
    </row>
    <row r="179" spans="1:14" s="34" customFormat="1" x14ac:dyDescent="0.25">
      <c r="A179" s="106">
        <f t="shared" ref="A179:A189" si="12">A178+1</f>
        <v>5</v>
      </c>
      <c r="B179" s="108"/>
      <c r="C179" s="39" t="s">
        <v>381</v>
      </c>
      <c r="D179" s="83">
        <f>(36.89)*10.764</f>
        <v>397.08395999999999</v>
      </c>
      <c r="E179" s="83">
        <v>0</v>
      </c>
      <c r="F179" s="51">
        <f>D179+E179</f>
        <v>397.08395999999999</v>
      </c>
      <c r="G179" s="51">
        <v>0</v>
      </c>
      <c r="H179" s="51">
        <f>F179*(($H$156)+1)+(IF(G179&lt;101,G179,IF(G179&lt;201,G179/2,IF(G179&lt;=301,G179/3,G179/4))))</f>
        <v>595.62594000000001</v>
      </c>
      <c r="I179" s="33"/>
      <c r="N179" s="33"/>
    </row>
    <row r="180" spans="1:14" s="82" customFormat="1" x14ac:dyDescent="0.25">
      <c r="A180" s="106">
        <f t="shared" si="12"/>
        <v>6</v>
      </c>
      <c r="B180" s="108"/>
      <c r="C180" s="83" t="s">
        <v>381</v>
      </c>
      <c r="D180" s="83">
        <f>(36.89)*10.764</f>
        <v>397.08395999999999</v>
      </c>
      <c r="E180" s="83">
        <v>0</v>
      </c>
      <c r="F180" s="83">
        <f t="shared" ref="F180:F189" si="13">D180+E180</f>
        <v>397.08395999999999</v>
      </c>
      <c r="G180" s="83">
        <v>0</v>
      </c>
      <c r="H180" s="83">
        <f t="shared" ref="H180:H189" si="14">F180*(($H$156)+1)+(IF(G180&lt;101,G180,IF(G180&lt;201,G180/2,IF(G180&lt;=301,G180/3,G180/4))))</f>
        <v>595.62594000000001</v>
      </c>
      <c r="I180" s="33"/>
      <c r="N180" s="33"/>
    </row>
    <row r="181" spans="1:14" s="82" customFormat="1" x14ac:dyDescent="0.25">
      <c r="A181" s="106">
        <f t="shared" si="12"/>
        <v>7</v>
      </c>
      <c r="B181" s="108"/>
      <c r="C181" s="83" t="s">
        <v>381</v>
      </c>
      <c r="D181" s="83">
        <f>(36.89)*10.764</f>
        <v>397.08395999999999</v>
      </c>
      <c r="E181" s="83">
        <v>0</v>
      </c>
      <c r="F181" s="83">
        <f t="shared" si="13"/>
        <v>397.08395999999999</v>
      </c>
      <c r="G181" s="83">
        <v>0</v>
      </c>
      <c r="H181" s="83">
        <f t="shared" si="14"/>
        <v>595.62594000000001</v>
      </c>
      <c r="I181" s="33"/>
      <c r="J181" s="89"/>
      <c r="N181" s="33"/>
    </row>
    <row r="182" spans="1:14" s="82" customFormat="1" x14ac:dyDescent="0.25">
      <c r="A182" s="106">
        <f t="shared" si="12"/>
        <v>8</v>
      </c>
      <c r="B182" s="108"/>
      <c r="C182" s="106" t="s">
        <v>386</v>
      </c>
      <c r="D182" s="107"/>
      <c r="E182" s="107"/>
      <c r="F182" s="107"/>
      <c r="G182" s="107"/>
      <c r="H182" s="108"/>
      <c r="I182" s="33"/>
      <c r="N182" s="33"/>
    </row>
    <row r="183" spans="1:14" s="82" customFormat="1" x14ac:dyDescent="0.25">
      <c r="A183" s="106">
        <f t="shared" si="12"/>
        <v>9</v>
      </c>
      <c r="B183" s="108"/>
      <c r="C183" s="83" t="s">
        <v>381</v>
      </c>
      <c r="D183" s="83">
        <f>(36.89)*10.764</f>
        <v>397.08395999999999</v>
      </c>
      <c r="E183" s="83">
        <v>0</v>
      </c>
      <c r="F183" s="83">
        <f t="shared" si="13"/>
        <v>397.08395999999999</v>
      </c>
      <c r="G183" s="83">
        <v>0</v>
      </c>
      <c r="H183" s="83">
        <f t="shared" si="14"/>
        <v>595.62594000000001</v>
      </c>
      <c r="I183" s="33"/>
      <c r="N183" s="33"/>
    </row>
    <row r="184" spans="1:14" s="82" customFormat="1" x14ac:dyDescent="0.25">
      <c r="A184" s="106">
        <f t="shared" si="12"/>
        <v>10</v>
      </c>
      <c r="B184" s="108"/>
      <c r="C184" s="83" t="s">
        <v>381</v>
      </c>
      <c r="D184" s="83">
        <f>(38.01)*10.764</f>
        <v>409.13963999999993</v>
      </c>
      <c r="E184" s="83">
        <v>0</v>
      </c>
      <c r="F184" s="83">
        <f t="shared" si="13"/>
        <v>409.13963999999993</v>
      </c>
      <c r="G184" s="83">
        <v>0</v>
      </c>
      <c r="H184" s="83">
        <f t="shared" si="14"/>
        <v>613.70945999999992</v>
      </c>
      <c r="I184" s="33"/>
      <c r="N184" s="33"/>
    </row>
    <row r="185" spans="1:14" s="82" customFormat="1" x14ac:dyDescent="0.25">
      <c r="A185" s="106">
        <f t="shared" si="12"/>
        <v>11</v>
      </c>
      <c r="B185" s="108"/>
      <c r="C185" s="83" t="s">
        <v>381</v>
      </c>
      <c r="D185" s="83">
        <f>(41.9)*10.764</f>
        <v>451.01159999999993</v>
      </c>
      <c r="E185" s="83">
        <f>(1.55*1)*10.764</f>
        <v>16.684200000000001</v>
      </c>
      <c r="F185" s="83">
        <f t="shared" si="13"/>
        <v>467.69579999999991</v>
      </c>
      <c r="G185" s="83">
        <v>0</v>
      </c>
      <c r="H185" s="83">
        <f t="shared" si="14"/>
        <v>701.54369999999983</v>
      </c>
      <c r="I185" s="33"/>
      <c r="N185" s="33"/>
    </row>
    <row r="186" spans="1:14" s="82" customFormat="1" x14ac:dyDescent="0.25">
      <c r="A186" s="106">
        <f t="shared" si="12"/>
        <v>12</v>
      </c>
      <c r="B186" s="108"/>
      <c r="C186" s="83" t="s">
        <v>381</v>
      </c>
      <c r="D186" s="83">
        <f>(36.89)*10.764</f>
        <v>397.08395999999999</v>
      </c>
      <c r="E186" s="83">
        <f>(1.55*1)*10.764</f>
        <v>16.684200000000001</v>
      </c>
      <c r="F186" s="83">
        <f t="shared" si="13"/>
        <v>413.76815999999997</v>
      </c>
      <c r="G186" s="83">
        <v>0</v>
      </c>
      <c r="H186" s="83">
        <f t="shared" si="14"/>
        <v>620.65223999999989</v>
      </c>
      <c r="I186" s="33"/>
      <c r="N186" s="33"/>
    </row>
    <row r="187" spans="1:14" s="82" customFormat="1" x14ac:dyDescent="0.25">
      <c r="A187" s="106">
        <f t="shared" si="12"/>
        <v>13</v>
      </c>
      <c r="B187" s="108"/>
      <c r="C187" s="83" t="s">
        <v>381</v>
      </c>
      <c r="D187" s="83">
        <f>(36.89)*10.764</f>
        <v>397.08395999999999</v>
      </c>
      <c r="E187" s="83">
        <f>(1.55*1)*10.764</f>
        <v>16.684200000000001</v>
      </c>
      <c r="F187" s="83">
        <f t="shared" si="13"/>
        <v>413.76815999999997</v>
      </c>
      <c r="G187" s="83">
        <v>0</v>
      </c>
      <c r="H187" s="83">
        <f t="shared" si="14"/>
        <v>620.65223999999989</v>
      </c>
      <c r="I187" s="33"/>
      <c r="N187" s="33"/>
    </row>
    <row r="188" spans="1:14" s="82" customFormat="1" x14ac:dyDescent="0.25">
      <c r="A188" s="106">
        <f t="shared" si="12"/>
        <v>14</v>
      </c>
      <c r="B188" s="108"/>
      <c r="C188" s="83" t="s">
        <v>383</v>
      </c>
      <c r="D188" s="83">
        <f>(78.32)*10.764</f>
        <v>843.03647999999987</v>
      </c>
      <c r="E188" s="83">
        <f>(4.85*1.22+1.38*1.72)*10.764</f>
        <v>89.240018399999983</v>
      </c>
      <c r="F188" s="83">
        <f t="shared" si="13"/>
        <v>932.27649839999981</v>
      </c>
      <c r="G188" s="83">
        <v>0</v>
      </c>
      <c r="H188" s="83">
        <f t="shared" si="14"/>
        <v>1398.4147475999998</v>
      </c>
      <c r="I188" s="33"/>
      <c r="N188" s="33"/>
    </row>
    <row r="189" spans="1:14" s="82" customFormat="1" x14ac:dyDescent="0.25">
      <c r="A189" s="106">
        <f t="shared" si="12"/>
        <v>15</v>
      </c>
      <c r="B189" s="108"/>
      <c r="C189" s="83" t="s">
        <v>381</v>
      </c>
      <c r="D189" s="83">
        <f>(36.89)*10.764</f>
        <v>397.08395999999999</v>
      </c>
      <c r="E189" s="83">
        <f>(1.55*1)*10.764</f>
        <v>16.684200000000001</v>
      </c>
      <c r="F189" s="83">
        <f t="shared" si="13"/>
        <v>413.76815999999997</v>
      </c>
      <c r="G189" s="83">
        <v>0</v>
      </c>
      <c r="H189" s="83">
        <f t="shared" si="14"/>
        <v>620.65223999999989</v>
      </c>
      <c r="I189" s="33"/>
      <c r="N189" s="33"/>
    </row>
    <row r="190" spans="1:14" s="82" customFormat="1" x14ac:dyDescent="0.25">
      <c r="A190" s="139" t="s">
        <v>387</v>
      </c>
      <c r="B190" s="139"/>
      <c r="C190" s="139"/>
      <c r="D190" s="139"/>
      <c r="E190" s="139"/>
      <c r="F190" s="139"/>
      <c r="G190" s="139"/>
      <c r="H190" s="139"/>
      <c r="I190" s="33">
        <f>7+5</f>
        <v>12</v>
      </c>
      <c r="L190" s="105"/>
      <c r="M190" s="105"/>
    </row>
    <row r="191" spans="1:14" s="82" customFormat="1" x14ac:dyDescent="0.25">
      <c r="A191" s="106">
        <v>1</v>
      </c>
      <c r="B191" s="108"/>
      <c r="C191" s="83" t="s">
        <v>381</v>
      </c>
      <c r="D191" s="83">
        <f>(36.89)*10.764</f>
        <v>397.08395999999999</v>
      </c>
      <c r="E191" s="83">
        <f>(1.55*1)*10.764</f>
        <v>16.684200000000001</v>
      </c>
      <c r="F191" s="83">
        <f>D191+E191</f>
        <v>413.76815999999997</v>
      </c>
      <c r="G191" s="83">
        <v>0</v>
      </c>
      <c r="H191" s="83">
        <f>F191*(($H$156)+1)+(IF(G191&lt;101,G191,IF(G191&lt;201,G191/2,IF(G191&lt;=301,G191/3,G191/4))))</f>
        <v>620.65223999999989</v>
      </c>
      <c r="J191" s="33">
        <f>2.75*3.16+1.83*2.55+3.05*2.9+1.95*1.35+1.35*1.2+1.93*1+1.6*0.9+0.6*1.6+0.48*1.34+2.15*1.83</f>
        <v>35.361699999999999</v>
      </c>
      <c r="N191" s="33"/>
    </row>
    <row r="192" spans="1:14" s="82" customFormat="1" x14ac:dyDescent="0.25">
      <c r="A192" s="106">
        <f>A191+1</f>
        <v>2</v>
      </c>
      <c r="B192" s="108"/>
      <c r="C192" s="83" t="s">
        <v>381</v>
      </c>
      <c r="D192" s="83">
        <f>(36.89)*10.764</f>
        <v>397.08395999999999</v>
      </c>
      <c r="E192" s="83">
        <f>(1.55*1)*10.764</f>
        <v>16.684200000000001</v>
      </c>
      <c r="F192" s="83">
        <f>D192+E192</f>
        <v>413.76815999999997</v>
      </c>
      <c r="G192" s="83">
        <v>0</v>
      </c>
      <c r="H192" s="83">
        <f>F192*(($H$156)+1)+(IF(G192&lt;101,G192,IF(G192&lt;201,G192/2,IF(G192&lt;=301,G192/3,G192/4))))</f>
        <v>620.65223999999989</v>
      </c>
      <c r="I192" s="33"/>
      <c r="N192" s="33"/>
    </row>
    <row r="193" spans="1:14" s="82" customFormat="1" x14ac:dyDescent="0.25">
      <c r="A193" s="106">
        <f>A192+1</f>
        <v>3</v>
      </c>
      <c r="B193" s="108"/>
      <c r="C193" s="83" t="s">
        <v>382</v>
      </c>
      <c r="D193" s="83">
        <f>(58.83)*10.764</f>
        <v>633.24611999999991</v>
      </c>
      <c r="E193" s="83">
        <f>(1.85*1.22)*10.764</f>
        <v>24.294347999999999</v>
      </c>
      <c r="F193" s="83">
        <f>D193+E193</f>
        <v>657.54046799999992</v>
      </c>
      <c r="G193" s="83">
        <v>0</v>
      </c>
      <c r="H193" s="83">
        <f>F193*(($H$156)+1)+(IF(G193&lt;101,G193,IF(G193&lt;201,G193/2,IF(G193&lt;=301,G193/3,G193/4))))</f>
        <v>986.31070199999988</v>
      </c>
      <c r="I193" s="33"/>
      <c r="N193" s="33"/>
    </row>
    <row r="194" spans="1:14" s="82" customFormat="1" x14ac:dyDescent="0.25">
      <c r="A194" s="106">
        <f>A193+1</f>
        <v>4</v>
      </c>
      <c r="B194" s="108"/>
      <c r="C194" s="83" t="s">
        <v>382</v>
      </c>
      <c r="D194" s="83">
        <f>(52.54)*10.764</f>
        <v>565.54055999999991</v>
      </c>
      <c r="E194" s="83">
        <f>(1.86*1.22)*10.764</f>
        <v>24.4256688</v>
      </c>
      <c r="F194" s="83">
        <f>D194+E194</f>
        <v>589.96622879999995</v>
      </c>
      <c r="G194" s="83">
        <v>0</v>
      </c>
      <c r="H194" s="83">
        <f>F194*(($H$156)+1)+(IF(G194&lt;101,G194,IF(G194&lt;201,G194/2,IF(G194&lt;=301,G194/3,G194/4))))</f>
        <v>884.94934319999993</v>
      </c>
      <c r="I194" s="33"/>
      <c r="N194" s="33"/>
    </row>
    <row r="195" spans="1:14" s="82" customFormat="1" x14ac:dyDescent="0.25">
      <c r="A195" s="106">
        <f t="shared" ref="A195:A205" si="15">A194+1</f>
        <v>5</v>
      </c>
      <c r="B195" s="108"/>
      <c r="C195" s="83" t="s">
        <v>381</v>
      </c>
      <c r="D195" s="83">
        <f t="shared" ref="D195:D199" si="16">(36.89)*10.764</f>
        <v>397.08395999999999</v>
      </c>
      <c r="E195" s="83">
        <v>0</v>
      </c>
      <c r="F195" s="83">
        <f>D195+E195</f>
        <v>397.08395999999999</v>
      </c>
      <c r="G195" s="83">
        <v>0</v>
      </c>
      <c r="H195" s="83">
        <f>F195*(($H$156)+1)+(IF(G195&lt;101,G195,IF(G195&lt;201,G195/2,IF(G195&lt;=301,G195/3,G195/4))))</f>
        <v>595.62594000000001</v>
      </c>
      <c r="I195" s="33"/>
      <c r="N195" s="33"/>
    </row>
    <row r="196" spans="1:14" s="82" customFormat="1" x14ac:dyDescent="0.25">
      <c r="A196" s="106">
        <f t="shared" si="15"/>
        <v>6</v>
      </c>
      <c r="B196" s="108"/>
      <c r="C196" s="83" t="s">
        <v>381</v>
      </c>
      <c r="D196" s="83">
        <f t="shared" si="16"/>
        <v>397.08395999999999</v>
      </c>
      <c r="E196" s="83">
        <v>0</v>
      </c>
      <c r="F196" s="83">
        <f t="shared" ref="F196:F197" si="17">D196+E196</f>
        <v>397.08395999999999</v>
      </c>
      <c r="G196" s="83">
        <v>0</v>
      </c>
      <c r="H196" s="83">
        <f t="shared" ref="H196:H197" si="18">F196*(($H$156)+1)+(IF(G196&lt;101,G196,IF(G196&lt;201,G196/2,IF(G196&lt;=301,G196/3,G196/4))))</f>
        <v>595.62594000000001</v>
      </c>
      <c r="I196" s="33"/>
      <c r="N196" s="33"/>
    </row>
    <row r="197" spans="1:14" s="82" customFormat="1" x14ac:dyDescent="0.25">
      <c r="A197" s="106">
        <f t="shared" si="15"/>
        <v>7</v>
      </c>
      <c r="B197" s="108"/>
      <c r="C197" s="83" t="s">
        <v>381</v>
      </c>
      <c r="D197" s="83">
        <f t="shared" si="16"/>
        <v>397.08395999999999</v>
      </c>
      <c r="E197" s="83">
        <v>0</v>
      </c>
      <c r="F197" s="83">
        <f t="shared" si="17"/>
        <v>397.08395999999999</v>
      </c>
      <c r="G197" s="83">
        <v>0</v>
      </c>
      <c r="H197" s="83">
        <f t="shared" si="18"/>
        <v>595.62594000000001</v>
      </c>
      <c r="I197" s="33"/>
      <c r="N197" s="33"/>
    </row>
    <row r="198" spans="1:14" s="82" customFormat="1" ht="15.75" customHeight="1" x14ac:dyDescent="0.25">
      <c r="A198" s="106">
        <f t="shared" si="15"/>
        <v>8</v>
      </c>
      <c r="B198" s="108"/>
      <c r="C198" s="83" t="s">
        <v>381</v>
      </c>
      <c r="D198" s="83">
        <f t="shared" si="16"/>
        <v>397.08395999999999</v>
      </c>
      <c r="E198" s="83">
        <v>0</v>
      </c>
      <c r="F198" s="83">
        <f t="shared" ref="F198" si="19">D198+E198</f>
        <v>397.08395999999999</v>
      </c>
      <c r="G198" s="83">
        <v>0</v>
      </c>
      <c r="H198" s="83">
        <f t="shared" ref="H198" si="20">F198*(($H$156)+1)+(IF(G198&lt;101,G198,IF(G198&lt;201,G198/2,IF(G198&lt;=301,G198/3,G198/4))))</f>
        <v>595.62594000000001</v>
      </c>
      <c r="I198" s="33"/>
      <c r="N198" s="33"/>
    </row>
    <row r="199" spans="1:14" s="82" customFormat="1" x14ac:dyDescent="0.25">
      <c r="A199" s="106">
        <f t="shared" si="15"/>
        <v>9</v>
      </c>
      <c r="B199" s="108"/>
      <c r="C199" s="83" t="s">
        <v>381</v>
      </c>
      <c r="D199" s="83">
        <f t="shared" si="16"/>
        <v>397.08395999999999</v>
      </c>
      <c r="E199" s="83">
        <v>0</v>
      </c>
      <c r="F199" s="83">
        <f t="shared" ref="F199:F205" si="21">D199+E199</f>
        <v>397.08395999999999</v>
      </c>
      <c r="G199" s="83">
        <v>0</v>
      </c>
      <c r="H199" s="83">
        <f t="shared" ref="H199:H205" si="22">F199*(($H$156)+1)+(IF(G199&lt;101,G199,IF(G199&lt;201,G199/2,IF(G199&lt;=301,G199/3,G199/4))))</f>
        <v>595.62594000000001</v>
      </c>
      <c r="I199" s="33"/>
      <c r="N199" s="33"/>
    </row>
    <row r="200" spans="1:14" s="82" customFormat="1" x14ac:dyDescent="0.25">
      <c r="A200" s="106">
        <f t="shared" si="15"/>
        <v>10</v>
      </c>
      <c r="B200" s="108"/>
      <c r="C200" s="83" t="s">
        <v>381</v>
      </c>
      <c r="D200" s="83">
        <f>(38.01)*10.764</f>
        <v>409.13963999999993</v>
      </c>
      <c r="E200" s="83">
        <f>(1.55*1)*10.764</f>
        <v>16.684200000000001</v>
      </c>
      <c r="F200" s="83">
        <f t="shared" si="21"/>
        <v>425.8238399999999</v>
      </c>
      <c r="G200" s="83">
        <v>0</v>
      </c>
      <c r="H200" s="83">
        <f t="shared" si="22"/>
        <v>638.7357599999998</v>
      </c>
      <c r="I200" s="33"/>
      <c r="N200" s="33"/>
    </row>
    <row r="201" spans="1:14" s="82" customFormat="1" x14ac:dyDescent="0.25">
      <c r="A201" s="106">
        <f t="shared" si="15"/>
        <v>11</v>
      </c>
      <c r="B201" s="108"/>
      <c r="C201" s="83" t="s">
        <v>381</v>
      </c>
      <c r="D201" s="83">
        <f>(41.9)*10.764</f>
        <v>451.01159999999993</v>
      </c>
      <c r="E201" s="83">
        <f>(1.55*1)*10.764</f>
        <v>16.684200000000001</v>
      </c>
      <c r="F201" s="83">
        <f t="shared" si="21"/>
        <v>467.69579999999991</v>
      </c>
      <c r="G201" s="83">
        <v>0</v>
      </c>
      <c r="H201" s="83">
        <f t="shared" si="22"/>
        <v>701.54369999999983</v>
      </c>
      <c r="I201" s="33"/>
      <c r="N201" s="33"/>
    </row>
    <row r="202" spans="1:14" s="82" customFormat="1" x14ac:dyDescent="0.25">
      <c r="A202" s="106">
        <f t="shared" si="15"/>
        <v>12</v>
      </c>
      <c r="B202" s="108"/>
      <c r="C202" s="83" t="s">
        <v>381</v>
      </c>
      <c r="D202" s="83">
        <f>(36.89)*10.764</f>
        <v>397.08395999999999</v>
      </c>
      <c r="E202" s="83">
        <f>(1.55*1)*10.764</f>
        <v>16.684200000000001</v>
      </c>
      <c r="F202" s="83">
        <f t="shared" si="21"/>
        <v>413.76815999999997</v>
      </c>
      <c r="G202" s="83">
        <v>0</v>
      </c>
      <c r="H202" s="83">
        <f t="shared" si="22"/>
        <v>620.65223999999989</v>
      </c>
      <c r="I202" s="33"/>
      <c r="N202" s="33"/>
    </row>
    <row r="203" spans="1:14" s="82" customFormat="1" x14ac:dyDescent="0.25">
      <c r="A203" s="106">
        <f t="shared" si="15"/>
        <v>13</v>
      </c>
      <c r="B203" s="108"/>
      <c r="C203" s="83" t="s">
        <v>381</v>
      </c>
      <c r="D203" s="83">
        <f>(36.89)*10.764</f>
        <v>397.08395999999999</v>
      </c>
      <c r="E203" s="83">
        <f>(1.55*1)*10.764</f>
        <v>16.684200000000001</v>
      </c>
      <c r="F203" s="83">
        <f t="shared" si="21"/>
        <v>413.76815999999997</v>
      </c>
      <c r="G203" s="83">
        <v>0</v>
      </c>
      <c r="H203" s="83">
        <f t="shared" si="22"/>
        <v>620.65223999999989</v>
      </c>
      <c r="I203" s="33"/>
      <c r="N203" s="33"/>
    </row>
    <row r="204" spans="1:14" s="82" customFormat="1" x14ac:dyDescent="0.25">
      <c r="A204" s="106">
        <f t="shared" si="15"/>
        <v>14</v>
      </c>
      <c r="B204" s="108"/>
      <c r="C204" s="83" t="s">
        <v>383</v>
      </c>
      <c r="D204" s="83">
        <f>(78.32)*10.764</f>
        <v>843.03647999999987</v>
      </c>
      <c r="E204" s="83">
        <f>(4.85*1.22+1.38*1.72)*10.764</f>
        <v>89.240018399999983</v>
      </c>
      <c r="F204" s="83">
        <f t="shared" si="21"/>
        <v>932.27649839999981</v>
      </c>
      <c r="G204" s="83">
        <v>0</v>
      </c>
      <c r="H204" s="83">
        <f t="shared" si="22"/>
        <v>1398.4147475999998</v>
      </c>
      <c r="I204" s="33"/>
      <c r="N204" s="33"/>
    </row>
    <row r="205" spans="1:14" s="82" customFormat="1" x14ac:dyDescent="0.25">
      <c r="A205" s="106">
        <f t="shared" si="15"/>
        <v>15</v>
      </c>
      <c r="B205" s="108"/>
      <c r="C205" s="83" t="s">
        <v>381</v>
      </c>
      <c r="D205" s="83">
        <f>(36.89)*10.764</f>
        <v>397.08395999999999</v>
      </c>
      <c r="E205" s="83">
        <f>(1.55*1)*10.764</f>
        <v>16.684200000000001</v>
      </c>
      <c r="F205" s="83">
        <f t="shared" si="21"/>
        <v>413.76815999999997</v>
      </c>
      <c r="G205" s="83">
        <v>0</v>
      </c>
      <c r="H205" s="83">
        <f t="shared" si="22"/>
        <v>620.65223999999989</v>
      </c>
      <c r="I205" s="33"/>
      <c r="N205" s="33"/>
    </row>
    <row r="206" spans="1:14" s="84" customFormat="1" x14ac:dyDescent="0.25">
      <c r="A206" s="139" t="s">
        <v>388</v>
      </c>
      <c r="B206" s="139"/>
      <c r="C206" s="139"/>
      <c r="D206" s="139"/>
      <c r="E206" s="139"/>
      <c r="F206" s="139"/>
      <c r="G206" s="139"/>
      <c r="H206" s="139"/>
      <c r="I206" s="33">
        <v>1</v>
      </c>
      <c r="L206" s="105"/>
      <c r="M206" s="105"/>
    </row>
    <row r="207" spans="1:14" s="84" customFormat="1" x14ac:dyDescent="0.25">
      <c r="A207" s="106">
        <v>1</v>
      </c>
      <c r="B207" s="108"/>
      <c r="C207" s="83" t="s">
        <v>381</v>
      </c>
      <c r="D207" s="83">
        <f>(36.89)*10.764</f>
        <v>397.08395999999999</v>
      </c>
      <c r="E207" s="83">
        <f>(1.55*1)*10.764</f>
        <v>16.684200000000001</v>
      </c>
      <c r="F207" s="83">
        <f>D207+E207</f>
        <v>413.76815999999997</v>
      </c>
      <c r="G207" s="83">
        <v>0</v>
      </c>
      <c r="H207" s="83">
        <f>F207*(($H$156)+1)+(IF(G207&lt;101,G207,IF(G207&lt;201,G207/2,IF(G207&lt;=301,G207/3,G207/4))))</f>
        <v>620.65223999999989</v>
      </c>
      <c r="J207" s="33">
        <f>2.75*3.16+1.83*2.55+3.05*2.9+1.95*1.35+1.35*1.2+1.93*1+1.6*0.9+0.6*1.6+0.48*1.34+2.15*1.83</f>
        <v>35.361699999999999</v>
      </c>
      <c r="N207" s="33"/>
    </row>
    <row r="208" spans="1:14" s="84" customFormat="1" x14ac:dyDescent="0.25">
      <c r="A208" s="106">
        <f>A207+1</f>
        <v>2</v>
      </c>
      <c r="B208" s="108"/>
      <c r="C208" s="83" t="s">
        <v>381</v>
      </c>
      <c r="D208" s="83">
        <f>(36.89)*10.764</f>
        <v>397.08395999999999</v>
      </c>
      <c r="E208" s="83">
        <f>(1.55*1)*10.764</f>
        <v>16.684200000000001</v>
      </c>
      <c r="F208" s="83">
        <f>D208+E208</f>
        <v>413.76815999999997</v>
      </c>
      <c r="G208" s="83">
        <v>0</v>
      </c>
      <c r="H208" s="83">
        <f>F208*(($H$156)+1)+(IF(G208&lt;101,G208,IF(G208&lt;201,G208/2,IF(G208&lt;=301,G208/3,G208/4))))</f>
        <v>620.65223999999989</v>
      </c>
      <c r="I208" s="33"/>
      <c r="N208" s="33"/>
    </row>
    <row r="209" spans="1:14" s="84" customFormat="1" x14ac:dyDescent="0.25">
      <c r="A209" s="106">
        <f>A208+1</f>
        <v>3</v>
      </c>
      <c r="B209" s="108"/>
      <c r="C209" s="83" t="s">
        <v>382</v>
      </c>
      <c r="D209" s="83">
        <f>(58.83)*10.764</f>
        <v>633.24611999999991</v>
      </c>
      <c r="E209" s="83">
        <f>(1.85*1.22)*10.764</f>
        <v>24.294347999999999</v>
      </c>
      <c r="F209" s="83">
        <f>D209+E209</f>
        <v>657.54046799999992</v>
      </c>
      <c r="G209" s="83">
        <v>0</v>
      </c>
      <c r="H209" s="83">
        <f>F209*(($H$156)+1)+(IF(G209&lt;101,G209,IF(G209&lt;201,G209/2,IF(G209&lt;=301,G209/3,G209/4))))</f>
        <v>986.31070199999988</v>
      </c>
      <c r="I209" s="33"/>
      <c r="N209" s="33"/>
    </row>
    <row r="210" spans="1:14" s="84" customFormat="1" x14ac:dyDescent="0.25">
      <c r="A210" s="106">
        <f>A209+1</f>
        <v>4</v>
      </c>
      <c r="B210" s="108"/>
      <c r="C210" s="83" t="s">
        <v>382</v>
      </c>
      <c r="D210" s="83">
        <f>(52.54)*10.764</f>
        <v>565.54055999999991</v>
      </c>
      <c r="E210" s="83">
        <f>(1.86*1.22)*10.764</f>
        <v>24.4256688</v>
      </c>
      <c r="F210" s="83">
        <f>D210+E210</f>
        <v>589.96622879999995</v>
      </c>
      <c r="G210" s="83">
        <v>0</v>
      </c>
      <c r="H210" s="83">
        <f>F210*(($H$156)+1)+(IF(G210&lt;101,G210,IF(G210&lt;201,G210/2,IF(G210&lt;=301,G210/3,G210/4))))</f>
        <v>884.94934319999993</v>
      </c>
      <c r="I210" s="33"/>
      <c r="N210" s="33"/>
    </row>
    <row r="211" spans="1:14" s="84" customFormat="1" x14ac:dyDescent="0.25">
      <c r="A211" s="106">
        <f t="shared" ref="A211:A221" si="23">A210+1</f>
        <v>5</v>
      </c>
      <c r="B211" s="108"/>
      <c r="C211" s="83" t="s">
        <v>381</v>
      </c>
      <c r="D211" s="83">
        <f>(36.89)*10.764</f>
        <v>397.08395999999999</v>
      </c>
      <c r="E211" s="83">
        <v>0</v>
      </c>
      <c r="F211" s="83">
        <f>D211+E211</f>
        <v>397.08395999999999</v>
      </c>
      <c r="G211" s="83">
        <v>0</v>
      </c>
      <c r="H211" s="83">
        <f>F211*(($H$156)+1)+(IF(G211&lt;101,G211,IF(G211&lt;201,G211/2,IF(G211&lt;=301,G211/3,G211/4))))</f>
        <v>595.62594000000001</v>
      </c>
      <c r="I211" s="33"/>
      <c r="N211" s="33"/>
    </row>
    <row r="212" spans="1:14" s="84" customFormat="1" x14ac:dyDescent="0.25">
      <c r="A212" s="106">
        <f t="shared" si="23"/>
        <v>6</v>
      </c>
      <c r="B212" s="108"/>
      <c r="C212" s="83" t="s">
        <v>381</v>
      </c>
      <c r="D212" s="83">
        <f>(36.89)*10.764</f>
        <v>397.08395999999999</v>
      </c>
      <c r="E212" s="83">
        <v>0</v>
      </c>
      <c r="F212" s="83">
        <f t="shared" ref="F212:F221" si="24">D212+E212</f>
        <v>397.08395999999999</v>
      </c>
      <c r="G212" s="83">
        <v>0</v>
      </c>
      <c r="H212" s="83">
        <f t="shared" ref="H212:H221" si="25">F212*(($H$156)+1)+(IF(G212&lt;101,G212,IF(G212&lt;201,G212/2,IF(G212&lt;=301,G212/3,G212/4))))</f>
        <v>595.62594000000001</v>
      </c>
      <c r="I212" s="33"/>
      <c r="N212" s="33"/>
    </row>
    <row r="213" spans="1:14" s="84" customFormat="1" x14ac:dyDescent="0.25">
      <c r="A213" s="106">
        <f t="shared" si="23"/>
        <v>7</v>
      </c>
      <c r="B213" s="108"/>
      <c r="C213" s="83" t="s">
        <v>381</v>
      </c>
      <c r="D213" s="83">
        <f>(36.89)*10.764</f>
        <v>397.08395999999999</v>
      </c>
      <c r="E213" s="83">
        <v>0</v>
      </c>
      <c r="F213" s="83">
        <f t="shared" si="24"/>
        <v>397.08395999999999</v>
      </c>
      <c r="G213" s="83">
        <v>0</v>
      </c>
      <c r="H213" s="83">
        <f t="shared" si="25"/>
        <v>595.62594000000001</v>
      </c>
      <c r="I213" s="33"/>
      <c r="N213" s="33"/>
    </row>
    <row r="214" spans="1:14" s="84" customFormat="1" ht="15.75" customHeight="1" x14ac:dyDescent="0.25">
      <c r="A214" s="106">
        <f t="shared" si="23"/>
        <v>8</v>
      </c>
      <c r="B214" s="108"/>
      <c r="C214" s="83" t="s">
        <v>381</v>
      </c>
      <c r="D214" s="83">
        <f>(36.89)*10.764</f>
        <v>397.08395999999999</v>
      </c>
      <c r="E214" s="83">
        <v>0</v>
      </c>
      <c r="F214" s="83">
        <f t="shared" si="24"/>
        <v>397.08395999999999</v>
      </c>
      <c r="G214" s="83">
        <v>0</v>
      </c>
      <c r="H214" s="83">
        <f t="shared" si="25"/>
        <v>595.62594000000001</v>
      </c>
      <c r="I214" s="33"/>
      <c r="N214" s="33"/>
    </row>
    <row r="215" spans="1:14" s="84" customFormat="1" x14ac:dyDescent="0.25">
      <c r="A215" s="106">
        <f t="shared" si="23"/>
        <v>9</v>
      </c>
      <c r="B215" s="108"/>
      <c r="C215" s="83" t="s">
        <v>381</v>
      </c>
      <c r="D215" s="83">
        <f>(36.89)*10.764</f>
        <v>397.08395999999999</v>
      </c>
      <c r="E215" s="83">
        <v>0</v>
      </c>
      <c r="F215" s="83">
        <f t="shared" si="24"/>
        <v>397.08395999999999</v>
      </c>
      <c r="G215" s="83">
        <v>0</v>
      </c>
      <c r="H215" s="83">
        <f t="shared" si="25"/>
        <v>595.62594000000001</v>
      </c>
      <c r="I215" s="33"/>
      <c r="N215" s="33"/>
    </row>
    <row r="216" spans="1:14" s="84" customFormat="1" x14ac:dyDescent="0.25">
      <c r="A216" s="106">
        <f t="shared" si="23"/>
        <v>10</v>
      </c>
      <c r="B216" s="108"/>
      <c r="C216" s="106" t="s">
        <v>389</v>
      </c>
      <c r="D216" s="107"/>
      <c r="E216" s="107"/>
      <c r="F216" s="107"/>
      <c r="G216" s="107"/>
      <c r="H216" s="108"/>
      <c r="I216" s="33"/>
      <c r="N216" s="33"/>
    </row>
    <row r="217" spans="1:14" s="84" customFormat="1" x14ac:dyDescent="0.25">
      <c r="A217" s="106">
        <f t="shared" si="23"/>
        <v>11</v>
      </c>
      <c r="B217" s="108"/>
      <c r="C217" s="83" t="s">
        <v>381</v>
      </c>
      <c r="D217" s="83">
        <f>(41.9)*10.764</f>
        <v>451.01159999999993</v>
      </c>
      <c r="E217" s="83">
        <f>(1.55*1)*10.764</f>
        <v>16.684200000000001</v>
      </c>
      <c r="F217" s="83">
        <f t="shared" si="24"/>
        <v>467.69579999999991</v>
      </c>
      <c r="G217" s="83">
        <v>0</v>
      </c>
      <c r="H217" s="83">
        <f t="shared" si="25"/>
        <v>701.54369999999983</v>
      </c>
      <c r="I217" s="33"/>
      <c r="N217" s="33"/>
    </row>
    <row r="218" spans="1:14" s="84" customFormat="1" x14ac:dyDescent="0.25">
      <c r="A218" s="106">
        <f t="shared" si="23"/>
        <v>12</v>
      </c>
      <c r="B218" s="108"/>
      <c r="C218" s="83" t="s">
        <v>381</v>
      </c>
      <c r="D218" s="83">
        <f>(36.89)*10.764</f>
        <v>397.08395999999999</v>
      </c>
      <c r="E218" s="83">
        <f>(1.55*1)*10.764</f>
        <v>16.684200000000001</v>
      </c>
      <c r="F218" s="83">
        <f t="shared" si="24"/>
        <v>413.76815999999997</v>
      </c>
      <c r="G218" s="83">
        <v>0</v>
      </c>
      <c r="H218" s="83">
        <f t="shared" si="25"/>
        <v>620.65223999999989</v>
      </c>
      <c r="I218" s="33"/>
      <c r="N218" s="33"/>
    </row>
    <row r="219" spans="1:14" s="84" customFormat="1" x14ac:dyDescent="0.25">
      <c r="A219" s="106">
        <f t="shared" si="23"/>
        <v>13</v>
      </c>
      <c r="B219" s="108"/>
      <c r="C219" s="83" t="s">
        <v>381</v>
      </c>
      <c r="D219" s="83">
        <f>(36.89)*10.764</f>
        <v>397.08395999999999</v>
      </c>
      <c r="E219" s="83">
        <f>(1.55*1)*10.764</f>
        <v>16.684200000000001</v>
      </c>
      <c r="F219" s="83">
        <f t="shared" si="24"/>
        <v>413.76815999999997</v>
      </c>
      <c r="G219" s="83">
        <v>0</v>
      </c>
      <c r="H219" s="83">
        <f t="shared" si="25"/>
        <v>620.65223999999989</v>
      </c>
      <c r="I219" s="33"/>
      <c r="N219" s="33"/>
    </row>
    <row r="220" spans="1:14" s="84" customFormat="1" x14ac:dyDescent="0.25">
      <c r="A220" s="106">
        <f t="shared" si="23"/>
        <v>14</v>
      </c>
      <c r="B220" s="108"/>
      <c r="C220" s="83" t="s">
        <v>383</v>
      </c>
      <c r="D220" s="83">
        <f>(78.32)*10.764</f>
        <v>843.03647999999987</v>
      </c>
      <c r="E220" s="83">
        <f>(4.85*1.22+1.38*1.72)*10.764</f>
        <v>89.240018399999983</v>
      </c>
      <c r="F220" s="83">
        <f t="shared" si="24"/>
        <v>932.27649839999981</v>
      </c>
      <c r="G220" s="83">
        <v>0</v>
      </c>
      <c r="H220" s="83">
        <f t="shared" si="25"/>
        <v>1398.4147475999998</v>
      </c>
      <c r="I220" s="33"/>
      <c r="N220" s="33"/>
    </row>
    <row r="221" spans="1:14" s="84" customFormat="1" x14ac:dyDescent="0.25">
      <c r="A221" s="106">
        <f t="shared" si="23"/>
        <v>15</v>
      </c>
      <c r="B221" s="108"/>
      <c r="C221" s="83" t="s">
        <v>381</v>
      </c>
      <c r="D221" s="83">
        <f>(36.89)*10.764</f>
        <v>397.08395999999999</v>
      </c>
      <c r="E221" s="83">
        <f>(1.55*1)*10.764</f>
        <v>16.684200000000001</v>
      </c>
      <c r="F221" s="83">
        <f t="shared" si="24"/>
        <v>413.76815999999997</v>
      </c>
      <c r="G221" s="83">
        <v>0</v>
      </c>
      <c r="H221" s="83">
        <f t="shared" si="25"/>
        <v>620.65223999999989</v>
      </c>
      <c r="I221" s="33"/>
      <c r="N221" s="33"/>
    </row>
    <row r="222" spans="1:14" s="84" customFormat="1" x14ac:dyDescent="0.25">
      <c r="A222" s="148" t="s">
        <v>390</v>
      </c>
      <c r="B222" s="149"/>
      <c r="C222" s="149"/>
      <c r="D222" s="149"/>
      <c r="E222" s="149"/>
      <c r="F222" s="149"/>
      <c r="G222" s="149"/>
      <c r="H222" s="150"/>
      <c r="J222" s="33"/>
    </row>
    <row r="223" spans="1:14" s="84" customFormat="1" ht="33" customHeight="1" x14ac:dyDescent="0.25">
      <c r="A223" s="148" t="s">
        <v>411</v>
      </c>
      <c r="B223" s="149"/>
      <c r="C223" s="149"/>
      <c r="D223" s="149"/>
      <c r="E223" s="149"/>
      <c r="F223" s="149"/>
      <c r="G223" s="149"/>
      <c r="H223" s="150"/>
      <c r="J223" s="33"/>
      <c r="L223" s="83">
        <v>10.763999999999999</v>
      </c>
    </row>
    <row r="224" spans="1:14" s="84" customFormat="1" ht="15.75" customHeight="1" x14ac:dyDescent="0.25">
      <c r="A224" s="106">
        <v>1</v>
      </c>
      <c r="B224" s="108"/>
      <c r="C224" s="130" t="s">
        <v>406</v>
      </c>
      <c r="D224" s="131"/>
      <c r="E224" s="131"/>
      <c r="F224" s="131"/>
      <c r="G224" s="131"/>
      <c r="H224" s="132"/>
      <c r="I224" s="33"/>
      <c r="L224" s="105"/>
      <c r="M224" s="105"/>
      <c r="N224" s="33"/>
    </row>
    <row r="225" spans="1:20" s="84" customFormat="1" ht="15.75" customHeight="1" x14ac:dyDescent="0.25">
      <c r="A225" s="106">
        <f>A224+1</f>
        <v>2</v>
      </c>
      <c r="B225" s="108"/>
      <c r="C225" s="133"/>
      <c r="D225" s="134"/>
      <c r="E225" s="134"/>
      <c r="F225" s="134"/>
      <c r="G225" s="134"/>
      <c r="H225" s="135"/>
      <c r="I225" s="33"/>
      <c r="L225" s="105"/>
      <c r="M225" s="105"/>
      <c r="N225" s="33"/>
    </row>
    <row r="226" spans="1:20" s="84" customFormat="1" ht="15.75" customHeight="1" x14ac:dyDescent="0.25">
      <c r="A226" s="106">
        <f>A225+1</f>
        <v>3</v>
      </c>
      <c r="B226" s="108"/>
      <c r="C226" s="133"/>
      <c r="D226" s="134"/>
      <c r="E226" s="134"/>
      <c r="F226" s="134"/>
      <c r="G226" s="134"/>
      <c r="H226" s="135"/>
      <c r="I226" s="33">
        <f>3.05*3.76+1.83*3.25+3.05*3.65+3.05*3.56+1.35*1.95+1.83*1.2+0.6*1.6+2.45*1.83+0.78*2.24+1.05*2.2+1.6*1.05+1.6*0.6</f>
        <v>56.375199999999992</v>
      </c>
      <c r="L226" s="105"/>
      <c r="M226" s="105"/>
      <c r="N226" s="33"/>
    </row>
    <row r="227" spans="1:20" s="84" customFormat="1" ht="15.75" customHeight="1" x14ac:dyDescent="0.25">
      <c r="A227" s="106">
        <f>A226+1</f>
        <v>4</v>
      </c>
      <c r="B227" s="108"/>
      <c r="C227" s="136"/>
      <c r="D227" s="137"/>
      <c r="E227" s="137"/>
      <c r="F227" s="137"/>
      <c r="G227" s="137"/>
      <c r="H227" s="138"/>
      <c r="I227" s="33"/>
      <c r="L227" s="105"/>
      <c r="M227" s="105"/>
      <c r="N227" s="33"/>
      <c r="T227" s="18"/>
    </row>
    <row r="228" spans="1:20" s="84" customFormat="1" ht="15.75" customHeight="1" x14ac:dyDescent="0.25">
      <c r="A228" s="106">
        <f t="shared" ref="A228:A233" si="26">A227+1</f>
        <v>5</v>
      </c>
      <c r="B228" s="108"/>
      <c r="C228" s="83" t="s">
        <v>381</v>
      </c>
      <c r="D228" s="83">
        <f>(41.9)*10.764</f>
        <v>451.01159999999993</v>
      </c>
      <c r="E228" s="83">
        <f>(1.55*1)*10.764</f>
        <v>16.684200000000001</v>
      </c>
      <c r="F228" s="83">
        <f t="shared" ref="F228:F231" si="27">D228+E228</f>
        <v>467.69579999999991</v>
      </c>
      <c r="G228" s="83">
        <v>0</v>
      </c>
      <c r="H228" s="83">
        <f t="shared" ref="H228:H231" si="28">F228*(($H$156)+1)+(IF(G228&lt;101,G228,IF(G228&lt;201,G228/2,IF(G228&lt;=301,G228/3,G228/4))))</f>
        <v>701.54369999999983</v>
      </c>
      <c r="I228" s="33"/>
      <c r="L228" s="105"/>
      <c r="M228" s="105"/>
      <c r="N228" s="33"/>
      <c r="T228" s="18"/>
    </row>
    <row r="229" spans="1:20" s="84" customFormat="1" ht="15.75" customHeight="1" x14ac:dyDescent="0.25">
      <c r="A229" s="106">
        <f t="shared" si="26"/>
        <v>6</v>
      </c>
      <c r="B229" s="108"/>
      <c r="C229" s="106" t="s">
        <v>407</v>
      </c>
      <c r="D229" s="107"/>
      <c r="E229" s="107"/>
      <c r="F229" s="107"/>
      <c r="G229" s="107"/>
      <c r="H229" s="108"/>
      <c r="I229" s="33"/>
      <c r="L229" s="105"/>
      <c r="M229" s="105"/>
      <c r="N229" s="33"/>
      <c r="T229" s="18"/>
    </row>
    <row r="230" spans="1:20" s="84" customFormat="1" ht="15.75" customHeight="1" x14ac:dyDescent="0.25">
      <c r="A230" s="106">
        <f t="shared" si="26"/>
        <v>7</v>
      </c>
      <c r="B230" s="108"/>
      <c r="C230" s="83" t="s">
        <v>381</v>
      </c>
      <c r="D230" s="83">
        <f>(36.89)*10.764</f>
        <v>397.08395999999999</v>
      </c>
      <c r="E230" s="83">
        <f>(1.55*1)*10.764</f>
        <v>16.684200000000001</v>
      </c>
      <c r="F230" s="83">
        <f t="shared" si="27"/>
        <v>413.76815999999997</v>
      </c>
      <c r="G230" s="83">
        <v>0</v>
      </c>
      <c r="H230" s="83">
        <f t="shared" si="28"/>
        <v>620.65223999999989</v>
      </c>
      <c r="I230" s="33"/>
      <c r="L230" s="105"/>
      <c r="M230" s="105"/>
      <c r="N230" s="33"/>
      <c r="T230" s="18"/>
    </row>
    <row r="231" spans="1:20" s="84" customFormat="1" ht="15.75" customHeight="1" x14ac:dyDescent="0.25">
      <c r="A231" s="106">
        <f t="shared" si="26"/>
        <v>8</v>
      </c>
      <c r="B231" s="108"/>
      <c r="C231" s="83" t="s">
        <v>382</v>
      </c>
      <c r="D231" s="83">
        <f>(58.83)*10.764</f>
        <v>633.24611999999991</v>
      </c>
      <c r="E231" s="83">
        <f>(1.85*1.23)*10.764</f>
        <v>24.493482</v>
      </c>
      <c r="F231" s="83">
        <f t="shared" si="27"/>
        <v>657.73960199999988</v>
      </c>
      <c r="G231" s="83">
        <v>0</v>
      </c>
      <c r="H231" s="83">
        <f t="shared" si="28"/>
        <v>986.60940299999982</v>
      </c>
      <c r="I231" s="33"/>
      <c r="L231" s="105"/>
      <c r="M231" s="105"/>
      <c r="N231" s="33"/>
      <c r="T231" s="18"/>
    </row>
    <row r="232" spans="1:20" s="84" customFormat="1" ht="15.75" customHeight="1" x14ac:dyDescent="0.25">
      <c r="A232" s="106">
        <f t="shared" si="26"/>
        <v>9</v>
      </c>
      <c r="B232" s="108"/>
      <c r="C232" s="130" t="s">
        <v>408</v>
      </c>
      <c r="D232" s="131"/>
      <c r="E232" s="131"/>
      <c r="F232" s="131"/>
      <c r="G232" s="131"/>
      <c r="H232" s="132"/>
      <c r="I232" s="33"/>
      <c r="L232" s="105"/>
      <c r="M232" s="105"/>
      <c r="N232" s="33"/>
      <c r="T232" s="18"/>
    </row>
    <row r="233" spans="1:20" s="84" customFormat="1" ht="15.75" customHeight="1" x14ac:dyDescent="0.25">
      <c r="A233" s="106">
        <f t="shared" si="26"/>
        <v>10</v>
      </c>
      <c r="B233" s="108"/>
      <c r="C233" s="136"/>
      <c r="D233" s="137"/>
      <c r="E233" s="137"/>
      <c r="F233" s="137"/>
      <c r="G233" s="137"/>
      <c r="H233" s="138"/>
      <c r="I233" s="33"/>
      <c r="L233" s="105"/>
      <c r="M233" s="105"/>
      <c r="N233" s="33"/>
      <c r="T233" s="18"/>
    </row>
    <row r="234" spans="1:20" s="84" customFormat="1" x14ac:dyDescent="0.25">
      <c r="A234" s="139" t="s">
        <v>384</v>
      </c>
      <c r="B234" s="139"/>
      <c r="C234" s="139"/>
      <c r="D234" s="139"/>
      <c r="E234" s="139"/>
      <c r="F234" s="139"/>
      <c r="G234" s="139"/>
      <c r="H234" s="139"/>
      <c r="I234" s="33"/>
      <c r="L234" s="105"/>
      <c r="M234" s="105"/>
    </row>
    <row r="235" spans="1:20" s="84" customFormat="1" x14ac:dyDescent="0.25">
      <c r="A235" s="106">
        <v>1</v>
      </c>
      <c r="B235" s="108"/>
      <c r="C235" s="106" t="s">
        <v>386</v>
      </c>
      <c r="D235" s="107"/>
      <c r="E235" s="107"/>
      <c r="F235" s="107"/>
      <c r="G235" s="107"/>
      <c r="H235" s="108"/>
      <c r="I235" s="33">
        <f>2.75*3.16+1.83*2.55+3.05*2.9+1.95*1.35+1.35*1.2+1.93*1+1.6*0.9+0.6*1.6+0.48*1.34+2.15*1.83</f>
        <v>35.361699999999999</v>
      </c>
      <c r="N235" s="33"/>
    </row>
    <row r="236" spans="1:20" s="84" customFormat="1" x14ac:dyDescent="0.25">
      <c r="A236" s="106">
        <f>A235+1</f>
        <v>2</v>
      </c>
      <c r="B236" s="108"/>
      <c r="C236" s="83" t="s">
        <v>382</v>
      </c>
      <c r="D236" s="83">
        <f>(52.54)*10.764</f>
        <v>565.54055999999991</v>
      </c>
      <c r="E236" s="83">
        <f>(1.85*1.22)*10.764</f>
        <v>24.294347999999999</v>
      </c>
      <c r="F236" s="83">
        <f>D236+E236</f>
        <v>589.83490799999993</v>
      </c>
      <c r="G236" s="83">
        <v>0</v>
      </c>
      <c r="H236" s="83">
        <f>F236*(($H$156)+1)+(IF(G236&lt;101,G236,IF(G236&lt;201,G236/2,IF(G236&lt;=301,G236/3,G236/4))))</f>
        <v>884.75236199999995</v>
      </c>
      <c r="I236" s="33"/>
      <c r="K236" s="83">
        <v>10.763999999999999</v>
      </c>
      <c r="N236" s="33"/>
    </row>
    <row r="237" spans="1:20" s="84" customFormat="1" x14ac:dyDescent="0.25">
      <c r="A237" s="106">
        <f>A236+1</f>
        <v>3</v>
      </c>
      <c r="B237" s="108"/>
      <c r="C237" s="83" t="s">
        <v>382</v>
      </c>
      <c r="D237" s="83">
        <f>(58.83)*10.764</f>
        <v>633.24611999999991</v>
      </c>
      <c r="E237" s="83">
        <f>(1.85*1.22)*10.764</f>
        <v>24.294347999999999</v>
      </c>
      <c r="F237" s="83">
        <f>D237+E237</f>
        <v>657.54046799999992</v>
      </c>
      <c r="G237" s="83">
        <v>0</v>
      </c>
      <c r="H237" s="83">
        <f>F237*(($H$156)+1)+(IF(G237&lt;101,G237,IF(G237&lt;201,G237/2,IF(G237&lt;=301,G237/3,G237/4))))</f>
        <v>986.31070199999988</v>
      </c>
      <c r="I237" s="33"/>
      <c r="N237" s="33"/>
    </row>
    <row r="238" spans="1:20" s="84" customFormat="1" x14ac:dyDescent="0.25">
      <c r="A238" s="106">
        <f>A237+1</f>
        <v>4</v>
      </c>
      <c r="B238" s="108"/>
      <c r="C238" s="83" t="s">
        <v>381</v>
      </c>
      <c r="D238" s="83">
        <f>(36.89)*10.764</f>
        <v>397.08395999999999</v>
      </c>
      <c r="E238" s="83">
        <f>(1*1.55)*10.764</f>
        <v>16.684200000000001</v>
      </c>
      <c r="F238" s="83">
        <f>D238+E238</f>
        <v>413.76815999999997</v>
      </c>
      <c r="G238" s="83">
        <v>0</v>
      </c>
      <c r="H238" s="83">
        <f>F238*(($H$156)+1)+(IF(G238&lt;101,G238,IF(G238&lt;201,G238/2,IF(G238&lt;=301,G238/3,G238/4))))</f>
        <v>620.65223999999989</v>
      </c>
      <c r="I238" s="33"/>
      <c r="N238" s="33"/>
    </row>
    <row r="239" spans="1:20" s="84" customFormat="1" x14ac:dyDescent="0.25">
      <c r="A239" s="106">
        <f t="shared" ref="A239:A244" si="29">A238+1</f>
        <v>5</v>
      </c>
      <c r="B239" s="108"/>
      <c r="C239" s="83" t="s">
        <v>381</v>
      </c>
      <c r="D239" s="83">
        <f>(41.9)*10.764</f>
        <v>451.01159999999993</v>
      </c>
      <c r="E239" s="83">
        <f>(1.55*1)*10.764</f>
        <v>16.684200000000001</v>
      </c>
      <c r="F239" s="83">
        <f>D239+E239</f>
        <v>467.69579999999991</v>
      </c>
      <c r="G239" s="83">
        <v>0</v>
      </c>
      <c r="H239" s="83">
        <f>F239*(($H$156)+1)+(IF(G239&lt;101,G239,IF(G239&lt;201,G239/2,IF(G239&lt;=301,G239/3,G239/4))))</f>
        <v>701.54369999999983</v>
      </c>
      <c r="I239" s="33"/>
      <c r="N239" s="33"/>
    </row>
    <row r="240" spans="1:20" s="84" customFormat="1" x14ac:dyDescent="0.25">
      <c r="A240" s="106">
        <f t="shared" si="29"/>
        <v>6</v>
      </c>
      <c r="B240" s="108"/>
      <c r="C240" s="83" t="s">
        <v>381</v>
      </c>
      <c r="D240" s="83">
        <f>(36.89)*10.764</f>
        <v>397.08395999999999</v>
      </c>
      <c r="E240" s="83">
        <f>(1*1.55)*10.764</f>
        <v>16.684200000000001</v>
      </c>
      <c r="F240" s="83">
        <f t="shared" ref="F240:F241" si="30">D240+E240</f>
        <v>413.76815999999997</v>
      </c>
      <c r="G240" s="83">
        <v>0</v>
      </c>
      <c r="H240" s="83">
        <f t="shared" ref="H240:H241" si="31">F240*(($H$156)+1)+(IF(G240&lt;101,G240,IF(G240&lt;201,G240/2,IF(G240&lt;=301,G240/3,G240/4))))</f>
        <v>620.65223999999989</v>
      </c>
      <c r="I240" s="33"/>
      <c r="N240" s="33"/>
    </row>
    <row r="241" spans="1:14" s="84" customFormat="1" x14ac:dyDescent="0.25">
      <c r="A241" s="106">
        <f t="shared" si="29"/>
        <v>7</v>
      </c>
      <c r="B241" s="108"/>
      <c r="C241" s="83" t="s">
        <v>381</v>
      </c>
      <c r="D241" s="83">
        <f>(36.89)*10.764</f>
        <v>397.08395999999999</v>
      </c>
      <c r="E241" s="83">
        <f>(1.55*1)*10.764</f>
        <v>16.684200000000001</v>
      </c>
      <c r="F241" s="83">
        <f t="shared" si="30"/>
        <v>413.76815999999997</v>
      </c>
      <c r="G241" s="83">
        <v>0</v>
      </c>
      <c r="H241" s="83">
        <f t="shared" si="31"/>
        <v>620.65223999999989</v>
      </c>
      <c r="I241" s="33"/>
      <c r="N241" s="33"/>
    </row>
    <row r="242" spans="1:14" s="84" customFormat="1" ht="15.75" customHeight="1" x14ac:dyDescent="0.25">
      <c r="A242" s="106">
        <f t="shared" si="29"/>
        <v>8</v>
      </c>
      <c r="B242" s="108"/>
      <c r="C242" s="83" t="s">
        <v>382</v>
      </c>
      <c r="D242" s="83">
        <f>(58.83)*10.764</f>
        <v>633.24611999999991</v>
      </c>
      <c r="E242" s="83">
        <f>(1.85*1.23)*10.764</f>
        <v>24.493482</v>
      </c>
      <c r="F242" s="83">
        <f t="shared" ref="F242" si="32">D242+E242</f>
        <v>657.73960199999988</v>
      </c>
      <c r="G242" s="83">
        <v>0</v>
      </c>
      <c r="H242" s="83">
        <f t="shared" ref="H242" si="33">F242*(($H$156)+1)+(IF(G242&lt;101,G242,IF(G242&lt;201,G242/2,IF(G242&lt;=301,G242/3,G242/4))))</f>
        <v>986.60940299999982</v>
      </c>
      <c r="I242" s="33"/>
      <c r="N242" s="33"/>
    </row>
    <row r="243" spans="1:14" s="84" customFormat="1" x14ac:dyDescent="0.25">
      <c r="A243" s="106">
        <f t="shared" si="29"/>
        <v>9</v>
      </c>
      <c r="B243" s="108"/>
      <c r="C243" s="83" t="s">
        <v>382</v>
      </c>
      <c r="D243" s="83">
        <f>(52.54)*10.764</f>
        <v>565.54055999999991</v>
      </c>
      <c r="E243" s="83">
        <f>(1.85*1.22)*10.764</f>
        <v>24.294347999999999</v>
      </c>
      <c r="F243" s="83">
        <f t="shared" ref="F243:F244" si="34">D243+E243</f>
        <v>589.83490799999993</v>
      </c>
      <c r="G243" s="83">
        <v>0</v>
      </c>
      <c r="H243" s="83">
        <f t="shared" ref="H243:H244" si="35">F243*(($H$156)+1)+(IF(G243&lt;101,G243,IF(G243&lt;201,G243/2,IF(G243&lt;=301,G243/3,G243/4))))</f>
        <v>884.75236199999995</v>
      </c>
      <c r="I243" s="33"/>
      <c r="N243" s="33"/>
    </row>
    <row r="244" spans="1:14" s="84" customFormat="1" x14ac:dyDescent="0.25">
      <c r="A244" s="106">
        <f t="shared" si="29"/>
        <v>10</v>
      </c>
      <c r="B244" s="108"/>
      <c r="C244" s="83" t="s">
        <v>381</v>
      </c>
      <c r="D244" s="83">
        <f>(36.89)*10.764</f>
        <v>397.08395999999999</v>
      </c>
      <c r="E244" s="83">
        <f>(1*1.55)*10.764</f>
        <v>16.684200000000001</v>
      </c>
      <c r="F244" s="83">
        <f t="shared" si="34"/>
        <v>413.76815999999997</v>
      </c>
      <c r="G244" s="83">
        <v>0</v>
      </c>
      <c r="H244" s="83">
        <f t="shared" si="35"/>
        <v>620.65223999999989</v>
      </c>
      <c r="I244" s="33"/>
      <c r="N244" s="33"/>
    </row>
    <row r="245" spans="1:14" s="84" customFormat="1" x14ac:dyDescent="0.25">
      <c r="A245" s="139" t="s">
        <v>387</v>
      </c>
      <c r="B245" s="139"/>
      <c r="C245" s="139"/>
      <c r="D245" s="139"/>
      <c r="E245" s="139"/>
      <c r="F245" s="139"/>
      <c r="G245" s="139"/>
      <c r="H245" s="139"/>
      <c r="I245" s="33"/>
      <c r="L245" s="105"/>
      <c r="M245" s="105"/>
    </row>
    <row r="246" spans="1:14" s="84" customFormat="1" x14ac:dyDescent="0.25">
      <c r="A246" s="106">
        <v>1</v>
      </c>
      <c r="B246" s="108"/>
      <c r="C246" s="83" t="s">
        <v>381</v>
      </c>
      <c r="D246" s="83">
        <f>(36.89)*10.764</f>
        <v>397.08395999999999</v>
      </c>
      <c r="E246" s="83">
        <f>(1*1.55)*10.764</f>
        <v>16.684200000000001</v>
      </c>
      <c r="F246" s="83">
        <f>D246+E246</f>
        <v>413.76815999999997</v>
      </c>
      <c r="G246" s="83">
        <v>0</v>
      </c>
      <c r="H246" s="83">
        <f>F246*(($H$156)+1)+(IF(G246&lt;101,G246,IF(G246&lt;201,G246/2,IF(G246&lt;=301,G246/3,G246/4))))</f>
        <v>620.65223999999989</v>
      </c>
      <c r="I246" s="33">
        <f>2.75*3.16+1.83*2.55+3.05*2.9+1.95*1.35+1.35*1.2+1.93*1+1.6*0.9+0.6*1.6+0.48*1.34+2.15*1.83</f>
        <v>35.361699999999999</v>
      </c>
      <c r="N246" s="33"/>
    </row>
    <row r="247" spans="1:14" s="84" customFormat="1" x14ac:dyDescent="0.25">
      <c r="A247" s="106">
        <f>A246+1</f>
        <v>2</v>
      </c>
      <c r="B247" s="108"/>
      <c r="C247" s="83" t="s">
        <v>382</v>
      </c>
      <c r="D247" s="83">
        <f>(52.54)*10.764</f>
        <v>565.54055999999991</v>
      </c>
      <c r="E247" s="83">
        <f>(1.85*1.22)*10.764</f>
        <v>24.294347999999999</v>
      </c>
      <c r="F247" s="83">
        <f>D247+E247</f>
        <v>589.83490799999993</v>
      </c>
      <c r="G247" s="83">
        <v>0</v>
      </c>
      <c r="H247" s="83">
        <f>F247*(($H$156)+1)+(IF(G247&lt;101,G247,IF(G247&lt;201,G247/2,IF(G247&lt;=301,G247/3,G247/4))))</f>
        <v>884.75236199999995</v>
      </c>
      <c r="I247" s="33"/>
      <c r="N247" s="33"/>
    </row>
    <row r="248" spans="1:14" s="84" customFormat="1" x14ac:dyDescent="0.25">
      <c r="A248" s="106">
        <f>A247+1</f>
        <v>3</v>
      </c>
      <c r="B248" s="108"/>
      <c r="C248" s="83" t="s">
        <v>382</v>
      </c>
      <c r="D248" s="83">
        <f>(58.83)*10.764</f>
        <v>633.24611999999991</v>
      </c>
      <c r="E248" s="83">
        <f>(1.85*1.22)*10.764</f>
        <v>24.294347999999999</v>
      </c>
      <c r="F248" s="83">
        <f>D248+E248</f>
        <v>657.54046799999992</v>
      </c>
      <c r="G248" s="83">
        <v>0</v>
      </c>
      <c r="H248" s="83">
        <f>F248*(($H$156)+1)+(IF(G248&lt;101,G248,IF(G248&lt;201,G248/2,IF(G248&lt;=301,G248/3,G248/4))))</f>
        <v>986.31070199999988</v>
      </c>
      <c r="I248" s="33"/>
      <c r="N248" s="33"/>
    </row>
    <row r="249" spans="1:14" s="84" customFormat="1" x14ac:dyDescent="0.25">
      <c r="A249" s="106">
        <f>A248+1</f>
        <v>4</v>
      </c>
      <c r="B249" s="108"/>
      <c r="C249" s="83" t="s">
        <v>381</v>
      </c>
      <c r="D249" s="83">
        <f>(36.89)*10.764</f>
        <v>397.08395999999999</v>
      </c>
      <c r="E249" s="83">
        <f>(1*1.55)*10.764</f>
        <v>16.684200000000001</v>
      </c>
      <c r="F249" s="83">
        <f>D249+E249</f>
        <v>413.76815999999997</v>
      </c>
      <c r="G249" s="83">
        <v>0</v>
      </c>
      <c r="H249" s="83">
        <f>F249*(($H$156)+1)+(IF(G249&lt;101,G249,IF(G249&lt;201,G249/2,IF(G249&lt;=301,G249/3,G249/4))))</f>
        <v>620.65223999999989</v>
      </c>
      <c r="I249" s="33"/>
      <c r="N249" s="33"/>
    </row>
    <row r="250" spans="1:14" s="84" customFormat="1" x14ac:dyDescent="0.25">
      <c r="A250" s="106">
        <f t="shared" ref="A250:A255" si="36">A249+1</f>
        <v>5</v>
      </c>
      <c r="B250" s="108"/>
      <c r="C250" s="83" t="s">
        <v>381</v>
      </c>
      <c r="D250" s="83">
        <f>(41.9)*10.764</f>
        <v>451.01159999999993</v>
      </c>
      <c r="E250" s="83">
        <f>(1.55*1)*10.764</f>
        <v>16.684200000000001</v>
      </c>
      <c r="F250" s="83">
        <f>D250+E250</f>
        <v>467.69579999999991</v>
      </c>
      <c r="G250" s="83">
        <v>0</v>
      </c>
      <c r="H250" s="83">
        <f>F250*(($H$156)+1)+(IF(G250&lt;101,G250,IF(G250&lt;201,G250/2,IF(G250&lt;=301,G250/3,G250/4))))</f>
        <v>701.54369999999983</v>
      </c>
      <c r="I250" s="33"/>
      <c r="N250" s="33"/>
    </row>
    <row r="251" spans="1:14" s="84" customFormat="1" x14ac:dyDescent="0.25">
      <c r="A251" s="106">
        <f t="shared" si="36"/>
        <v>6</v>
      </c>
      <c r="B251" s="108"/>
      <c r="C251" s="83" t="s">
        <v>381</v>
      </c>
      <c r="D251" s="83">
        <f>(36.89)*10.764</f>
        <v>397.08395999999999</v>
      </c>
      <c r="E251" s="83">
        <f>(1*1.55)*10.764</f>
        <v>16.684200000000001</v>
      </c>
      <c r="F251" s="83">
        <f t="shared" ref="F251:F255" si="37">D251+E251</f>
        <v>413.76815999999997</v>
      </c>
      <c r="G251" s="83">
        <v>0</v>
      </c>
      <c r="H251" s="83">
        <f t="shared" ref="H251:H255" si="38">F251*(($H$156)+1)+(IF(G251&lt;101,G251,IF(G251&lt;201,G251/2,IF(G251&lt;=301,G251/3,G251/4))))</f>
        <v>620.65223999999989</v>
      </c>
      <c r="I251" s="33"/>
      <c r="N251" s="33"/>
    </row>
    <row r="252" spans="1:14" s="84" customFormat="1" x14ac:dyDescent="0.25">
      <c r="A252" s="106">
        <f t="shared" si="36"/>
        <v>7</v>
      </c>
      <c r="B252" s="108"/>
      <c r="C252" s="83" t="s">
        <v>381</v>
      </c>
      <c r="D252" s="83">
        <f>(36.89)*10.764</f>
        <v>397.08395999999999</v>
      </c>
      <c r="E252" s="83">
        <f>(1.55*1)*10.764</f>
        <v>16.684200000000001</v>
      </c>
      <c r="F252" s="83">
        <f t="shared" si="37"/>
        <v>413.76815999999997</v>
      </c>
      <c r="G252" s="83">
        <v>0</v>
      </c>
      <c r="H252" s="83">
        <f t="shared" si="38"/>
        <v>620.65223999999989</v>
      </c>
      <c r="I252" s="33"/>
      <c r="N252" s="33"/>
    </row>
    <row r="253" spans="1:14" s="84" customFormat="1" ht="15.75" customHeight="1" x14ac:dyDescent="0.25">
      <c r="A253" s="106">
        <f t="shared" si="36"/>
        <v>8</v>
      </c>
      <c r="B253" s="108"/>
      <c r="C253" s="83" t="s">
        <v>382</v>
      </c>
      <c r="D253" s="83">
        <f>(58.83)*10.764</f>
        <v>633.24611999999991</v>
      </c>
      <c r="E253" s="83">
        <f>(1.85*1.23)*10.764</f>
        <v>24.493482</v>
      </c>
      <c r="F253" s="83">
        <f t="shared" si="37"/>
        <v>657.73960199999988</v>
      </c>
      <c r="G253" s="83">
        <v>0</v>
      </c>
      <c r="H253" s="83">
        <f t="shared" si="38"/>
        <v>986.60940299999982</v>
      </c>
      <c r="I253" s="33"/>
      <c r="N253" s="33"/>
    </row>
    <row r="254" spans="1:14" s="84" customFormat="1" x14ac:dyDescent="0.25">
      <c r="A254" s="106">
        <f t="shared" si="36"/>
        <v>9</v>
      </c>
      <c r="B254" s="108"/>
      <c r="C254" s="83" t="s">
        <v>382</v>
      </c>
      <c r="D254" s="83">
        <f>(52.54)*10.764</f>
        <v>565.54055999999991</v>
      </c>
      <c r="E254" s="83">
        <f>(1.85*1.22)*10.764</f>
        <v>24.294347999999999</v>
      </c>
      <c r="F254" s="83">
        <f t="shared" si="37"/>
        <v>589.83490799999993</v>
      </c>
      <c r="G254" s="83">
        <v>0</v>
      </c>
      <c r="H254" s="83">
        <f t="shared" si="38"/>
        <v>884.75236199999995</v>
      </c>
      <c r="I254" s="33"/>
      <c r="N254" s="33"/>
    </row>
    <row r="255" spans="1:14" s="84" customFormat="1" x14ac:dyDescent="0.25">
      <c r="A255" s="106">
        <f t="shared" si="36"/>
        <v>10</v>
      </c>
      <c r="B255" s="108"/>
      <c r="C255" s="83" t="s">
        <v>381</v>
      </c>
      <c r="D255" s="83">
        <f>(36.89)*10.764</f>
        <v>397.08395999999999</v>
      </c>
      <c r="E255" s="83">
        <f>(1*1.55)*10.764</f>
        <v>16.684200000000001</v>
      </c>
      <c r="F255" s="83">
        <f t="shared" si="37"/>
        <v>413.76815999999997</v>
      </c>
      <c r="G255" s="83">
        <v>0</v>
      </c>
      <c r="H255" s="83">
        <f t="shared" si="38"/>
        <v>620.65223999999989</v>
      </c>
      <c r="I255" s="33"/>
      <c r="N255" s="33"/>
    </row>
    <row r="256" spans="1:14" s="84" customFormat="1" x14ac:dyDescent="0.25">
      <c r="A256" s="139" t="s">
        <v>388</v>
      </c>
      <c r="B256" s="139"/>
      <c r="C256" s="139"/>
      <c r="D256" s="139"/>
      <c r="E256" s="139"/>
      <c r="F256" s="139"/>
      <c r="G256" s="139"/>
      <c r="H256" s="139"/>
      <c r="I256" s="33"/>
      <c r="L256" s="105"/>
      <c r="M256" s="105"/>
    </row>
    <row r="257" spans="1:20" s="84" customFormat="1" x14ac:dyDescent="0.25">
      <c r="A257" s="106">
        <v>1</v>
      </c>
      <c r="B257" s="108"/>
      <c r="C257" s="106" t="s">
        <v>389</v>
      </c>
      <c r="D257" s="107"/>
      <c r="E257" s="107"/>
      <c r="F257" s="107"/>
      <c r="G257" s="107"/>
      <c r="H257" s="108"/>
      <c r="I257" s="33">
        <f>2.75*3.16+1.83*2.55+3.05*2.9+1.95*1.35+1.35*1.2+1.93*1+1.6*0.9+0.6*1.6+0.48*1.34+2.15*1.83</f>
        <v>35.361699999999999</v>
      </c>
      <c r="N257" s="33"/>
    </row>
    <row r="258" spans="1:20" s="84" customFormat="1" x14ac:dyDescent="0.25">
      <c r="A258" s="106">
        <f>A257+1</f>
        <v>2</v>
      </c>
      <c r="B258" s="108"/>
      <c r="C258" s="83" t="s">
        <v>382</v>
      </c>
      <c r="D258" s="83">
        <f>(52.54)*10.764</f>
        <v>565.54055999999991</v>
      </c>
      <c r="E258" s="83">
        <f>(1.85*1.22)*10.764</f>
        <v>24.294347999999999</v>
      </c>
      <c r="F258" s="83">
        <f>D258+E258</f>
        <v>589.83490799999993</v>
      </c>
      <c r="G258" s="83">
        <v>0</v>
      </c>
      <c r="H258" s="83">
        <f>F258*(($H$156)+1)+(IF(G258&lt;101,G258,IF(G258&lt;201,G258/2,IF(G258&lt;=301,G258/3,G258/4))))</f>
        <v>884.75236199999995</v>
      </c>
      <c r="I258" s="33"/>
      <c r="N258" s="33"/>
    </row>
    <row r="259" spans="1:20" s="84" customFormat="1" x14ac:dyDescent="0.25">
      <c r="A259" s="106">
        <f>A258+1</f>
        <v>3</v>
      </c>
      <c r="B259" s="108"/>
      <c r="C259" s="83" t="s">
        <v>382</v>
      </c>
      <c r="D259" s="83">
        <f>(58.83)*10.764</f>
        <v>633.24611999999991</v>
      </c>
      <c r="E259" s="83">
        <f>(1.85*1.22)*10.764</f>
        <v>24.294347999999999</v>
      </c>
      <c r="F259" s="83">
        <f>D259+E259</f>
        <v>657.54046799999992</v>
      </c>
      <c r="G259" s="83">
        <v>0</v>
      </c>
      <c r="H259" s="83">
        <f>F259*(($H$156)+1)+(IF(G259&lt;101,G259,IF(G259&lt;201,G259/2,IF(G259&lt;=301,G259/3,G259/4))))</f>
        <v>986.31070199999988</v>
      </c>
      <c r="I259" s="33"/>
      <c r="N259" s="33"/>
    </row>
    <row r="260" spans="1:20" s="84" customFormat="1" x14ac:dyDescent="0.25">
      <c r="A260" s="106">
        <f>A259+1</f>
        <v>4</v>
      </c>
      <c r="B260" s="108"/>
      <c r="C260" s="83" t="s">
        <v>381</v>
      </c>
      <c r="D260" s="83">
        <f>(36.89)*10.764</f>
        <v>397.08395999999999</v>
      </c>
      <c r="E260" s="83">
        <f>(1*1.55)*10.764</f>
        <v>16.684200000000001</v>
      </c>
      <c r="F260" s="83">
        <f>D260+E260</f>
        <v>413.76815999999997</v>
      </c>
      <c r="G260" s="83">
        <v>0</v>
      </c>
      <c r="H260" s="83">
        <f>F260*(($H$156)+1)+(IF(G260&lt;101,G260,IF(G260&lt;201,G260/2,IF(G260&lt;=301,G260/3,G260/4))))</f>
        <v>620.65223999999989</v>
      </c>
      <c r="I260" s="33"/>
      <c r="N260" s="33"/>
    </row>
    <row r="261" spans="1:20" s="84" customFormat="1" x14ac:dyDescent="0.25">
      <c r="A261" s="106">
        <f t="shared" ref="A261:A266" si="39">A260+1</f>
        <v>5</v>
      </c>
      <c r="B261" s="108"/>
      <c r="C261" s="83" t="s">
        <v>381</v>
      </c>
      <c r="D261" s="83">
        <f>(41.9)*10.764</f>
        <v>451.01159999999993</v>
      </c>
      <c r="E261" s="83">
        <f>(1.55*1)*10.764</f>
        <v>16.684200000000001</v>
      </c>
      <c r="F261" s="83">
        <f>D261+E261</f>
        <v>467.69579999999991</v>
      </c>
      <c r="G261" s="83">
        <v>0</v>
      </c>
      <c r="H261" s="83">
        <f>F261*(($H$156)+1)+(IF(G261&lt;101,G261,IF(G261&lt;201,G261/2,IF(G261&lt;=301,G261/3,G261/4))))</f>
        <v>701.54369999999983</v>
      </c>
      <c r="I261" s="33"/>
      <c r="N261" s="33"/>
    </row>
    <row r="262" spans="1:20" s="84" customFormat="1" x14ac:dyDescent="0.25">
      <c r="A262" s="106">
        <f t="shared" si="39"/>
        <v>6</v>
      </c>
      <c r="B262" s="108"/>
      <c r="C262" s="83" t="s">
        <v>381</v>
      </c>
      <c r="D262" s="83">
        <f>(36.89)*10.764</f>
        <v>397.08395999999999</v>
      </c>
      <c r="E262" s="83">
        <f>(1*1.55)*10.764</f>
        <v>16.684200000000001</v>
      </c>
      <c r="F262" s="83">
        <f t="shared" ref="F262:F265" si="40">D262+E262</f>
        <v>413.76815999999997</v>
      </c>
      <c r="G262" s="83">
        <v>0</v>
      </c>
      <c r="H262" s="83">
        <f t="shared" ref="H262:H265" si="41">F262*(($H$156)+1)+(IF(G262&lt;101,G262,IF(G262&lt;201,G262/2,IF(G262&lt;=301,G262/3,G262/4))))</f>
        <v>620.65223999999989</v>
      </c>
      <c r="I262" s="33"/>
      <c r="N262" s="33"/>
    </row>
    <row r="263" spans="1:20" s="84" customFormat="1" x14ac:dyDescent="0.25">
      <c r="A263" s="106">
        <f t="shared" si="39"/>
        <v>7</v>
      </c>
      <c r="B263" s="108"/>
      <c r="C263" s="83" t="s">
        <v>381</v>
      </c>
      <c r="D263" s="83">
        <f>(36.89)*10.764</f>
        <v>397.08395999999999</v>
      </c>
      <c r="E263" s="83">
        <f>(1.55*1)*10.764</f>
        <v>16.684200000000001</v>
      </c>
      <c r="F263" s="83">
        <f t="shared" si="40"/>
        <v>413.76815999999997</v>
      </c>
      <c r="G263" s="83">
        <v>0</v>
      </c>
      <c r="H263" s="83">
        <f t="shared" si="41"/>
        <v>620.65223999999989</v>
      </c>
      <c r="I263" s="33"/>
      <c r="N263" s="33"/>
    </row>
    <row r="264" spans="1:20" s="84" customFormat="1" ht="15.75" customHeight="1" x14ac:dyDescent="0.25">
      <c r="A264" s="106">
        <f t="shared" si="39"/>
        <v>8</v>
      </c>
      <c r="B264" s="108"/>
      <c r="C264" s="83" t="s">
        <v>382</v>
      </c>
      <c r="D264" s="83">
        <f>(58.83)*10.764</f>
        <v>633.24611999999991</v>
      </c>
      <c r="E264" s="83">
        <f>(1.85*1.23)*10.764</f>
        <v>24.493482</v>
      </c>
      <c r="F264" s="83">
        <f t="shared" si="40"/>
        <v>657.73960199999988</v>
      </c>
      <c r="G264" s="83">
        <v>0</v>
      </c>
      <c r="H264" s="83">
        <f t="shared" si="41"/>
        <v>986.60940299999982</v>
      </c>
      <c r="I264" s="33"/>
      <c r="N264" s="33"/>
    </row>
    <row r="265" spans="1:20" s="84" customFormat="1" x14ac:dyDescent="0.25">
      <c r="A265" s="106">
        <f t="shared" si="39"/>
        <v>9</v>
      </c>
      <c r="B265" s="108"/>
      <c r="C265" s="83" t="s">
        <v>382</v>
      </c>
      <c r="D265" s="83">
        <f>(52.54)*10.764</f>
        <v>565.54055999999991</v>
      </c>
      <c r="E265" s="83">
        <f>(1.85*1.22)*10.764</f>
        <v>24.294347999999999</v>
      </c>
      <c r="F265" s="83">
        <f t="shared" si="40"/>
        <v>589.83490799999993</v>
      </c>
      <c r="G265" s="83">
        <v>0</v>
      </c>
      <c r="H265" s="83">
        <f t="shared" si="41"/>
        <v>884.75236199999995</v>
      </c>
      <c r="I265" s="33"/>
      <c r="N265" s="33"/>
    </row>
    <row r="266" spans="1:20" s="84" customFormat="1" x14ac:dyDescent="0.25">
      <c r="A266" s="106">
        <f t="shared" si="39"/>
        <v>10</v>
      </c>
      <c r="B266" s="108"/>
      <c r="C266" s="83" t="s">
        <v>381</v>
      </c>
      <c r="D266" s="83">
        <f>(36.89)*10.764</f>
        <v>397.08395999999999</v>
      </c>
      <c r="E266" s="83">
        <f>(1*1.55)*10.764</f>
        <v>16.684200000000001</v>
      </c>
      <c r="F266" s="83">
        <f t="shared" ref="F266" si="42">D266+E266</f>
        <v>413.76815999999997</v>
      </c>
      <c r="G266" s="83">
        <v>0</v>
      </c>
      <c r="H266" s="83">
        <f t="shared" ref="H266" si="43">F266*(($H$156)+1)+(IF(G266&lt;101,G266,IF(G266&lt;201,G266/2,IF(G266&lt;=301,G266/3,G266/4))))</f>
        <v>620.65223999999989</v>
      </c>
      <c r="I266" s="33"/>
      <c r="N266" s="33"/>
    </row>
    <row r="267" spans="1:20" s="89" customFormat="1" x14ac:dyDescent="0.25">
      <c r="A267" s="148" t="s">
        <v>404</v>
      </c>
      <c r="B267" s="149"/>
      <c r="C267" s="149"/>
      <c r="D267" s="149"/>
      <c r="E267" s="149"/>
      <c r="F267" s="149"/>
      <c r="G267" s="149"/>
      <c r="H267" s="150"/>
      <c r="J267" s="33"/>
    </row>
    <row r="268" spans="1:20" s="89" customFormat="1" ht="33" customHeight="1" x14ac:dyDescent="0.25">
      <c r="A268" s="148" t="s">
        <v>409</v>
      </c>
      <c r="B268" s="149"/>
      <c r="C268" s="149"/>
      <c r="D268" s="149"/>
      <c r="E268" s="149"/>
      <c r="F268" s="149"/>
      <c r="G268" s="149"/>
      <c r="H268" s="150"/>
      <c r="J268" s="33"/>
      <c r="L268" s="83">
        <v>10.763999999999999</v>
      </c>
    </row>
    <row r="269" spans="1:20" s="89" customFormat="1" ht="15.75" customHeight="1" x14ac:dyDescent="0.25">
      <c r="A269" s="106">
        <v>1</v>
      </c>
      <c r="B269" s="108"/>
      <c r="C269" s="83" t="s">
        <v>381</v>
      </c>
      <c r="D269" s="83">
        <f>(36.89)*10.764</f>
        <v>397.08395999999999</v>
      </c>
      <c r="E269" s="83">
        <f>(1.55*1)*10.764</f>
        <v>16.684200000000001</v>
      </c>
      <c r="F269" s="83">
        <f t="shared" ref="F269:F270" si="44">D269+E269</f>
        <v>413.76815999999997</v>
      </c>
      <c r="G269" s="83">
        <v>0</v>
      </c>
      <c r="H269" s="83">
        <f t="shared" ref="H269:H270" si="45">F269*(($H$156)+1)+(IF(G269&lt;101,G269,IF(G269&lt;201,G269/2,IF(G269&lt;=301,G269/3,G269/4))))</f>
        <v>620.65223999999989</v>
      </c>
      <c r="I269" s="33"/>
      <c r="L269" s="105"/>
      <c r="M269" s="105"/>
      <c r="N269" s="33"/>
    </row>
    <row r="270" spans="1:20" s="89" customFormat="1" ht="15.75" customHeight="1" x14ac:dyDescent="0.25">
      <c r="A270" s="106">
        <f>A269+1</f>
        <v>2</v>
      </c>
      <c r="B270" s="108"/>
      <c r="C270" s="83" t="s">
        <v>381</v>
      </c>
      <c r="D270" s="83">
        <f>(41.9)*10.764</f>
        <v>451.01159999999993</v>
      </c>
      <c r="E270" s="83">
        <f>(1.55*1)*10.764</f>
        <v>16.684200000000001</v>
      </c>
      <c r="F270" s="83">
        <f t="shared" si="44"/>
        <v>467.69579999999991</v>
      </c>
      <c r="G270" s="83">
        <v>0</v>
      </c>
      <c r="H270" s="83">
        <f t="shared" si="45"/>
        <v>701.54369999999983</v>
      </c>
      <c r="I270" s="33"/>
      <c r="L270" s="105"/>
      <c r="M270" s="105"/>
      <c r="N270" s="33"/>
    </row>
    <row r="271" spans="1:20" s="89" customFormat="1" ht="15.75" customHeight="1" x14ac:dyDescent="0.25">
      <c r="A271" s="106">
        <f>A270+1</f>
        <v>3</v>
      </c>
      <c r="B271" s="108"/>
      <c r="C271" s="130" t="s">
        <v>410</v>
      </c>
      <c r="D271" s="131"/>
      <c r="E271" s="131"/>
      <c r="F271" s="131"/>
      <c r="G271" s="131"/>
      <c r="H271" s="132"/>
      <c r="I271" s="33">
        <f>3.05*3.76+1.83*3.25+3.05*3.65+3.05*3.56+1.35*1.95+1.83*1.2+0.6*1.6+2.45*1.83+0.78*2.24+1.05*2.2+1.6*1.05+1.6*0.6</f>
        <v>56.375199999999992</v>
      </c>
      <c r="L271" s="105"/>
      <c r="M271" s="105"/>
      <c r="N271" s="33"/>
    </row>
    <row r="272" spans="1:20" s="89" customFormat="1" ht="15.75" customHeight="1" x14ac:dyDescent="0.25">
      <c r="A272" s="106">
        <f>A271+1</f>
        <v>4</v>
      </c>
      <c r="B272" s="108"/>
      <c r="C272" s="133"/>
      <c r="D272" s="134"/>
      <c r="E272" s="134"/>
      <c r="F272" s="134"/>
      <c r="G272" s="134"/>
      <c r="H272" s="135"/>
      <c r="I272" s="33"/>
      <c r="L272" s="105"/>
      <c r="M272" s="105"/>
      <c r="N272" s="33"/>
      <c r="T272" s="18"/>
    </row>
    <row r="273" spans="1:20" s="89" customFormat="1" ht="15.75" customHeight="1" x14ac:dyDescent="0.25">
      <c r="A273" s="106">
        <f t="shared" ref="A273:A277" si="46">A272+1</f>
        <v>5</v>
      </c>
      <c r="B273" s="108"/>
      <c r="C273" s="133"/>
      <c r="D273" s="134"/>
      <c r="E273" s="134"/>
      <c r="F273" s="134"/>
      <c r="G273" s="134"/>
      <c r="H273" s="135"/>
      <c r="I273" s="33"/>
      <c r="L273" s="105"/>
      <c r="M273" s="105"/>
      <c r="N273" s="33"/>
      <c r="T273" s="18"/>
    </row>
    <row r="274" spans="1:20" s="89" customFormat="1" ht="15.75" customHeight="1" x14ac:dyDescent="0.25">
      <c r="A274" s="106">
        <f t="shared" si="46"/>
        <v>6</v>
      </c>
      <c r="B274" s="108"/>
      <c r="C274" s="133"/>
      <c r="D274" s="134"/>
      <c r="E274" s="134"/>
      <c r="F274" s="134"/>
      <c r="G274" s="134"/>
      <c r="H274" s="135"/>
      <c r="I274" s="33"/>
      <c r="L274" s="105"/>
      <c r="M274" s="105"/>
      <c r="N274" s="33"/>
      <c r="T274" s="18"/>
    </row>
    <row r="275" spans="1:20" s="89" customFormat="1" ht="15.75" customHeight="1" x14ac:dyDescent="0.25">
      <c r="A275" s="106">
        <f t="shared" si="46"/>
        <v>7</v>
      </c>
      <c r="B275" s="108"/>
      <c r="C275" s="133"/>
      <c r="D275" s="134"/>
      <c r="E275" s="134"/>
      <c r="F275" s="134"/>
      <c r="G275" s="134"/>
      <c r="H275" s="135"/>
      <c r="I275" s="33"/>
      <c r="L275" s="105"/>
      <c r="M275" s="105"/>
      <c r="N275" s="33"/>
      <c r="T275" s="18"/>
    </row>
    <row r="276" spans="1:20" s="89" customFormat="1" ht="15.75" customHeight="1" x14ac:dyDescent="0.25">
      <c r="A276" s="106">
        <f t="shared" si="46"/>
        <v>8</v>
      </c>
      <c r="B276" s="108"/>
      <c r="C276" s="133"/>
      <c r="D276" s="134"/>
      <c r="E276" s="134"/>
      <c r="F276" s="134"/>
      <c r="G276" s="134"/>
      <c r="H276" s="135"/>
      <c r="I276" s="33"/>
      <c r="L276" s="105"/>
      <c r="M276" s="105"/>
      <c r="N276" s="33"/>
      <c r="T276" s="18"/>
    </row>
    <row r="277" spans="1:20" s="89" customFormat="1" ht="15.75" customHeight="1" x14ac:dyDescent="0.25">
      <c r="A277" s="106">
        <f t="shared" si="46"/>
        <v>9</v>
      </c>
      <c r="B277" s="108"/>
      <c r="C277" s="136"/>
      <c r="D277" s="137"/>
      <c r="E277" s="137"/>
      <c r="F277" s="137"/>
      <c r="G277" s="137"/>
      <c r="H277" s="138"/>
      <c r="I277" s="33"/>
      <c r="L277" s="105"/>
      <c r="M277" s="105"/>
      <c r="N277" s="33"/>
      <c r="T277" s="18"/>
    </row>
    <row r="278" spans="1:20" s="89" customFormat="1" x14ac:dyDescent="0.25">
      <c r="A278" s="139" t="s">
        <v>384</v>
      </c>
      <c r="B278" s="139"/>
      <c r="C278" s="139"/>
      <c r="D278" s="139"/>
      <c r="E278" s="139"/>
      <c r="F278" s="139"/>
      <c r="G278" s="139"/>
      <c r="H278" s="139"/>
      <c r="I278" s="33"/>
      <c r="L278" s="105"/>
      <c r="M278" s="105"/>
    </row>
    <row r="279" spans="1:20" s="89" customFormat="1" ht="15.75" customHeight="1" x14ac:dyDescent="0.25">
      <c r="A279" s="106">
        <v>1</v>
      </c>
      <c r="B279" s="108"/>
      <c r="C279" s="83" t="s">
        <v>381</v>
      </c>
      <c r="D279" s="83">
        <f>(36.89)*10.764</f>
        <v>397.08395999999999</v>
      </c>
      <c r="E279" s="83">
        <f>(1.55*1)*10.764</f>
        <v>16.684200000000001</v>
      </c>
      <c r="F279" s="83">
        <f t="shared" ref="F279:F287" si="47">D279+E279</f>
        <v>413.76815999999997</v>
      </c>
      <c r="G279" s="83">
        <v>0</v>
      </c>
      <c r="H279" s="83">
        <f t="shared" ref="H279:H285" si="48">F279*(($H$156)+1)+(IF(G279&lt;101,G279,IF(G279&lt;201,G279/2,IF(G279&lt;=301,G279/3,G279/4))))</f>
        <v>620.65223999999989</v>
      </c>
      <c r="I279" s="33">
        <f>2.75*3.16+1.83*2.55+3.05*2.9+1.95*1.35+1.35*1.2+1.93*1+1.6*0.9+0.6*1.6+0.48*1.34+2.15*1.83</f>
        <v>35.361699999999999</v>
      </c>
      <c r="N279" s="33"/>
    </row>
    <row r="280" spans="1:20" s="89" customFormat="1" x14ac:dyDescent="0.25">
      <c r="A280" s="106">
        <f>A279+1</f>
        <v>2</v>
      </c>
      <c r="B280" s="108"/>
      <c r="C280" s="83" t="s">
        <v>381</v>
      </c>
      <c r="D280" s="83">
        <f>(41.9)*10.764</f>
        <v>451.01159999999993</v>
      </c>
      <c r="E280" s="83">
        <f>(1.55*1)*10.764</f>
        <v>16.684200000000001</v>
      </c>
      <c r="F280" s="83">
        <f t="shared" si="47"/>
        <v>467.69579999999991</v>
      </c>
      <c r="G280" s="83">
        <v>0</v>
      </c>
      <c r="H280" s="83">
        <f t="shared" si="48"/>
        <v>701.54369999999983</v>
      </c>
      <c r="I280" s="33"/>
      <c r="K280" s="83">
        <v>10.763999999999999</v>
      </c>
      <c r="N280" s="33"/>
    </row>
    <row r="281" spans="1:20" s="89" customFormat="1" x14ac:dyDescent="0.25">
      <c r="A281" s="106">
        <f>A280+1</f>
        <v>3</v>
      </c>
      <c r="B281" s="108"/>
      <c r="C281" s="83" t="s">
        <v>381</v>
      </c>
      <c r="D281" s="83">
        <f>(38.01)*10.764</f>
        <v>409.13963999999993</v>
      </c>
      <c r="E281" s="83">
        <f>(1*1.55)*10.764</f>
        <v>16.684200000000001</v>
      </c>
      <c r="F281" s="83">
        <f t="shared" si="47"/>
        <v>425.8238399999999</v>
      </c>
      <c r="G281" s="83">
        <v>0</v>
      </c>
      <c r="H281" s="83">
        <f t="shared" si="48"/>
        <v>638.7357599999998</v>
      </c>
      <c r="I281" s="33"/>
      <c r="N281" s="33"/>
    </row>
    <row r="282" spans="1:20" s="89" customFormat="1" x14ac:dyDescent="0.25">
      <c r="A282" s="106">
        <f>A281+1</f>
        <v>4</v>
      </c>
      <c r="B282" s="108"/>
      <c r="C282" s="83" t="s">
        <v>381</v>
      </c>
      <c r="D282" s="83">
        <f>(36.89)*10.764</f>
        <v>397.08395999999999</v>
      </c>
      <c r="E282" s="83">
        <v>0</v>
      </c>
      <c r="F282" s="83">
        <f t="shared" si="47"/>
        <v>397.08395999999999</v>
      </c>
      <c r="G282" s="83">
        <v>0</v>
      </c>
      <c r="H282" s="83">
        <f t="shared" si="48"/>
        <v>595.62594000000001</v>
      </c>
      <c r="I282" s="33"/>
      <c r="N282" s="33"/>
    </row>
    <row r="283" spans="1:20" s="89" customFormat="1" x14ac:dyDescent="0.25">
      <c r="A283" s="106">
        <f t="shared" ref="A283:A287" si="49">A282+1</f>
        <v>5</v>
      </c>
      <c r="B283" s="108"/>
      <c r="C283" s="83" t="s">
        <v>381</v>
      </c>
      <c r="D283" s="83">
        <f>(36.89)*10.764</f>
        <v>397.08395999999999</v>
      </c>
      <c r="E283" s="83">
        <v>0</v>
      </c>
      <c r="F283" s="83">
        <f t="shared" si="47"/>
        <v>397.08395999999999</v>
      </c>
      <c r="G283" s="83">
        <v>0</v>
      </c>
      <c r="H283" s="83">
        <f t="shared" si="48"/>
        <v>595.62594000000001</v>
      </c>
      <c r="I283" s="33"/>
      <c r="N283" s="33"/>
    </row>
    <row r="284" spans="1:20" s="89" customFormat="1" x14ac:dyDescent="0.25">
      <c r="A284" s="106">
        <f t="shared" si="49"/>
        <v>6</v>
      </c>
      <c r="B284" s="108"/>
      <c r="C284" s="83" t="s">
        <v>381</v>
      </c>
      <c r="D284" s="83">
        <f>(36.89)*10.764</f>
        <v>397.08395999999999</v>
      </c>
      <c r="E284" s="83">
        <f>(1.55*1)*10.764</f>
        <v>16.684200000000001</v>
      </c>
      <c r="F284" s="83">
        <f t="shared" si="47"/>
        <v>413.76815999999997</v>
      </c>
      <c r="G284" s="83">
        <v>0</v>
      </c>
      <c r="H284" s="83">
        <f t="shared" si="48"/>
        <v>620.65223999999989</v>
      </c>
      <c r="I284" s="33"/>
      <c r="N284" s="33"/>
    </row>
    <row r="285" spans="1:20" s="89" customFormat="1" x14ac:dyDescent="0.25">
      <c r="A285" s="106">
        <f t="shared" si="49"/>
        <v>7</v>
      </c>
      <c r="B285" s="108"/>
      <c r="C285" s="83" t="s">
        <v>382</v>
      </c>
      <c r="D285" s="83">
        <f>(52.54)*10.764</f>
        <v>565.54055999999991</v>
      </c>
      <c r="E285" s="83">
        <f>(1.85*1.22)*10.764</f>
        <v>24.294347999999999</v>
      </c>
      <c r="F285" s="83">
        <f t="shared" si="47"/>
        <v>589.83490799999993</v>
      </c>
      <c r="G285" s="83">
        <v>0</v>
      </c>
      <c r="H285" s="83">
        <f t="shared" si="48"/>
        <v>884.75236199999995</v>
      </c>
      <c r="I285" s="33"/>
      <c r="N285" s="33"/>
    </row>
    <row r="286" spans="1:20" s="89" customFormat="1" ht="15.75" customHeight="1" x14ac:dyDescent="0.25">
      <c r="A286" s="106">
        <f t="shared" si="49"/>
        <v>8</v>
      </c>
      <c r="B286" s="108"/>
      <c r="C286" s="106" t="s">
        <v>413</v>
      </c>
      <c r="D286" s="107"/>
      <c r="E286" s="107"/>
      <c r="F286" s="107"/>
      <c r="G286" s="107"/>
      <c r="H286" s="108"/>
      <c r="I286" s="33"/>
      <c r="N286" s="33"/>
    </row>
    <row r="287" spans="1:20" s="89" customFormat="1" x14ac:dyDescent="0.25">
      <c r="A287" s="106">
        <f t="shared" si="49"/>
        <v>9</v>
      </c>
      <c r="B287" s="108"/>
      <c r="C287" s="83" t="s">
        <v>381</v>
      </c>
      <c r="D287" s="83">
        <f>(41.9)*10.764</f>
        <v>451.01159999999993</v>
      </c>
      <c r="E287" s="83">
        <f>(1.55*1)*10.764</f>
        <v>16.684200000000001</v>
      </c>
      <c r="F287" s="83">
        <f t="shared" si="47"/>
        <v>467.69579999999991</v>
      </c>
      <c r="G287" s="83">
        <v>0</v>
      </c>
      <c r="H287" s="83">
        <f>F287*(($H$156)+1)+(IF(G287&lt;101,G287,IF(G287&lt;201,G287/2,IF(G287&lt;=301,G287/3,G287/4))))</f>
        <v>701.54369999999983</v>
      </c>
      <c r="I287" s="33"/>
      <c r="N287" s="33"/>
    </row>
    <row r="288" spans="1:20" s="89" customFormat="1" x14ac:dyDescent="0.25">
      <c r="A288" s="139" t="s">
        <v>387</v>
      </c>
      <c r="B288" s="139"/>
      <c r="C288" s="139"/>
      <c r="D288" s="139"/>
      <c r="E288" s="139"/>
      <c r="F288" s="139"/>
      <c r="G288" s="139"/>
      <c r="H288" s="139"/>
      <c r="I288" s="33"/>
      <c r="L288" s="105"/>
      <c r="M288" s="105"/>
    </row>
    <row r="289" spans="1:14" s="89" customFormat="1" x14ac:dyDescent="0.25">
      <c r="A289" s="106">
        <v>1</v>
      </c>
      <c r="B289" s="108"/>
      <c r="C289" s="83" t="s">
        <v>381</v>
      </c>
      <c r="D289" s="83">
        <f>(36.89)*10.764</f>
        <v>397.08395999999999</v>
      </c>
      <c r="E289" s="83">
        <f>(1.55*1)*10.764</f>
        <v>16.684200000000001</v>
      </c>
      <c r="F289" s="83">
        <f t="shared" ref="F289:F297" si="50">D289+E289</f>
        <v>413.76815999999997</v>
      </c>
      <c r="G289" s="83">
        <v>0</v>
      </c>
      <c r="H289" s="83">
        <f t="shared" ref="H289:H297" si="51">F289*(($H$156)+1)+(IF(G289&lt;101,G289,IF(G289&lt;201,G289/2,IF(G289&lt;=301,G289/3,G289/4))))</f>
        <v>620.65223999999989</v>
      </c>
      <c r="I289" s="33">
        <f>2.75*3.16+1.83*2.55+3.05*2.9+1.95*1.35+1.35*1.2+1.93*1+1.6*0.9+0.6*1.6+0.48*1.34+2.15*1.83</f>
        <v>35.361699999999999</v>
      </c>
      <c r="N289" s="33"/>
    </row>
    <row r="290" spans="1:14" s="89" customFormat="1" x14ac:dyDescent="0.25">
      <c r="A290" s="106">
        <f>A289+1</f>
        <v>2</v>
      </c>
      <c r="B290" s="108"/>
      <c r="C290" s="83" t="s">
        <v>381</v>
      </c>
      <c r="D290" s="83">
        <f>(41.9)*10.764</f>
        <v>451.01159999999993</v>
      </c>
      <c r="E290" s="83">
        <f>(1.55*1)*10.764</f>
        <v>16.684200000000001</v>
      </c>
      <c r="F290" s="83">
        <f t="shared" si="50"/>
        <v>467.69579999999991</v>
      </c>
      <c r="G290" s="83">
        <v>0</v>
      </c>
      <c r="H290" s="83">
        <f t="shared" si="51"/>
        <v>701.54369999999983</v>
      </c>
      <c r="I290" s="33"/>
      <c r="N290" s="33"/>
    </row>
    <row r="291" spans="1:14" s="89" customFormat="1" x14ac:dyDescent="0.25">
      <c r="A291" s="106">
        <f>A290+1</f>
        <v>3</v>
      </c>
      <c r="B291" s="108"/>
      <c r="C291" s="83" t="s">
        <v>381</v>
      </c>
      <c r="D291" s="83">
        <f>(38.01)*10.764</f>
        <v>409.13963999999993</v>
      </c>
      <c r="E291" s="83">
        <f>(1*1.55)*10.764</f>
        <v>16.684200000000001</v>
      </c>
      <c r="F291" s="83">
        <f t="shared" si="50"/>
        <v>425.8238399999999</v>
      </c>
      <c r="G291" s="83">
        <v>0</v>
      </c>
      <c r="H291" s="83">
        <f t="shared" si="51"/>
        <v>638.7357599999998</v>
      </c>
      <c r="I291" s="33"/>
      <c r="N291" s="33"/>
    </row>
    <row r="292" spans="1:14" s="89" customFormat="1" x14ac:dyDescent="0.25">
      <c r="A292" s="106">
        <f>A291+1</f>
        <v>4</v>
      </c>
      <c r="B292" s="108"/>
      <c r="C292" s="83" t="s">
        <v>381</v>
      </c>
      <c r="D292" s="83">
        <f>(36.89)*10.764</f>
        <v>397.08395999999999</v>
      </c>
      <c r="E292" s="83">
        <v>0</v>
      </c>
      <c r="F292" s="83">
        <f t="shared" si="50"/>
        <v>397.08395999999999</v>
      </c>
      <c r="G292" s="83">
        <v>0</v>
      </c>
      <c r="H292" s="83">
        <f t="shared" si="51"/>
        <v>595.62594000000001</v>
      </c>
      <c r="I292" s="33"/>
      <c r="N292" s="33"/>
    </row>
    <row r="293" spans="1:14" s="89" customFormat="1" x14ac:dyDescent="0.25">
      <c r="A293" s="106">
        <f t="shared" ref="A293:A297" si="52">A292+1</f>
        <v>5</v>
      </c>
      <c r="B293" s="108"/>
      <c r="C293" s="83" t="s">
        <v>381</v>
      </c>
      <c r="D293" s="83">
        <f>(36.89)*10.764</f>
        <v>397.08395999999999</v>
      </c>
      <c r="E293" s="83">
        <v>0</v>
      </c>
      <c r="F293" s="83">
        <f t="shared" si="50"/>
        <v>397.08395999999999</v>
      </c>
      <c r="G293" s="83">
        <v>0</v>
      </c>
      <c r="H293" s="83">
        <f t="shared" si="51"/>
        <v>595.62594000000001</v>
      </c>
      <c r="I293" s="33"/>
      <c r="N293" s="33"/>
    </row>
    <row r="294" spans="1:14" s="89" customFormat="1" x14ac:dyDescent="0.25">
      <c r="A294" s="106">
        <f t="shared" si="52"/>
        <v>6</v>
      </c>
      <c r="B294" s="108"/>
      <c r="C294" s="83" t="s">
        <v>381</v>
      </c>
      <c r="D294" s="83">
        <f>(36.89)*10.764</f>
        <v>397.08395999999999</v>
      </c>
      <c r="E294" s="83">
        <f>(1.55*1)*10.764</f>
        <v>16.684200000000001</v>
      </c>
      <c r="F294" s="83">
        <f t="shared" si="50"/>
        <v>413.76815999999997</v>
      </c>
      <c r="G294" s="83">
        <v>0</v>
      </c>
      <c r="H294" s="83">
        <f t="shared" si="51"/>
        <v>620.65223999999989</v>
      </c>
      <c r="I294" s="33"/>
      <c r="N294" s="33"/>
    </row>
    <row r="295" spans="1:14" s="89" customFormat="1" x14ac:dyDescent="0.25">
      <c r="A295" s="106">
        <f t="shared" si="52"/>
        <v>7</v>
      </c>
      <c r="B295" s="108"/>
      <c r="C295" s="83" t="s">
        <v>382</v>
      </c>
      <c r="D295" s="83">
        <f>(52.54)*10.764</f>
        <v>565.54055999999991</v>
      </c>
      <c r="E295" s="83">
        <f>(1.85*1.22)*10.764</f>
        <v>24.294347999999999</v>
      </c>
      <c r="F295" s="83">
        <f t="shared" si="50"/>
        <v>589.83490799999993</v>
      </c>
      <c r="G295" s="83">
        <v>0</v>
      </c>
      <c r="H295" s="83">
        <f t="shared" si="51"/>
        <v>884.75236199999995</v>
      </c>
      <c r="I295" s="33"/>
      <c r="N295" s="33"/>
    </row>
    <row r="296" spans="1:14" s="89" customFormat="1" ht="15.75" customHeight="1" x14ac:dyDescent="0.25">
      <c r="A296" s="106">
        <f t="shared" si="52"/>
        <v>8</v>
      </c>
      <c r="B296" s="108"/>
      <c r="C296" s="83" t="s">
        <v>382</v>
      </c>
      <c r="D296" s="83">
        <f>(52.54)*10.764</f>
        <v>565.54055999999991</v>
      </c>
      <c r="E296" s="83">
        <f>(1.85*1.22)*10.764</f>
        <v>24.294347999999999</v>
      </c>
      <c r="F296" s="83">
        <f t="shared" si="50"/>
        <v>589.83490799999993</v>
      </c>
      <c r="G296" s="83">
        <v>0</v>
      </c>
      <c r="H296" s="83">
        <f t="shared" si="51"/>
        <v>884.75236199999995</v>
      </c>
      <c r="I296" s="33"/>
      <c r="N296" s="33"/>
    </row>
    <row r="297" spans="1:14" s="89" customFormat="1" x14ac:dyDescent="0.25">
      <c r="A297" s="106">
        <f t="shared" si="52"/>
        <v>9</v>
      </c>
      <c r="B297" s="108"/>
      <c r="C297" s="83" t="s">
        <v>381</v>
      </c>
      <c r="D297" s="83">
        <f>(41.9)*10.764</f>
        <v>451.01159999999993</v>
      </c>
      <c r="E297" s="83">
        <f>(1.55*1)*10.764</f>
        <v>16.684200000000001</v>
      </c>
      <c r="F297" s="83">
        <f t="shared" si="50"/>
        <v>467.69579999999991</v>
      </c>
      <c r="G297" s="83">
        <v>0</v>
      </c>
      <c r="H297" s="83">
        <f t="shared" si="51"/>
        <v>701.54369999999983</v>
      </c>
      <c r="I297" s="33"/>
      <c r="N297" s="33"/>
    </row>
    <row r="298" spans="1:14" s="89" customFormat="1" x14ac:dyDescent="0.25">
      <c r="A298" s="139" t="s">
        <v>388</v>
      </c>
      <c r="B298" s="139"/>
      <c r="C298" s="139"/>
      <c r="D298" s="139"/>
      <c r="E298" s="139"/>
      <c r="F298" s="139"/>
      <c r="G298" s="139"/>
      <c r="H298" s="139"/>
      <c r="I298" s="33"/>
      <c r="L298" s="105"/>
      <c r="M298" s="105"/>
    </row>
    <row r="299" spans="1:14" s="89" customFormat="1" x14ac:dyDescent="0.25">
      <c r="A299" s="106">
        <v>1</v>
      </c>
      <c r="B299" s="108"/>
      <c r="C299" s="83" t="s">
        <v>381</v>
      </c>
      <c r="D299" s="83">
        <f>(36.89)*10.764</f>
        <v>397.08395999999999</v>
      </c>
      <c r="E299" s="83">
        <f>(1.55*1)*10.764</f>
        <v>16.684200000000001</v>
      </c>
      <c r="F299" s="83">
        <f t="shared" ref="F299:F307" si="53">D299+E299</f>
        <v>413.76815999999997</v>
      </c>
      <c r="G299" s="83">
        <v>0</v>
      </c>
      <c r="H299" s="83">
        <f>F299*(($H$156)+1)+(IF(G299&lt;101,G299,IF(G299&lt;201,G299/2,IF(G299&lt;=301,G299/3,G299/4))))</f>
        <v>620.65223999999989</v>
      </c>
      <c r="I299" s="33">
        <f>2.75*3.16+1.83*2.55+3.05*2.9+1.95*1.35+1.35*1.2+1.93*1+1.6*0.9+0.6*1.6+0.48*1.34+2.15*1.83</f>
        <v>35.361699999999999</v>
      </c>
      <c r="N299" s="33"/>
    </row>
    <row r="300" spans="1:14" s="89" customFormat="1" x14ac:dyDescent="0.25">
      <c r="A300" s="106">
        <f>A299+1</f>
        <v>2</v>
      </c>
      <c r="B300" s="108"/>
      <c r="C300" s="83" t="s">
        <v>381</v>
      </c>
      <c r="D300" s="83">
        <f>(41.9)*10.764</f>
        <v>451.01159999999993</v>
      </c>
      <c r="E300" s="83">
        <f>(1.55*1)*10.764</f>
        <v>16.684200000000001</v>
      </c>
      <c r="F300" s="83">
        <f t="shared" si="53"/>
        <v>467.69579999999991</v>
      </c>
      <c r="G300" s="83">
        <v>0</v>
      </c>
      <c r="H300" s="83">
        <f>F300*(($H$156)+1)+(IF(G300&lt;101,G300,IF(G300&lt;201,G300/2,IF(G300&lt;=301,G300/3,G300/4))))</f>
        <v>701.54369999999983</v>
      </c>
      <c r="I300" s="33"/>
      <c r="N300" s="33"/>
    </row>
    <row r="301" spans="1:14" s="89" customFormat="1" x14ac:dyDescent="0.25">
      <c r="A301" s="106">
        <f>A300+1</f>
        <v>3</v>
      </c>
      <c r="B301" s="108"/>
      <c r="C301" s="83" t="s">
        <v>381</v>
      </c>
      <c r="D301" s="83">
        <f>(38.01)*10.764</f>
        <v>409.13963999999993</v>
      </c>
      <c r="E301" s="83">
        <f>(1*1.55)*10.764</f>
        <v>16.684200000000001</v>
      </c>
      <c r="F301" s="83">
        <f t="shared" si="53"/>
        <v>425.8238399999999</v>
      </c>
      <c r="G301" s="83">
        <v>0</v>
      </c>
      <c r="H301" s="83">
        <f>F301*(($H$156)+1)+(IF(G301&lt;101,G301,IF(G301&lt;201,G301/2,IF(G301&lt;=301,G301/3,G301/4))))</f>
        <v>638.7357599999998</v>
      </c>
      <c r="I301" s="33"/>
      <c r="N301" s="33"/>
    </row>
    <row r="302" spans="1:14" s="89" customFormat="1" x14ac:dyDescent="0.25">
      <c r="A302" s="106">
        <f>A301+1</f>
        <v>4</v>
      </c>
      <c r="B302" s="108"/>
      <c r="C302" s="83" t="s">
        <v>381</v>
      </c>
      <c r="D302" s="83">
        <f>(36.89)*10.764</f>
        <v>397.08395999999999</v>
      </c>
      <c r="E302" s="83">
        <v>0</v>
      </c>
      <c r="F302" s="83">
        <f t="shared" si="53"/>
        <v>397.08395999999999</v>
      </c>
      <c r="G302" s="83">
        <v>0</v>
      </c>
      <c r="H302" s="83">
        <f>F302*(($H$156)+1)+(IF(G302&lt;101,G302,IF(G302&lt;201,G302/2,IF(G302&lt;=301,G302/3,G302/4))))</f>
        <v>595.62594000000001</v>
      </c>
      <c r="I302" s="33"/>
      <c r="N302" s="33"/>
    </row>
    <row r="303" spans="1:14" s="89" customFormat="1" x14ac:dyDescent="0.25">
      <c r="A303" s="106">
        <f t="shared" ref="A303:A307" si="54">A302+1</f>
        <v>5</v>
      </c>
      <c r="B303" s="108"/>
      <c r="C303" s="106" t="s">
        <v>389</v>
      </c>
      <c r="D303" s="107"/>
      <c r="E303" s="107"/>
      <c r="F303" s="107"/>
      <c r="G303" s="107"/>
      <c r="H303" s="108"/>
      <c r="I303" s="33"/>
      <c r="N303" s="33"/>
    </row>
    <row r="304" spans="1:14" s="89" customFormat="1" x14ac:dyDescent="0.25">
      <c r="A304" s="106">
        <f t="shared" si="54"/>
        <v>6</v>
      </c>
      <c r="B304" s="108"/>
      <c r="C304" s="83" t="s">
        <v>381</v>
      </c>
      <c r="D304" s="83">
        <f>(36.89)*10.764</f>
        <v>397.08395999999999</v>
      </c>
      <c r="E304" s="83">
        <f>(1.55*1)*10.764</f>
        <v>16.684200000000001</v>
      </c>
      <c r="F304" s="83">
        <f t="shared" si="53"/>
        <v>413.76815999999997</v>
      </c>
      <c r="G304" s="83">
        <v>0</v>
      </c>
      <c r="H304" s="83">
        <f>F304*(($H$156)+1)+(IF(G304&lt;101,G304,IF(G304&lt;201,G304/2,IF(G304&lt;=301,G304/3,G304/4))))</f>
        <v>620.65223999999989</v>
      </c>
      <c r="I304" s="33"/>
      <c r="N304" s="33"/>
    </row>
    <row r="305" spans="1:20" s="89" customFormat="1" x14ac:dyDescent="0.25">
      <c r="A305" s="106">
        <f t="shared" si="54"/>
        <v>7</v>
      </c>
      <c r="B305" s="108"/>
      <c r="C305" s="83" t="s">
        <v>382</v>
      </c>
      <c r="D305" s="83">
        <f>(52.54)*10.764</f>
        <v>565.54055999999991</v>
      </c>
      <c r="E305" s="83">
        <f>(1.85*1.22)*10.764</f>
        <v>24.294347999999999</v>
      </c>
      <c r="F305" s="83">
        <f t="shared" si="53"/>
        <v>589.83490799999993</v>
      </c>
      <c r="G305" s="83">
        <v>0</v>
      </c>
      <c r="H305" s="83">
        <f>F305*(($H$156)+1)+(IF(G305&lt;101,G305,IF(G305&lt;201,G305/2,IF(G305&lt;=301,G305/3,G305/4))))</f>
        <v>884.75236199999995</v>
      </c>
      <c r="I305" s="33"/>
      <c r="N305" s="33"/>
    </row>
    <row r="306" spans="1:20" s="89" customFormat="1" ht="15.75" customHeight="1" x14ac:dyDescent="0.25">
      <c r="A306" s="106">
        <f t="shared" si="54"/>
        <v>8</v>
      </c>
      <c r="B306" s="108"/>
      <c r="C306" s="83" t="s">
        <v>382</v>
      </c>
      <c r="D306" s="83">
        <f>(52.54)*10.764</f>
        <v>565.54055999999991</v>
      </c>
      <c r="E306" s="83">
        <f>(1.85*1.22)*10.764</f>
        <v>24.294347999999999</v>
      </c>
      <c r="F306" s="83">
        <f t="shared" si="53"/>
        <v>589.83490799999993</v>
      </c>
      <c r="G306" s="83">
        <v>0</v>
      </c>
      <c r="H306" s="83">
        <f>F306*(($H$156)+1)+(IF(G306&lt;101,G306,IF(G306&lt;201,G306/2,IF(G306&lt;=301,G306/3,G306/4))))</f>
        <v>884.75236199999995</v>
      </c>
      <c r="I306" s="33"/>
      <c r="N306" s="33"/>
    </row>
    <row r="307" spans="1:20" s="89" customFormat="1" x14ac:dyDescent="0.25">
      <c r="A307" s="106">
        <f t="shared" si="54"/>
        <v>9</v>
      </c>
      <c r="B307" s="108"/>
      <c r="C307" s="83" t="s">
        <v>381</v>
      </c>
      <c r="D307" s="83">
        <f>(41.9)*10.764</f>
        <v>451.01159999999993</v>
      </c>
      <c r="E307" s="83">
        <f>(1.55*1)*10.764</f>
        <v>16.684200000000001</v>
      </c>
      <c r="F307" s="83">
        <f t="shared" si="53"/>
        <v>467.69579999999991</v>
      </c>
      <c r="G307" s="83">
        <v>0</v>
      </c>
      <c r="H307" s="83">
        <f>F307*(($H$156)+1)+(IF(G307&lt;101,G307,IF(G307&lt;201,G307/2,IF(G307&lt;=301,G307/3,G307/4))))</f>
        <v>701.54369999999983</v>
      </c>
      <c r="I307" s="33"/>
      <c r="N307" s="33"/>
    </row>
    <row r="308" spans="1:20" s="89" customFormat="1" x14ac:dyDescent="0.25">
      <c r="A308" s="106"/>
      <c r="B308" s="107"/>
      <c r="C308" s="107"/>
      <c r="D308" s="107"/>
      <c r="E308" s="107"/>
      <c r="F308" s="107"/>
      <c r="G308" s="107"/>
      <c r="H308" s="108"/>
      <c r="I308" s="33"/>
      <c r="N308" s="33"/>
    </row>
    <row r="309" spans="1:20" ht="47.25" customHeight="1" x14ac:dyDescent="0.25">
      <c r="A309" s="140" t="s">
        <v>416</v>
      </c>
      <c r="B309" s="142" t="s">
        <v>417</v>
      </c>
      <c r="C309" s="142" t="s">
        <v>55</v>
      </c>
      <c r="D309" s="144" t="s">
        <v>232</v>
      </c>
      <c r="E309" s="142" t="s">
        <v>418</v>
      </c>
      <c r="F309" s="142" t="s">
        <v>56</v>
      </c>
      <c r="G309" s="146" t="s">
        <v>57</v>
      </c>
      <c r="H309" s="90" t="s">
        <v>146</v>
      </c>
      <c r="I309" s="33"/>
      <c r="T309" s="89"/>
    </row>
    <row r="310" spans="1:20" s="89" customFormat="1" x14ac:dyDescent="0.25">
      <c r="A310" s="141"/>
      <c r="B310" s="143"/>
      <c r="C310" s="143"/>
      <c r="D310" s="145"/>
      <c r="E310" s="143"/>
      <c r="F310" s="143"/>
      <c r="G310" s="147"/>
      <c r="H310" s="94">
        <v>0.5</v>
      </c>
      <c r="I310" s="33"/>
    </row>
    <row r="311" spans="1:20" s="89" customFormat="1" x14ac:dyDescent="0.25">
      <c r="A311" s="148" t="s">
        <v>414</v>
      </c>
      <c r="B311" s="149"/>
      <c r="C311" s="149"/>
      <c r="D311" s="149"/>
      <c r="E311" s="149"/>
      <c r="F311" s="149"/>
      <c r="G311" s="149"/>
      <c r="H311" s="150"/>
      <c r="J311" s="33"/>
    </row>
    <row r="312" spans="1:20" s="89" customFormat="1" x14ac:dyDescent="0.25">
      <c r="A312" s="148" t="s">
        <v>415</v>
      </c>
      <c r="B312" s="149"/>
      <c r="C312" s="149"/>
      <c r="D312" s="149"/>
      <c r="E312" s="149"/>
      <c r="F312" s="149"/>
      <c r="G312" s="149"/>
      <c r="H312" s="150"/>
      <c r="J312" s="33"/>
      <c r="L312" s="83">
        <v>10.763999999999999</v>
      </c>
    </row>
    <row r="313" spans="1:20" s="89" customFormat="1" ht="15.75" customHeight="1" x14ac:dyDescent="0.25">
      <c r="A313" s="106">
        <v>1</v>
      </c>
      <c r="B313" s="108"/>
      <c r="C313" s="83" t="s">
        <v>383</v>
      </c>
      <c r="D313" s="83">
        <f t="shared" ref="D313:D322" si="55">((3.02*2.23+2.45*1.5+0.8*1.6+2.25*2.8+2.03*2.8+1.9*0.85+3.05*3.45+1*3.8+1.95*1.35+1.6*1.35+1.3*0.88+0.9*5.6)+(2.63*3.03+1.45*1.03+1*2.58+2.25*0.85+0.9*1.67+4.15*3.45+1*1.15+1.95*1.35+1.6*1.35+1.3*0.67))*10.764</f>
        <v>938.36784599999999</v>
      </c>
      <c r="E313" s="83">
        <f t="shared" ref="E313:E322" si="56">(3*1.38+2.03*0.77+1.78*3.53)*10.764</f>
        <v>129.02268599999999</v>
      </c>
      <c r="F313" s="83">
        <f>D313+E313</f>
        <v>1067.3905319999999</v>
      </c>
      <c r="G313" s="83">
        <f t="shared" ref="G313:G322" si="57">(2.03*1.43)*10.764</f>
        <v>31.246815599999994</v>
      </c>
      <c r="H313" s="83">
        <f>F313*(($H$310)+1)+(IF(G313&lt;101,G313,IF(G313&lt;201,G313/2,IF(G313&lt;=301,G313/3,G313/4))))</f>
        <v>1632.3326135999998</v>
      </c>
      <c r="I313" s="33"/>
      <c r="L313" s="105"/>
      <c r="M313" s="105"/>
      <c r="N313" s="33"/>
    </row>
    <row r="314" spans="1:20" s="89" customFormat="1" ht="15.75" customHeight="1" x14ac:dyDescent="0.25">
      <c r="A314" s="106">
        <f>A313+1</f>
        <v>2</v>
      </c>
      <c r="B314" s="108"/>
      <c r="C314" s="83" t="s">
        <v>383</v>
      </c>
      <c r="D314" s="83">
        <f t="shared" si="55"/>
        <v>938.36784599999999</v>
      </c>
      <c r="E314" s="83">
        <f t="shared" si="56"/>
        <v>129.02268599999999</v>
      </c>
      <c r="F314" s="83">
        <f t="shared" ref="F314:F322" si="58">D314+E314</f>
        <v>1067.3905319999999</v>
      </c>
      <c r="G314" s="83">
        <f t="shared" si="57"/>
        <v>31.246815599999994</v>
      </c>
      <c r="H314" s="83">
        <f>F314*(($H$310)+1)+(IF(G314&lt;101,G314,IF(G314&lt;201,G314/2,IF(G314&lt;=301,G314/3,G314/4))))</f>
        <v>1632.3326135999998</v>
      </c>
      <c r="I314" s="33"/>
      <c r="L314" s="105"/>
      <c r="M314" s="105"/>
      <c r="N314" s="33"/>
    </row>
    <row r="315" spans="1:20" s="89" customFormat="1" ht="15.75" customHeight="1" x14ac:dyDescent="0.25">
      <c r="A315" s="106">
        <f t="shared" ref="A315:A322" si="59">A314+1</f>
        <v>3</v>
      </c>
      <c r="B315" s="108"/>
      <c r="C315" s="83" t="s">
        <v>383</v>
      </c>
      <c r="D315" s="83">
        <f t="shared" si="55"/>
        <v>938.36784599999999</v>
      </c>
      <c r="E315" s="83">
        <f t="shared" si="56"/>
        <v>129.02268599999999</v>
      </c>
      <c r="F315" s="83">
        <f t="shared" si="58"/>
        <v>1067.3905319999999</v>
      </c>
      <c r="G315" s="83">
        <f t="shared" si="57"/>
        <v>31.246815599999994</v>
      </c>
      <c r="H315" s="83">
        <f t="shared" ref="H315:H322" si="60">F315*(($H$310)+1)+(IF(G315&lt;101,G315,IF(G315&lt;201,G315/2,IF(G315&lt;=301,G315/3,G315/4))))</f>
        <v>1632.3326135999998</v>
      </c>
      <c r="I315" s="33"/>
      <c r="L315" s="105"/>
      <c r="M315" s="105"/>
      <c r="N315" s="33"/>
    </row>
    <row r="316" spans="1:20" s="89" customFormat="1" ht="15.75" customHeight="1" x14ac:dyDescent="0.25">
      <c r="A316" s="106">
        <f t="shared" si="59"/>
        <v>4</v>
      </c>
      <c r="B316" s="108"/>
      <c r="C316" s="83" t="s">
        <v>383</v>
      </c>
      <c r="D316" s="83">
        <f t="shared" si="55"/>
        <v>938.36784599999999</v>
      </c>
      <c r="E316" s="83">
        <f t="shared" si="56"/>
        <v>129.02268599999999</v>
      </c>
      <c r="F316" s="83">
        <f t="shared" si="58"/>
        <v>1067.3905319999999</v>
      </c>
      <c r="G316" s="83">
        <f t="shared" si="57"/>
        <v>31.246815599999994</v>
      </c>
      <c r="H316" s="83">
        <f t="shared" si="60"/>
        <v>1632.3326135999998</v>
      </c>
      <c r="I316" s="33"/>
      <c r="L316" s="105"/>
      <c r="M316" s="105"/>
      <c r="N316" s="33"/>
    </row>
    <row r="317" spans="1:20" s="89" customFormat="1" ht="15.75" customHeight="1" x14ac:dyDescent="0.25">
      <c r="A317" s="106">
        <f t="shared" si="59"/>
        <v>5</v>
      </c>
      <c r="B317" s="108"/>
      <c r="C317" s="83" t="s">
        <v>383</v>
      </c>
      <c r="D317" s="83">
        <f t="shared" si="55"/>
        <v>938.36784599999999</v>
      </c>
      <c r="E317" s="83">
        <f t="shared" si="56"/>
        <v>129.02268599999999</v>
      </c>
      <c r="F317" s="83">
        <f t="shared" si="58"/>
        <v>1067.3905319999999</v>
      </c>
      <c r="G317" s="83">
        <f t="shared" si="57"/>
        <v>31.246815599999994</v>
      </c>
      <c r="H317" s="83">
        <f t="shared" si="60"/>
        <v>1632.3326135999998</v>
      </c>
      <c r="I317" s="33"/>
      <c r="L317" s="105"/>
      <c r="M317" s="105"/>
      <c r="N317" s="33"/>
    </row>
    <row r="318" spans="1:20" s="89" customFormat="1" ht="15.75" customHeight="1" x14ac:dyDescent="0.25">
      <c r="A318" s="106">
        <f t="shared" si="59"/>
        <v>6</v>
      </c>
      <c r="B318" s="108"/>
      <c r="C318" s="83" t="s">
        <v>383</v>
      </c>
      <c r="D318" s="83">
        <f t="shared" si="55"/>
        <v>938.36784599999999</v>
      </c>
      <c r="E318" s="83">
        <f t="shared" si="56"/>
        <v>129.02268599999999</v>
      </c>
      <c r="F318" s="83">
        <f t="shared" si="58"/>
        <v>1067.3905319999999</v>
      </c>
      <c r="G318" s="83">
        <f t="shared" si="57"/>
        <v>31.246815599999994</v>
      </c>
      <c r="H318" s="83">
        <f t="shared" si="60"/>
        <v>1632.3326135999998</v>
      </c>
      <c r="I318" s="33"/>
      <c r="L318" s="105"/>
      <c r="M318" s="105"/>
      <c r="N318" s="33"/>
    </row>
    <row r="319" spans="1:20" s="89" customFormat="1" ht="15.75" customHeight="1" x14ac:dyDescent="0.25">
      <c r="A319" s="106">
        <f t="shared" si="59"/>
        <v>7</v>
      </c>
      <c r="B319" s="108"/>
      <c r="C319" s="83" t="s">
        <v>383</v>
      </c>
      <c r="D319" s="83">
        <f t="shared" si="55"/>
        <v>938.36784599999999</v>
      </c>
      <c r="E319" s="83">
        <f t="shared" si="56"/>
        <v>129.02268599999999</v>
      </c>
      <c r="F319" s="83">
        <f t="shared" si="58"/>
        <v>1067.3905319999999</v>
      </c>
      <c r="G319" s="83">
        <f t="shared" si="57"/>
        <v>31.246815599999994</v>
      </c>
      <c r="H319" s="83">
        <f t="shared" si="60"/>
        <v>1632.3326135999998</v>
      </c>
      <c r="I319" s="33"/>
      <c r="L319" s="105"/>
      <c r="M319" s="105"/>
      <c r="N319" s="33"/>
    </row>
    <row r="320" spans="1:20" s="89" customFormat="1" ht="15.75" customHeight="1" x14ac:dyDescent="0.25">
      <c r="A320" s="106">
        <f t="shared" si="59"/>
        <v>8</v>
      </c>
      <c r="B320" s="108"/>
      <c r="C320" s="83" t="s">
        <v>383</v>
      </c>
      <c r="D320" s="83">
        <f t="shared" si="55"/>
        <v>938.36784599999999</v>
      </c>
      <c r="E320" s="83">
        <f t="shared" si="56"/>
        <v>129.02268599999999</v>
      </c>
      <c r="F320" s="83">
        <f t="shared" si="58"/>
        <v>1067.3905319999999</v>
      </c>
      <c r="G320" s="83">
        <f t="shared" si="57"/>
        <v>31.246815599999994</v>
      </c>
      <c r="H320" s="83">
        <f t="shared" si="60"/>
        <v>1632.3326135999998</v>
      </c>
      <c r="I320" s="33"/>
      <c r="L320" s="105"/>
      <c r="M320" s="105"/>
      <c r="N320" s="33"/>
    </row>
    <row r="321" spans="1:20" s="89" customFormat="1" ht="15.75" customHeight="1" x14ac:dyDescent="0.25">
      <c r="A321" s="106">
        <f t="shared" si="59"/>
        <v>9</v>
      </c>
      <c r="B321" s="108"/>
      <c r="C321" s="83" t="s">
        <v>383</v>
      </c>
      <c r="D321" s="83">
        <f t="shared" si="55"/>
        <v>938.36784599999999</v>
      </c>
      <c r="E321" s="83">
        <f t="shared" si="56"/>
        <v>129.02268599999999</v>
      </c>
      <c r="F321" s="83">
        <f t="shared" si="58"/>
        <v>1067.3905319999999</v>
      </c>
      <c r="G321" s="83">
        <f t="shared" si="57"/>
        <v>31.246815599999994</v>
      </c>
      <c r="H321" s="83">
        <f t="shared" si="60"/>
        <v>1632.3326135999998</v>
      </c>
      <c r="I321" s="33"/>
      <c r="L321" s="105"/>
      <c r="M321" s="105"/>
      <c r="N321" s="33"/>
    </row>
    <row r="322" spans="1:20" s="89" customFormat="1" ht="15.75" customHeight="1" x14ac:dyDescent="0.25">
      <c r="A322" s="106">
        <f t="shared" si="59"/>
        <v>10</v>
      </c>
      <c r="B322" s="108"/>
      <c r="C322" s="83" t="s">
        <v>383</v>
      </c>
      <c r="D322" s="83">
        <f t="shared" si="55"/>
        <v>938.36784599999999</v>
      </c>
      <c r="E322" s="83">
        <f t="shared" si="56"/>
        <v>129.02268599999999</v>
      </c>
      <c r="F322" s="83">
        <f t="shared" si="58"/>
        <v>1067.3905319999999</v>
      </c>
      <c r="G322" s="83">
        <f t="shared" si="57"/>
        <v>31.246815599999994</v>
      </c>
      <c r="H322" s="83">
        <f t="shared" si="60"/>
        <v>1632.3326135999998</v>
      </c>
      <c r="I322" s="33"/>
      <c r="L322" s="105"/>
      <c r="M322" s="105"/>
      <c r="N322" s="33"/>
    </row>
    <row r="323" spans="1:20" s="32" customFormat="1" x14ac:dyDescent="0.25">
      <c r="A323" s="254" t="s">
        <v>65</v>
      </c>
      <c r="B323" s="254"/>
      <c r="C323" s="254"/>
      <c r="D323" s="254"/>
      <c r="E323" s="254"/>
      <c r="F323" s="254"/>
      <c r="G323" s="254"/>
      <c r="H323" s="254"/>
      <c r="T323" s="34"/>
    </row>
    <row r="324" spans="1:20" s="32" customFormat="1" ht="33" customHeight="1" x14ac:dyDescent="0.25">
      <c r="A324" s="41" t="s">
        <v>150</v>
      </c>
      <c r="B324" s="235" t="s">
        <v>429</v>
      </c>
      <c r="C324" s="236"/>
      <c r="D324" s="236"/>
      <c r="E324" s="236"/>
      <c r="F324" s="236"/>
      <c r="G324" s="236"/>
      <c r="H324" s="237"/>
      <c r="T324" s="34"/>
    </row>
    <row r="325" spans="1:20" s="32" customFormat="1" x14ac:dyDescent="0.25">
      <c r="A325" s="41" t="s">
        <v>150</v>
      </c>
      <c r="B325" s="235" t="str">
        <f>(IF(H155="Saleable area Loading :","We have considered Saleable area of Flats as per our Calculation.","We considered Saleable area of Flat as per Builder area Sheet."))</f>
        <v>We have considered Saleable area of Flats as per our Calculation.</v>
      </c>
      <c r="C325" s="236"/>
      <c r="D325" s="236"/>
      <c r="E325" s="236"/>
      <c r="F325" s="236"/>
      <c r="G325" s="236"/>
      <c r="H325" s="237"/>
      <c r="T325" s="34"/>
    </row>
    <row r="326" spans="1:20" s="32" customFormat="1" x14ac:dyDescent="0.25">
      <c r="A326" s="41" t="s">
        <v>150</v>
      </c>
      <c r="B326" s="235" t="str">
        <f>(IF(H146="Saleable area Loading :","We have considered Saleable area of Commercial as per our Calculation.","We considered Saleable area of Commercial as per Builder area Sheet."))</f>
        <v>We have considered Saleable area of Commercial as per our Calculation.</v>
      </c>
      <c r="C326" s="236"/>
      <c r="D326" s="236"/>
      <c r="E326" s="236"/>
      <c r="F326" s="236"/>
      <c r="G326" s="236"/>
      <c r="H326" s="237"/>
      <c r="T326" s="34"/>
    </row>
    <row r="327" spans="1:20" s="32" customFormat="1" x14ac:dyDescent="0.25">
      <c r="A327" s="41" t="s">
        <v>150</v>
      </c>
      <c r="B327" s="97" t="s">
        <v>120</v>
      </c>
      <c r="C327" s="98"/>
      <c r="D327" s="98"/>
      <c r="E327" s="98"/>
      <c r="F327" s="98"/>
      <c r="G327" s="98"/>
      <c r="H327" s="99"/>
      <c r="T327" s="34"/>
    </row>
    <row r="328" spans="1:20" s="32" customFormat="1" ht="48" customHeight="1" x14ac:dyDescent="0.25">
      <c r="A328" s="41" t="s">
        <v>150</v>
      </c>
      <c r="B328" s="97" t="s">
        <v>421</v>
      </c>
      <c r="C328" s="98"/>
      <c r="D328" s="98"/>
      <c r="E328" s="98"/>
      <c r="F328" s="98"/>
      <c r="G328" s="98"/>
      <c r="H328" s="99"/>
      <c r="T328" s="34"/>
    </row>
    <row r="329" spans="1:20" s="32" customFormat="1" x14ac:dyDescent="0.25">
      <c r="A329" s="41" t="s">
        <v>150</v>
      </c>
      <c r="B329" s="97" t="s">
        <v>149</v>
      </c>
      <c r="C329" s="98"/>
      <c r="D329" s="98"/>
      <c r="E329" s="98"/>
      <c r="F329" s="98"/>
      <c r="G329" s="98"/>
      <c r="H329" s="99"/>
    </row>
    <row r="330" spans="1:20" s="32" customFormat="1" x14ac:dyDescent="0.25">
      <c r="A330" s="41" t="s">
        <v>150</v>
      </c>
      <c r="B330" s="97" t="s">
        <v>121</v>
      </c>
      <c r="C330" s="98"/>
      <c r="D330" s="98"/>
      <c r="E330" s="98"/>
      <c r="F330" s="98"/>
      <c r="G330" s="98"/>
      <c r="H330" s="99"/>
    </row>
    <row r="331" spans="1:20" s="32" customFormat="1" ht="34.5" customHeight="1" x14ac:dyDescent="0.25">
      <c r="A331" s="41" t="s">
        <v>150</v>
      </c>
      <c r="B331" s="97" t="s">
        <v>151</v>
      </c>
      <c r="C331" s="98"/>
      <c r="D331" s="98"/>
      <c r="E331" s="98"/>
      <c r="F331" s="98"/>
      <c r="G331" s="98"/>
      <c r="H331" s="99"/>
    </row>
    <row r="332" spans="1:20" s="32" customFormat="1" x14ac:dyDescent="0.25">
      <c r="A332" s="41" t="s">
        <v>150</v>
      </c>
      <c r="B332" s="97" t="s">
        <v>122</v>
      </c>
      <c r="C332" s="98"/>
      <c r="D332" s="98"/>
      <c r="E332" s="98"/>
      <c r="F332" s="98"/>
      <c r="G332" s="98"/>
      <c r="H332" s="99"/>
    </row>
    <row r="333" spans="1:20" s="32" customFormat="1" ht="32.25" hidden="1" customHeight="1" x14ac:dyDescent="0.25">
      <c r="A333" s="48" t="s">
        <v>150</v>
      </c>
      <c r="B333" s="155" t="s">
        <v>177</v>
      </c>
      <c r="C333" s="156"/>
      <c r="D333" s="156"/>
      <c r="E333" s="156"/>
      <c r="F333" s="156"/>
      <c r="G333" s="156"/>
      <c r="H333" s="157"/>
    </row>
    <row r="334" spans="1:20" s="32" customFormat="1" hidden="1" x14ac:dyDescent="0.25">
      <c r="A334" s="52" t="s">
        <v>150</v>
      </c>
      <c r="B334" s="155" t="s">
        <v>233</v>
      </c>
      <c r="C334" s="156"/>
      <c r="D334" s="156"/>
      <c r="E334" s="156"/>
      <c r="F334" s="156"/>
      <c r="G334" s="156"/>
      <c r="H334" s="157"/>
    </row>
    <row r="335" spans="1:20" s="32" customFormat="1" x14ac:dyDescent="0.25">
      <c r="A335" s="92" t="s">
        <v>150</v>
      </c>
      <c r="B335" s="97" t="s">
        <v>424</v>
      </c>
      <c r="C335" s="98"/>
      <c r="D335" s="98"/>
      <c r="E335" s="98"/>
      <c r="F335" s="98"/>
      <c r="G335" s="98"/>
      <c r="H335" s="99"/>
    </row>
    <row r="336" spans="1:20" s="32" customFormat="1" ht="36" customHeight="1" x14ac:dyDescent="0.25">
      <c r="A336" s="92" t="s">
        <v>150</v>
      </c>
      <c r="B336" s="97" t="s">
        <v>426</v>
      </c>
      <c r="C336" s="98"/>
      <c r="D336" s="98"/>
      <c r="E336" s="98"/>
      <c r="F336" s="98"/>
      <c r="G336" s="98"/>
      <c r="H336" s="99"/>
    </row>
    <row r="337" spans="1:20" s="32" customFormat="1" x14ac:dyDescent="0.25">
      <c r="A337" s="96" t="s">
        <v>150</v>
      </c>
      <c r="B337" s="97" t="s">
        <v>432</v>
      </c>
      <c r="C337" s="98"/>
      <c r="D337" s="98"/>
      <c r="E337" s="98"/>
      <c r="F337" s="98"/>
      <c r="G337" s="98"/>
      <c r="H337" s="99"/>
    </row>
    <row r="338" spans="1:20" x14ac:dyDescent="0.25">
      <c r="A338" s="217" t="s">
        <v>58</v>
      </c>
      <c r="B338" s="217"/>
      <c r="C338" s="217"/>
      <c r="D338" s="217"/>
      <c r="E338" s="217"/>
      <c r="F338" s="217"/>
      <c r="G338" s="217"/>
      <c r="H338" s="217"/>
      <c r="T338" s="32"/>
    </row>
    <row r="339" spans="1:20" x14ac:dyDescent="0.25">
      <c r="A339" s="153" t="s">
        <v>59</v>
      </c>
      <c r="B339" s="153"/>
      <c r="C339" s="153"/>
      <c r="D339" s="153"/>
      <c r="E339" s="153"/>
      <c r="F339" s="153"/>
      <c r="G339" s="153"/>
      <c r="H339" s="153"/>
      <c r="T339" s="32"/>
    </row>
    <row r="340" spans="1:20" ht="15.75" customHeight="1" x14ac:dyDescent="0.25">
      <c r="A340" s="238" t="s">
        <v>60</v>
      </c>
      <c r="B340" s="238"/>
      <c r="C340" s="238"/>
      <c r="D340" s="238"/>
      <c r="E340" s="238"/>
      <c r="F340" s="238"/>
      <c r="G340" s="238"/>
      <c r="H340" s="238"/>
      <c r="T340" s="32"/>
    </row>
    <row r="341" spans="1:20" x14ac:dyDescent="0.25">
      <c r="A341" s="153" t="s">
        <v>61</v>
      </c>
      <c r="B341" s="153"/>
      <c r="C341" s="153"/>
      <c r="D341" s="153"/>
      <c r="E341" s="153"/>
      <c r="F341" s="153"/>
      <c r="G341" s="153"/>
      <c r="H341" s="153"/>
      <c r="T341" s="32"/>
    </row>
    <row r="342" spans="1:20" x14ac:dyDescent="0.25">
      <c r="A342" s="153" t="s">
        <v>62</v>
      </c>
      <c r="B342" s="153"/>
      <c r="C342" s="153"/>
      <c r="D342" s="153"/>
      <c r="E342" s="153"/>
      <c r="F342" s="153"/>
      <c r="G342" s="153"/>
      <c r="H342" s="153"/>
      <c r="T342" s="32"/>
    </row>
    <row r="343" spans="1:20" x14ac:dyDescent="0.25">
      <c r="A343" s="153" t="s">
        <v>123</v>
      </c>
      <c r="B343" s="153"/>
      <c r="C343" s="153"/>
      <c r="D343" s="153"/>
      <c r="E343" s="153"/>
      <c r="F343" s="153"/>
      <c r="G343" s="153"/>
      <c r="H343" s="153"/>
      <c r="T343" s="32"/>
    </row>
    <row r="344" spans="1:20" ht="33.950000000000003" customHeight="1" x14ac:dyDescent="0.25">
      <c r="A344" s="218" t="s">
        <v>124</v>
      </c>
      <c r="B344" s="218"/>
      <c r="C344" s="218"/>
      <c r="D344" s="218"/>
      <c r="E344" s="218"/>
      <c r="F344" s="218"/>
      <c r="G344" s="218"/>
      <c r="H344" s="218"/>
    </row>
    <row r="345" spans="1:20" x14ac:dyDescent="0.25">
      <c r="A345" s="231" t="s">
        <v>74</v>
      </c>
      <c r="B345" s="231"/>
      <c r="C345" s="231" t="s">
        <v>425</v>
      </c>
      <c r="D345" s="231"/>
      <c r="E345" s="231" t="s">
        <v>103</v>
      </c>
      <c r="F345" s="231"/>
      <c r="G345" s="231" t="s">
        <v>434</v>
      </c>
      <c r="H345" s="231"/>
    </row>
    <row r="346" spans="1:20" x14ac:dyDescent="0.25">
      <c r="A346" s="230" t="s">
        <v>76</v>
      </c>
      <c r="B346" s="230"/>
      <c r="C346" s="230"/>
      <c r="D346" s="230"/>
      <c r="E346" s="230"/>
      <c r="F346" s="230"/>
      <c r="G346" s="230"/>
      <c r="H346" s="230"/>
    </row>
    <row r="347" spans="1:20" x14ac:dyDescent="0.25">
      <c r="A347" s="230"/>
      <c r="B347" s="230"/>
      <c r="C347" s="230"/>
      <c r="D347" s="230"/>
      <c r="E347" s="230"/>
      <c r="F347" s="230"/>
      <c r="G347" s="230"/>
      <c r="H347" s="230"/>
    </row>
    <row r="348" spans="1:20" x14ac:dyDescent="0.25">
      <c r="A348" s="230"/>
      <c r="B348" s="230"/>
      <c r="C348" s="230"/>
      <c r="D348" s="230"/>
      <c r="E348" s="230"/>
      <c r="F348" s="230"/>
      <c r="G348" s="230"/>
      <c r="H348" s="230"/>
    </row>
    <row r="349" spans="1:20" x14ac:dyDescent="0.25">
      <c r="A349" s="230"/>
      <c r="B349" s="230"/>
      <c r="C349" s="230"/>
      <c r="D349" s="230"/>
      <c r="E349" s="230"/>
      <c r="F349" s="230"/>
      <c r="G349" s="230"/>
      <c r="H349" s="230"/>
    </row>
    <row r="350" spans="1:20" x14ac:dyDescent="0.25">
      <c r="A350" s="35" t="s">
        <v>63</v>
      </c>
      <c r="B350" s="36"/>
      <c r="C350" s="36"/>
      <c r="D350" s="35" t="str">
        <f>E9</f>
        <v>Mahindra Happinest Kalyan - 2 Project B</v>
      </c>
      <c r="F350" s="36"/>
      <c r="G350" s="36"/>
      <c r="H350" s="36"/>
    </row>
    <row r="351" spans="1:20" x14ac:dyDescent="0.25">
      <c r="A351" s="36"/>
      <c r="B351" s="36"/>
      <c r="C351" s="36"/>
      <c r="D351" s="36"/>
      <c r="E351" s="36"/>
      <c r="F351" s="36"/>
      <c r="G351" s="36"/>
      <c r="H351" s="36"/>
    </row>
    <row r="352" spans="1:20" x14ac:dyDescent="0.25">
      <c r="A352" s="36"/>
      <c r="B352" s="36"/>
      <c r="C352" s="36"/>
      <c r="D352" s="36"/>
      <c r="E352" s="36"/>
      <c r="F352" s="36"/>
      <c r="G352" s="36"/>
      <c r="H352" s="36"/>
    </row>
    <row r="353" ht="15" customHeight="1" x14ac:dyDescent="0.25"/>
    <row r="393" spans="1:1" x14ac:dyDescent="0.25">
      <c r="A393" s="38" t="s">
        <v>161</v>
      </c>
    </row>
    <row r="436" spans="1:1" x14ac:dyDescent="0.25">
      <c r="A436" s="38" t="s">
        <v>64</v>
      </c>
    </row>
  </sheetData>
  <mergeCells count="574">
    <mergeCell ref="L256:M256"/>
    <mergeCell ref="A257:B257"/>
    <mergeCell ref="A258:B258"/>
    <mergeCell ref="A259:B259"/>
    <mergeCell ref="A260:B260"/>
    <mergeCell ref="A261:B261"/>
    <mergeCell ref="A262:B262"/>
    <mergeCell ref="A263:B263"/>
    <mergeCell ref="A264:B264"/>
    <mergeCell ref="C257:H257"/>
    <mergeCell ref="L245:M245"/>
    <mergeCell ref="A246:B246"/>
    <mergeCell ref="A247:B247"/>
    <mergeCell ref="A248:B248"/>
    <mergeCell ref="A249:B249"/>
    <mergeCell ref="A250:B250"/>
    <mergeCell ref="A251:B251"/>
    <mergeCell ref="A252:B252"/>
    <mergeCell ref="A253:B253"/>
    <mergeCell ref="L234:M234"/>
    <mergeCell ref="A235:B235"/>
    <mergeCell ref="A236:B236"/>
    <mergeCell ref="A237:B237"/>
    <mergeCell ref="A238:B238"/>
    <mergeCell ref="A239:B239"/>
    <mergeCell ref="A240:B240"/>
    <mergeCell ref="A241:B241"/>
    <mergeCell ref="A242:B242"/>
    <mergeCell ref="L229:M229"/>
    <mergeCell ref="A230:B230"/>
    <mergeCell ref="L230:M230"/>
    <mergeCell ref="A231:B231"/>
    <mergeCell ref="L231:M231"/>
    <mergeCell ref="A232:B232"/>
    <mergeCell ref="L232:M232"/>
    <mergeCell ref="A233:B233"/>
    <mergeCell ref="L233:M233"/>
    <mergeCell ref="C229:H229"/>
    <mergeCell ref="C232:H233"/>
    <mergeCell ref="L224:M224"/>
    <mergeCell ref="A225:B225"/>
    <mergeCell ref="L225:M225"/>
    <mergeCell ref="A226:B226"/>
    <mergeCell ref="L226:M226"/>
    <mergeCell ref="A227:B227"/>
    <mergeCell ref="L227:M227"/>
    <mergeCell ref="A228:B228"/>
    <mergeCell ref="L228:M228"/>
    <mergeCell ref="C224:H227"/>
    <mergeCell ref="L206:M206"/>
    <mergeCell ref="A207:B207"/>
    <mergeCell ref="A208:B208"/>
    <mergeCell ref="A209:B209"/>
    <mergeCell ref="A210:B210"/>
    <mergeCell ref="A211:B211"/>
    <mergeCell ref="A212:B212"/>
    <mergeCell ref="A213:B213"/>
    <mergeCell ref="A214:B214"/>
    <mergeCell ref="A43:D43"/>
    <mergeCell ref="A85:B85"/>
    <mergeCell ref="A50:B50"/>
    <mergeCell ref="D68:H68"/>
    <mergeCell ref="C52:E52"/>
    <mergeCell ref="A323:H323"/>
    <mergeCell ref="A73:C73"/>
    <mergeCell ref="D74:H74"/>
    <mergeCell ref="A80:B80"/>
    <mergeCell ref="G79:H79"/>
    <mergeCell ref="A88:B88"/>
    <mergeCell ref="A89:B89"/>
    <mergeCell ref="A84:B84"/>
    <mergeCell ref="A81:B81"/>
    <mergeCell ref="A83:B83"/>
    <mergeCell ref="E79:F79"/>
    <mergeCell ref="A206:H206"/>
    <mergeCell ref="A229:B229"/>
    <mergeCell ref="C235:H235"/>
    <mergeCell ref="A234:H234"/>
    <mergeCell ref="A243:B243"/>
    <mergeCell ref="A244:B244"/>
    <mergeCell ref="A245:H245"/>
    <mergeCell ref="A254:B254"/>
    <mergeCell ref="A86:B86"/>
    <mergeCell ref="I15:P15"/>
    <mergeCell ref="F128:H128"/>
    <mergeCell ref="F126:H126"/>
    <mergeCell ref="A145:H145"/>
    <mergeCell ref="G132:H132"/>
    <mergeCell ref="A127:E127"/>
    <mergeCell ref="A151:B151"/>
    <mergeCell ref="A60:B60"/>
    <mergeCell ref="C60:E60"/>
    <mergeCell ref="D62:H62"/>
    <mergeCell ref="F127:H127"/>
    <mergeCell ref="E132:F132"/>
    <mergeCell ref="A132:B132"/>
    <mergeCell ref="A134:B134"/>
    <mergeCell ref="C137:D137"/>
    <mergeCell ref="D73:H73"/>
    <mergeCell ref="D63:H63"/>
    <mergeCell ref="G60:H60"/>
    <mergeCell ref="A54:B55"/>
    <mergeCell ref="C54:E54"/>
    <mergeCell ref="G54:H54"/>
    <mergeCell ref="A56:B57"/>
    <mergeCell ref="E43:H43"/>
    <mergeCell ref="A343:H343"/>
    <mergeCell ref="A340:H340"/>
    <mergeCell ref="A175:B175"/>
    <mergeCell ref="A137:B137"/>
    <mergeCell ref="D155:D156"/>
    <mergeCell ref="E155:E156"/>
    <mergeCell ref="A112:B112"/>
    <mergeCell ref="A114:B114"/>
    <mergeCell ref="F119:H119"/>
    <mergeCell ref="G133:H133"/>
    <mergeCell ref="A117:B117"/>
    <mergeCell ref="F125:H125"/>
    <mergeCell ref="C132:D132"/>
    <mergeCell ref="C141:D141"/>
    <mergeCell ref="A158:H158"/>
    <mergeCell ref="A320:B320"/>
    <mergeCell ref="B328:H328"/>
    <mergeCell ref="B324:H324"/>
    <mergeCell ref="B325:H325"/>
    <mergeCell ref="A215:B215"/>
    <mergeCell ref="A255:B255"/>
    <mergeCell ref="A256:H256"/>
    <mergeCell ref="A265:B265"/>
    <mergeCell ref="A266:B266"/>
    <mergeCell ref="A155:A156"/>
    <mergeCell ref="F155:F156"/>
    <mergeCell ref="A317:B317"/>
    <mergeCell ref="A150:B150"/>
    <mergeCell ref="B333:H333"/>
    <mergeCell ref="A143:B143"/>
    <mergeCell ref="C143:D143"/>
    <mergeCell ref="E143:F143"/>
    <mergeCell ref="B332:H332"/>
    <mergeCell ref="A153:B153"/>
    <mergeCell ref="A152:B152"/>
    <mergeCell ref="B155:B156"/>
    <mergeCell ref="B326:H326"/>
    <mergeCell ref="A217:B217"/>
    <mergeCell ref="A218:B218"/>
    <mergeCell ref="A219:B219"/>
    <mergeCell ref="A220:B220"/>
    <mergeCell ref="A221:B221"/>
    <mergeCell ref="A222:H222"/>
    <mergeCell ref="A223:H223"/>
    <mergeCell ref="A224:B224"/>
    <mergeCell ref="A202:B202"/>
    <mergeCell ref="A203:B203"/>
    <mergeCell ref="A204:B204"/>
    <mergeCell ref="A124:E124"/>
    <mergeCell ref="F124:H124"/>
    <mergeCell ref="A126:E126"/>
    <mergeCell ref="F121:H121"/>
    <mergeCell ref="A125:E125"/>
    <mergeCell ref="A154:H154"/>
    <mergeCell ref="E137:F137"/>
    <mergeCell ref="A144:H144"/>
    <mergeCell ref="F122:H122"/>
    <mergeCell ref="A140:B140"/>
    <mergeCell ref="C140:D140"/>
    <mergeCell ref="E140:F140"/>
    <mergeCell ref="G140:H140"/>
    <mergeCell ref="A142:B142"/>
    <mergeCell ref="C142:D142"/>
    <mergeCell ref="E142:F142"/>
    <mergeCell ref="G142:H142"/>
    <mergeCell ref="A148:H148"/>
    <mergeCell ref="C146:C147"/>
    <mergeCell ref="G107:H107"/>
    <mergeCell ref="A346:H349"/>
    <mergeCell ref="A345:B345"/>
    <mergeCell ref="E345:F345"/>
    <mergeCell ref="C345:D345"/>
    <mergeCell ref="G345:H345"/>
    <mergeCell ref="A131:H131"/>
    <mergeCell ref="A129:E129"/>
    <mergeCell ref="F129:H129"/>
    <mergeCell ref="A130:E130"/>
    <mergeCell ref="F130:H130"/>
    <mergeCell ref="A174:H174"/>
    <mergeCell ref="A138:B138"/>
    <mergeCell ref="A319:B319"/>
    <mergeCell ref="A133:B133"/>
    <mergeCell ref="A341:H341"/>
    <mergeCell ref="A136:H136"/>
    <mergeCell ref="A344:H344"/>
    <mergeCell ref="B327:H327"/>
    <mergeCell ref="A339:H339"/>
    <mergeCell ref="F118:H118"/>
    <mergeCell ref="F123:H123"/>
    <mergeCell ref="A159:B159"/>
    <mergeCell ref="A342:H342"/>
    <mergeCell ref="A338:H338"/>
    <mergeCell ref="G137:H137"/>
    <mergeCell ref="B329:H329"/>
    <mergeCell ref="A178:B178"/>
    <mergeCell ref="A321:B32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B330:H330"/>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8:B78"/>
    <mergeCell ref="A76:B76"/>
    <mergeCell ref="C76:H76"/>
    <mergeCell ref="A71:C71"/>
    <mergeCell ref="D71:H71"/>
    <mergeCell ref="C78:H78"/>
    <mergeCell ref="A72:C72"/>
    <mergeCell ref="D72:H72"/>
    <mergeCell ref="A75:C75"/>
    <mergeCell ref="D75:H75"/>
    <mergeCell ref="A74:C74"/>
    <mergeCell ref="A49:B49"/>
    <mergeCell ref="C49:H49"/>
    <mergeCell ref="A65:C68"/>
    <mergeCell ref="D65:H65"/>
    <mergeCell ref="D67:H67"/>
    <mergeCell ref="G52:H52"/>
    <mergeCell ref="A61:H61"/>
    <mergeCell ref="A62:C62"/>
    <mergeCell ref="A63:C63"/>
    <mergeCell ref="C56:E56"/>
    <mergeCell ref="C53:H53"/>
    <mergeCell ref="A38:H38"/>
    <mergeCell ref="A37:B37"/>
    <mergeCell ref="C37:E37"/>
    <mergeCell ref="A42:D42"/>
    <mergeCell ref="E42:H42"/>
    <mergeCell ref="A41:H41"/>
    <mergeCell ref="A69:C69"/>
    <mergeCell ref="A70:C70"/>
    <mergeCell ref="D69:H69"/>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L153:M153"/>
    <mergeCell ref="L152:M152"/>
    <mergeCell ref="L151:M151"/>
    <mergeCell ref="L150:M150"/>
    <mergeCell ref="A87:B87"/>
    <mergeCell ref="C138:D138"/>
    <mergeCell ref="E138:F138"/>
    <mergeCell ref="G138:H138"/>
    <mergeCell ref="A119:E119"/>
    <mergeCell ref="A104:B104"/>
    <mergeCell ref="C104:H104"/>
    <mergeCell ref="A149:H149"/>
    <mergeCell ref="E146:E147"/>
    <mergeCell ref="A108:B108"/>
    <mergeCell ref="C106:H106"/>
    <mergeCell ref="A109:B109"/>
    <mergeCell ref="A110:B110"/>
    <mergeCell ref="G108:H117"/>
    <mergeCell ref="A111:B111"/>
    <mergeCell ref="F120:H120"/>
    <mergeCell ref="A120:E120"/>
    <mergeCell ref="D146:D147"/>
    <mergeCell ref="A122:E122"/>
    <mergeCell ref="A113:B113"/>
    <mergeCell ref="A40:B40"/>
    <mergeCell ref="C40:H40"/>
    <mergeCell ref="F146:F147"/>
    <mergeCell ref="C133:D133"/>
    <mergeCell ref="E133:F133"/>
    <mergeCell ref="B146:B147"/>
    <mergeCell ref="A146:A147"/>
    <mergeCell ref="C155:C156"/>
    <mergeCell ref="G155:G156"/>
    <mergeCell ref="G143:H143"/>
    <mergeCell ref="C55:H55"/>
    <mergeCell ref="A79:B79"/>
    <mergeCell ref="D70:H70"/>
    <mergeCell ref="A44:D44"/>
    <mergeCell ref="E44:H44"/>
    <mergeCell ref="E45:H45"/>
    <mergeCell ref="E46:H46"/>
    <mergeCell ref="E47:H47"/>
    <mergeCell ref="C57:H57"/>
    <mergeCell ref="C59:H59"/>
    <mergeCell ref="A48:H48"/>
    <mergeCell ref="D64:H64"/>
    <mergeCell ref="A64:C64"/>
    <mergeCell ref="A45:D45"/>
    <mergeCell ref="A82:B82"/>
    <mergeCell ref="E80:F89"/>
    <mergeCell ref="G80:H89"/>
    <mergeCell ref="B334:H334"/>
    <mergeCell ref="A123:E123"/>
    <mergeCell ref="A141:B141"/>
    <mergeCell ref="E141:F141"/>
    <mergeCell ref="A128:E128"/>
    <mergeCell ref="G141:H141"/>
    <mergeCell ref="C134:D134"/>
    <mergeCell ref="E134:F134"/>
    <mergeCell ref="G134:H134"/>
    <mergeCell ref="A135:B135"/>
    <mergeCell ref="C135:D135"/>
    <mergeCell ref="E135:F135"/>
    <mergeCell ref="G135:H135"/>
    <mergeCell ref="A139:B139"/>
    <mergeCell ref="C139:D139"/>
    <mergeCell ref="E139:F139"/>
    <mergeCell ref="G139:H139"/>
    <mergeCell ref="B331:H331"/>
    <mergeCell ref="A179:B179"/>
    <mergeCell ref="A176:B176"/>
    <mergeCell ref="A177:B177"/>
    <mergeCell ref="A107:B107"/>
    <mergeCell ref="E107:F107"/>
    <mergeCell ref="E108:F117"/>
    <mergeCell ref="A106:B106"/>
    <mergeCell ref="G146:G147"/>
    <mergeCell ref="A160:B160"/>
    <mergeCell ref="A161:B161"/>
    <mergeCell ref="A162:B162"/>
    <mergeCell ref="A216:B216"/>
    <mergeCell ref="C216:H216"/>
    <mergeCell ref="A115:B115"/>
    <mergeCell ref="A116:B116"/>
    <mergeCell ref="A121:E121"/>
    <mergeCell ref="A118:E118"/>
    <mergeCell ref="A157:H157"/>
    <mergeCell ref="A163:B163"/>
    <mergeCell ref="A187:B187"/>
    <mergeCell ref="A188:B188"/>
    <mergeCell ref="A189:B189"/>
    <mergeCell ref="C182:H182"/>
    <mergeCell ref="A190:H190"/>
    <mergeCell ref="A199:B199"/>
    <mergeCell ref="A200:B200"/>
    <mergeCell ref="A201:B201"/>
    <mergeCell ref="L163:M163"/>
    <mergeCell ref="A164:B164"/>
    <mergeCell ref="L164:M164"/>
    <mergeCell ref="A165:B165"/>
    <mergeCell ref="L165:M165"/>
    <mergeCell ref="A166:B166"/>
    <mergeCell ref="L166:M166"/>
    <mergeCell ref="L162:M162"/>
    <mergeCell ref="L159:M159"/>
    <mergeCell ref="L160:M160"/>
    <mergeCell ref="L161:M161"/>
    <mergeCell ref="L190:M190"/>
    <mergeCell ref="A172:B172"/>
    <mergeCell ref="L172:M172"/>
    <mergeCell ref="A173:B173"/>
    <mergeCell ref="L173:M173"/>
    <mergeCell ref="C162:H168"/>
    <mergeCell ref="A180:B180"/>
    <mergeCell ref="A181:B181"/>
    <mergeCell ref="A182:B182"/>
    <mergeCell ref="A183:B183"/>
    <mergeCell ref="A167:B167"/>
    <mergeCell ref="L167:M167"/>
    <mergeCell ref="A168:B168"/>
    <mergeCell ref="L168:M168"/>
    <mergeCell ref="A169:B169"/>
    <mergeCell ref="L169:M169"/>
    <mergeCell ref="A170:B170"/>
    <mergeCell ref="L170:M170"/>
    <mergeCell ref="A171:B171"/>
    <mergeCell ref="L171:M171"/>
    <mergeCell ref="L174:M174"/>
    <mergeCell ref="A184:B184"/>
    <mergeCell ref="A185:B185"/>
    <mergeCell ref="A186:B186"/>
    <mergeCell ref="A205:B205"/>
    <mergeCell ref="A191:B191"/>
    <mergeCell ref="A192:B192"/>
    <mergeCell ref="A193:B193"/>
    <mergeCell ref="A194:B194"/>
    <mergeCell ref="A195:B195"/>
    <mergeCell ref="A196:B196"/>
    <mergeCell ref="A197:B197"/>
    <mergeCell ref="A198:B198"/>
    <mergeCell ref="A267:H267"/>
    <mergeCell ref="A268:H268"/>
    <mergeCell ref="A269:B269"/>
    <mergeCell ref="L269:M269"/>
    <mergeCell ref="A270:B270"/>
    <mergeCell ref="L270:M270"/>
    <mergeCell ref="A271:B271"/>
    <mergeCell ref="L271:M271"/>
    <mergeCell ref="A272:B272"/>
    <mergeCell ref="L272:M272"/>
    <mergeCell ref="A279:B279"/>
    <mergeCell ref="A273:B273"/>
    <mergeCell ref="L273:M273"/>
    <mergeCell ref="A274:B274"/>
    <mergeCell ref="L274:M274"/>
    <mergeCell ref="A275:B275"/>
    <mergeCell ref="L275:M275"/>
    <mergeCell ref="A276:B276"/>
    <mergeCell ref="L276:M276"/>
    <mergeCell ref="L317:M317"/>
    <mergeCell ref="A318:B318"/>
    <mergeCell ref="L318:M318"/>
    <mergeCell ref="A322:B322"/>
    <mergeCell ref="A309:A310"/>
    <mergeCell ref="B309:B310"/>
    <mergeCell ref="C309:C310"/>
    <mergeCell ref="D309:D310"/>
    <mergeCell ref="E309:E310"/>
    <mergeCell ref="F309:F310"/>
    <mergeCell ref="G309:G310"/>
    <mergeCell ref="A311:H311"/>
    <mergeCell ref="A312:H312"/>
    <mergeCell ref="A313:B313"/>
    <mergeCell ref="A316:B316"/>
    <mergeCell ref="L316:M316"/>
    <mergeCell ref="A302:B302"/>
    <mergeCell ref="A303:B303"/>
    <mergeCell ref="A304:B304"/>
    <mergeCell ref="A305:B305"/>
    <mergeCell ref="A306:B306"/>
    <mergeCell ref="A307:B307"/>
    <mergeCell ref="C271:H277"/>
    <mergeCell ref="C286:H286"/>
    <mergeCell ref="C303:H303"/>
    <mergeCell ref="A296:B296"/>
    <mergeCell ref="A297:B297"/>
    <mergeCell ref="A298:H298"/>
    <mergeCell ref="L298:M298"/>
    <mergeCell ref="A299:B299"/>
    <mergeCell ref="A300:B300"/>
    <mergeCell ref="A301:B301"/>
    <mergeCell ref="A288:H288"/>
    <mergeCell ref="L288:M288"/>
    <mergeCell ref="A289:B289"/>
    <mergeCell ref="A290:B290"/>
    <mergeCell ref="A291:B291"/>
    <mergeCell ref="A292:B292"/>
    <mergeCell ref="A99:B99"/>
    <mergeCell ref="A100:B100"/>
    <mergeCell ref="A101:B101"/>
    <mergeCell ref="A102:B102"/>
    <mergeCell ref="L313:M313"/>
    <mergeCell ref="A314:B314"/>
    <mergeCell ref="L314:M314"/>
    <mergeCell ref="A315:B315"/>
    <mergeCell ref="L315:M315"/>
    <mergeCell ref="A293:B293"/>
    <mergeCell ref="A294:B294"/>
    <mergeCell ref="A295:B295"/>
    <mergeCell ref="A280:B280"/>
    <mergeCell ref="A281:B281"/>
    <mergeCell ref="A282:B282"/>
    <mergeCell ref="A283:B283"/>
    <mergeCell ref="A284:B284"/>
    <mergeCell ref="A285:B285"/>
    <mergeCell ref="A286:B286"/>
    <mergeCell ref="A287:B287"/>
    <mergeCell ref="A277:B277"/>
    <mergeCell ref="L277:M277"/>
    <mergeCell ref="A278:H278"/>
    <mergeCell ref="L278:M278"/>
    <mergeCell ref="B337:H337"/>
    <mergeCell ref="A103:B103"/>
    <mergeCell ref="D66:H66"/>
    <mergeCell ref="B335:H335"/>
    <mergeCell ref="B336:H336"/>
    <mergeCell ref="L319:M319"/>
    <mergeCell ref="L320:M320"/>
    <mergeCell ref="L321:M321"/>
    <mergeCell ref="L322:M322"/>
    <mergeCell ref="A308:H308"/>
    <mergeCell ref="A90:B90"/>
    <mergeCell ref="C90:H90"/>
    <mergeCell ref="A92:B92"/>
    <mergeCell ref="C92:H92"/>
    <mergeCell ref="A93:B93"/>
    <mergeCell ref="E93:F93"/>
    <mergeCell ref="G93:H93"/>
    <mergeCell ref="A94:B94"/>
    <mergeCell ref="E94:F103"/>
    <mergeCell ref="G94:H103"/>
    <mergeCell ref="A95:B95"/>
    <mergeCell ref="A96:B96"/>
    <mergeCell ref="A97:B97"/>
    <mergeCell ref="A98:B98"/>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6:E147">
      <formula1>"Attached Loft area,Attached Otla area,Attached Mezzanine area"</formula1>
    </dataValidation>
    <dataValidation type="list" allowBlank="1" showInputMessage="1" showErrorMessage="1" sqref="G345:H345">
      <formula1>"Kunal Kadam,Pranita Mhatre,Shruti Fule,Pooja Kawale,Gaurav Panchal,Shruti Tathare, Hitakshi Mhatre, Sachin Sawant"</formula1>
    </dataValidation>
    <dataValidation type="list" allowBlank="1" showInputMessage="1" showErrorMessage="1" sqref="F118:H118">
      <formula1>"On Saleable Area,On Builtup Area,On Carpet Area,On Plot Area"</formula1>
    </dataValidation>
    <dataValidation type="list" allowBlank="1" showInputMessage="1" showErrorMessage="1" sqref="F129:H129">
      <formula1>OFFSET($S$118,1,MATCH($G20,$S$118:$W$118,0)-1,15,1)</formula1>
    </dataValidation>
    <dataValidation type="list" allowBlank="1" showInputMessage="1" showErrorMessage="1" sqref="B146:B147">
      <formula1>"Shop No. (Sale Plan),Sale / Rehab,Sale / Mhada"</formula1>
    </dataValidation>
    <dataValidation type="list" allowBlank="1" showInputMessage="1" showErrorMessage="1" sqref="B155:B15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5:E156">
      <formula1>"Fungible area,Balcony Area,Chajja Area,Cornice Area,AP Area,WS Area"</formula1>
    </dataValidation>
    <dataValidation type="list" allowBlank="1" showInputMessage="1" showErrorMessage="1" sqref="H156 H147 H31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6 H155 H309">
      <formula1>"Saleable area Loading :,Builder Saleable Area"</formula1>
    </dataValidation>
    <dataValidation type="list" allowBlank="1" showInputMessage="1" showErrorMessage="1" sqref="D155:D156 D146:D147 D309:D310">
      <formula1>"Carpet area,RERA Carpet area"</formula1>
    </dataValidation>
    <dataValidation type="list" allowBlank="1" showInputMessage="1" showErrorMessage="1" sqref="B309:B310">
      <formula1>"RowHouse No. (Sale Plan),Sale / Rehab,Sale / Mhada"</formula1>
    </dataValidation>
    <dataValidation type="list" allowBlank="1" showInputMessage="1" showErrorMessage="1" sqref="E309:E310">
      <formula1>"Yard + Deck + Internal Garden,Fungible area,Balcony Area,Chajja Area,Cornice Area,AP Area,WS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75" max="16383" man="1"/>
    <brk id="143" max="7" man="1"/>
    <brk id="349" max="16383" man="1"/>
    <brk id="392" max="16383" man="1"/>
    <brk id="43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0"/>
  <sheetViews>
    <sheetView workbookViewId="0">
      <selection activeCell="E4" sqref="E4"/>
    </sheetView>
  </sheetViews>
  <sheetFormatPr defaultRowHeight="15" x14ac:dyDescent="0.25"/>
  <sheetData>
    <row r="2" spans="2:6" x14ac:dyDescent="0.25">
      <c r="B2" t="s">
        <v>380</v>
      </c>
      <c r="D2" t="s">
        <v>402</v>
      </c>
    </row>
    <row r="3" spans="2:6" x14ac:dyDescent="0.25">
      <c r="D3" t="s">
        <v>392</v>
      </c>
    </row>
    <row r="4" spans="2:6" x14ac:dyDescent="0.25">
      <c r="B4" s="255" t="s">
        <v>397</v>
      </c>
      <c r="C4" t="s">
        <v>381</v>
      </c>
      <c r="D4" t="s">
        <v>393</v>
      </c>
      <c r="E4">
        <v>36.89</v>
      </c>
      <c r="F4">
        <f>1.55*1</f>
        <v>1.55</v>
      </c>
    </row>
    <row r="5" spans="2:6" x14ac:dyDescent="0.25">
      <c r="B5" s="255"/>
      <c r="C5" t="s">
        <v>382</v>
      </c>
      <c r="D5" t="s">
        <v>394</v>
      </c>
      <c r="E5">
        <v>58.83</v>
      </c>
      <c r="F5">
        <f>1.85*1.22</f>
        <v>2.2570000000000001</v>
      </c>
    </row>
    <row r="6" spans="2:6" x14ac:dyDescent="0.25">
      <c r="B6" s="255"/>
      <c r="C6" t="s">
        <v>381</v>
      </c>
      <c r="D6" t="s">
        <v>395</v>
      </c>
      <c r="E6">
        <v>41.9</v>
      </c>
      <c r="F6">
        <f>1.55*1</f>
        <v>1.55</v>
      </c>
    </row>
    <row r="7" spans="2:6" x14ac:dyDescent="0.25">
      <c r="B7" s="255"/>
      <c r="C7" t="s">
        <v>383</v>
      </c>
      <c r="D7" t="s">
        <v>396</v>
      </c>
      <c r="E7">
        <v>78.319999999999993</v>
      </c>
      <c r="F7">
        <f>4.85*1.22+1.38*1.72</f>
        <v>8.2905999999999995</v>
      </c>
    </row>
    <row r="8" spans="2:6" x14ac:dyDescent="0.25">
      <c r="B8" s="256" t="s">
        <v>401</v>
      </c>
      <c r="C8" t="s">
        <v>382</v>
      </c>
      <c r="D8" t="s">
        <v>398</v>
      </c>
      <c r="E8">
        <v>52.54</v>
      </c>
      <c r="F8">
        <f>1.85*1.22</f>
        <v>2.2570000000000001</v>
      </c>
    </row>
    <row r="9" spans="2:6" x14ac:dyDescent="0.25">
      <c r="B9" s="256"/>
      <c r="C9" t="s">
        <v>381</v>
      </c>
      <c r="D9" t="s">
        <v>399</v>
      </c>
      <c r="E9">
        <v>36.89</v>
      </c>
      <c r="F9">
        <v>0</v>
      </c>
    </row>
    <row r="10" spans="2:6" x14ac:dyDescent="0.25">
      <c r="B10" s="256"/>
      <c r="C10" t="s">
        <v>381</v>
      </c>
      <c r="D10" t="s">
        <v>400</v>
      </c>
      <c r="E10">
        <v>38.01</v>
      </c>
      <c r="F10">
        <f>1.55*1</f>
        <v>1.55</v>
      </c>
    </row>
  </sheetData>
  <mergeCells count="2">
    <mergeCell ref="B4:B7"/>
    <mergeCell ref="B8: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7" t="s">
        <v>104</v>
      </c>
      <c r="C3" s="257"/>
      <c r="D3" s="257"/>
      <c r="E3" s="257"/>
      <c r="F3" s="257"/>
      <c r="G3" s="257"/>
      <c r="H3" s="257"/>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9"/>
      <c r="C4" s="49" t="s">
        <v>11</v>
      </c>
      <c r="D4" s="50" t="s">
        <v>178</v>
      </c>
      <c r="E4" s="50" t="s">
        <v>188</v>
      </c>
      <c r="F4" s="50" t="s">
        <v>171</v>
      </c>
      <c r="G4" s="50" t="s">
        <v>193</v>
      </c>
      <c r="H4" s="50" t="s">
        <v>211</v>
      </c>
      <c r="J4" t="s">
        <v>193</v>
      </c>
      <c r="K4" t="s">
        <v>209</v>
      </c>
    </row>
    <row r="5" spans="2:11" x14ac:dyDescent="0.25">
      <c r="B5" s="49"/>
      <c r="C5" s="49"/>
      <c r="D5" s="50" t="s">
        <v>179</v>
      </c>
      <c r="E5" s="50" t="s">
        <v>186</v>
      </c>
      <c r="F5" s="50" t="s">
        <v>208</v>
      </c>
      <c r="G5" s="50" t="s">
        <v>194</v>
      </c>
      <c r="H5" s="50" t="s">
        <v>212</v>
      </c>
    </row>
    <row r="6" spans="2:11" x14ac:dyDescent="0.25">
      <c r="B6" s="49"/>
      <c r="C6" s="49"/>
      <c r="D6" s="50" t="s">
        <v>180</v>
      </c>
      <c r="E6" s="50" t="s">
        <v>187</v>
      </c>
      <c r="F6" s="50" t="s">
        <v>209</v>
      </c>
      <c r="G6" s="50" t="s">
        <v>195</v>
      </c>
      <c r="H6" s="50" t="s">
        <v>225</v>
      </c>
    </row>
    <row r="7" spans="2:11" x14ac:dyDescent="0.25">
      <c r="B7" s="49"/>
      <c r="C7" s="49"/>
      <c r="D7" s="50" t="s">
        <v>181</v>
      </c>
      <c r="E7" s="50" t="s">
        <v>189</v>
      </c>
      <c r="F7" s="50" t="s">
        <v>210</v>
      </c>
      <c r="G7" s="50" t="s">
        <v>196</v>
      </c>
      <c r="H7" s="50" t="s">
        <v>213</v>
      </c>
    </row>
    <row r="8" spans="2:11" x14ac:dyDescent="0.25">
      <c r="B8" s="49"/>
      <c r="C8" s="49"/>
      <c r="D8" s="50" t="s">
        <v>182</v>
      </c>
      <c r="E8" s="50" t="s">
        <v>190</v>
      </c>
      <c r="F8" s="50"/>
      <c r="G8" s="50" t="s">
        <v>197</v>
      </c>
      <c r="H8" s="50" t="s">
        <v>214</v>
      </c>
    </row>
    <row r="9" spans="2:11" x14ac:dyDescent="0.25">
      <c r="B9" s="49"/>
      <c r="C9" s="49"/>
      <c r="D9" s="50" t="s">
        <v>183</v>
      </c>
      <c r="E9" s="50" t="s">
        <v>188</v>
      </c>
      <c r="F9" s="50"/>
      <c r="G9" s="50" t="s">
        <v>198</v>
      </c>
      <c r="H9" s="50" t="s">
        <v>215</v>
      </c>
    </row>
    <row r="10" spans="2:11" x14ac:dyDescent="0.25">
      <c r="B10" s="49"/>
      <c r="C10" s="49"/>
      <c r="D10" s="50" t="s">
        <v>184</v>
      </c>
      <c r="E10" s="50" t="s">
        <v>191</v>
      </c>
      <c r="F10" s="50"/>
      <c r="G10" s="50" t="s">
        <v>199</v>
      </c>
      <c r="H10" s="50" t="s">
        <v>216</v>
      </c>
    </row>
    <row r="11" spans="2:11" x14ac:dyDescent="0.25">
      <c r="B11" s="49"/>
      <c r="C11" s="49"/>
      <c r="D11" s="50" t="s">
        <v>185</v>
      </c>
      <c r="E11" s="50" t="s">
        <v>192</v>
      </c>
      <c r="F11" s="50"/>
      <c r="G11" s="50" t="s">
        <v>200</v>
      </c>
      <c r="H11" s="50" t="s">
        <v>217</v>
      </c>
    </row>
    <row r="12" spans="2:11" x14ac:dyDescent="0.25">
      <c r="B12" s="49"/>
      <c r="C12" s="49"/>
      <c r="D12" s="50"/>
      <c r="E12" s="50"/>
      <c r="F12" s="50"/>
      <c r="G12" s="50" t="s">
        <v>201</v>
      </c>
      <c r="H12" s="50" t="s">
        <v>218</v>
      </c>
    </row>
    <row r="13" spans="2:11" x14ac:dyDescent="0.25">
      <c r="B13" s="49"/>
      <c r="C13" s="49"/>
      <c r="D13" s="50"/>
      <c r="E13" s="50"/>
      <c r="F13" s="50"/>
      <c r="G13" s="50" t="s">
        <v>202</v>
      </c>
      <c r="H13" s="50" t="s">
        <v>219</v>
      </c>
    </row>
    <row r="14" spans="2:11" x14ac:dyDescent="0.25">
      <c r="B14" s="49"/>
      <c r="C14" s="49"/>
      <c r="D14" s="50"/>
      <c r="E14" s="50"/>
      <c r="F14" s="50"/>
      <c r="G14" s="50" t="s">
        <v>203</v>
      </c>
      <c r="H14" s="50" t="s">
        <v>220</v>
      </c>
    </row>
    <row r="15" spans="2:11" x14ac:dyDescent="0.25">
      <c r="B15" s="49"/>
      <c r="C15" s="49"/>
      <c r="D15" s="50"/>
      <c r="E15" s="50"/>
      <c r="F15" s="50"/>
      <c r="G15" s="50" t="s">
        <v>204</v>
      </c>
      <c r="H15" s="50" t="s">
        <v>221</v>
      </c>
    </row>
    <row r="16" spans="2:11" x14ac:dyDescent="0.25">
      <c r="B16" s="49"/>
      <c r="C16" s="49"/>
      <c r="D16" s="50"/>
      <c r="E16" s="50"/>
      <c r="F16" s="50"/>
      <c r="G16" s="50" t="s">
        <v>205</v>
      </c>
      <c r="H16" s="50" t="s">
        <v>222</v>
      </c>
    </row>
    <row r="17" spans="2:8" x14ac:dyDescent="0.25">
      <c r="B17" s="49"/>
      <c r="C17" s="49"/>
      <c r="D17" s="50"/>
      <c r="E17" s="50"/>
      <c r="F17" s="50"/>
      <c r="G17" s="50" t="s">
        <v>206</v>
      </c>
      <c r="H17" s="50" t="s">
        <v>223</v>
      </c>
    </row>
    <row r="18" spans="2:8" x14ac:dyDescent="0.25">
      <c r="B18" s="49"/>
      <c r="C18" s="49"/>
      <c r="D18" s="50"/>
      <c r="E18" s="50"/>
      <c r="F18" s="50"/>
      <c r="G18" s="50" t="s">
        <v>207</v>
      </c>
      <c r="H18" s="50" t="s">
        <v>224</v>
      </c>
    </row>
    <row r="24" spans="2:8" x14ac:dyDescent="0.25">
      <c r="C24" t="s">
        <v>168</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168</v>
      </c>
    </row>
    <row r="33" spans="3:11" x14ac:dyDescent="0.25">
      <c r="J33">
        <v>1</v>
      </c>
      <c r="K33">
        <v>2</v>
      </c>
    </row>
    <row r="34" spans="3:11" x14ac:dyDescent="0.25">
      <c r="C34" s="54" t="s">
        <v>237</v>
      </c>
      <c r="D34" s="50" t="s">
        <v>235</v>
      </c>
      <c r="E34" s="50" t="s">
        <v>240</v>
      </c>
      <c r="F34" s="50" t="s">
        <v>238</v>
      </c>
      <c r="G34" s="50" t="s">
        <v>239</v>
      </c>
      <c r="H34" s="50" t="s">
        <v>241</v>
      </c>
      <c r="J34" t="s">
        <v>193</v>
      </c>
      <c r="K34" t="s">
        <v>209</v>
      </c>
    </row>
    <row r="35" spans="3:11" x14ac:dyDescent="0.25">
      <c r="C35" s="49" t="s">
        <v>236</v>
      </c>
      <c r="D35" s="50" t="s">
        <v>169</v>
      </c>
      <c r="E35" s="50" t="s">
        <v>245</v>
      </c>
      <c r="F35" s="50" t="s">
        <v>247</v>
      </c>
      <c r="G35" s="50" t="s">
        <v>249</v>
      </c>
      <c r="H35" s="50"/>
    </row>
    <row r="36" spans="3:11" x14ac:dyDescent="0.25">
      <c r="C36" s="49"/>
      <c r="D36" s="50" t="s">
        <v>242</v>
      </c>
      <c r="E36" s="50" t="s">
        <v>246</v>
      </c>
      <c r="F36" s="50" t="s">
        <v>248</v>
      </c>
      <c r="G36" s="50" t="s">
        <v>250</v>
      </c>
      <c r="H36" s="50"/>
    </row>
    <row r="37" spans="3:11" x14ac:dyDescent="0.25">
      <c r="C37" s="49"/>
      <c r="D37" s="50" t="s">
        <v>243</v>
      </c>
      <c r="E37" s="50"/>
      <c r="F37" s="50"/>
      <c r="G37" s="50" t="s">
        <v>251</v>
      </c>
      <c r="H37" s="50"/>
    </row>
    <row r="38" spans="3:11" x14ac:dyDescent="0.25">
      <c r="C38" s="49"/>
      <c r="D38" s="50" t="s">
        <v>244</v>
      </c>
      <c r="E38" s="50"/>
      <c r="F38" s="50"/>
      <c r="G38" s="50" t="s">
        <v>251</v>
      </c>
      <c r="H38" s="50"/>
    </row>
    <row r="39" spans="3:11" x14ac:dyDescent="0.25">
      <c r="C39" s="49"/>
      <c r="D39" s="50"/>
      <c r="E39" s="50"/>
      <c r="F39" s="50"/>
      <c r="G39" s="50" t="s">
        <v>252</v>
      </c>
      <c r="H39" s="50"/>
    </row>
    <row r="40" spans="3:11" x14ac:dyDescent="0.25">
      <c r="C40" s="49"/>
      <c r="D40" s="50"/>
      <c r="E40" s="50"/>
      <c r="F40" s="50"/>
      <c r="G40" s="50" t="s">
        <v>253</v>
      </c>
      <c r="H40" s="50"/>
    </row>
    <row r="41" spans="3:11" x14ac:dyDescent="0.25">
      <c r="C41" s="49"/>
      <c r="D41" s="50"/>
      <c r="E41" s="50"/>
      <c r="F41" s="50"/>
      <c r="G41" s="50"/>
      <c r="H41" s="50"/>
    </row>
    <row r="43" spans="3:11" x14ac:dyDescent="0.25">
      <c r="C43" t="s">
        <v>254</v>
      </c>
    </row>
    <row r="44" spans="3:11" x14ac:dyDescent="0.25">
      <c r="C44" t="s">
        <v>171</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178</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193</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188</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5">
        <v>1</v>
      </c>
      <c r="C2" s="58" t="s">
        <v>285</v>
      </c>
    </row>
    <row r="3" spans="2:3" x14ac:dyDescent="0.25">
      <c r="B3" s="55">
        <v>2</v>
      </c>
      <c r="C3" s="56" t="s">
        <v>286</v>
      </c>
    </row>
    <row r="4" spans="2:3" x14ac:dyDescent="0.25">
      <c r="B4" s="55">
        <v>3</v>
      </c>
      <c r="C4" s="57" t="s">
        <v>287</v>
      </c>
    </row>
    <row r="5" spans="2:3" x14ac:dyDescent="0.25">
      <c r="B5" s="55">
        <v>4</v>
      </c>
      <c r="C5" s="56" t="s">
        <v>288</v>
      </c>
    </row>
    <row r="6" spans="2:3" x14ac:dyDescent="0.25">
      <c r="B6" s="55">
        <v>5</v>
      </c>
      <c r="C6" s="57" t="s">
        <v>289</v>
      </c>
    </row>
    <row r="7" spans="2:3" ht="30" x14ac:dyDescent="0.25">
      <c r="B7" s="55">
        <v>6</v>
      </c>
      <c r="C7" s="56" t="s">
        <v>290</v>
      </c>
    </row>
    <row r="8" spans="2:3" ht="75" x14ac:dyDescent="0.25">
      <c r="B8" s="55">
        <v>7</v>
      </c>
      <c r="C8" s="56" t="s">
        <v>291</v>
      </c>
    </row>
    <row r="9" spans="2:3" x14ac:dyDescent="0.25">
      <c r="B9" s="55">
        <v>8</v>
      </c>
      <c r="C9" s="57" t="s">
        <v>292</v>
      </c>
    </row>
    <row r="10" spans="2:3" x14ac:dyDescent="0.25">
      <c r="B10" s="55">
        <v>9</v>
      </c>
      <c r="C10" s="57" t="s">
        <v>293</v>
      </c>
    </row>
    <row r="11" spans="2:3" x14ac:dyDescent="0.25">
      <c r="B11" s="55">
        <v>10</v>
      </c>
      <c r="C11" s="57" t="s">
        <v>294</v>
      </c>
    </row>
    <row r="12" spans="2:3" x14ac:dyDescent="0.25">
      <c r="B12" s="55">
        <v>11</v>
      </c>
      <c r="C12" s="57" t="s">
        <v>295</v>
      </c>
    </row>
    <row r="13" spans="2:3" x14ac:dyDescent="0.25">
      <c r="B13" s="55">
        <v>12</v>
      </c>
      <c r="C13" s="57" t="s">
        <v>296</v>
      </c>
    </row>
    <row r="14" spans="2:3" x14ac:dyDescent="0.25">
      <c r="B14" s="55">
        <v>13</v>
      </c>
      <c r="C14" s="57" t="s">
        <v>297</v>
      </c>
    </row>
    <row r="15" spans="2:3" x14ac:dyDescent="0.25">
      <c r="B15" s="55">
        <v>14</v>
      </c>
      <c r="C15" s="57" t="s">
        <v>287</v>
      </c>
    </row>
    <row r="16" spans="2:3" x14ac:dyDescent="0.25">
      <c r="B16" s="55">
        <v>15</v>
      </c>
      <c r="C16" s="57" t="s">
        <v>299</v>
      </c>
    </row>
    <row r="17" spans="2:3" x14ac:dyDescent="0.25">
      <c r="B17" s="80">
        <v>16</v>
      </c>
      <c r="C17" s="63" t="s">
        <v>300</v>
      </c>
    </row>
    <row r="18" spans="2:3" x14ac:dyDescent="0.25">
      <c r="B18" s="62">
        <v>17</v>
      </c>
      <c r="C18" s="63" t="s">
        <v>301</v>
      </c>
    </row>
    <row r="19" spans="2:3" x14ac:dyDescent="0.25">
      <c r="B19" s="61">
        <v>18</v>
      </c>
      <c r="C19" s="55" t="s">
        <v>302</v>
      </c>
    </row>
    <row r="20" spans="2:3" x14ac:dyDescent="0.25">
      <c r="B20" s="62">
        <v>19</v>
      </c>
      <c r="C20" s="55" t="s">
        <v>338</v>
      </c>
    </row>
    <row r="21" spans="2:3" x14ac:dyDescent="0.25">
      <c r="B21" s="64">
        <v>20</v>
      </c>
      <c r="C21" s="55" t="s">
        <v>303</v>
      </c>
    </row>
    <row r="22" spans="2:3" x14ac:dyDescent="0.25">
      <c r="B22" s="62">
        <v>21</v>
      </c>
      <c r="C22" s="55" t="s">
        <v>302</v>
      </c>
    </row>
    <row r="23" spans="2:3" s="74" customFormat="1" ht="29.25" customHeight="1" x14ac:dyDescent="0.25">
      <c r="B23" s="73">
        <v>22</v>
      </c>
      <c r="C23" s="58" t="s">
        <v>330</v>
      </c>
    </row>
    <row r="24" spans="2:3" s="74" customFormat="1" ht="30.75" customHeight="1" x14ac:dyDescent="0.25">
      <c r="B24" s="75">
        <v>23</v>
      </c>
      <c r="C24" s="58" t="s">
        <v>331</v>
      </c>
    </row>
    <row r="25" spans="2:3" x14ac:dyDescent="0.25">
      <c r="B25" s="64">
        <v>24</v>
      </c>
      <c r="C25" s="55" t="s">
        <v>334</v>
      </c>
    </row>
    <row r="26" spans="2:3" x14ac:dyDescent="0.25">
      <c r="B26" s="62">
        <v>25</v>
      </c>
      <c r="C26" s="55" t="s">
        <v>332</v>
      </c>
    </row>
    <row r="27" spans="2:3" x14ac:dyDescent="0.25">
      <c r="B27" s="75">
        <v>26</v>
      </c>
      <c r="C27" s="64" t="s">
        <v>333</v>
      </c>
    </row>
    <row r="28" spans="2:3" x14ac:dyDescent="0.25">
      <c r="B28" s="76">
        <v>27</v>
      </c>
      <c r="C28" s="55" t="s">
        <v>335</v>
      </c>
    </row>
    <row r="29" spans="2:3" ht="60" x14ac:dyDescent="0.25">
      <c r="B29" s="79">
        <v>28</v>
      </c>
      <c r="C29" s="56" t="s">
        <v>336</v>
      </c>
    </row>
    <row r="30" spans="2:3" x14ac:dyDescent="0.25">
      <c r="B30" s="75">
        <v>29</v>
      </c>
      <c r="C30" s="55" t="s">
        <v>337</v>
      </c>
    </row>
    <row r="31" spans="2:3" ht="30" x14ac:dyDescent="0.25">
      <c r="B31" s="81">
        <v>30</v>
      </c>
      <c r="C31" s="56" t="s">
        <v>339</v>
      </c>
    </row>
    <row r="32" spans="2:3" x14ac:dyDescent="0.25">
      <c r="B32" s="75">
        <v>31</v>
      </c>
      <c r="C32" s="55" t="s">
        <v>340</v>
      </c>
    </row>
    <row r="33" spans="2:3" x14ac:dyDescent="0.25">
      <c r="B33" s="75">
        <v>32</v>
      </c>
      <c r="C33" s="55" t="s">
        <v>341</v>
      </c>
    </row>
    <row r="34" spans="2:3" ht="36.75" customHeight="1" x14ac:dyDescent="0.25">
      <c r="B34" s="81">
        <v>33</v>
      </c>
      <c r="C34" s="63" t="s">
        <v>342</v>
      </c>
    </row>
    <row r="35" spans="2:3" x14ac:dyDescent="0.25">
      <c r="B35" s="75">
        <v>34</v>
      </c>
      <c r="C35" s="55"/>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49"/>
    <col min="2" max="2" width="12.28515625" style="49" customWidth="1"/>
    <col min="3" max="16384" width="9.140625" style="49"/>
  </cols>
  <sheetData>
    <row r="2" spans="1:12" x14ac:dyDescent="0.25">
      <c r="B2" s="67" t="s">
        <v>304</v>
      </c>
      <c r="C2" s="258"/>
      <c r="D2" s="258"/>
    </row>
    <row r="3" spans="1:12" x14ac:dyDescent="0.25">
      <c r="D3" s="68"/>
      <c r="E3" s="68"/>
      <c r="F3" s="68"/>
      <c r="G3" s="68"/>
      <c r="H3" s="68"/>
      <c r="I3" s="68"/>
    </row>
    <row r="4" spans="1:12" x14ac:dyDescent="0.25">
      <c r="A4" s="67" t="s">
        <v>66</v>
      </c>
      <c r="B4" s="69" t="s">
        <v>305</v>
      </c>
      <c r="C4" s="259" t="s">
        <v>306</v>
      </c>
      <c r="D4" s="259"/>
      <c r="E4" s="259"/>
      <c r="F4" s="69"/>
      <c r="G4" s="260" t="s">
        <v>307</v>
      </c>
      <c r="H4" s="260"/>
      <c r="I4" s="260"/>
      <c r="J4" s="261" t="s">
        <v>308</v>
      </c>
      <c r="K4" s="261"/>
      <c r="L4" s="261"/>
    </row>
    <row r="5" spans="1:12" x14ac:dyDescent="0.25">
      <c r="A5" s="67"/>
      <c r="B5" s="69"/>
      <c r="C5" s="69" t="s">
        <v>309</v>
      </c>
      <c r="D5" s="69" t="s">
        <v>310</v>
      </c>
      <c r="E5" s="69" t="s">
        <v>311</v>
      </c>
      <c r="F5" s="69"/>
      <c r="G5" s="69" t="s">
        <v>309</v>
      </c>
      <c r="H5" s="69" t="s">
        <v>310</v>
      </c>
      <c r="I5" s="69" t="s">
        <v>311</v>
      </c>
      <c r="J5" s="69" t="s">
        <v>309</v>
      </c>
      <c r="K5" s="69" t="s">
        <v>310</v>
      </c>
      <c r="L5" s="69" t="s">
        <v>311</v>
      </c>
    </row>
    <row r="6" spans="1:12" x14ac:dyDescent="0.25">
      <c r="B6" s="50" t="s">
        <v>312</v>
      </c>
      <c r="C6" s="50"/>
      <c r="D6" s="50"/>
      <c r="E6" s="50">
        <f>C6*D6</f>
        <v>0</v>
      </c>
      <c r="F6" s="50" t="s">
        <v>329</v>
      </c>
      <c r="G6" s="50"/>
      <c r="H6" s="50"/>
      <c r="I6" s="50">
        <f>G6*H6</f>
        <v>0</v>
      </c>
      <c r="J6" s="50"/>
      <c r="K6" s="50"/>
      <c r="L6" s="50">
        <f>J6*K6</f>
        <v>0</v>
      </c>
    </row>
    <row r="7" spans="1:12" x14ac:dyDescent="0.25">
      <c r="B7" s="50"/>
      <c r="C7" s="50"/>
      <c r="D7" s="50"/>
      <c r="E7" s="50">
        <f t="shared" ref="E7:E41" si="0">C7*D7</f>
        <v>0</v>
      </c>
      <c r="F7" s="50" t="s">
        <v>329</v>
      </c>
      <c r="G7" s="50"/>
      <c r="H7" s="50"/>
      <c r="I7" s="50">
        <f t="shared" ref="I7:I35" si="1">G7*H7</f>
        <v>0</v>
      </c>
      <c r="J7" s="50"/>
      <c r="K7" s="50"/>
      <c r="L7" s="50">
        <f t="shared" ref="L7:L35" si="2">J7*K7</f>
        <v>0</v>
      </c>
    </row>
    <row r="8" spans="1:12" x14ac:dyDescent="0.25">
      <c r="B8" s="50"/>
      <c r="C8" s="50"/>
      <c r="D8" s="50"/>
      <c r="E8" s="50">
        <f t="shared" si="0"/>
        <v>0</v>
      </c>
      <c r="F8" s="50"/>
      <c r="G8" s="50"/>
      <c r="H8" s="50"/>
      <c r="I8" s="50">
        <f t="shared" si="1"/>
        <v>0</v>
      </c>
      <c r="J8" s="50"/>
      <c r="K8" s="50"/>
      <c r="L8" s="50">
        <f t="shared" si="2"/>
        <v>0</v>
      </c>
    </row>
    <row r="9" spans="1:12" x14ac:dyDescent="0.25">
      <c r="B9" s="50"/>
      <c r="C9" s="50"/>
      <c r="D9" s="50"/>
      <c r="E9" s="50">
        <f t="shared" si="0"/>
        <v>0</v>
      </c>
      <c r="F9" s="50" t="s">
        <v>313</v>
      </c>
      <c r="G9" s="50"/>
      <c r="H9" s="50"/>
      <c r="I9" s="50">
        <f t="shared" si="1"/>
        <v>0</v>
      </c>
      <c r="J9" s="50"/>
      <c r="K9" s="50"/>
      <c r="L9" s="50">
        <f t="shared" si="2"/>
        <v>0</v>
      </c>
    </row>
    <row r="10" spans="1:12" x14ac:dyDescent="0.25">
      <c r="B10" s="50" t="s">
        <v>314</v>
      </c>
      <c r="C10" s="50"/>
      <c r="D10" s="50"/>
      <c r="E10" s="50">
        <f t="shared" si="0"/>
        <v>0</v>
      </c>
      <c r="F10" s="50" t="s">
        <v>313</v>
      </c>
      <c r="G10" s="50"/>
      <c r="H10" s="50"/>
      <c r="I10" s="50">
        <f t="shared" si="1"/>
        <v>0</v>
      </c>
      <c r="J10" s="50"/>
      <c r="K10" s="50"/>
      <c r="L10" s="50">
        <f t="shared" si="2"/>
        <v>0</v>
      </c>
    </row>
    <row r="11" spans="1:12" x14ac:dyDescent="0.25">
      <c r="B11" s="50"/>
      <c r="C11" s="50"/>
      <c r="D11" s="50"/>
      <c r="E11" s="50">
        <f t="shared" si="0"/>
        <v>0</v>
      </c>
      <c r="F11" s="50" t="s">
        <v>315</v>
      </c>
      <c r="G11" s="50"/>
      <c r="H11" s="50"/>
      <c r="I11" s="50">
        <f t="shared" si="1"/>
        <v>0</v>
      </c>
      <c r="J11" s="50"/>
      <c r="K11" s="50"/>
      <c r="L11" s="50">
        <f t="shared" si="2"/>
        <v>0</v>
      </c>
    </row>
    <row r="12" spans="1:12" x14ac:dyDescent="0.25">
      <c r="B12" s="50"/>
      <c r="C12" s="50"/>
      <c r="D12" s="50"/>
      <c r="E12" s="50">
        <f t="shared" si="0"/>
        <v>0</v>
      </c>
      <c r="F12" s="50"/>
      <c r="G12" s="50"/>
      <c r="H12" s="50"/>
      <c r="I12" s="50">
        <f t="shared" si="1"/>
        <v>0</v>
      </c>
      <c r="J12" s="50"/>
      <c r="K12" s="50"/>
      <c r="L12" s="50">
        <f t="shared" si="2"/>
        <v>0</v>
      </c>
    </row>
    <row r="13" spans="1:12" x14ac:dyDescent="0.25">
      <c r="B13" s="50"/>
      <c r="C13" s="50"/>
      <c r="D13" s="50"/>
      <c r="E13" s="50">
        <f t="shared" si="0"/>
        <v>0</v>
      </c>
      <c r="F13" s="50"/>
      <c r="G13" s="50"/>
      <c r="H13" s="50"/>
      <c r="I13" s="50">
        <f t="shared" si="1"/>
        <v>0</v>
      </c>
      <c r="J13" s="50"/>
      <c r="K13" s="50"/>
      <c r="L13" s="50">
        <f t="shared" si="2"/>
        <v>0</v>
      </c>
    </row>
    <row r="14" spans="1:12" x14ac:dyDescent="0.25">
      <c r="B14" s="50" t="s">
        <v>316</v>
      </c>
      <c r="C14" s="50"/>
      <c r="D14" s="50"/>
      <c r="E14" s="50">
        <f t="shared" si="0"/>
        <v>0</v>
      </c>
      <c r="F14" s="50" t="s">
        <v>313</v>
      </c>
      <c r="G14" s="50"/>
      <c r="H14" s="50"/>
      <c r="I14" s="50">
        <f t="shared" si="1"/>
        <v>0</v>
      </c>
      <c r="J14" s="50"/>
      <c r="K14" s="50"/>
      <c r="L14" s="50">
        <f t="shared" si="2"/>
        <v>0</v>
      </c>
    </row>
    <row r="15" spans="1:12" x14ac:dyDescent="0.25">
      <c r="B15" s="50"/>
      <c r="C15" s="50"/>
      <c r="D15" s="50"/>
      <c r="E15" s="50">
        <f t="shared" si="0"/>
        <v>0</v>
      </c>
      <c r="F15" s="50" t="s">
        <v>315</v>
      </c>
      <c r="G15" s="50"/>
      <c r="H15" s="50"/>
      <c r="I15" s="50">
        <f t="shared" si="1"/>
        <v>0</v>
      </c>
      <c r="J15" s="50"/>
      <c r="K15" s="50"/>
      <c r="L15" s="50">
        <f t="shared" si="2"/>
        <v>0</v>
      </c>
    </row>
    <row r="16" spans="1:12" x14ac:dyDescent="0.25">
      <c r="B16" s="50"/>
      <c r="C16" s="50"/>
      <c r="D16" s="50"/>
      <c r="E16" s="50">
        <f t="shared" si="0"/>
        <v>0</v>
      </c>
      <c r="F16" s="50"/>
      <c r="G16" s="50"/>
      <c r="H16" s="50"/>
      <c r="I16" s="50">
        <f t="shared" si="1"/>
        <v>0</v>
      </c>
      <c r="J16" s="50"/>
      <c r="K16" s="50"/>
      <c r="L16" s="50">
        <f t="shared" si="2"/>
        <v>0</v>
      </c>
    </row>
    <row r="17" spans="2:12" x14ac:dyDescent="0.25">
      <c r="B17" s="50"/>
      <c r="C17" s="50"/>
      <c r="D17" s="50"/>
      <c r="E17" s="50">
        <f t="shared" si="0"/>
        <v>0</v>
      </c>
      <c r="F17" s="50"/>
      <c r="G17" s="50"/>
      <c r="H17" s="50"/>
      <c r="I17" s="50">
        <f t="shared" si="1"/>
        <v>0</v>
      </c>
      <c r="J17" s="50"/>
      <c r="K17" s="50"/>
      <c r="L17" s="50">
        <f t="shared" si="2"/>
        <v>0</v>
      </c>
    </row>
    <row r="18" spans="2:12" x14ac:dyDescent="0.25">
      <c r="B18" s="50" t="s">
        <v>317</v>
      </c>
      <c r="C18" s="50"/>
      <c r="D18" s="50"/>
      <c r="E18" s="50">
        <f t="shared" si="0"/>
        <v>0</v>
      </c>
      <c r="F18" s="50" t="s">
        <v>313</v>
      </c>
      <c r="G18" s="50"/>
      <c r="H18" s="50"/>
      <c r="I18" s="50">
        <f t="shared" si="1"/>
        <v>0</v>
      </c>
      <c r="J18" s="50"/>
      <c r="K18" s="50"/>
      <c r="L18" s="50">
        <f t="shared" si="2"/>
        <v>0</v>
      </c>
    </row>
    <row r="19" spans="2:12" x14ac:dyDescent="0.25">
      <c r="B19" s="50"/>
      <c r="C19" s="50"/>
      <c r="D19" s="50"/>
      <c r="E19" s="50">
        <f t="shared" si="0"/>
        <v>0</v>
      </c>
      <c r="F19" s="50" t="s">
        <v>315</v>
      </c>
      <c r="G19" s="50"/>
      <c r="H19" s="50"/>
      <c r="I19" s="50">
        <f t="shared" si="1"/>
        <v>0</v>
      </c>
      <c r="J19" s="50"/>
      <c r="K19" s="50"/>
      <c r="L19" s="50">
        <f t="shared" si="2"/>
        <v>0</v>
      </c>
    </row>
    <row r="20" spans="2:12" x14ac:dyDescent="0.25">
      <c r="B20" s="50"/>
      <c r="C20" s="50"/>
      <c r="D20" s="50"/>
      <c r="E20" s="50">
        <f t="shared" si="0"/>
        <v>0</v>
      </c>
      <c r="F20" s="50"/>
      <c r="G20" s="50"/>
      <c r="H20" s="50"/>
      <c r="I20" s="50">
        <f t="shared" si="1"/>
        <v>0</v>
      </c>
      <c r="J20" s="50"/>
      <c r="K20" s="50"/>
      <c r="L20" s="50">
        <f t="shared" si="2"/>
        <v>0</v>
      </c>
    </row>
    <row r="21" spans="2:12" x14ac:dyDescent="0.25">
      <c r="B21" s="50" t="s">
        <v>318</v>
      </c>
      <c r="C21" s="50"/>
      <c r="D21" s="50"/>
      <c r="E21" s="50">
        <f t="shared" si="0"/>
        <v>0</v>
      </c>
      <c r="F21" s="50" t="s">
        <v>313</v>
      </c>
      <c r="G21" s="50"/>
      <c r="H21" s="50"/>
      <c r="I21" s="50">
        <f t="shared" si="1"/>
        <v>0</v>
      </c>
      <c r="J21" s="50"/>
      <c r="K21" s="50"/>
      <c r="L21" s="50">
        <f t="shared" si="2"/>
        <v>0</v>
      </c>
    </row>
    <row r="22" spans="2:12" x14ac:dyDescent="0.25">
      <c r="B22" s="50"/>
      <c r="C22" s="50"/>
      <c r="D22" s="50"/>
      <c r="E22" s="50">
        <f t="shared" si="0"/>
        <v>0</v>
      </c>
      <c r="F22" s="50" t="s">
        <v>315</v>
      </c>
      <c r="G22" s="50"/>
      <c r="H22" s="50"/>
      <c r="I22" s="50">
        <f t="shared" si="1"/>
        <v>0</v>
      </c>
      <c r="J22" s="50"/>
      <c r="K22" s="50"/>
      <c r="L22" s="50">
        <f t="shared" si="2"/>
        <v>0</v>
      </c>
    </row>
    <row r="23" spans="2:12" x14ac:dyDescent="0.25">
      <c r="B23" s="50"/>
      <c r="C23" s="50"/>
      <c r="D23" s="50"/>
      <c r="E23" s="50">
        <f t="shared" si="0"/>
        <v>0</v>
      </c>
      <c r="F23" s="50"/>
      <c r="G23" s="50"/>
      <c r="H23" s="50"/>
      <c r="I23" s="50">
        <f t="shared" si="1"/>
        <v>0</v>
      </c>
      <c r="J23" s="50"/>
      <c r="K23" s="50"/>
      <c r="L23" s="50">
        <f t="shared" si="2"/>
        <v>0</v>
      </c>
    </row>
    <row r="24" spans="2:12" x14ac:dyDescent="0.25">
      <c r="B24" s="50" t="s">
        <v>319</v>
      </c>
      <c r="C24" s="50"/>
      <c r="D24" s="50"/>
      <c r="E24" s="50">
        <f t="shared" si="0"/>
        <v>0</v>
      </c>
      <c r="F24" s="50" t="s">
        <v>320</v>
      </c>
      <c r="G24" s="50"/>
      <c r="H24" s="50"/>
      <c r="I24" s="50">
        <f t="shared" si="1"/>
        <v>0</v>
      </c>
      <c r="J24" s="50"/>
      <c r="K24" s="50"/>
      <c r="L24" s="50">
        <f t="shared" si="2"/>
        <v>0</v>
      </c>
    </row>
    <row r="25" spans="2:12" x14ac:dyDescent="0.25">
      <c r="B25" s="50"/>
      <c r="C25" s="50"/>
      <c r="D25" s="50"/>
      <c r="E25" s="50">
        <f t="shared" ref="E25:E27" si="3">C25*D25</f>
        <v>0</v>
      </c>
      <c r="F25" s="50" t="s">
        <v>320</v>
      </c>
      <c r="G25" s="50"/>
      <c r="H25" s="50"/>
      <c r="I25" s="50">
        <f t="shared" ref="I25:I27" si="4">G25*H25</f>
        <v>0</v>
      </c>
      <c r="J25" s="50"/>
      <c r="K25" s="50"/>
      <c r="L25" s="50">
        <f t="shared" ref="L25:L27" si="5">J25*K25</f>
        <v>0</v>
      </c>
    </row>
    <row r="26" spans="2:12" x14ac:dyDescent="0.25">
      <c r="B26" s="50"/>
      <c r="C26" s="50"/>
      <c r="D26" s="50"/>
      <c r="E26" s="50">
        <f t="shared" si="3"/>
        <v>0</v>
      </c>
      <c r="F26" s="50" t="s">
        <v>320</v>
      </c>
      <c r="G26" s="50"/>
      <c r="H26" s="50"/>
      <c r="I26" s="50">
        <f t="shared" si="4"/>
        <v>0</v>
      </c>
      <c r="J26" s="50"/>
      <c r="K26" s="50"/>
      <c r="L26" s="50">
        <f t="shared" si="5"/>
        <v>0</v>
      </c>
    </row>
    <row r="27" spans="2:12" x14ac:dyDescent="0.25">
      <c r="B27" s="50"/>
      <c r="C27" s="50"/>
      <c r="D27" s="50"/>
      <c r="E27" s="50">
        <f t="shared" si="3"/>
        <v>0</v>
      </c>
      <c r="F27" s="50" t="s">
        <v>320</v>
      </c>
      <c r="G27" s="50"/>
      <c r="H27" s="50"/>
      <c r="I27" s="50">
        <f t="shared" si="4"/>
        <v>0</v>
      </c>
      <c r="J27" s="50"/>
      <c r="K27" s="50"/>
      <c r="L27" s="50">
        <f t="shared" si="5"/>
        <v>0</v>
      </c>
    </row>
    <row r="28" spans="2:12" x14ac:dyDescent="0.25">
      <c r="B28" s="50" t="s">
        <v>321</v>
      </c>
      <c r="C28" s="50"/>
      <c r="D28" s="50"/>
      <c r="E28" s="50">
        <f t="shared" si="0"/>
        <v>0</v>
      </c>
      <c r="F28" s="50" t="s">
        <v>320</v>
      </c>
      <c r="G28" s="50"/>
      <c r="H28" s="50"/>
      <c r="I28" s="50">
        <f t="shared" si="1"/>
        <v>0</v>
      </c>
      <c r="J28" s="50"/>
      <c r="K28" s="50"/>
      <c r="L28" s="50">
        <f t="shared" si="2"/>
        <v>0</v>
      </c>
    </row>
    <row r="29" spans="2:12" x14ac:dyDescent="0.25">
      <c r="B29" s="50" t="s">
        <v>322</v>
      </c>
      <c r="C29" s="50"/>
      <c r="D29" s="50"/>
      <c r="E29" s="50">
        <f t="shared" si="0"/>
        <v>0</v>
      </c>
      <c r="F29" s="50" t="s">
        <v>320</v>
      </c>
      <c r="G29" s="50"/>
      <c r="H29" s="50"/>
      <c r="I29" s="50">
        <f t="shared" si="1"/>
        <v>0</v>
      </c>
      <c r="J29" s="50"/>
      <c r="K29" s="50"/>
      <c r="L29" s="50">
        <f t="shared" si="2"/>
        <v>0</v>
      </c>
    </row>
    <row r="30" spans="2:12" x14ac:dyDescent="0.25">
      <c r="B30" s="50" t="s">
        <v>326</v>
      </c>
      <c r="C30" s="50"/>
      <c r="D30" s="50"/>
      <c r="E30" s="50">
        <f t="shared" si="0"/>
        <v>0</v>
      </c>
      <c r="F30" s="50"/>
      <c r="G30" s="50"/>
      <c r="H30" s="50"/>
      <c r="I30" s="50">
        <f t="shared" si="1"/>
        <v>0</v>
      </c>
      <c r="J30" s="50"/>
      <c r="K30" s="50"/>
      <c r="L30" s="50">
        <f t="shared" si="2"/>
        <v>0</v>
      </c>
    </row>
    <row r="31" spans="2:12" x14ac:dyDescent="0.25">
      <c r="B31" s="50"/>
      <c r="C31" s="50"/>
      <c r="D31" s="50"/>
      <c r="E31" s="50">
        <f t="shared" ref="E31:E32" si="6">C31*D31</f>
        <v>0</v>
      </c>
      <c r="F31" s="50"/>
      <c r="G31" s="50"/>
      <c r="H31" s="50"/>
      <c r="I31" s="50">
        <f t="shared" ref="I31:I32" si="7">G31*H31</f>
        <v>0</v>
      </c>
      <c r="J31" s="50"/>
      <c r="K31" s="50"/>
      <c r="L31" s="50">
        <f t="shared" ref="L31:L32" si="8">J31*K31</f>
        <v>0</v>
      </c>
    </row>
    <row r="32" spans="2:12" x14ac:dyDescent="0.25">
      <c r="B32" s="50"/>
      <c r="C32" s="50"/>
      <c r="D32" s="50"/>
      <c r="E32" s="50">
        <f t="shared" si="6"/>
        <v>0</v>
      </c>
      <c r="F32" s="50"/>
      <c r="G32" s="50"/>
      <c r="H32" s="50"/>
      <c r="I32" s="50">
        <f t="shared" si="7"/>
        <v>0</v>
      </c>
      <c r="J32" s="50"/>
      <c r="K32" s="50"/>
      <c r="L32" s="50">
        <f t="shared" si="8"/>
        <v>0</v>
      </c>
    </row>
    <row r="33" spans="2:12" x14ac:dyDescent="0.25">
      <c r="B33" s="50" t="s">
        <v>323</v>
      </c>
      <c r="C33" s="50"/>
      <c r="D33" s="50"/>
      <c r="E33" s="50">
        <f t="shared" si="0"/>
        <v>0</v>
      </c>
      <c r="F33" s="50"/>
      <c r="G33" s="50"/>
      <c r="H33" s="50"/>
      <c r="I33" s="50">
        <f t="shared" si="1"/>
        <v>0</v>
      </c>
      <c r="J33" s="50"/>
      <c r="K33" s="50"/>
      <c r="L33" s="50">
        <f t="shared" si="2"/>
        <v>0</v>
      </c>
    </row>
    <row r="34" spans="2:12" x14ac:dyDescent="0.25">
      <c r="B34" s="50" t="s">
        <v>327</v>
      </c>
      <c r="C34" s="50"/>
      <c r="D34" s="50"/>
      <c r="E34" s="50">
        <f t="shared" si="0"/>
        <v>0</v>
      </c>
      <c r="F34" s="50"/>
      <c r="G34" s="50"/>
      <c r="H34" s="50"/>
      <c r="I34" s="50">
        <f t="shared" si="1"/>
        <v>0</v>
      </c>
      <c r="J34" s="50"/>
      <c r="K34" s="50"/>
      <c r="L34" s="50">
        <f t="shared" si="2"/>
        <v>0</v>
      </c>
    </row>
    <row r="35" spans="2:12" x14ac:dyDescent="0.25">
      <c r="B35" s="50" t="s">
        <v>324</v>
      </c>
      <c r="C35" s="50"/>
      <c r="D35" s="50"/>
      <c r="E35" s="50">
        <f t="shared" si="0"/>
        <v>0</v>
      </c>
      <c r="F35" s="50"/>
      <c r="G35" s="50"/>
      <c r="H35" s="50"/>
      <c r="I35" s="50">
        <f t="shared" si="1"/>
        <v>0</v>
      </c>
      <c r="J35" s="50"/>
      <c r="K35" s="50"/>
      <c r="L35" s="50">
        <f t="shared" si="2"/>
        <v>0</v>
      </c>
    </row>
    <row r="36" spans="2:12" x14ac:dyDescent="0.25">
      <c r="B36" s="50" t="s">
        <v>325</v>
      </c>
      <c r="C36" s="50"/>
      <c r="D36" s="50"/>
      <c r="E36" s="50">
        <f t="shared" si="0"/>
        <v>0</v>
      </c>
      <c r="F36" s="50"/>
      <c r="G36" s="50"/>
      <c r="H36" s="50"/>
      <c r="I36" s="50">
        <f>G36*H36</f>
        <v>0</v>
      </c>
      <c r="J36" s="50"/>
      <c r="K36" s="50"/>
      <c r="L36" s="50">
        <f>J36*K36</f>
        <v>0</v>
      </c>
    </row>
    <row r="37" spans="2:12" x14ac:dyDescent="0.25">
      <c r="B37" s="50"/>
      <c r="C37" s="50"/>
      <c r="D37" s="50"/>
      <c r="E37" s="50">
        <f t="shared" ref="E37:E38" si="9">C37*D37</f>
        <v>0</v>
      </c>
      <c r="F37" s="50"/>
      <c r="G37" s="50"/>
      <c r="H37" s="50"/>
      <c r="I37" s="50">
        <f t="shared" ref="I37:I38" si="10">G37*H37</f>
        <v>0</v>
      </c>
      <c r="J37" s="50"/>
      <c r="K37" s="50"/>
      <c r="L37" s="50">
        <f t="shared" ref="L37:L38" si="11">J37*K37</f>
        <v>0</v>
      </c>
    </row>
    <row r="38" spans="2:12" x14ac:dyDescent="0.25">
      <c r="B38" s="50" t="s">
        <v>328</v>
      </c>
      <c r="C38" s="50"/>
      <c r="D38" s="50"/>
      <c r="E38" s="50">
        <f t="shared" si="9"/>
        <v>0</v>
      </c>
      <c r="F38" s="50"/>
      <c r="G38" s="50"/>
      <c r="H38" s="50"/>
      <c r="I38" s="50">
        <f t="shared" si="10"/>
        <v>0</v>
      </c>
      <c r="J38" s="50"/>
      <c r="K38" s="50"/>
      <c r="L38" s="50">
        <f t="shared" si="11"/>
        <v>0</v>
      </c>
    </row>
    <row r="39" spans="2:12" x14ac:dyDescent="0.25">
      <c r="B39" s="50"/>
      <c r="C39" s="50"/>
      <c r="D39" s="50"/>
      <c r="E39" s="50">
        <f t="shared" si="0"/>
        <v>0</v>
      </c>
      <c r="F39" s="50"/>
      <c r="G39" s="50"/>
      <c r="H39" s="50"/>
      <c r="I39" s="50">
        <f>G39*H39</f>
        <v>0</v>
      </c>
      <c r="J39" s="50"/>
      <c r="K39" s="50"/>
      <c r="L39" s="50">
        <f>J39*K39</f>
        <v>0</v>
      </c>
    </row>
    <row r="40" spans="2:12" x14ac:dyDescent="0.25">
      <c r="B40" s="50"/>
      <c r="C40" s="50"/>
      <c r="D40" s="50"/>
      <c r="E40" s="50">
        <f t="shared" si="0"/>
        <v>0</v>
      </c>
      <c r="F40" s="50"/>
      <c r="G40" s="50"/>
      <c r="H40" s="50"/>
      <c r="I40" s="50">
        <f>G40*H40</f>
        <v>0</v>
      </c>
      <c r="J40" s="50"/>
      <c r="K40" s="50"/>
      <c r="L40" s="50">
        <f>J40*K40</f>
        <v>0</v>
      </c>
    </row>
    <row r="41" spans="2:12" x14ac:dyDescent="0.25">
      <c r="B41" s="50"/>
      <c r="C41" s="50"/>
      <c r="D41" s="50"/>
      <c r="E41" s="50">
        <f t="shared" si="0"/>
        <v>0</v>
      </c>
      <c r="F41" s="50"/>
      <c r="G41" s="50"/>
      <c r="H41" s="50"/>
      <c r="I41" s="50">
        <f>G41*H41</f>
        <v>0</v>
      </c>
      <c r="J41" s="50"/>
      <c r="K41" s="50"/>
      <c r="L41" s="50">
        <f>J41*K41</f>
        <v>0</v>
      </c>
    </row>
    <row r="42" spans="2:12" x14ac:dyDescent="0.25">
      <c r="B42" s="50" t="s">
        <v>147</v>
      </c>
      <c r="C42" s="50"/>
      <c r="D42" s="50">
        <f>E42*10.764</f>
        <v>0</v>
      </c>
      <c r="E42" s="72">
        <f>SUM(E6:E41)</f>
        <v>0</v>
      </c>
      <c r="F42" s="50"/>
      <c r="G42" s="50"/>
      <c r="H42" s="50">
        <f>I42*10.764</f>
        <v>0</v>
      </c>
      <c r="I42" s="71">
        <f>SUM(I6:I41)</f>
        <v>0</v>
      </c>
      <c r="J42" s="50"/>
      <c r="K42" s="50">
        <f>L42*10.764</f>
        <v>0</v>
      </c>
      <c r="L42" s="70">
        <f>SUM(L6:L41)</f>
        <v>0</v>
      </c>
    </row>
    <row r="44" spans="2:12" x14ac:dyDescent="0.25">
      <c r="D44" s="49">
        <f>D42+H42</f>
        <v>0</v>
      </c>
      <c r="E44" s="49">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vt:lpstr>
      <vt:lpstr>Sheet1</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2025-07-01T09:56:35Z</cp:lastPrinted>
  <dcterms:created xsi:type="dcterms:W3CDTF">2019-07-16T09:29:46Z</dcterms:created>
  <dcterms:modified xsi:type="dcterms:W3CDTF">2025-09-18T11:37:57Z</dcterms:modified>
</cp:coreProperties>
</file>