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16-09-2025\"/>
    </mc:Choice>
  </mc:AlternateContent>
  <bookViews>
    <workbookView xWindow="0" yWindow="0" windowWidth="19200" windowHeight="6640"/>
  </bookViews>
  <sheets>
    <sheet name="Sheet1" sheetId="1" r:id="rId1"/>
    <sheet name="Construction %" sheetId="14" r:id="rId2"/>
    <sheet name="Wing A" sheetId="11" r:id="rId3"/>
    <sheet name="Wing B" sheetId="12" r:id="rId4"/>
    <sheet name="Wing C" sheetId="13" r:id="rId5"/>
  </sheets>
  <definedNames>
    <definedName name="_xlnm.Print_Area" localSheetId="0">Sheet1!$A$1:$J$382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3" i="1" l="1"/>
  <c r="K47" i="1"/>
  <c r="K77" i="1" l="1"/>
  <c r="L273" i="1" l="1"/>
  <c r="I272" i="1"/>
  <c r="F272" i="1"/>
  <c r="D272" i="1"/>
  <c r="L271" i="1"/>
  <c r="F270" i="1"/>
  <c r="D270" i="1"/>
  <c r="I269" i="1"/>
  <c r="F269" i="1"/>
  <c r="D269" i="1"/>
  <c r="L268" i="1"/>
  <c r="L267" i="1"/>
  <c r="F266" i="1"/>
  <c r="D266" i="1"/>
  <c r="I265" i="1"/>
  <c r="F265" i="1"/>
  <c r="D265" i="1"/>
  <c r="L264" i="1"/>
  <c r="F263" i="1"/>
  <c r="D263" i="1"/>
  <c r="G263" i="1" s="1"/>
  <c r="I262" i="1"/>
  <c r="F262" i="1"/>
  <c r="D262" i="1"/>
  <c r="L261" i="1"/>
  <c r="F260" i="1"/>
  <c r="D260" i="1"/>
  <c r="N259" i="1"/>
  <c r="M259" i="1"/>
  <c r="I259" i="1"/>
  <c r="F259" i="1"/>
  <c r="D259" i="1"/>
  <c r="L258" i="1"/>
  <c r="F257" i="1"/>
  <c r="D257" i="1"/>
  <c r="I256" i="1"/>
  <c r="F256" i="1"/>
  <c r="D256" i="1"/>
  <c r="L255" i="1"/>
  <c r="L254" i="1"/>
  <c r="D252" i="1"/>
  <c r="L251" i="1"/>
  <c r="L250" i="1"/>
  <c r="D249" i="1"/>
  <c r="L248" i="1"/>
  <c r="D247" i="1"/>
  <c r="I246" i="1"/>
  <c r="D246" i="1"/>
  <c r="G246" i="1" s="1"/>
  <c r="P245" i="1"/>
  <c r="Q245" i="1" s="1"/>
  <c r="L245" i="1"/>
  <c r="P244" i="1"/>
  <c r="Q244" i="1" s="1"/>
  <c r="L244" i="1"/>
  <c r="P243" i="1"/>
  <c r="Q243" i="1" s="1"/>
  <c r="D243" i="1"/>
  <c r="P242" i="1"/>
  <c r="Q242" i="1" s="1"/>
  <c r="I242" i="1"/>
  <c r="D242" i="1"/>
  <c r="L241" i="1"/>
  <c r="L240" i="1"/>
  <c r="D239" i="1"/>
  <c r="L238" i="1"/>
  <c r="D237" i="1"/>
  <c r="I236" i="1"/>
  <c r="D236" i="1"/>
  <c r="L235" i="1"/>
  <c r="D234" i="1"/>
  <c r="I233" i="1"/>
  <c r="D233" i="1"/>
  <c r="L232" i="1"/>
  <c r="L231" i="1"/>
  <c r="L230" i="1"/>
  <c r="L229" i="1"/>
  <c r="P218" i="1"/>
  <c r="Q218" i="1" s="1"/>
  <c r="P219" i="1"/>
  <c r="Q219" i="1" s="1"/>
  <c r="P220" i="1"/>
  <c r="Q220" i="1" s="1"/>
  <c r="P217" i="1"/>
  <c r="Q217" i="1" s="1"/>
  <c r="G257" i="1" l="1"/>
  <c r="G260" i="1"/>
  <c r="G269" i="1"/>
  <c r="G262" i="1"/>
  <c r="L262" i="1" s="1"/>
  <c r="G270" i="1"/>
  <c r="L270" i="1" s="1"/>
  <c r="G237" i="1"/>
  <c r="L237" i="1" s="1"/>
  <c r="G243" i="1"/>
  <c r="L243" i="1" s="1"/>
  <c r="G266" i="1"/>
  <c r="L266" i="1" s="1"/>
  <c r="G272" i="1"/>
  <c r="L272" i="1" s="1"/>
  <c r="G252" i="1"/>
  <c r="L252" i="1" s="1"/>
  <c r="G259" i="1"/>
  <c r="L259" i="1" s="1"/>
  <c r="L247" i="1"/>
  <c r="G247" i="1"/>
  <c r="G236" i="1"/>
  <c r="L236" i="1" s="1"/>
  <c r="G233" i="1"/>
  <c r="G234" i="1"/>
  <c r="L234" i="1" s="1"/>
  <c r="G256" i="1"/>
  <c r="L256" i="1" s="1"/>
  <c r="G239" i="1"/>
  <c r="L239" i="1" s="1"/>
  <c r="G249" i="1"/>
  <c r="L249" i="1" s="1"/>
  <c r="G242" i="1"/>
  <c r="L242" i="1" s="1"/>
  <c r="G265" i="1"/>
  <c r="L265" i="1" s="1"/>
  <c r="L263" i="1"/>
  <c r="D96" i="1"/>
  <c r="D97" i="1"/>
  <c r="L269" i="1"/>
  <c r="O259" i="1"/>
  <c r="L260" i="1"/>
  <c r="N246" i="1"/>
  <c r="L246" i="1"/>
  <c r="D227" i="1"/>
  <c r="G227" i="1" s="1"/>
  <c r="D224" i="1"/>
  <c r="G224" i="1" s="1"/>
  <c r="D222" i="1"/>
  <c r="G222" i="1" s="1"/>
  <c r="D221" i="1"/>
  <c r="G221" i="1" s="1"/>
  <c r="D218" i="1"/>
  <c r="G218" i="1" s="1"/>
  <c r="D217" i="1"/>
  <c r="G217" i="1" s="1"/>
  <c r="D214" i="1"/>
  <c r="G214" i="1" s="1"/>
  <c r="D212" i="1"/>
  <c r="G212" i="1" s="1"/>
  <c r="D211" i="1"/>
  <c r="G211" i="1" s="1"/>
  <c r="D209" i="1"/>
  <c r="G209" i="1" s="1"/>
  <c r="D208" i="1"/>
  <c r="G208" i="1" s="1"/>
  <c r="D200" i="1"/>
  <c r="G200" i="1" s="1"/>
  <c r="D199" i="1"/>
  <c r="G199" i="1" s="1"/>
  <c r="F200" i="1"/>
  <c r="F199" i="1"/>
  <c r="D202" i="1"/>
  <c r="D196" i="1"/>
  <c r="D195" i="1"/>
  <c r="D193" i="1"/>
  <c r="D192" i="1"/>
  <c r="D189" i="1"/>
  <c r="D190" i="1"/>
  <c r="D187" i="1"/>
  <c r="D186" i="1"/>
  <c r="N189" i="1"/>
  <c r="M189" i="1"/>
  <c r="D129" i="1"/>
  <c r="G129" i="1" s="1"/>
  <c r="L129" i="1" s="1"/>
  <c r="D128" i="1"/>
  <c r="G128" i="1" s="1"/>
  <c r="L128" i="1" s="1"/>
  <c r="D127" i="1"/>
  <c r="G127" i="1" s="1"/>
  <c r="L127" i="1" s="1"/>
  <c r="D126" i="1"/>
  <c r="D125" i="1"/>
  <c r="D124" i="1"/>
  <c r="D123" i="1"/>
  <c r="G123" i="1" s="1"/>
  <c r="L123" i="1" s="1"/>
  <c r="D122" i="1"/>
  <c r="G122" i="1" s="1"/>
  <c r="L122" i="1" s="1"/>
  <c r="D121" i="1"/>
  <c r="G121" i="1" s="1"/>
  <c r="L121" i="1" s="1"/>
  <c r="D120" i="1"/>
  <c r="G120" i="1" s="1"/>
  <c r="L120" i="1" s="1"/>
  <c r="D119" i="1"/>
  <c r="G119" i="1" s="1"/>
  <c r="L119" i="1" s="1"/>
  <c r="D118" i="1"/>
  <c r="G118" i="1" s="1"/>
  <c r="L118" i="1" s="1"/>
  <c r="D117" i="1"/>
  <c r="G117" i="1" s="1"/>
  <c r="L117" i="1" s="1"/>
  <c r="D116" i="1"/>
  <c r="G116" i="1" s="1"/>
  <c r="L116" i="1" s="1"/>
  <c r="D115" i="1"/>
  <c r="G115" i="1" s="1"/>
  <c r="L115" i="1" s="1"/>
  <c r="D114" i="1"/>
  <c r="G114" i="1" s="1"/>
  <c r="L114" i="1" s="1"/>
  <c r="D113" i="1"/>
  <c r="G113" i="1" s="1"/>
  <c r="L113" i="1" s="1"/>
  <c r="D112" i="1"/>
  <c r="G112" i="1" s="1"/>
  <c r="L112" i="1" s="1"/>
  <c r="D111" i="1"/>
  <c r="G111" i="1" s="1"/>
  <c r="L111" i="1" s="1"/>
  <c r="D110" i="1"/>
  <c r="G110" i="1"/>
  <c r="L110" i="1" s="1"/>
  <c r="D106" i="1"/>
  <c r="G106" i="1" s="1"/>
  <c r="L106" i="1" s="1"/>
  <c r="D107" i="1"/>
  <c r="G107" i="1" s="1"/>
  <c r="L107" i="1" s="1"/>
  <c r="D108" i="1"/>
  <c r="G108" i="1" s="1"/>
  <c r="L108" i="1" s="1"/>
  <c r="D109" i="1"/>
  <c r="G109" i="1" s="1"/>
  <c r="L109" i="1" s="1"/>
  <c r="D105" i="1"/>
  <c r="G105" i="1" s="1"/>
  <c r="L105" i="1" s="1"/>
  <c r="D104" i="1"/>
  <c r="G104" i="1" s="1"/>
  <c r="L104" i="1" s="1"/>
  <c r="G126" i="1"/>
  <c r="L126" i="1" s="1"/>
  <c r="G125" i="1"/>
  <c r="L125" i="1" s="1"/>
  <c r="G124" i="1"/>
  <c r="L124" i="1" s="1"/>
  <c r="G96" i="1" l="1"/>
  <c r="O189" i="1"/>
  <c r="L233" i="1"/>
  <c r="G95" i="1"/>
  <c r="C96" i="1"/>
  <c r="C95" i="1"/>
  <c r="D95" i="1"/>
  <c r="L257" i="1"/>
  <c r="G97" i="1"/>
  <c r="D94" i="1"/>
  <c r="C97" i="1"/>
  <c r="C94" i="1"/>
  <c r="L69" i="1"/>
  <c r="L68" i="1"/>
  <c r="L67" i="1"/>
  <c r="L66" i="1"/>
  <c r="I57" i="1"/>
  <c r="C98" i="1" l="1"/>
  <c r="D98" i="1"/>
  <c r="L64" i="1"/>
  <c r="L65" i="1" s="1"/>
  <c r="L70" i="1" s="1"/>
  <c r="L71" i="1" s="1"/>
  <c r="C63" i="1" s="1"/>
  <c r="D70" i="1"/>
  <c r="D68" i="1"/>
  <c r="D66" i="1"/>
  <c r="D64" i="1"/>
  <c r="L62" i="1"/>
  <c r="L56" i="1"/>
  <c r="L58" i="1" s="1"/>
  <c r="L63" i="1"/>
  <c r="C62" i="1" s="1"/>
  <c r="L61" i="1"/>
  <c r="D71" i="1"/>
  <c r="D69" i="1"/>
  <c r="D67" i="1"/>
  <c r="D65" i="1"/>
  <c r="F62" i="1" l="1"/>
  <c r="D63" i="1"/>
  <c r="H62" i="1"/>
  <c r="D62" i="1"/>
  <c r="K57" i="1" l="1"/>
  <c r="K58" i="1" s="1"/>
  <c r="L57" i="1"/>
  <c r="K56" i="1"/>
  <c r="C58" i="1" s="1"/>
  <c r="F3" i="1" l="1"/>
  <c r="L157" i="1" l="1"/>
  <c r="L184" i="1"/>
  <c r="L185" i="1"/>
  <c r="L188" i="1"/>
  <c r="L191" i="1"/>
  <c r="L194" i="1"/>
  <c r="L197" i="1"/>
  <c r="L198" i="1"/>
  <c r="L201" i="1"/>
  <c r="L203" i="1"/>
  <c r="L204" i="1"/>
  <c r="L205" i="1"/>
  <c r="L206" i="1"/>
  <c r="L207" i="1"/>
  <c r="L210" i="1"/>
  <c r="L213" i="1"/>
  <c r="L215" i="1"/>
  <c r="L216" i="1"/>
  <c r="L219" i="1"/>
  <c r="L220" i="1"/>
  <c r="L223" i="1"/>
  <c r="L225" i="1"/>
  <c r="L226" i="1"/>
  <c r="L214" i="1" l="1"/>
  <c r="L212" i="1"/>
  <c r="L211" i="1"/>
  <c r="L209" i="1"/>
  <c r="L217" i="1"/>
  <c r="L222" i="1"/>
  <c r="L224" i="1"/>
  <c r="L227" i="1"/>
  <c r="D183" i="1"/>
  <c r="G183" i="1" s="1"/>
  <c r="L183" i="1" s="1"/>
  <c r="D182" i="1"/>
  <c r="G182" i="1" s="1"/>
  <c r="L182" i="1" s="1"/>
  <c r="D181" i="1"/>
  <c r="G181" i="1" s="1"/>
  <c r="L181" i="1" s="1"/>
  <c r="D180" i="1"/>
  <c r="G180" i="1" s="1"/>
  <c r="L180" i="1" s="1"/>
  <c r="D179" i="1"/>
  <c r="G179" i="1" s="1"/>
  <c r="L179" i="1" s="1"/>
  <c r="D178" i="1"/>
  <c r="G178" i="1" s="1"/>
  <c r="L178" i="1" s="1"/>
  <c r="D177" i="1"/>
  <c r="G177" i="1" s="1"/>
  <c r="L177" i="1" s="1"/>
  <c r="D176" i="1"/>
  <c r="G176" i="1" s="1"/>
  <c r="L176" i="1" s="1"/>
  <c r="D175" i="1"/>
  <c r="G175" i="1"/>
  <c r="L175" i="1" s="1"/>
  <c r="D174" i="1"/>
  <c r="G174" i="1" s="1"/>
  <c r="L174" i="1" s="1"/>
  <c r="D173" i="1"/>
  <c r="G173" i="1" s="1"/>
  <c r="L173" i="1" s="1"/>
  <c r="D172" i="1"/>
  <c r="G172" i="1" s="1"/>
  <c r="L172" i="1" s="1"/>
  <c r="D171" i="1"/>
  <c r="G171" i="1" s="1"/>
  <c r="L171" i="1" s="1"/>
  <c r="D170" i="1"/>
  <c r="G170" i="1" s="1"/>
  <c r="L170" i="1" s="1"/>
  <c r="D169" i="1"/>
  <c r="D168" i="1"/>
  <c r="G168" i="1"/>
  <c r="L168" i="1" s="1"/>
  <c r="D167" i="1"/>
  <c r="G167" i="1" s="1"/>
  <c r="L167" i="1" s="1"/>
  <c r="D166" i="1"/>
  <c r="G166" i="1" s="1"/>
  <c r="L166" i="1" s="1"/>
  <c r="D165" i="1"/>
  <c r="G165" i="1" s="1"/>
  <c r="L165" i="1" s="1"/>
  <c r="D164" i="1"/>
  <c r="G164" i="1" s="1"/>
  <c r="L164" i="1" s="1"/>
  <c r="D163" i="1"/>
  <c r="G163" i="1" s="1"/>
  <c r="L163" i="1" s="1"/>
  <c r="D162" i="1"/>
  <c r="G162" i="1" s="1"/>
  <c r="L162" i="1" s="1"/>
  <c r="D161" i="1"/>
  <c r="G161" i="1"/>
  <c r="L161" i="1" s="1"/>
  <c r="D160" i="1"/>
  <c r="G160" i="1" s="1"/>
  <c r="L160" i="1" s="1"/>
  <c r="D159" i="1"/>
  <c r="G159" i="1" s="1"/>
  <c r="L159" i="1" s="1"/>
  <c r="D158" i="1"/>
  <c r="G158" i="1" s="1"/>
  <c r="L158" i="1" s="1"/>
  <c r="D156" i="1"/>
  <c r="G156" i="1" s="1"/>
  <c r="L156" i="1" s="1"/>
  <c r="D155" i="1"/>
  <c r="G155" i="1"/>
  <c r="L155" i="1" s="1"/>
  <c r="D154" i="1"/>
  <c r="G154" i="1" s="1"/>
  <c r="L154" i="1" s="1"/>
  <c r="D153" i="1"/>
  <c r="G153" i="1" s="1"/>
  <c r="L153" i="1" s="1"/>
  <c r="D152" i="1"/>
  <c r="G152" i="1" s="1"/>
  <c r="L152" i="1" s="1"/>
  <c r="D151" i="1"/>
  <c r="G151" i="1" s="1"/>
  <c r="L151" i="1" s="1"/>
  <c r="D150" i="1"/>
  <c r="G150" i="1" s="1"/>
  <c r="L150" i="1" s="1"/>
  <c r="D149" i="1"/>
  <c r="G149" i="1" s="1"/>
  <c r="L149" i="1" s="1"/>
  <c r="D148" i="1"/>
  <c r="G148" i="1"/>
  <c r="L148" i="1" s="1"/>
  <c r="D147" i="1"/>
  <c r="G147" i="1" s="1"/>
  <c r="L147" i="1" s="1"/>
  <c r="D146" i="1"/>
  <c r="G146" i="1" s="1"/>
  <c r="L146" i="1" s="1"/>
  <c r="D145" i="1"/>
  <c r="G145" i="1" s="1"/>
  <c r="L145" i="1" s="1"/>
  <c r="D144" i="1"/>
  <c r="G144" i="1" s="1"/>
  <c r="L144" i="1" s="1"/>
  <c r="D143" i="1"/>
  <c r="G143" i="1" s="1"/>
  <c r="L143" i="1" s="1"/>
  <c r="D142" i="1"/>
  <c r="G142" i="1" s="1"/>
  <c r="L142" i="1" s="1"/>
  <c r="D141" i="1"/>
  <c r="G141" i="1" s="1"/>
  <c r="L141" i="1" s="1"/>
  <c r="D140" i="1"/>
  <c r="G140" i="1"/>
  <c r="L140" i="1" s="1"/>
  <c r="D139" i="1"/>
  <c r="G139" i="1" s="1"/>
  <c r="L139" i="1" s="1"/>
  <c r="D138" i="1"/>
  <c r="G138" i="1" s="1"/>
  <c r="L138" i="1" s="1"/>
  <c r="D137" i="1"/>
  <c r="G137" i="1" s="1"/>
  <c r="L137" i="1" s="1"/>
  <c r="D136" i="1"/>
  <c r="G136" i="1" s="1"/>
  <c r="L136" i="1" s="1"/>
  <c r="D135" i="1"/>
  <c r="G135" i="1" s="1"/>
  <c r="L135" i="1" s="1"/>
  <c r="D134" i="1"/>
  <c r="G134" i="1" s="1"/>
  <c r="L134" i="1" s="1"/>
  <c r="D133" i="1"/>
  <c r="G133" i="1" s="1"/>
  <c r="L133" i="1" s="1"/>
  <c r="D132" i="1"/>
  <c r="G132" i="1"/>
  <c r="L132" i="1" s="1"/>
  <c r="D131" i="1"/>
  <c r="G131" i="1" s="1"/>
  <c r="F190" i="1"/>
  <c r="F189" i="1"/>
  <c r="G189" i="1" s="1"/>
  <c r="L199" i="1"/>
  <c r="I199" i="1"/>
  <c r="I202" i="1"/>
  <c r="F202" i="1"/>
  <c r="F193" i="1"/>
  <c r="G193" i="1" s="1"/>
  <c r="I192" i="1"/>
  <c r="F192" i="1"/>
  <c r="G192" i="1" s="1"/>
  <c r="I195" i="1"/>
  <c r="F196" i="1"/>
  <c r="G196" i="1" s="1"/>
  <c r="F195" i="1"/>
  <c r="G195" i="1" s="1"/>
  <c r="I189" i="1"/>
  <c r="I186" i="1"/>
  <c r="F187" i="1"/>
  <c r="G187" i="1" s="1"/>
  <c r="F186" i="1"/>
  <c r="G186" i="1" s="1"/>
  <c r="I208" i="1"/>
  <c r="I211" i="1"/>
  <c r="I221" i="1"/>
  <c r="I217" i="1"/>
  <c r="F39" i="1"/>
  <c r="F40" i="1" s="1"/>
  <c r="D51" i="1" s="1"/>
  <c r="F287" i="1"/>
  <c r="L218" i="1"/>
  <c r="L208" i="1"/>
  <c r="F7" i="1"/>
  <c r="I6" i="14"/>
  <c r="I7" i="14" s="1"/>
  <c r="H13" i="14" s="1"/>
  <c r="B6" i="14"/>
  <c r="J7" i="14"/>
  <c r="H14" i="14" s="1"/>
  <c r="B8" i="14"/>
  <c r="E6" i="14" s="1"/>
  <c r="K7" i="14"/>
  <c r="H15" i="14" s="1"/>
  <c r="B10" i="14"/>
  <c r="L7" i="14" s="1"/>
  <c r="H16" i="14" s="1"/>
  <c r="B12" i="14"/>
  <c r="E8" i="14" s="1"/>
  <c r="M6" i="14"/>
  <c r="G17" i="14" s="1"/>
  <c r="B14" i="14"/>
  <c r="E9" i="14" s="1"/>
  <c r="B16" i="14"/>
  <c r="E10" i="14" s="1"/>
  <c r="O7" i="14"/>
  <c r="H19" i="14" s="1"/>
  <c r="G13" i="14"/>
  <c r="E4" i="14"/>
  <c r="D49" i="1"/>
  <c r="G88" i="1"/>
  <c r="N34" i="13"/>
  <c r="K34" i="13"/>
  <c r="G34" i="13"/>
  <c r="N33" i="13"/>
  <c r="K33" i="13"/>
  <c r="G33" i="13"/>
  <c r="N32" i="13"/>
  <c r="K32" i="13"/>
  <c r="G32" i="13"/>
  <c r="N31" i="13"/>
  <c r="K31" i="13"/>
  <c r="G31" i="13"/>
  <c r="N30" i="13"/>
  <c r="K30" i="13"/>
  <c r="G30" i="13"/>
  <c r="N29" i="13"/>
  <c r="K29" i="13"/>
  <c r="G29" i="13"/>
  <c r="N28" i="13"/>
  <c r="K28" i="13"/>
  <c r="G28" i="13"/>
  <c r="N27" i="13"/>
  <c r="K27" i="13"/>
  <c r="G27" i="13"/>
  <c r="N26" i="13"/>
  <c r="K26" i="13"/>
  <c r="G26" i="13"/>
  <c r="N25" i="13"/>
  <c r="K25" i="13"/>
  <c r="G25" i="13"/>
  <c r="N24" i="13"/>
  <c r="K24" i="13"/>
  <c r="G24" i="13"/>
  <c r="N23" i="13"/>
  <c r="K23" i="13"/>
  <c r="G23" i="13"/>
  <c r="N22" i="13"/>
  <c r="K22" i="13"/>
  <c r="G22" i="13"/>
  <c r="N21" i="13"/>
  <c r="K21" i="13"/>
  <c r="G21" i="13"/>
  <c r="N20" i="13"/>
  <c r="K20" i="13"/>
  <c r="G20" i="13"/>
  <c r="N19" i="13"/>
  <c r="K19" i="13"/>
  <c r="G19" i="13"/>
  <c r="N18" i="13"/>
  <c r="K18" i="13"/>
  <c r="G18" i="13"/>
  <c r="N17" i="13"/>
  <c r="K17" i="13"/>
  <c r="G17" i="13"/>
  <c r="N16" i="13"/>
  <c r="K16" i="13"/>
  <c r="G16" i="13"/>
  <c r="N15" i="13"/>
  <c r="K15" i="13"/>
  <c r="G15" i="13"/>
  <c r="N14" i="13"/>
  <c r="K14" i="13"/>
  <c r="G14" i="13"/>
  <c r="N13" i="13"/>
  <c r="K13" i="13"/>
  <c r="G13" i="13"/>
  <c r="N12" i="13"/>
  <c r="K12" i="13"/>
  <c r="G12" i="13"/>
  <c r="N11" i="13"/>
  <c r="K11" i="13"/>
  <c r="G11" i="13"/>
  <c r="N10" i="13"/>
  <c r="K10" i="13"/>
  <c r="G10" i="13"/>
  <c r="N9" i="13"/>
  <c r="K9" i="13"/>
  <c r="G9" i="13"/>
  <c r="N8" i="13"/>
  <c r="K8" i="13"/>
  <c r="K7" i="13"/>
  <c r="G8" i="13"/>
  <c r="N7" i="13"/>
  <c r="G7" i="13"/>
  <c r="M34" i="12"/>
  <c r="J34" i="12"/>
  <c r="F34" i="12"/>
  <c r="M33" i="12"/>
  <c r="J33" i="12"/>
  <c r="F33" i="12"/>
  <c r="M32" i="12"/>
  <c r="J32" i="12"/>
  <c r="F32" i="12"/>
  <c r="M31" i="12"/>
  <c r="J31" i="12"/>
  <c r="F31" i="12"/>
  <c r="M30" i="12"/>
  <c r="J30" i="12"/>
  <c r="F30" i="12"/>
  <c r="M29" i="12"/>
  <c r="J29" i="12"/>
  <c r="F29" i="12"/>
  <c r="M28" i="12"/>
  <c r="J28" i="12"/>
  <c r="F28" i="12"/>
  <c r="M27" i="12"/>
  <c r="J27" i="12"/>
  <c r="F27" i="12"/>
  <c r="M26" i="12"/>
  <c r="J26" i="12"/>
  <c r="F26" i="12"/>
  <c r="M25" i="12"/>
  <c r="J25" i="12"/>
  <c r="F25" i="12"/>
  <c r="M24" i="12"/>
  <c r="J24" i="12"/>
  <c r="F24" i="12"/>
  <c r="M23" i="12"/>
  <c r="J23" i="12"/>
  <c r="F23" i="12"/>
  <c r="M22" i="12"/>
  <c r="J22" i="12"/>
  <c r="F22" i="12"/>
  <c r="M21" i="12"/>
  <c r="J21" i="12"/>
  <c r="F21" i="12"/>
  <c r="M20" i="12"/>
  <c r="J20" i="12"/>
  <c r="F20" i="12"/>
  <c r="M19" i="12"/>
  <c r="J19" i="12"/>
  <c r="F19" i="12"/>
  <c r="M18" i="12"/>
  <c r="J18" i="12"/>
  <c r="F18" i="12"/>
  <c r="M17" i="12"/>
  <c r="J17" i="12"/>
  <c r="F17" i="12"/>
  <c r="M16" i="12"/>
  <c r="J16" i="12"/>
  <c r="F16" i="12"/>
  <c r="M15" i="12"/>
  <c r="J15" i="12"/>
  <c r="F15" i="12"/>
  <c r="M14" i="12"/>
  <c r="J14" i="12"/>
  <c r="F14" i="12"/>
  <c r="M13" i="12"/>
  <c r="J13" i="12"/>
  <c r="F13" i="12"/>
  <c r="M12" i="12"/>
  <c r="J12" i="12"/>
  <c r="F12" i="12"/>
  <c r="M11" i="12"/>
  <c r="J11" i="12"/>
  <c r="F11" i="12"/>
  <c r="M10" i="12"/>
  <c r="J10" i="12"/>
  <c r="F10" i="12"/>
  <c r="M9" i="12"/>
  <c r="J9" i="12"/>
  <c r="F9" i="12"/>
  <c r="M8" i="12"/>
  <c r="J8" i="12"/>
  <c r="F8" i="12"/>
  <c r="M7" i="12"/>
  <c r="J7" i="12"/>
  <c r="F7" i="12"/>
  <c r="M21" i="11"/>
  <c r="M22" i="11"/>
  <c r="M23" i="11"/>
  <c r="M24" i="11"/>
  <c r="M25" i="11"/>
  <c r="M26" i="11"/>
  <c r="M27" i="11"/>
  <c r="M28" i="11"/>
  <c r="M29" i="11"/>
  <c r="J21" i="11"/>
  <c r="J22" i="11"/>
  <c r="J23" i="11"/>
  <c r="J24" i="11"/>
  <c r="J25" i="11"/>
  <c r="J26" i="11"/>
  <c r="J27" i="11"/>
  <c r="J28" i="11"/>
  <c r="J29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J7" i="11"/>
  <c r="J6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30" i="11"/>
  <c r="J31" i="11"/>
  <c r="J32" i="11"/>
  <c r="J33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M33" i="11"/>
  <c r="M32" i="11"/>
  <c r="M31" i="11"/>
  <c r="M30" i="11"/>
  <c r="M6" i="11"/>
  <c r="F6" i="11"/>
  <c r="E7" i="14"/>
  <c r="K6" i="14"/>
  <c r="G15" i="14" s="1"/>
  <c r="J6" i="14"/>
  <c r="G14" i="14"/>
  <c r="N6" i="14"/>
  <c r="G18" i="14" s="1"/>
  <c r="E5" i="14"/>
  <c r="M35" i="12"/>
  <c r="L35" i="12" s="1"/>
  <c r="L200" i="1"/>
  <c r="N7" i="14" l="1"/>
  <c r="H18" i="14" s="1"/>
  <c r="M34" i="11"/>
  <c r="L34" i="11" s="1"/>
  <c r="N35" i="13"/>
  <c r="M35" i="13" s="1"/>
  <c r="G202" i="1"/>
  <c r="L202" i="1" s="1"/>
  <c r="F35" i="12"/>
  <c r="E35" i="12" s="1"/>
  <c r="J35" i="12"/>
  <c r="I35" i="12" s="1"/>
  <c r="G35" i="13"/>
  <c r="F35" i="13" s="1"/>
  <c r="K35" i="13"/>
  <c r="J35" i="13" s="1"/>
  <c r="F34" i="11"/>
  <c r="E34" i="11" s="1"/>
  <c r="J34" i="11"/>
  <c r="I34" i="11" s="1"/>
  <c r="G190" i="1"/>
  <c r="L190" i="1" s="1"/>
  <c r="L131" i="1"/>
  <c r="G91" i="1"/>
  <c r="L189" i="1"/>
  <c r="C91" i="1"/>
  <c r="D91" i="1"/>
  <c r="G169" i="1"/>
  <c r="L193" i="1"/>
  <c r="L221" i="1"/>
  <c r="N221" i="1"/>
  <c r="L192" i="1"/>
  <c r="L186" i="1"/>
  <c r="L195" i="1"/>
  <c r="L6" i="14"/>
  <c r="G16" i="14" s="1"/>
  <c r="M7" i="14"/>
  <c r="H17" i="14" s="1"/>
  <c r="H20" i="14" s="1"/>
  <c r="L187" i="1"/>
  <c r="O6" i="14"/>
  <c r="G19" i="14" s="1"/>
  <c r="G20" i="14" s="1"/>
  <c r="L196" i="1"/>
  <c r="F38" i="12" l="1"/>
  <c r="G94" i="1"/>
  <c r="G98" i="1" s="1"/>
  <c r="L169" i="1"/>
</calcChain>
</file>

<file path=xl/sharedStrings.xml><?xml version="1.0" encoding="utf-8"?>
<sst xmlns="http://schemas.openxmlformats.org/spreadsheetml/2006/main" count="756" uniqueCount="268">
  <si>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</si>
  <si>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</si>
  <si>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</si>
  <si>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</si>
  <si>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</si>
  <si>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</si>
  <si>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Docouments Provided</t>
  </si>
  <si>
    <t>Road</t>
  </si>
  <si>
    <t>City</t>
  </si>
  <si>
    <t>Class of locality</t>
  </si>
  <si>
    <t>Nature of land with topographical condtion</t>
  </si>
  <si>
    <t xml:space="preserve">Nature of the locality </t>
  </si>
  <si>
    <t>Boundaries</t>
  </si>
  <si>
    <t>East</t>
  </si>
  <si>
    <t>West</t>
  </si>
  <si>
    <t>North</t>
  </si>
  <si>
    <t>As per deed</t>
  </si>
  <si>
    <t>At site</t>
  </si>
  <si>
    <t>Approval details:</t>
  </si>
  <si>
    <t>Permissible FSI</t>
  </si>
  <si>
    <t>Permissible TDR/Paid FSI</t>
  </si>
  <si>
    <t>Total FSI availaible for the project</t>
  </si>
  <si>
    <t>Total number of Buildings</t>
  </si>
  <si>
    <t>Building wise Construction details</t>
  </si>
  <si>
    <t>Recommended Rates of the Property :</t>
  </si>
  <si>
    <t>Valuation as per Government reckoners rates</t>
  </si>
  <si>
    <t>Undertaking :</t>
  </si>
  <si>
    <t>Authorized Signatory
                                                                                                                                                                                                                                                                                     Name &amp; Seal of the agency</t>
  </si>
  <si>
    <t>2) I/We have no direct or Indirect Interest in the property being valued</t>
  </si>
  <si>
    <t>Quality of infrastructure in vicinity</t>
  </si>
  <si>
    <t>Description</t>
  </si>
  <si>
    <t>Attached Terrace area</t>
  </si>
  <si>
    <t>PLC Y/N</t>
  </si>
  <si>
    <t>1) We have personally visited the property &amp; identified the same based on the documents provided</t>
  </si>
  <si>
    <t>Type of Work</t>
  </si>
  <si>
    <t>Plinth</t>
  </si>
  <si>
    <t>RCC</t>
  </si>
  <si>
    <t>Plaster</t>
  </si>
  <si>
    <t>3) The information furnished above is true and correct to my/our knowledge.</t>
  </si>
  <si>
    <t>5) Legal title of the property is not verified by us.</t>
  </si>
  <si>
    <t>6) Gross carpet area =  Net Carpet area + Fungible area.</t>
  </si>
  <si>
    <t>7) Fungible Area= Enclosed Balcony + Flower Bed + Covered Balcony + Service Slab + Duct + Chajja + Wheather Shed area.</t>
  </si>
  <si>
    <t xml:space="preserve">Latitude &amp; Longitude </t>
  </si>
  <si>
    <t>Flooring</t>
  </si>
  <si>
    <t>Finishing</t>
  </si>
  <si>
    <r>
      <t xml:space="preserve">Construction details:    </t>
    </r>
    <r>
      <rPr>
        <b/>
        <sz val="11"/>
        <color indexed="8"/>
        <rFont val="Times New Roman"/>
        <family val="1"/>
      </rPr>
      <t xml:space="preserve">                                                              </t>
    </r>
  </si>
  <si>
    <t xml:space="preserve">Valuation Report </t>
  </si>
  <si>
    <t xml:space="preserve">Details of Flats in Building   </t>
  </si>
  <si>
    <t>Yes</t>
  </si>
  <si>
    <t>Expiry date:NA</t>
  </si>
  <si>
    <t>Quality of construction: Good</t>
  </si>
  <si>
    <t>Violations Observed if any : NA</t>
  </si>
  <si>
    <t>NA</t>
  </si>
  <si>
    <t>South</t>
  </si>
  <si>
    <t xml:space="preserve">Distance from city centre: </t>
  </si>
  <si>
    <t>Plane</t>
  </si>
  <si>
    <t xml:space="preserve">4)  The saleable area is as per Our Calculation.  </t>
  </si>
  <si>
    <t>Does the boundaries at site match, as mentioned in the Docoumentation: NA</t>
  </si>
  <si>
    <t>all available at  1 to 2 km.</t>
  </si>
  <si>
    <t>Dated</t>
  </si>
  <si>
    <t xml:space="preserve">Project location details       </t>
  </si>
  <si>
    <t>Locality</t>
  </si>
  <si>
    <t>District</t>
  </si>
  <si>
    <t>Pin Code</t>
  </si>
  <si>
    <t>Near by Landmark</t>
  </si>
  <si>
    <t>Good</t>
  </si>
  <si>
    <t>Total land area of the project in Sq. Mt.</t>
  </si>
  <si>
    <t>Total Approved Builtup area of the project in Sq. Mt.</t>
  </si>
  <si>
    <t xml:space="preserve">Approval Detail : Plan approval </t>
  </si>
  <si>
    <t xml:space="preserve">Building plan approval No    </t>
  </si>
  <si>
    <t>Expected Completion</t>
  </si>
  <si>
    <t>Approved no of Floors</t>
  </si>
  <si>
    <r>
      <t xml:space="preserve">Proposed Amenities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Times New Roman"/>
        <family val="1"/>
      </rPr>
      <t xml:space="preserve">1.  Vitrified tiles flooring 2. Granite Kitchen Platform  3. Decorative Enternace  etc.   </t>
    </r>
    <r>
      <rPr>
        <b/>
        <sz val="11"/>
        <rFont val="Times New Roman"/>
        <family val="1"/>
      </rPr>
      <t xml:space="preserve">                                               </t>
    </r>
  </si>
  <si>
    <t xml:space="preserve">Commencement date of construction </t>
  </si>
  <si>
    <t>Society formation charges</t>
  </si>
  <si>
    <t>Discription</t>
  </si>
  <si>
    <t>Carpet</t>
  </si>
  <si>
    <t>Fungible</t>
  </si>
  <si>
    <t>Terrace</t>
  </si>
  <si>
    <t>L</t>
  </si>
  <si>
    <t>W</t>
  </si>
  <si>
    <t>A</t>
  </si>
  <si>
    <t>Hall</t>
  </si>
  <si>
    <t>Bed1</t>
  </si>
  <si>
    <t>Bed2</t>
  </si>
  <si>
    <t>kitch</t>
  </si>
  <si>
    <t>passage1</t>
  </si>
  <si>
    <t>passage2</t>
  </si>
  <si>
    <t>passage3</t>
  </si>
  <si>
    <t>passage4</t>
  </si>
  <si>
    <t>toilet1</t>
  </si>
  <si>
    <t>toilet2</t>
  </si>
  <si>
    <t>toilet3</t>
  </si>
  <si>
    <t>Total</t>
  </si>
  <si>
    <t xml:space="preserve">Floor No </t>
  </si>
  <si>
    <t>Flat</t>
  </si>
  <si>
    <t xml:space="preserve">Recommended rate of Parking </t>
  </si>
  <si>
    <t>CB</t>
  </si>
  <si>
    <t>FB</t>
  </si>
  <si>
    <t>DB</t>
  </si>
  <si>
    <t>Approved area of the building in Sq.Mt</t>
  </si>
  <si>
    <t xml:space="preserve"> Saleable area</t>
  </si>
  <si>
    <t>Contect Details ( Name &amp; Contect No.)</t>
  </si>
  <si>
    <t>Name / no of the Building</t>
  </si>
  <si>
    <t>Plot No</t>
  </si>
  <si>
    <t>Does property have Electricity / Water / Drainage Connection</t>
  </si>
  <si>
    <t>PLC charges</t>
  </si>
  <si>
    <t>Any Other amenities</t>
  </si>
  <si>
    <t>Distressed valuation of the Property</t>
  </si>
  <si>
    <t>Building details Floor Wise</t>
  </si>
  <si>
    <t>Floor</t>
  </si>
  <si>
    <t>Particulars</t>
  </si>
  <si>
    <t xml:space="preserve">total </t>
  </si>
  <si>
    <t xml:space="preserve">completed  </t>
  </si>
  <si>
    <t>plinth</t>
  </si>
  <si>
    <t>slab</t>
  </si>
  <si>
    <t>total slab</t>
  </si>
  <si>
    <t>completed slab</t>
  </si>
  <si>
    <t>p</t>
  </si>
  <si>
    <t>rcc</t>
  </si>
  <si>
    <t>Bricks</t>
  </si>
  <si>
    <t>Wood &amp; painting</t>
  </si>
  <si>
    <t>Progress</t>
  </si>
  <si>
    <t xml:space="preserve">Bricks </t>
  </si>
  <si>
    <t>Total Floor</t>
  </si>
  <si>
    <t>completed Floor</t>
  </si>
  <si>
    <t xml:space="preserve">Recommended </t>
  </si>
  <si>
    <t>plaster</t>
  </si>
  <si>
    <t>Recommended</t>
  </si>
  <si>
    <t xml:space="preserve"> </t>
  </si>
  <si>
    <t>total</t>
  </si>
  <si>
    <t xml:space="preserve">totaL floor </t>
  </si>
  <si>
    <t>Type of Structure : RCC Frame Structure</t>
  </si>
  <si>
    <t>Approved no of units</t>
  </si>
  <si>
    <t>Google Map :</t>
  </si>
  <si>
    <t>RERA No.</t>
  </si>
  <si>
    <t>Recommended rate of the flat Per Sq. Ft. ( on Saleable area)</t>
  </si>
  <si>
    <t>Gross Carpet area</t>
  </si>
  <si>
    <t>Sector No.</t>
  </si>
  <si>
    <t>Thane</t>
  </si>
  <si>
    <t>Ghansoli</t>
  </si>
  <si>
    <t>Palm Beach Road</t>
  </si>
  <si>
    <t>The Palm View</t>
  </si>
  <si>
    <t>About 3.3 Km from Ghansoli  Railway Station</t>
  </si>
  <si>
    <t>New Palm Beach Road</t>
  </si>
  <si>
    <t>Satyam Imperial Heights</t>
  </si>
  <si>
    <t>07/12/2012.</t>
  </si>
  <si>
    <t>Wing B</t>
  </si>
  <si>
    <t>2BHK</t>
  </si>
  <si>
    <t>N</t>
  </si>
  <si>
    <t>19th, 25th &amp; 31st  Floor.</t>
  </si>
  <si>
    <t xml:space="preserve"> 38th Floor</t>
  </si>
  <si>
    <t>Axis Goregoan.</t>
  </si>
  <si>
    <t>Upper Class</t>
  </si>
  <si>
    <t>Developed</t>
  </si>
  <si>
    <t>Ground Floor &amp; 1st Floor for Parking</t>
  </si>
  <si>
    <t>2nd Floor for Amenities</t>
  </si>
  <si>
    <t>Fire Rescue Balcony</t>
  </si>
  <si>
    <t xml:space="preserve"> 38th Floor Part Natural Terrace</t>
  </si>
  <si>
    <t>Part Natural Terrace</t>
  </si>
  <si>
    <t>19th, 25th &amp; 31st Floor (Part Fire Rescue Balcony)</t>
  </si>
  <si>
    <t>18th, 20th, 22nd, 24th, 26th, 28th, 30th, 32nd, 34th, 36th Floor.</t>
  </si>
  <si>
    <t>21st, 23rd, 27th, 29th, 33rd, 35th &amp; 37th Floor.</t>
  </si>
  <si>
    <t>4th, 6th, 8th, 10th, 12th, 14th, 16th Floor.</t>
  </si>
  <si>
    <t xml:space="preserve"> Gee Cee Cloud 36 Tower</t>
  </si>
  <si>
    <t>11/12/2018.</t>
  </si>
  <si>
    <t>Approved Layout,  CC &amp; Part OC</t>
  </si>
  <si>
    <t>NG Grand Plaza</t>
  </si>
  <si>
    <t>NG Grand Plaza, B Wing, Plot No. 09, Sector -11, Ghansoli, Navi Mumbai.</t>
  </si>
  <si>
    <t>Fir Check Floor Between 22nd &amp; 23rd Floor</t>
  </si>
  <si>
    <t>Wing A</t>
  </si>
  <si>
    <t>3BHK</t>
  </si>
  <si>
    <t>18th, 20th, 22nd, 24th, 26th, 28th, 30th, 32nd &amp; 34th Floor</t>
  </si>
  <si>
    <t>38th Floor</t>
  </si>
  <si>
    <t>Natural Terrace</t>
  </si>
  <si>
    <t>36th Floor</t>
  </si>
  <si>
    <t>20181/BONMMC54447/4844/2018</t>
  </si>
  <si>
    <t>Fire Check Floor between 22nd Floor &amp; 23rd Floor</t>
  </si>
  <si>
    <t>3rd, 5th, 7th, 9th, 11th, 13th, 15th &amp; 17th Floor</t>
  </si>
  <si>
    <t>19th, 21st, 23rd, 25th, 27th, 29th, 31st, 33rd, 35th &amp; 37th Floor</t>
  </si>
  <si>
    <t>Accessibility to the Project from the City:
(Proximity to civic amenities like school, hospital, market)</t>
  </si>
  <si>
    <t>20181/BONMMC54447/4843/2018</t>
  </si>
  <si>
    <t xml:space="preserve">Layout Approval No (Layout, 1st &amp; 2nd Floor Plan no.)    </t>
  </si>
  <si>
    <t>Ground Floor for Parking &amp; Commercial Shops</t>
  </si>
  <si>
    <t>A, B, C &amp; D Wings</t>
  </si>
  <si>
    <t>Flat No./ Shop No.</t>
  </si>
  <si>
    <t>Shop</t>
  </si>
  <si>
    <t>Ground</t>
  </si>
  <si>
    <t>7th &amp; 13th Floor (Part Fire Rescue Balcony)</t>
  </si>
  <si>
    <t>1st Floor for Parking &amp; Commercial Offices</t>
  </si>
  <si>
    <t>Office</t>
  </si>
  <si>
    <t>1st</t>
  </si>
  <si>
    <t>Recommended rate of the Shop Per Sq. Ft. ( on Saleable area)</t>
  </si>
  <si>
    <t>Recommended rate of the Office Per Sq. Ft. ( on Saleable area)</t>
  </si>
  <si>
    <t xml:space="preserve">Approved usage of the Property: Residential &amp; Commercial
(Restrictive Covenants in regard to Land Use, if any)                                                                                                                                                </t>
  </si>
  <si>
    <t>Club house Charges</t>
  </si>
  <si>
    <t xml:space="preserve">PHOTOGRAPHS OF PROPERTY : 
</t>
  </si>
  <si>
    <t>Wheather the construction is as per approved Building plan : Yes</t>
  </si>
  <si>
    <t>Material laying at Site: :Nothing</t>
  </si>
  <si>
    <t>NMMC/TPD/BP/Case No.A-16097/6400/2012                                                                                                                  Valid Up to: A &amp; B Wings = S + 1st to 34th Floors.</t>
  </si>
  <si>
    <t>Commencement of Construction</t>
  </si>
  <si>
    <t xml:space="preserve">Development charges </t>
  </si>
  <si>
    <t>M/s. Om Namah Shivay Developers Private Limited</t>
  </si>
  <si>
    <t>Floor rise rate  Per Sq. Ft. from 3rd Floor</t>
  </si>
  <si>
    <t>Office No. 1031, Wing J, Akshar Business Park, Plot No. 03 Sector 25, Near APMC Market, Vashi, Navi
Mumbai, Maharashtra 400703 TEL: 022-46090378/79/80
E mail : vsjcapf@gmail.com. Web site : www.vsjadon.com</t>
  </si>
  <si>
    <t>Location Link</t>
  </si>
  <si>
    <t>https://goo.gl/maps/ESfcT9VE4qELjgdJ9</t>
  </si>
  <si>
    <t>NG Grand Plaza Phase I (Wing A &amp; B) = P51700000068
NG Grand Plaza Phase II (Wing C &amp; D) = P51700021598</t>
  </si>
  <si>
    <t>Commercial Area Details :</t>
  </si>
  <si>
    <t>Building &amp; Wing</t>
  </si>
  <si>
    <t>No. of Units</t>
  </si>
  <si>
    <t>Total Carpet Area</t>
  </si>
  <si>
    <t>Total Saleable Area</t>
  </si>
  <si>
    <t>A &amp; B Wing</t>
  </si>
  <si>
    <t>Residential Area Details :</t>
  </si>
  <si>
    <t>Wing D</t>
  </si>
  <si>
    <t>Wing C</t>
  </si>
  <si>
    <t>NG Grand Plaza Phase I = Wing A &amp; B
NG Grand Plaza Phase II (Wing C &amp; D)</t>
  </si>
  <si>
    <t>Construction details:</t>
  </si>
  <si>
    <t>Basement</t>
  </si>
  <si>
    <t>Podium</t>
  </si>
  <si>
    <t>Floors</t>
  </si>
  <si>
    <t xml:space="preserve">Stage of construction: 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</si>
  <si>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</si>
  <si>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</si>
  <si>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</si>
  <si>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</si>
  <si>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</si>
  <si>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</si>
  <si>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</si>
  <si>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</si>
  <si>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</si>
  <si>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</si>
  <si>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</si>
  <si>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</si>
  <si>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</si>
  <si>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</si>
  <si>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</si>
  <si>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</si>
  <si>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</si>
  <si>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</si>
  <si>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</si>
  <si>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</si>
  <si>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</si>
  <si>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</si>
  <si>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</si>
  <si>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</si>
  <si>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</si>
  <si>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</si>
  <si>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>4 Buildings</t>
  </si>
  <si>
    <t>19.1188329,72.9929576</t>
  </si>
  <si>
    <t>Basement Floor for Parking &amp; Commercial Storage</t>
  </si>
  <si>
    <t>3rd, 5th, 9th, 11th, 15th, 17th Floor</t>
  </si>
  <si>
    <t>7th &amp; 13th Floor.</t>
  </si>
  <si>
    <t>Date</t>
  </si>
  <si>
    <t xml:space="preserve">O. Certificate No.: Wing A &amp; B 
</t>
  </si>
  <si>
    <t xml:space="preserve">O. Certificate No.: Wing C &amp; D 
</t>
  </si>
  <si>
    <t xml:space="preserve">O. Certificate No.: Wing D
</t>
  </si>
  <si>
    <t>20181CNMMC54628/24/2019
Flats = 96</t>
  </si>
  <si>
    <t>20181BONMMC55412/2294/2019
Flats = 41</t>
  </si>
  <si>
    <t>20181CNMMC54447/4844/2018
Flats = 137, Shops = 6 &amp; Offices = 6</t>
  </si>
  <si>
    <t>Wing A, B, C &amp; D = Stilt + 1st to 38th Floor</t>
  </si>
  <si>
    <t>Wing A to D = Stilt + 1st to 38th Floor</t>
  </si>
  <si>
    <t>Flats = 274, Shops = 26, Offices = 26</t>
  </si>
  <si>
    <t>Rate changed to 14000 + 100FR for case D3601 by smith sanket</t>
  </si>
  <si>
    <t>Completed</t>
  </si>
  <si>
    <t xml:space="preserve">Remarks:  
1. A to D Wing = All work completed. Part OC Recieved. Please provide Full OC.
2. We have considered Saleable area as per our calculation (i.e. 55% loading)
3. We have considered Carpet area as per Approved Plan.
4. On site we meet Mr. Anup - 9867166333.
5. We have updated revised plans &amp; CC (on 10/08/2023).
6. We have considered rate by verifying it from market inquire.
7. Car parking is subjected to authentic documentation.
8. Recommended Rates of the Property have been revised on 28/10/2023.
</t>
  </si>
  <si>
    <t xml:space="preserve">Projected life of the structure: 54 Years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</si>
</sst>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7" fillId="0" borderId="0" applyNumberFormat="0" applyFill="0" applyBorder="0" applyAlignment="0" applyProtection="0"/>
    <xf numFmtId="0" fontId="21" fillId="0" borderId="0"/>
  </cellStyleXfs>
  <cellXfs count="254">
    <xf numFmtId="0" fontId="0" fillId="0" borderId="0" xfId="0"/>
    <xf numFmtId="0" fontId="1" fillId="0" borderId="0" xfId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2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14" fillId="0" borderId="2" xfId="0" applyFont="1" applyBorder="1"/>
    <xf numFmtId="0" fontId="0" fillId="0" borderId="3" xfId="0" applyBorder="1"/>
    <xf numFmtId="0" fontId="0" fillId="3" borderId="2" xfId="0" applyFill="1" applyBorder="1"/>
    <xf numFmtId="0" fontId="14" fillId="0" borderId="2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top" wrapText="1"/>
    </xf>
    <xf numFmtId="0" fontId="14" fillId="3" borderId="2" xfId="0" applyFont="1" applyFill="1" applyBorder="1"/>
    <xf numFmtId="0" fontId="0" fillId="0" borderId="4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" fillId="0" borderId="0" xfId="0" applyFont="1" applyAlignment="1">
      <alignment vertical="top" wrapText="1"/>
    </xf>
    <xf numFmtId="0" fontId="12" fillId="0" borderId="0" xfId="0" applyFont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/>
    <xf numFmtId="0" fontId="8" fillId="0" borderId="1" xfId="0" applyFont="1" applyBorder="1" applyAlignment="1">
      <alignment vertical="top"/>
    </xf>
    <xf numFmtId="1" fontId="1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2" fontId="0" fillId="0" borderId="0" xfId="0" applyNumberFormat="1"/>
    <xf numFmtId="0" fontId="18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1" fontId="9" fillId="0" borderId="2" xfId="0" applyNumberFormat="1" applyFont="1" applyBorder="1" applyAlignment="1">
      <alignment horizontal="center" vertical="center" wrapText="1"/>
    </xf>
    <xf numFmtId="0" fontId="22" fillId="3" borderId="14" xfId="0" applyFont="1" applyFill="1" applyBorder="1"/>
    <xf numFmtId="0" fontId="23" fillId="0" borderId="15" xfId="0" applyFont="1" applyBorder="1"/>
    <xf numFmtId="0" fontId="13" fillId="0" borderId="16" xfId="3" applyFont="1" applyBorder="1" applyAlignment="1" applyProtection="1">
      <alignment horizontal="center" vertical="top"/>
      <protection locked="0"/>
    </xf>
    <xf numFmtId="0" fontId="13" fillId="0" borderId="2" xfId="3" applyFont="1" applyBorder="1" applyAlignment="1" applyProtection="1">
      <alignment horizontal="center" vertical="top"/>
      <protection locked="0"/>
    </xf>
    <xf numFmtId="0" fontId="23" fillId="0" borderId="5" xfId="0" applyFont="1" applyBorder="1"/>
    <xf numFmtId="0" fontId="23" fillId="0" borderId="17" xfId="0" applyFont="1" applyBorder="1"/>
    <xf numFmtId="0" fontId="24" fillId="0" borderId="0" xfId="0" applyFont="1" applyProtection="1">
      <protection hidden="1"/>
    </xf>
    <xf numFmtId="0" fontId="18" fillId="0" borderId="18" xfId="3" applyFont="1" applyBorder="1"/>
    <xf numFmtId="0" fontId="13" fillId="0" borderId="2" xfId="3" applyFont="1" applyBorder="1" applyAlignment="1" applyProtection="1">
      <alignment horizontal="center" wrapText="1"/>
      <protection locked="0"/>
    </xf>
    <xf numFmtId="0" fontId="24" fillId="0" borderId="18" xfId="0" applyFont="1" applyBorder="1" applyProtection="1">
      <protection hidden="1"/>
    </xf>
    <xf numFmtId="1" fontId="13" fillId="0" borderId="2" xfId="3" applyNumberFormat="1" applyFont="1" applyBorder="1" applyAlignment="1" applyProtection="1">
      <alignment horizontal="center" wrapText="1"/>
      <protection locked="0"/>
    </xf>
    <xf numFmtId="1" fontId="0" fillId="0" borderId="18" xfId="0" applyNumberFormat="1" applyBorder="1"/>
    <xf numFmtId="1" fontId="0" fillId="0" borderId="18" xfId="0" applyNumberFormat="1" applyBorder="1" applyAlignment="1">
      <alignment horizontal="right"/>
    </xf>
    <xf numFmtId="0" fontId="13" fillId="0" borderId="21" xfId="3" applyFont="1" applyBorder="1" applyAlignment="1" applyProtection="1">
      <alignment horizontal="center" wrapText="1"/>
      <protection locked="0"/>
    </xf>
    <xf numFmtId="0" fontId="24" fillId="0" borderId="26" xfId="0" applyFont="1" applyBorder="1" applyProtection="1">
      <protection hidden="1"/>
    </xf>
    <xf numFmtId="1" fontId="0" fillId="0" borderId="27" xfId="0" applyNumberFormat="1" applyBorder="1"/>
    <xf numFmtId="1" fontId="9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0" borderId="2" xfId="0" applyFont="1" applyBorder="1" applyAlignment="1">
      <alignment horizontal="left" vertical="top"/>
    </xf>
    <xf numFmtId="0" fontId="13" fillId="0" borderId="30" xfId="3" applyFont="1" applyBorder="1" applyAlignment="1" applyProtection="1">
      <alignment horizontal="center" vertical="top" wrapText="1"/>
      <protection locked="0"/>
    </xf>
    <xf numFmtId="0" fontId="23" fillId="0" borderId="0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13" fillId="0" borderId="16" xfId="3" applyFont="1" applyBorder="1" applyAlignment="1" applyProtection="1">
      <alignment horizontal="center" vertical="top" wrapText="1"/>
      <protection locked="0"/>
    </xf>
    <xf numFmtId="0" fontId="13" fillId="0" borderId="2" xfId="3" applyFont="1" applyBorder="1" applyAlignment="1" applyProtection="1">
      <alignment horizontal="center" vertical="top" wrapText="1"/>
      <protection locked="0"/>
    </xf>
    <xf numFmtId="9" fontId="13" fillId="2" borderId="7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9" xfId="3" applyNumberFormat="1" applyFont="1" applyFill="1" applyBorder="1" applyAlignment="1" applyProtection="1">
      <alignment horizontal="center" vertical="center" wrapText="1"/>
      <protection hidden="1"/>
    </xf>
    <xf numFmtId="0" fontId="13" fillId="0" borderId="20" xfId="3" applyFont="1" applyBorder="1" applyAlignment="1" applyProtection="1">
      <alignment horizontal="center" vertical="top" wrapText="1"/>
      <protection locked="0"/>
    </xf>
    <xf numFmtId="0" fontId="13" fillId="0" borderId="21" xfId="3" applyFont="1" applyBorder="1" applyAlignment="1" applyProtection="1">
      <alignment horizontal="center" vertical="top" wrapText="1"/>
      <protection locked="0"/>
    </xf>
    <xf numFmtId="9" fontId="13" fillId="2" borderId="22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23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/>
    </xf>
    <xf numFmtId="1" fontId="9" fillId="0" borderId="1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5" xfId="0" applyFont="1" applyBorder="1" applyAlignment="1">
      <alignment vertical="top"/>
    </xf>
    <xf numFmtId="0" fontId="3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5" xfId="0" applyFont="1" applyBorder="1" applyAlignment="1">
      <alignment vertical="top"/>
    </xf>
    <xf numFmtId="0" fontId="8" fillId="0" borderId="1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left" vertical="top"/>
    </xf>
    <xf numFmtId="14" fontId="3" fillId="0" borderId="6" xfId="0" applyNumberFormat="1" applyFont="1" applyBorder="1" applyAlignment="1">
      <alignment horizontal="left" vertical="top"/>
    </xf>
    <xf numFmtId="14" fontId="3" fillId="0" borderId="5" xfId="0" applyNumberFormat="1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8" fillId="0" borderId="6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11" fillId="0" borderId="1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1" fontId="5" fillId="0" borderId="5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2" fillId="0" borderId="9" xfId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5" xfId="0" applyBorder="1" applyAlignment="1">
      <alignment horizontal="left"/>
    </xf>
    <xf numFmtId="0" fontId="3" fillId="0" borderId="2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1" fontId="20" fillId="0" borderId="7" xfId="0" applyNumberFormat="1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wrapText="1"/>
    </xf>
    <xf numFmtId="1" fontId="20" fillId="0" borderId="9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 wrapText="1"/>
    </xf>
    <xf numFmtId="1" fontId="2" fillId="0" borderId="5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7" fillId="0" borderId="7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6" fillId="0" borderId="1" xfId="0" applyFont="1" applyBorder="1" applyAlignment="1">
      <alignment horizontal="left" vertical="top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6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1" fontId="5" fillId="0" borderId="6" xfId="0" applyNumberFormat="1" applyFont="1" applyBorder="1" applyAlignment="1">
      <alignment horizontal="center" vertical="top" wrapText="1"/>
    </xf>
    <xf numFmtId="1" fontId="18" fillId="0" borderId="1" xfId="0" applyNumberFormat="1" applyFont="1" applyBorder="1" applyAlignment="1">
      <alignment horizontal="center" vertical="top" wrapText="1"/>
    </xf>
    <xf numFmtId="1" fontId="18" fillId="0" borderId="6" xfId="0" applyNumberFormat="1" applyFont="1" applyBorder="1" applyAlignment="1">
      <alignment horizontal="center" vertical="top" wrapText="1"/>
    </xf>
    <xf numFmtId="1" fontId="18" fillId="0" borderId="5" xfId="0" applyNumberFormat="1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wrapText="1"/>
    </xf>
    <xf numFmtId="1" fontId="9" fillId="0" borderId="6" xfId="0" applyNumberFormat="1" applyFont="1" applyBorder="1" applyAlignment="1">
      <alignment horizontal="center" vertical="top" wrapText="1"/>
    </xf>
    <xf numFmtId="1" fontId="9" fillId="0" borderId="5" xfId="0" applyNumberFormat="1" applyFont="1" applyBorder="1" applyAlignment="1">
      <alignment horizontal="center" vertical="top" wrapText="1"/>
    </xf>
    <xf numFmtId="1" fontId="20" fillId="0" borderId="1" xfId="0" applyNumberFormat="1" applyFont="1" applyBorder="1" applyAlignment="1">
      <alignment horizontal="center" vertical="top" wrapText="1"/>
    </xf>
    <xf numFmtId="1" fontId="20" fillId="0" borderId="6" xfId="0" applyNumberFormat="1" applyFont="1" applyBorder="1" applyAlignment="1">
      <alignment horizontal="center" vertical="top" wrapText="1"/>
    </xf>
    <xf numFmtId="1" fontId="20" fillId="0" borderId="5" xfId="0" applyNumberFormat="1" applyFont="1" applyBorder="1" applyAlignment="1">
      <alignment horizontal="center" vertical="top" wrapText="1"/>
    </xf>
    <xf numFmtId="14" fontId="2" fillId="0" borderId="2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0" fillId="3" borderId="1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0" borderId="6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20" fillId="0" borderId="16" xfId="3" applyFont="1" applyBorder="1" applyAlignment="1" applyProtection="1">
      <alignment horizontal="center" vertical="center"/>
      <protection locked="0"/>
    </xf>
    <xf numFmtId="0" fontId="20" fillId="0" borderId="2" xfId="3" applyFont="1" applyBorder="1" applyAlignment="1" applyProtection="1">
      <alignment horizontal="center" vertical="center"/>
      <protection locked="0"/>
    </xf>
    <xf numFmtId="0" fontId="20" fillId="0" borderId="20" xfId="3" applyFont="1" applyBorder="1" applyAlignment="1" applyProtection="1">
      <alignment horizontal="center" vertical="center"/>
      <protection locked="0"/>
    </xf>
    <xf numFmtId="0" fontId="20" fillId="0" borderId="21" xfId="3" applyFont="1" applyBorder="1" applyAlignment="1" applyProtection="1">
      <alignment horizontal="center" vertical="center"/>
      <protection locked="0"/>
    </xf>
    <xf numFmtId="9" fontId="20" fillId="0" borderId="2" xfId="3" applyNumberFormat="1" applyFont="1" applyBorder="1" applyAlignment="1" applyProtection="1">
      <alignment horizontal="center" vertical="center" wrapText="1"/>
      <protection locked="0"/>
    </xf>
    <xf numFmtId="0" fontId="20" fillId="0" borderId="2" xfId="3" applyFont="1" applyBorder="1" applyAlignment="1" applyProtection="1">
      <alignment horizontal="center" vertical="center" wrapText="1"/>
      <protection locked="0"/>
    </xf>
    <xf numFmtId="0" fontId="20" fillId="0" borderId="21" xfId="3" applyFont="1" applyBorder="1" applyAlignment="1" applyProtection="1">
      <alignment horizontal="center" vertical="center" wrapText="1"/>
      <protection locked="0"/>
    </xf>
    <xf numFmtId="0" fontId="20" fillId="0" borderId="17" xfId="3" applyFont="1" applyBorder="1" applyAlignment="1" applyProtection="1">
      <alignment horizontal="center" vertical="center" wrapText="1"/>
      <protection locked="0"/>
    </xf>
    <xf numFmtId="0" fontId="20" fillId="0" borderId="33" xfId="3" applyFont="1" applyBorder="1" applyAlignment="1" applyProtection="1">
      <alignment horizontal="center" vertical="center" wrapText="1"/>
      <protection locked="0"/>
    </xf>
    <xf numFmtId="0" fontId="20" fillId="0" borderId="31" xfId="3" applyFont="1" applyBorder="1" applyAlignment="1" applyProtection="1">
      <alignment horizontal="left" vertical="top" wrapText="1"/>
      <protection locked="0"/>
    </xf>
    <xf numFmtId="0" fontId="20" fillId="0" borderId="32" xfId="3" applyFont="1" applyBorder="1" applyAlignment="1" applyProtection="1">
      <alignment horizontal="left" vertical="top" wrapText="1"/>
      <protection locked="0"/>
    </xf>
    <xf numFmtId="0" fontId="20" fillId="0" borderId="15" xfId="3" applyFont="1" applyBorder="1" applyAlignment="1" applyProtection="1">
      <alignment horizontal="left" vertical="top" wrapText="1"/>
      <protection locked="0"/>
    </xf>
    <xf numFmtId="0" fontId="13" fillId="0" borderId="2" xfId="3" applyFont="1" applyBorder="1" applyAlignment="1" applyProtection="1">
      <alignment horizontal="center" vertical="top"/>
      <protection locked="0"/>
    </xf>
    <xf numFmtId="0" fontId="13" fillId="0" borderId="17" xfId="3" applyFont="1" applyBorder="1" applyAlignment="1" applyProtection="1">
      <alignment horizontal="center" vertical="top"/>
      <protection locked="0"/>
    </xf>
    <xf numFmtId="0" fontId="13" fillId="0" borderId="29" xfId="3" applyFont="1" applyBorder="1" applyAlignment="1" applyProtection="1">
      <alignment horizontal="center" vertical="top" wrapText="1"/>
      <protection locked="0"/>
    </xf>
    <xf numFmtId="0" fontId="13" fillId="0" borderId="30" xfId="3" applyFont="1" applyBorder="1" applyAlignment="1" applyProtection="1">
      <alignment horizontal="center" vertical="top" wrapText="1"/>
      <protection locked="0"/>
    </xf>
    <xf numFmtId="0" fontId="13" fillId="0" borderId="12" xfId="3" applyFont="1" applyBorder="1" applyAlignment="1" applyProtection="1">
      <alignment horizontal="center" vertical="top" wrapText="1"/>
      <protection locked="0"/>
    </xf>
    <xf numFmtId="0" fontId="13" fillId="0" borderId="13" xfId="3" applyFont="1" applyBorder="1" applyAlignment="1" applyProtection="1">
      <alignment horizontal="center" vertical="top" wrapText="1"/>
      <protection locked="0"/>
    </xf>
    <xf numFmtId="0" fontId="13" fillId="0" borderId="3" xfId="3" applyFont="1" applyBorder="1" applyAlignment="1" applyProtection="1">
      <alignment horizontal="center" vertical="top" wrapText="1"/>
      <protection locked="0"/>
    </xf>
    <xf numFmtId="0" fontId="13" fillId="0" borderId="28" xfId="3" applyFont="1" applyBorder="1" applyAlignment="1" applyProtection="1">
      <alignment horizontal="center" vertical="top" wrapText="1"/>
      <protection locked="0"/>
    </xf>
    <xf numFmtId="9" fontId="13" fillId="2" borderId="10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11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24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25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19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0" xfId="3" applyNumberFormat="1" applyFont="1" applyFill="1" applyAlignment="1" applyProtection="1">
      <alignment horizontal="center" vertical="center" wrapText="1"/>
      <protection hidden="1"/>
    </xf>
    <xf numFmtId="9" fontId="13" fillId="2" borderId="18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26" xfId="3" applyNumberFormat="1" applyFont="1" applyFill="1" applyBorder="1" applyAlignment="1" applyProtection="1">
      <alignment horizontal="center" vertical="center" wrapText="1"/>
      <protection hidden="1"/>
    </xf>
    <xf numFmtId="9" fontId="13" fillId="2" borderId="27" xfId="3" applyNumberFormat="1" applyFont="1" applyFill="1" applyBorder="1" applyAlignment="1" applyProtection="1">
      <alignment horizontal="center" vertical="center" wrapText="1"/>
      <protection hidden="1"/>
    </xf>
    <xf numFmtId="0" fontId="0" fillId="3" borderId="2" xfId="0" applyFill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 wrapText="1"/>
    </xf>
    <xf numFmtId="0" fontId="17" fillId="0" borderId="2" xfId="2" applyBorder="1" applyAlignment="1">
      <alignment horizontal="left" vertical="top"/>
    </xf>
    <xf numFmtId="0" fontId="8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20" fillId="0" borderId="16" xfId="3" applyFont="1" applyBorder="1" applyAlignment="1" applyProtection="1">
      <alignment horizontal="left" vertical="center"/>
      <protection locked="0"/>
    </xf>
    <xf numFmtId="0" fontId="20" fillId="0" borderId="2" xfId="3" applyFont="1" applyBorder="1" applyAlignment="1" applyProtection="1">
      <alignment horizontal="left" vertical="center"/>
      <protection locked="0"/>
    </xf>
    <xf numFmtId="0" fontId="20" fillId="0" borderId="2" xfId="3" applyFont="1" applyBorder="1" applyAlignment="1" applyProtection="1">
      <alignment horizontal="left" vertical="center" wrapText="1"/>
      <protection locked="0"/>
    </xf>
    <xf numFmtId="0" fontId="20" fillId="0" borderId="17" xfId="3" applyFont="1" applyBorder="1" applyAlignment="1" applyProtection="1">
      <alignment horizontal="left" vertical="center" wrapText="1"/>
      <protection locked="0"/>
    </xf>
  </cellXfs>
  <cellStyles count="4">
    <cellStyle name="Excel Built-in Normal" xfId="1"/>
    <cellStyle name="Hyperlink" xfId="2" builtinId="8"/>
    <cellStyle name="Normal" xfId="0" builtinId="0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6924</xdr:colOff>
      <xdr:row>360</xdr:row>
      <xdr:rowOff>159329</xdr:rowOff>
    </xdr:from>
    <xdr:to>
      <xdr:col>9</xdr:col>
      <xdr:colOff>320383</xdr:colOff>
      <xdr:row>380</xdr:row>
      <xdr:rowOff>6929</xdr:rowOff>
    </xdr:to>
    <xdr:pic>
      <xdr:nvPicPr>
        <xdr:cNvPr id="1284" name="Picture 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7083" y="60565147"/>
          <a:ext cx="5448300" cy="3657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6924</xdr:colOff>
      <xdr:row>340</xdr:row>
      <xdr:rowOff>83129</xdr:rowOff>
    </xdr:from>
    <xdr:to>
      <xdr:col>9</xdr:col>
      <xdr:colOff>320383</xdr:colOff>
      <xdr:row>359</xdr:row>
      <xdr:rowOff>159329</xdr:rowOff>
    </xdr:to>
    <xdr:pic>
      <xdr:nvPicPr>
        <xdr:cNvPr id="1285" name="Picture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587083" y="56678947"/>
          <a:ext cx="5448300" cy="3695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128867</xdr:colOff>
      <xdr:row>286</xdr:row>
      <xdr:rowOff>14771</xdr:rowOff>
    </xdr:from>
    <xdr:to>
      <xdr:col>19</xdr:col>
      <xdr:colOff>280236</xdr:colOff>
      <xdr:row>321</xdr:row>
      <xdr:rowOff>76961</xdr:rowOff>
    </xdr:to>
    <xdr:grpSp>
      <xdr:nvGrpSpPr>
        <xdr:cNvPr id="2" name="Group 1"/>
        <xdr:cNvGrpSpPr/>
      </xdr:nvGrpSpPr>
      <xdr:grpSpPr>
        <a:xfrm>
          <a:off x="7088467" y="60581071"/>
          <a:ext cx="6088619" cy="6513790"/>
          <a:chOff x="414617" y="61780067"/>
          <a:chExt cx="5978937" cy="6729690"/>
        </a:xfrm>
      </xdr:grpSpPr>
      <xdr:pic>
        <xdr:nvPicPr>
          <xdr:cNvPr id="8" name="Picture 7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l="48840" t="22878" r="25303" b="17924"/>
          <a:stretch/>
        </xdr:blipFill>
        <xdr:spPr>
          <a:xfrm>
            <a:off x="4478664" y="65917757"/>
            <a:ext cx="1914890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9" name="Picture 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342924" y="61780067"/>
            <a:ext cx="2766716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617" y="65917757"/>
            <a:ext cx="1788900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14617" y="61780067"/>
            <a:ext cx="2716799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45112" y="65917757"/>
            <a:ext cx="1815998" cy="259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304800</xdr:colOff>
      <xdr:row>287</xdr:row>
      <xdr:rowOff>158750</xdr:rowOff>
    </xdr:from>
    <xdr:to>
      <xdr:col>9</xdr:col>
      <xdr:colOff>721033</xdr:colOff>
      <xdr:row>315</xdr:row>
      <xdr:rowOff>33098</xdr:rowOff>
    </xdr:to>
    <xdr:grpSp>
      <xdr:nvGrpSpPr>
        <xdr:cNvPr id="4" name="Group 3"/>
        <xdr:cNvGrpSpPr/>
      </xdr:nvGrpSpPr>
      <xdr:grpSpPr>
        <a:xfrm>
          <a:off x="304800" y="60915550"/>
          <a:ext cx="6397933" cy="5030548"/>
          <a:chOff x="304800" y="60915550"/>
          <a:chExt cx="6397933" cy="5030548"/>
        </a:xfrm>
      </xdr:grpSpPr>
      <xdr:pic>
        <xdr:nvPicPr>
          <xdr:cNvPr id="18" name="Picture 17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87822" y="63786098"/>
            <a:ext cx="287733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9" name="Picture 18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4800" y="60915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052683" y="637860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78835" y="60915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652870" y="609155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17544" y="63786098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ESfcT9VE4qELjgdJ9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0"/>
  <sheetViews>
    <sheetView tabSelected="1" view="pageBreakPreview" zoomScaleNormal="100" zoomScaleSheetLayoutView="100" zoomScalePageLayoutView="85" workbookViewId="0">
      <selection activeCell="F9" sqref="F9:J9"/>
    </sheetView>
  </sheetViews>
  <sheetFormatPr defaultRowHeight="14.5" x14ac:dyDescent="0.35"/>
  <cols>
    <col min="1" max="1" width="8.7265625" customWidth="1"/>
    <col min="2" max="2" width="9.81640625" customWidth="1"/>
    <col min="3" max="3" width="14.453125" customWidth="1"/>
    <col min="4" max="4" width="7.26953125" customWidth="1"/>
    <col min="5" max="5" width="5.54296875" customWidth="1"/>
    <col min="6" max="6" width="9" customWidth="1"/>
    <col min="7" max="8" width="9.81640625" customWidth="1"/>
    <col min="9" max="9" width="11.1796875" customWidth="1"/>
    <col min="10" max="10" width="14" customWidth="1"/>
    <col min="11" max="11" width="11" customWidth="1"/>
    <col min="12" max="12" width="10.81640625" bestFit="1" customWidth="1"/>
    <col min="17" max="17" width="10.81640625" bestFit="1" customWidth="1"/>
  </cols>
  <sheetData>
    <row r="1" spans="1:10" ht="43.9" customHeight="1" x14ac:dyDescent="0.35">
      <c r="A1" s="155" t="s">
        <v>204</v>
      </c>
      <c r="B1" s="156"/>
      <c r="C1" s="156"/>
      <c r="D1" s="156"/>
      <c r="E1" s="156"/>
      <c r="F1" s="156"/>
      <c r="G1" s="156"/>
      <c r="H1" s="156"/>
      <c r="I1" s="156"/>
      <c r="J1" s="157"/>
    </row>
    <row r="2" spans="1:10" x14ac:dyDescent="0.35">
      <c r="A2" s="118" t="s">
        <v>46</v>
      </c>
      <c r="B2" s="119"/>
      <c r="C2" s="119"/>
      <c r="D2" s="119"/>
      <c r="E2" s="119"/>
      <c r="F2" s="119"/>
      <c r="G2" s="119"/>
      <c r="H2" s="119"/>
      <c r="I2" s="119"/>
      <c r="J2" s="120"/>
    </row>
    <row r="3" spans="1:10" x14ac:dyDescent="0.35">
      <c r="A3" s="76" t="s">
        <v>0</v>
      </c>
      <c r="B3" s="77"/>
      <c r="C3" s="77"/>
      <c r="D3" s="77"/>
      <c r="E3" s="78"/>
      <c r="F3" s="121" t="str">
        <f ca="1">TEXT(TODAY(),"DD/MM/YYYY")</f>
        <v>17/09/2025</v>
      </c>
      <c r="G3" s="122"/>
      <c r="H3" s="122"/>
      <c r="I3" s="122"/>
      <c r="J3" s="123"/>
    </row>
    <row r="4" spans="1:10" x14ac:dyDescent="0.35">
      <c r="A4" s="76" t="s">
        <v>1</v>
      </c>
      <c r="B4" s="77"/>
      <c r="C4" s="77"/>
      <c r="D4" s="77"/>
      <c r="E4" s="78"/>
      <c r="F4" s="93" t="s">
        <v>152</v>
      </c>
      <c r="G4" s="94"/>
      <c r="H4" s="94"/>
      <c r="I4" s="94"/>
      <c r="J4" s="95"/>
    </row>
    <row r="5" spans="1:10" x14ac:dyDescent="0.35">
      <c r="A5" s="76" t="s">
        <v>2</v>
      </c>
      <c r="B5" s="77"/>
      <c r="C5" s="77"/>
      <c r="D5" s="77"/>
      <c r="E5" s="78"/>
      <c r="F5" s="121">
        <v>45917</v>
      </c>
      <c r="G5" s="122"/>
      <c r="H5" s="122"/>
      <c r="I5" s="122"/>
      <c r="J5" s="123"/>
    </row>
    <row r="6" spans="1:10" ht="16.5" customHeight="1" x14ac:dyDescent="0.35">
      <c r="A6" s="76" t="s">
        <v>3</v>
      </c>
      <c r="B6" s="77"/>
      <c r="C6" s="77"/>
      <c r="D6" s="77"/>
      <c r="E6" s="78"/>
      <c r="F6" s="124" t="s">
        <v>202</v>
      </c>
      <c r="G6" s="114"/>
      <c r="H6" s="114"/>
      <c r="I6" s="114"/>
      <c r="J6" s="115"/>
    </row>
    <row r="7" spans="1:10" ht="15" customHeight="1" x14ac:dyDescent="0.35">
      <c r="A7" s="76" t="s">
        <v>4</v>
      </c>
      <c r="B7" s="77"/>
      <c r="C7" s="77"/>
      <c r="D7" s="77"/>
      <c r="E7" s="78"/>
      <c r="F7" s="124" t="str">
        <f>F6</f>
        <v>M/s. Om Namah Shivay Developers Private Limited</v>
      </c>
      <c r="G7" s="114"/>
      <c r="H7" s="114"/>
      <c r="I7" s="114"/>
      <c r="J7" s="115"/>
    </row>
    <row r="8" spans="1:10" x14ac:dyDescent="0.35">
      <c r="A8" s="76" t="s">
        <v>5</v>
      </c>
      <c r="B8" s="77"/>
      <c r="C8" s="77"/>
      <c r="D8" s="77"/>
      <c r="E8" s="78"/>
      <c r="F8" s="126" t="s">
        <v>167</v>
      </c>
      <c r="G8" s="94"/>
      <c r="H8" s="94"/>
      <c r="I8" s="94"/>
      <c r="J8" s="95"/>
    </row>
    <row r="9" spans="1:10" x14ac:dyDescent="0.35">
      <c r="A9" s="93" t="s">
        <v>102</v>
      </c>
      <c r="B9" s="77"/>
      <c r="C9" s="77"/>
      <c r="D9" s="77"/>
      <c r="E9" s="78"/>
      <c r="F9" s="93">
        <v>2266236300</v>
      </c>
      <c r="G9" s="94"/>
      <c r="H9" s="94"/>
      <c r="I9" s="94"/>
      <c r="J9" s="95"/>
    </row>
    <row r="10" spans="1:10" ht="31.5" customHeight="1" x14ac:dyDescent="0.35">
      <c r="A10" s="93" t="s">
        <v>103</v>
      </c>
      <c r="B10" s="94"/>
      <c r="C10" s="94"/>
      <c r="D10" s="94"/>
      <c r="E10" s="95"/>
      <c r="F10" s="106" t="s">
        <v>217</v>
      </c>
      <c r="G10" s="129"/>
      <c r="H10" s="129"/>
      <c r="I10" s="129"/>
      <c r="J10" s="130"/>
    </row>
    <row r="11" spans="1:10" x14ac:dyDescent="0.35">
      <c r="A11" s="76" t="s">
        <v>6</v>
      </c>
      <c r="B11" s="77"/>
      <c r="C11" s="77"/>
      <c r="D11" s="77"/>
      <c r="E11" s="78"/>
      <c r="F11" s="106" t="s">
        <v>166</v>
      </c>
      <c r="G11" s="107"/>
      <c r="H11" s="107"/>
      <c r="I11" s="107"/>
      <c r="J11" s="108"/>
    </row>
    <row r="12" spans="1:10" ht="29.25" customHeight="1" x14ac:dyDescent="0.35">
      <c r="A12" s="93" t="s">
        <v>135</v>
      </c>
      <c r="B12" s="94"/>
      <c r="C12" s="94"/>
      <c r="D12" s="94"/>
      <c r="E12" s="95"/>
      <c r="F12" s="106" t="s">
        <v>207</v>
      </c>
      <c r="G12" s="107"/>
      <c r="H12" s="107"/>
      <c r="I12" s="107"/>
      <c r="J12" s="108"/>
    </row>
    <row r="13" spans="1:10" x14ac:dyDescent="0.35">
      <c r="A13" s="73" t="s">
        <v>60</v>
      </c>
      <c r="B13" s="73"/>
      <c r="C13" s="124" t="s">
        <v>168</v>
      </c>
      <c r="D13" s="114"/>
      <c r="E13" s="114"/>
      <c r="F13" s="114"/>
      <c r="G13" s="114"/>
      <c r="H13" s="114"/>
      <c r="I13" s="114"/>
      <c r="J13" s="115"/>
    </row>
    <row r="14" spans="1:10" x14ac:dyDescent="0.35">
      <c r="A14" s="2" t="s">
        <v>104</v>
      </c>
      <c r="B14" s="93">
        <v>9</v>
      </c>
      <c r="C14" s="94"/>
      <c r="D14" s="95"/>
      <c r="E14" s="131" t="s">
        <v>138</v>
      </c>
      <c r="F14" s="132"/>
      <c r="G14" s="22">
        <v>11</v>
      </c>
      <c r="H14" s="5" t="s">
        <v>61</v>
      </c>
      <c r="I14" s="172" t="s">
        <v>140</v>
      </c>
      <c r="J14" s="173"/>
    </row>
    <row r="15" spans="1:10" x14ac:dyDescent="0.35">
      <c r="A15" s="24" t="s">
        <v>7</v>
      </c>
      <c r="B15" s="93" t="s">
        <v>141</v>
      </c>
      <c r="C15" s="94"/>
      <c r="D15" s="94"/>
      <c r="E15" s="95"/>
      <c r="F15" s="4" t="s">
        <v>62</v>
      </c>
      <c r="G15" s="93" t="s">
        <v>139</v>
      </c>
      <c r="H15" s="94"/>
      <c r="I15" s="94"/>
      <c r="J15" s="95"/>
    </row>
    <row r="16" spans="1:10" x14ac:dyDescent="0.35">
      <c r="A16" s="3" t="s">
        <v>8</v>
      </c>
      <c r="B16" s="93" t="s">
        <v>140</v>
      </c>
      <c r="C16" s="94"/>
      <c r="D16" s="94"/>
      <c r="E16" s="95"/>
      <c r="F16" s="4" t="s">
        <v>63</v>
      </c>
      <c r="G16" s="93">
        <v>400701</v>
      </c>
      <c r="H16" s="94"/>
      <c r="I16" s="94"/>
      <c r="J16" s="95"/>
    </row>
    <row r="17" spans="1:10" ht="32.25" customHeight="1" x14ac:dyDescent="0.35">
      <c r="A17" s="73" t="s">
        <v>64</v>
      </c>
      <c r="B17" s="73"/>
      <c r="C17" s="125" t="s">
        <v>142</v>
      </c>
      <c r="D17" s="125"/>
      <c r="E17" s="125"/>
      <c r="F17" s="105" t="s">
        <v>54</v>
      </c>
      <c r="G17" s="105"/>
      <c r="H17" s="114" t="s">
        <v>143</v>
      </c>
      <c r="I17" s="114"/>
      <c r="J17" s="115"/>
    </row>
    <row r="18" spans="1:10" ht="15" customHeight="1" x14ac:dyDescent="0.35">
      <c r="A18" s="82" t="s">
        <v>180</v>
      </c>
      <c r="B18" s="88"/>
      <c r="C18" s="88"/>
      <c r="D18" s="88"/>
      <c r="E18" s="89"/>
      <c r="F18" s="96" t="s">
        <v>58</v>
      </c>
      <c r="G18" s="97"/>
      <c r="H18" s="97"/>
      <c r="I18" s="97"/>
      <c r="J18" s="98"/>
    </row>
    <row r="19" spans="1:10" x14ac:dyDescent="0.35">
      <c r="A19" s="90"/>
      <c r="B19" s="91"/>
      <c r="C19" s="91"/>
      <c r="D19" s="91"/>
      <c r="E19" s="92"/>
      <c r="F19" s="99"/>
      <c r="G19" s="100"/>
      <c r="H19" s="100"/>
      <c r="I19" s="100"/>
      <c r="J19" s="101"/>
    </row>
    <row r="20" spans="1:10" ht="15" customHeight="1" x14ac:dyDescent="0.35">
      <c r="A20" s="82" t="s">
        <v>105</v>
      </c>
      <c r="B20" s="83"/>
      <c r="C20" s="83"/>
      <c r="D20" s="83"/>
      <c r="E20" s="84"/>
      <c r="F20" s="82" t="s">
        <v>48</v>
      </c>
      <c r="G20" s="88"/>
      <c r="H20" s="88"/>
      <c r="I20" s="88"/>
      <c r="J20" s="89"/>
    </row>
    <row r="21" spans="1:10" x14ac:dyDescent="0.35">
      <c r="A21" s="85"/>
      <c r="B21" s="86"/>
      <c r="C21" s="86"/>
      <c r="D21" s="86"/>
      <c r="E21" s="87"/>
      <c r="F21" s="90"/>
      <c r="G21" s="91"/>
      <c r="H21" s="91"/>
      <c r="I21" s="91"/>
      <c r="J21" s="92"/>
    </row>
    <row r="22" spans="1:10" x14ac:dyDescent="0.35">
      <c r="A22" s="76" t="s">
        <v>9</v>
      </c>
      <c r="B22" s="77"/>
      <c r="C22" s="77"/>
      <c r="D22" s="77"/>
      <c r="E22" s="78"/>
      <c r="F22" s="102" t="s">
        <v>153</v>
      </c>
      <c r="G22" s="103"/>
      <c r="H22" s="103"/>
      <c r="I22" s="103"/>
      <c r="J22" s="104"/>
    </row>
    <row r="23" spans="1:10" x14ac:dyDescent="0.35">
      <c r="A23" s="76" t="s">
        <v>10</v>
      </c>
      <c r="B23" s="77"/>
      <c r="C23" s="77"/>
      <c r="D23" s="77"/>
      <c r="E23" s="78"/>
      <c r="F23" s="109" t="s">
        <v>55</v>
      </c>
      <c r="G23" s="110"/>
      <c r="H23" s="110"/>
      <c r="I23" s="110"/>
      <c r="J23" s="111"/>
    </row>
    <row r="24" spans="1:10" x14ac:dyDescent="0.35">
      <c r="A24" s="76" t="s">
        <v>11</v>
      </c>
      <c r="B24" s="77"/>
      <c r="C24" s="77"/>
      <c r="D24" s="77"/>
      <c r="E24" s="78"/>
      <c r="F24" s="102" t="s">
        <v>154</v>
      </c>
      <c r="G24" s="103"/>
      <c r="H24" s="103"/>
      <c r="I24" s="103"/>
      <c r="J24" s="104"/>
    </row>
    <row r="25" spans="1:10" x14ac:dyDescent="0.35">
      <c r="A25" s="76" t="s">
        <v>29</v>
      </c>
      <c r="B25" s="77"/>
      <c r="C25" s="77"/>
      <c r="D25" s="77"/>
      <c r="E25" s="78"/>
      <c r="F25" s="79" t="s">
        <v>65</v>
      </c>
      <c r="G25" s="80"/>
      <c r="H25" s="80"/>
      <c r="I25" s="80"/>
      <c r="J25" s="81"/>
    </row>
    <row r="26" spans="1:10" x14ac:dyDescent="0.35">
      <c r="A26" s="116" t="s">
        <v>12</v>
      </c>
      <c r="B26" s="117"/>
      <c r="C26" s="116" t="s">
        <v>13</v>
      </c>
      <c r="D26" s="117"/>
      <c r="E26" s="127" t="s">
        <v>14</v>
      </c>
      <c r="F26" s="117"/>
      <c r="G26" s="127" t="s">
        <v>53</v>
      </c>
      <c r="H26" s="128"/>
      <c r="I26" s="116" t="s">
        <v>15</v>
      </c>
      <c r="J26" s="117"/>
    </row>
    <row r="27" spans="1:10" x14ac:dyDescent="0.35">
      <c r="A27" s="112" t="s">
        <v>16</v>
      </c>
      <c r="B27" s="113"/>
      <c r="C27" s="112" t="s">
        <v>52</v>
      </c>
      <c r="D27" s="113"/>
      <c r="E27" s="112" t="s">
        <v>52</v>
      </c>
      <c r="F27" s="113"/>
      <c r="G27" s="112" t="s">
        <v>52</v>
      </c>
      <c r="H27" s="113"/>
      <c r="I27" s="112" t="s">
        <v>52</v>
      </c>
      <c r="J27" s="113"/>
    </row>
    <row r="28" spans="1:10" ht="47.25" customHeight="1" x14ac:dyDescent="0.35">
      <c r="A28" s="244" t="s">
        <v>17</v>
      </c>
      <c r="B28" s="244"/>
      <c r="C28" s="245" t="s">
        <v>144</v>
      </c>
      <c r="D28" s="245"/>
      <c r="E28" s="245" t="s">
        <v>164</v>
      </c>
      <c r="F28" s="245"/>
      <c r="G28" s="244" t="s">
        <v>7</v>
      </c>
      <c r="H28" s="244"/>
      <c r="I28" s="245" t="s">
        <v>145</v>
      </c>
      <c r="J28" s="245"/>
    </row>
    <row r="29" spans="1:10" x14ac:dyDescent="0.35">
      <c r="A29" s="73" t="s">
        <v>57</v>
      </c>
      <c r="B29" s="73"/>
      <c r="C29" s="73"/>
      <c r="D29" s="73"/>
      <c r="E29" s="73"/>
      <c r="F29" s="73"/>
      <c r="G29" s="73"/>
      <c r="H29" s="73"/>
      <c r="I29" s="73"/>
      <c r="J29" s="73"/>
    </row>
    <row r="30" spans="1:10" x14ac:dyDescent="0.35">
      <c r="A30" s="73" t="s">
        <v>132</v>
      </c>
      <c r="B30" s="73"/>
      <c r="C30" s="73"/>
      <c r="D30" s="73"/>
      <c r="E30" s="73"/>
      <c r="F30" s="73"/>
      <c r="G30" s="73"/>
      <c r="H30" s="73"/>
      <c r="I30" s="73"/>
      <c r="J30" s="73"/>
    </row>
    <row r="31" spans="1:10" x14ac:dyDescent="0.35">
      <c r="A31" s="73" t="s">
        <v>42</v>
      </c>
      <c r="B31" s="73"/>
      <c r="C31" s="73" t="s">
        <v>250</v>
      </c>
      <c r="D31" s="73"/>
      <c r="E31" s="73"/>
      <c r="F31" s="73"/>
      <c r="G31" s="73"/>
      <c r="H31" s="73"/>
      <c r="I31" s="73"/>
      <c r="J31" s="73"/>
    </row>
    <row r="32" spans="1:10" x14ac:dyDescent="0.35">
      <c r="A32" s="73" t="s">
        <v>205</v>
      </c>
      <c r="B32" s="73"/>
      <c r="C32" s="246" t="s">
        <v>206</v>
      </c>
      <c r="D32" s="246"/>
      <c r="E32" s="246"/>
      <c r="F32" s="246"/>
      <c r="G32" s="246"/>
      <c r="H32" s="246"/>
      <c r="I32" s="246"/>
      <c r="J32" s="246"/>
    </row>
    <row r="33" spans="1:12" x14ac:dyDescent="0.35">
      <c r="A33" s="205" t="s">
        <v>18</v>
      </c>
      <c r="B33" s="205"/>
      <c r="C33" s="205"/>
      <c r="D33" s="205"/>
      <c r="E33" s="205"/>
      <c r="F33" s="205"/>
      <c r="G33" s="205"/>
      <c r="H33" s="205"/>
      <c r="I33" s="205"/>
      <c r="J33" s="205"/>
    </row>
    <row r="34" spans="1:12" ht="15" customHeight="1" x14ac:dyDescent="0.35">
      <c r="A34" s="247" t="s">
        <v>194</v>
      </c>
      <c r="B34" s="247"/>
      <c r="C34" s="247"/>
      <c r="D34" s="247"/>
      <c r="E34" s="247"/>
      <c r="F34" s="247"/>
      <c r="G34" s="247"/>
      <c r="H34" s="247"/>
      <c r="I34" s="247"/>
      <c r="J34" s="247"/>
    </row>
    <row r="35" spans="1:12" x14ac:dyDescent="0.35">
      <c r="A35" s="247"/>
      <c r="B35" s="247"/>
      <c r="C35" s="247"/>
      <c r="D35" s="247"/>
      <c r="E35" s="247"/>
      <c r="F35" s="247"/>
      <c r="G35" s="247"/>
      <c r="H35" s="247"/>
      <c r="I35" s="247"/>
      <c r="J35" s="247"/>
    </row>
    <row r="36" spans="1:12" ht="16.5" customHeight="1" x14ac:dyDescent="0.35">
      <c r="A36" s="248" t="s">
        <v>66</v>
      </c>
      <c r="B36" s="248"/>
      <c r="C36" s="248"/>
      <c r="D36" s="248"/>
      <c r="E36" s="248"/>
      <c r="F36" s="105">
        <v>11734.95</v>
      </c>
      <c r="G36" s="105"/>
      <c r="H36" s="105"/>
      <c r="I36" s="105"/>
      <c r="J36" s="105"/>
    </row>
    <row r="37" spans="1:12" x14ac:dyDescent="0.35">
      <c r="A37" s="249" t="s">
        <v>19</v>
      </c>
      <c r="B37" s="249"/>
      <c r="C37" s="249"/>
      <c r="D37" s="249"/>
      <c r="E37" s="249"/>
      <c r="F37" s="73">
        <v>1.5</v>
      </c>
      <c r="G37" s="73"/>
      <c r="H37" s="73"/>
      <c r="I37" s="73"/>
      <c r="J37" s="73"/>
    </row>
    <row r="38" spans="1:12" x14ac:dyDescent="0.35">
      <c r="A38" s="249" t="s">
        <v>20</v>
      </c>
      <c r="B38" s="249"/>
      <c r="C38" s="249"/>
      <c r="D38" s="249"/>
      <c r="E38" s="249"/>
      <c r="F38" s="73">
        <v>0</v>
      </c>
      <c r="G38" s="73"/>
      <c r="H38" s="73"/>
      <c r="I38" s="73"/>
      <c r="J38" s="73"/>
    </row>
    <row r="39" spans="1:12" x14ac:dyDescent="0.35">
      <c r="A39" s="249" t="s">
        <v>21</v>
      </c>
      <c r="B39" s="249"/>
      <c r="C39" s="249"/>
      <c r="D39" s="249"/>
      <c r="E39" s="249"/>
      <c r="F39" s="73">
        <f>F37+F38</f>
        <v>1.5</v>
      </c>
      <c r="G39" s="73"/>
      <c r="H39" s="73"/>
      <c r="I39" s="73"/>
      <c r="J39" s="73"/>
    </row>
    <row r="40" spans="1:12" x14ac:dyDescent="0.35">
      <c r="A40" s="73" t="s">
        <v>67</v>
      </c>
      <c r="B40" s="249"/>
      <c r="C40" s="249"/>
      <c r="D40" s="249"/>
      <c r="E40" s="249"/>
      <c r="F40" s="73">
        <f>F36*F39</f>
        <v>17602.425000000003</v>
      </c>
      <c r="G40" s="73"/>
      <c r="H40" s="73"/>
      <c r="I40" s="73"/>
      <c r="J40" s="73"/>
    </row>
    <row r="41" spans="1:12" x14ac:dyDescent="0.35">
      <c r="A41" s="249" t="s">
        <v>22</v>
      </c>
      <c r="B41" s="249"/>
      <c r="C41" s="249"/>
      <c r="D41" s="249"/>
      <c r="E41" s="249"/>
      <c r="F41" s="73" t="s">
        <v>249</v>
      </c>
      <c r="G41" s="73"/>
      <c r="H41" s="73"/>
      <c r="I41" s="73"/>
      <c r="J41" s="73"/>
    </row>
    <row r="42" spans="1:12" x14ac:dyDescent="0.35">
      <c r="A42" s="205" t="s">
        <v>68</v>
      </c>
      <c r="B42" s="205"/>
      <c r="C42" s="205"/>
      <c r="D42" s="205"/>
      <c r="E42" s="205"/>
      <c r="F42" s="205"/>
      <c r="G42" s="205"/>
      <c r="H42" s="205"/>
      <c r="I42" s="205"/>
      <c r="J42" s="205"/>
    </row>
    <row r="43" spans="1:12" ht="48" customHeight="1" x14ac:dyDescent="0.35">
      <c r="A43" s="124" t="s">
        <v>182</v>
      </c>
      <c r="B43" s="115"/>
      <c r="C43" s="69" t="s">
        <v>181</v>
      </c>
      <c r="D43" s="70"/>
      <c r="E43" s="70"/>
      <c r="F43" s="71"/>
      <c r="G43" s="21" t="s">
        <v>59</v>
      </c>
      <c r="H43" s="69" t="s">
        <v>165</v>
      </c>
      <c r="I43" s="70"/>
      <c r="J43" s="71"/>
    </row>
    <row r="44" spans="1:12" ht="31.5" customHeight="1" x14ac:dyDescent="0.35">
      <c r="A44" s="124" t="s">
        <v>69</v>
      </c>
      <c r="B44" s="115"/>
      <c r="C44" s="69" t="s">
        <v>176</v>
      </c>
      <c r="D44" s="70"/>
      <c r="E44" s="70"/>
      <c r="F44" s="71"/>
      <c r="G44" s="21" t="s">
        <v>59</v>
      </c>
      <c r="H44" s="69" t="s">
        <v>165</v>
      </c>
      <c r="I44" s="70" t="s">
        <v>49</v>
      </c>
      <c r="J44" s="71"/>
    </row>
    <row r="45" spans="1:12" ht="60.75" customHeight="1" x14ac:dyDescent="0.35">
      <c r="A45" s="124" t="s">
        <v>200</v>
      </c>
      <c r="B45" s="115"/>
      <c r="C45" s="160" t="s">
        <v>199</v>
      </c>
      <c r="D45" s="161"/>
      <c r="E45" s="161"/>
      <c r="F45" s="162"/>
      <c r="G45" s="6" t="s">
        <v>59</v>
      </c>
      <c r="H45" s="69" t="s">
        <v>146</v>
      </c>
      <c r="I45" s="70"/>
      <c r="J45" s="71"/>
    </row>
    <row r="46" spans="1:12" ht="35.25" customHeight="1" x14ac:dyDescent="0.35">
      <c r="A46" s="206" t="s">
        <v>255</v>
      </c>
      <c r="B46" s="206"/>
      <c r="C46" s="206" t="s">
        <v>260</v>
      </c>
      <c r="D46" s="205"/>
      <c r="E46" s="205"/>
      <c r="F46" s="205"/>
      <c r="G46" s="53" t="s">
        <v>254</v>
      </c>
      <c r="H46" s="204">
        <v>43445</v>
      </c>
      <c r="I46" s="205"/>
      <c r="J46" s="205"/>
      <c r="L46" s="52"/>
    </row>
    <row r="47" spans="1:12" ht="35.25" customHeight="1" x14ac:dyDescent="0.35">
      <c r="A47" s="206" t="s">
        <v>256</v>
      </c>
      <c r="B47" s="206"/>
      <c r="C47" s="206" t="s">
        <v>258</v>
      </c>
      <c r="D47" s="205"/>
      <c r="E47" s="205"/>
      <c r="F47" s="205"/>
      <c r="G47" s="53" t="s">
        <v>254</v>
      </c>
      <c r="H47" s="204">
        <v>43468</v>
      </c>
      <c r="I47" s="205"/>
      <c r="J47" s="205"/>
      <c r="K47">
        <f>96+41</f>
        <v>137</v>
      </c>
      <c r="L47" s="52"/>
    </row>
    <row r="48" spans="1:12" ht="35.25" customHeight="1" x14ac:dyDescent="0.35">
      <c r="A48" s="206" t="s">
        <v>257</v>
      </c>
      <c r="B48" s="206"/>
      <c r="C48" s="206" t="s">
        <v>259</v>
      </c>
      <c r="D48" s="205"/>
      <c r="E48" s="205"/>
      <c r="F48" s="205"/>
      <c r="G48" s="53" t="s">
        <v>254</v>
      </c>
      <c r="H48" s="204">
        <v>43626</v>
      </c>
      <c r="I48" s="205"/>
      <c r="J48" s="205"/>
      <c r="L48" s="52"/>
    </row>
    <row r="49" spans="1:13" x14ac:dyDescent="0.35">
      <c r="A49" s="73" t="s">
        <v>73</v>
      </c>
      <c r="B49" s="73"/>
      <c r="C49" s="73"/>
      <c r="D49" s="159" t="str">
        <f>H45</f>
        <v>07/12/2012.</v>
      </c>
      <c r="E49" s="159"/>
      <c r="F49" s="93" t="s">
        <v>70</v>
      </c>
      <c r="G49" s="158"/>
      <c r="H49" s="93" t="s">
        <v>265</v>
      </c>
      <c r="I49" s="94"/>
      <c r="J49" s="95"/>
    </row>
    <row r="50" spans="1:13" x14ac:dyDescent="0.35">
      <c r="A50" s="163" t="s">
        <v>23</v>
      </c>
      <c r="B50" s="164"/>
      <c r="C50" s="164"/>
      <c r="D50" s="164"/>
      <c r="E50" s="164"/>
      <c r="F50" s="164"/>
      <c r="G50" s="164"/>
      <c r="H50" s="164"/>
      <c r="I50" s="164"/>
      <c r="J50" s="165"/>
    </row>
    <row r="51" spans="1:13" x14ac:dyDescent="0.35">
      <c r="A51" s="93" t="s">
        <v>100</v>
      </c>
      <c r="B51" s="94"/>
      <c r="C51" s="95"/>
      <c r="D51" s="127">
        <f>F40</f>
        <v>17602.425000000003</v>
      </c>
      <c r="E51" s="128"/>
      <c r="F51" s="133" t="s">
        <v>133</v>
      </c>
      <c r="G51" s="134"/>
      <c r="H51" s="133" t="s">
        <v>263</v>
      </c>
      <c r="I51" s="211"/>
      <c r="J51" s="134"/>
    </row>
    <row r="52" spans="1:13" x14ac:dyDescent="0.35">
      <c r="A52" s="93" t="s">
        <v>71</v>
      </c>
      <c r="B52" s="94"/>
      <c r="C52" s="95"/>
      <c r="D52" s="79" t="s">
        <v>262</v>
      </c>
      <c r="E52" s="209"/>
      <c r="F52" s="209"/>
      <c r="G52" s="209"/>
      <c r="H52" s="209"/>
      <c r="I52" s="209"/>
      <c r="J52" s="210"/>
    </row>
    <row r="53" spans="1:13" x14ac:dyDescent="0.35">
      <c r="A53" s="73" t="s">
        <v>50</v>
      </c>
      <c r="B53" s="73"/>
      <c r="C53" s="73"/>
      <c r="D53" s="72" t="s">
        <v>267</v>
      </c>
      <c r="E53" s="72"/>
      <c r="F53" s="72"/>
      <c r="G53" s="72"/>
      <c r="H53" s="72"/>
      <c r="I53" s="72"/>
      <c r="J53" s="72"/>
      <c r="M53">
        <f>2024-2018</f>
        <v>6</v>
      </c>
    </row>
    <row r="54" spans="1:13" x14ac:dyDescent="0.35">
      <c r="A54" s="93" t="s">
        <v>198</v>
      </c>
      <c r="B54" s="94"/>
      <c r="C54" s="94"/>
      <c r="D54" s="94"/>
      <c r="E54" s="94"/>
      <c r="F54" s="94"/>
      <c r="G54" s="94"/>
      <c r="H54" s="94"/>
      <c r="I54" s="94"/>
      <c r="J54" s="95"/>
    </row>
    <row r="55" spans="1:13" ht="15" customHeight="1" thickBot="1" x14ac:dyDescent="0.4">
      <c r="A55" s="174" t="s">
        <v>45</v>
      </c>
      <c r="B55" s="175"/>
      <c r="C55" s="175"/>
      <c r="D55" s="175"/>
      <c r="E55" s="175"/>
      <c r="F55" s="175"/>
      <c r="G55" s="175"/>
      <c r="H55" s="175"/>
      <c r="I55" s="175"/>
      <c r="J55" s="176"/>
    </row>
    <row r="56" spans="1:13" ht="15" x14ac:dyDescent="0.35">
      <c r="A56" s="221" t="s">
        <v>218</v>
      </c>
      <c r="B56" s="222"/>
      <c r="C56" s="222" t="s">
        <v>261</v>
      </c>
      <c r="D56" s="222"/>
      <c r="E56" s="222"/>
      <c r="F56" s="222"/>
      <c r="G56" s="222"/>
      <c r="H56" s="222"/>
      <c r="I56" s="222"/>
      <c r="J56" s="223"/>
      <c r="K56" s="33" t="str">
        <f ca="1">IF(D71=100%,"All work Completed. Possession granted to the Building.",IF(D70=100%,"All work Completed, Waiting for OC",K57&amp;""&amp;K58&amp;""&amp;L57&amp;""&amp;L56&amp;" "&amp;L58))</f>
        <v>All work Completed. Possession granted to the Building.</v>
      </c>
      <c r="L56" s="34" t="str">
        <f ca="1">(IF(C64=(D57+G57+I57),"",IF(C64&gt;0,", RCC upto "&amp;C64&amp;" Slab","")))&amp;(IF(C65=I57,"",IF(C65&gt;0,", Brickwork upto "&amp;C65&amp;" Floor","")))&amp;(IF(C66=I57,"",IF(C66&gt;0,", Internal Plaster upto "&amp;C66&amp;" Floor","")))&amp;(IF(C67=I57,"",IF(C67&gt;0,", External Plaster upto "&amp;C67&amp;" Floor","")))&amp;(IF(C68=I57,"",IF(C68&gt;0,", Flooring upto "&amp;C68&amp;" Floor","")))&amp;(IF(C69=I57,"",IF(C69&gt;0,", Painting upto "&amp;C69&amp;" Floor","")))&amp;(IF(C70=I57,"",IF(C70&gt;0,", Finishing upto "&amp;C70&amp;" Floor","")))&amp;(IF(C71=I57,"",IF(C71&gt;0,", Possession upto "&amp;C71&amp;" Floor","")))</f>
        <v/>
      </c>
    </row>
    <row r="57" spans="1:13" ht="15.5" x14ac:dyDescent="0.35">
      <c r="A57" s="35" t="s">
        <v>219</v>
      </c>
      <c r="B57" s="36">
        <v>0</v>
      </c>
      <c r="C57" s="36" t="s">
        <v>187</v>
      </c>
      <c r="D57" s="36">
        <v>1</v>
      </c>
      <c r="E57" s="36"/>
      <c r="F57" s="36" t="s">
        <v>220</v>
      </c>
      <c r="G57" s="36">
        <v>0</v>
      </c>
      <c r="H57" s="36" t="s">
        <v>221</v>
      </c>
      <c r="I57" s="224">
        <f ca="1">--TRIM(RIGHT(SUBSTITUTE(LEFT(C56,_xlfn.AGGREGATE(16,6,FIND({0,1,2,3,4,5,6,7,8,9},C56,ROW(INDIRECT("1:"&amp;LEN(C56)))),1))," ",REPT(" ",LEN(C56))),LEN(C56)))</f>
        <v>38</v>
      </c>
      <c r="J57" s="225"/>
      <c r="K57" s="37" t="str">
        <f ca="1">IF(D62=100%,"Excavation","")&amp;IF(D63=100%,", Plinth","")&amp;IF(D64=100%,", RCC Slab","")&amp;IF(D65=100%,", Brickwork","")&amp;IF(D66=100%,", Internal Plaster","")&amp;IF(D67=100%,", External Plaster","")&amp;IF(D68=100%,", Flooring","")&amp;IF(D69=100%,", Painting","")&amp;IF(D70=100%,", Building common Amenities","")</f>
        <v>Excavation, Plinth, RCC Slab, Brickwork, Internal Plaster, External Plaster, Flooring, Painting, Building common Amenities</v>
      </c>
      <c r="L57" s="38" t="str">
        <f ca="1">(IF(C62=0,"Work not yet Started.",IF(D62=25%,"Piling work in process",IF(D62=50%,"Excavation work in process",IF(D62=100%,"","0")))))&amp;(IF(C63=0%,"",IF(C63=L64,", Footing work is process",IF(C63=L65,", Footing work Completed",IF(C63=L66,", 1st Basement Completed",IF(C63=L67,", 1st &amp; 2nd Basement Completed",IF(C63=L68,", 1st to 3rd Basement Completed",IF(C63=L69,", 1st to 4th Basement Completed",IF(C63=L70,", Plinth work is process",IF(C63=L71,"","0"))))))))))</f>
        <v/>
      </c>
    </row>
    <row r="58" spans="1:13" ht="20" customHeight="1" x14ac:dyDescent="0.35">
      <c r="A58" s="250" t="s">
        <v>222</v>
      </c>
      <c r="B58" s="251"/>
      <c r="C58" s="252" t="str">
        <f ca="1">K56</f>
        <v>All work Completed. Possession granted to the Building.</v>
      </c>
      <c r="D58" s="252"/>
      <c r="E58" s="252"/>
      <c r="F58" s="252"/>
      <c r="G58" s="252"/>
      <c r="H58" s="252"/>
      <c r="I58" s="252"/>
      <c r="J58" s="253"/>
      <c r="K58" s="37" t="str">
        <f ca="1">IF(K57&lt;&gt;""," Completed","")</f>
        <v xml:space="preserve"> Completed</v>
      </c>
      <c r="L58" s="38" t="str">
        <f ca="1">IF(L56&lt;&gt;"","Completed","")</f>
        <v/>
      </c>
    </row>
    <row r="59" spans="1:13" s="57" customFormat="1" ht="15.75" customHeight="1" x14ac:dyDescent="0.35">
      <c r="A59" s="212" t="s">
        <v>225</v>
      </c>
      <c r="B59" s="213"/>
      <c r="C59" s="216">
        <v>1</v>
      </c>
      <c r="D59" s="217"/>
      <c r="E59" s="217"/>
      <c r="F59" s="217" t="s">
        <v>226</v>
      </c>
      <c r="G59" s="217"/>
      <c r="H59" s="216">
        <v>1</v>
      </c>
      <c r="I59" s="217"/>
      <c r="J59" s="219"/>
      <c r="K59" s="55"/>
      <c r="L59" s="56"/>
    </row>
    <row r="60" spans="1:13" s="57" customFormat="1" ht="15.75" customHeight="1" thickBot="1" x14ac:dyDescent="0.4">
      <c r="A60" s="214"/>
      <c r="B60" s="215"/>
      <c r="C60" s="218"/>
      <c r="D60" s="218"/>
      <c r="E60" s="218"/>
      <c r="F60" s="218"/>
      <c r="G60" s="218"/>
      <c r="H60" s="218"/>
      <c r="I60" s="218"/>
      <c r="J60" s="220"/>
      <c r="K60" s="55"/>
      <c r="L60" s="56"/>
    </row>
    <row r="61" spans="1:13" ht="15.5" hidden="1" x14ac:dyDescent="0.35">
      <c r="A61" s="226" t="s">
        <v>34</v>
      </c>
      <c r="B61" s="227"/>
      <c r="C61" s="54" t="s">
        <v>223</v>
      </c>
      <c r="D61" s="228" t="s">
        <v>224</v>
      </c>
      <c r="E61" s="229"/>
      <c r="F61" s="228" t="s">
        <v>225</v>
      </c>
      <c r="G61" s="229"/>
      <c r="H61" s="228" t="s">
        <v>226</v>
      </c>
      <c r="I61" s="230"/>
      <c r="J61" s="231"/>
      <c r="K61" s="39" t="s">
        <v>227</v>
      </c>
      <c r="L61" s="40">
        <f ca="1">I57*25%</f>
        <v>9.5</v>
      </c>
    </row>
    <row r="62" spans="1:13" ht="15.5" hidden="1" x14ac:dyDescent="0.35">
      <c r="A62" s="61" t="s">
        <v>228</v>
      </c>
      <c r="B62" s="62"/>
      <c r="C62" s="41">
        <f ca="1">L63</f>
        <v>38</v>
      </c>
      <c r="D62" s="63">
        <f ca="1">((100/I57)*C62)/100</f>
        <v>1</v>
      </c>
      <c r="E62" s="64"/>
      <c r="F62" s="63">
        <f ca="1">(((C63/I57*10)+(40/(D57+G57+I57)*C64)+(7.5/(I57)*C65)+(7.5/(I57)*C66)+(10/I57*C67)+(10/I57*C68)+(5/I57*C69)+(5/I57*C70)+(5/I57*C71))/100)</f>
        <v>1</v>
      </c>
      <c r="G62" s="64"/>
      <c r="H62" s="63">
        <f ca="1">((((C62/I57)*20)+((C63/I57)*25)+(30/(I57+G57+D57)*C64)+(5/I57*C65)+(5/I57*C66)+(5/I57*C67)+(5/I57*C68)+(0/I57*C69)+(0/I57*C70)+(5/I57*C71))/100)</f>
        <v>1</v>
      </c>
      <c r="I62" s="236"/>
      <c r="J62" s="237"/>
      <c r="K62" s="39" t="s">
        <v>229</v>
      </c>
      <c r="L62" s="42">
        <f ca="1">I57*50%</f>
        <v>19</v>
      </c>
    </row>
    <row r="63" spans="1:13" ht="15.5" hidden="1" x14ac:dyDescent="0.35">
      <c r="A63" s="61" t="s">
        <v>35</v>
      </c>
      <c r="B63" s="62"/>
      <c r="C63" s="43">
        <f ca="1">L71</f>
        <v>38</v>
      </c>
      <c r="D63" s="63">
        <f ca="1">((100/I57)*C63)/100</f>
        <v>1</v>
      </c>
      <c r="E63" s="64"/>
      <c r="F63" s="232"/>
      <c r="G63" s="233"/>
      <c r="H63" s="232"/>
      <c r="I63" s="238"/>
      <c r="J63" s="239"/>
      <c r="K63" s="39" t="s">
        <v>230</v>
      </c>
      <c r="L63" s="42">
        <f ca="1">I57</f>
        <v>38</v>
      </c>
    </row>
    <row r="64" spans="1:13" ht="15.5" hidden="1" x14ac:dyDescent="0.35">
      <c r="A64" s="61" t="s">
        <v>231</v>
      </c>
      <c r="B64" s="62"/>
      <c r="C64" s="43">
        <v>39</v>
      </c>
      <c r="D64" s="63">
        <f ca="1">((100/(D57+G57+I57))*C64)/100</f>
        <v>1.0000000000000002</v>
      </c>
      <c r="E64" s="64"/>
      <c r="F64" s="232"/>
      <c r="G64" s="233"/>
      <c r="H64" s="232"/>
      <c r="I64" s="238"/>
      <c r="J64" s="239"/>
      <c r="K64" s="39" t="s">
        <v>232</v>
      </c>
      <c r="L64" s="44">
        <f ca="1">(IF(B57&gt;1,(I57/(B57+2)),I57/4))</f>
        <v>9.5</v>
      </c>
    </row>
    <row r="65" spans="1:17" ht="15.5" hidden="1" x14ac:dyDescent="0.35">
      <c r="A65" s="61" t="s">
        <v>233</v>
      </c>
      <c r="B65" s="62" t="s">
        <v>234</v>
      </c>
      <c r="C65" s="41">
        <v>38</v>
      </c>
      <c r="D65" s="63">
        <f ca="1">((100/I57)*C65)/100</f>
        <v>1</v>
      </c>
      <c r="E65" s="64"/>
      <c r="F65" s="232"/>
      <c r="G65" s="233"/>
      <c r="H65" s="232"/>
      <c r="I65" s="238"/>
      <c r="J65" s="239"/>
      <c r="K65" s="39" t="s">
        <v>235</v>
      </c>
      <c r="L65" s="44">
        <f ca="1">(IF(B57&gt;1,(I57/(B57+2)+L64),I57/4+L64))</f>
        <v>19</v>
      </c>
    </row>
    <row r="66" spans="1:17" ht="15.5" hidden="1" x14ac:dyDescent="0.35">
      <c r="A66" s="61" t="s">
        <v>236</v>
      </c>
      <c r="B66" s="62" t="s">
        <v>234</v>
      </c>
      <c r="C66" s="41">
        <v>38</v>
      </c>
      <c r="D66" s="63">
        <f ca="1">((100/I57)*C66)/100</f>
        <v>1</v>
      </c>
      <c r="E66" s="64"/>
      <c r="F66" s="232"/>
      <c r="G66" s="233"/>
      <c r="H66" s="232"/>
      <c r="I66" s="238"/>
      <c r="J66" s="239"/>
      <c r="K66" s="39" t="s">
        <v>237</v>
      </c>
      <c r="L66" s="44">
        <f>(IF(B57&gt;1,(I57/(B57+2)+L65),0))</f>
        <v>0</v>
      </c>
    </row>
    <row r="67" spans="1:17" ht="15.5" hidden="1" x14ac:dyDescent="0.35">
      <c r="A67" s="61" t="s">
        <v>238</v>
      </c>
      <c r="B67" s="62" t="s">
        <v>239</v>
      </c>
      <c r="C67" s="41">
        <v>38</v>
      </c>
      <c r="D67" s="63">
        <f ca="1">((100/(I57))*C67)/100</f>
        <v>1</v>
      </c>
      <c r="E67" s="64"/>
      <c r="F67" s="232"/>
      <c r="G67" s="233"/>
      <c r="H67" s="232"/>
      <c r="I67" s="238"/>
      <c r="J67" s="239"/>
      <c r="K67" s="39" t="s">
        <v>240</v>
      </c>
      <c r="L67" s="44">
        <f>(IF(B57&gt;2,(I57/(B57+2)+L66),0))</f>
        <v>0</v>
      </c>
    </row>
    <row r="68" spans="1:17" ht="15.5" hidden="1" x14ac:dyDescent="0.35">
      <c r="A68" s="61" t="s">
        <v>241</v>
      </c>
      <c r="B68" s="62" t="s">
        <v>241</v>
      </c>
      <c r="C68" s="41">
        <v>38</v>
      </c>
      <c r="D68" s="63">
        <f ca="1">((100/I57)*C68)/100</f>
        <v>1</v>
      </c>
      <c r="E68" s="64"/>
      <c r="F68" s="232"/>
      <c r="G68" s="233"/>
      <c r="H68" s="232"/>
      <c r="I68" s="238"/>
      <c r="J68" s="239"/>
      <c r="K68" s="39" t="s">
        <v>242</v>
      </c>
      <c r="L68" s="45">
        <f>(IF(B57&gt;3,(I57/(B57+2)+L67),0))</f>
        <v>0</v>
      </c>
    </row>
    <row r="69" spans="1:17" ht="15.5" hidden="1" x14ac:dyDescent="0.35">
      <c r="A69" s="61" t="s">
        <v>243</v>
      </c>
      <c r="B69" s="62"/>
      <c r="C69" s="41">
        <v>38</v>
      </c>
      <c r="D69" s="63">
        <f ca="1">((100/I57)*C69)/100</f>
        <v>1</v>
      </c>
      <c r="E69" s="64"/>
      <c r="F69" s="232"/>
      <c r="G69" s="233"/>
      <c r="H69" s="232"/>
      <c r="I69" s="238"/>
      <c r="J69" s="239"/>
      <c r="K69" s="39" t="s">
        <v>244</v>
      </c>
      <c r="L69" s="44">
        <f>(IF(B57&gt;4,(I57/(B57+2)+L68),0))</f>
        <v>0</v>
      </c>
    </row>
    <row r="70" spans="1:17" ht="15.5" hidden="1" x14ac:dyDescent="0.35">
      <c r="A70" s="61" t="s">
        <v>245</v>
      </c>
      <c r="B70" s="62" t="s">
        <v>245</v>
      </c>
      <c r="C70" s="41">
        <v>38</v>
      </c>
      <c r="D70" s="63">
        <f ca="1">((100/(I57))*C70)/100</f>
        <v>1</v>
      </c>
      <c r="E70" s="64"/>
      <c r="F70" s="232"/>
      <c r="G70" s="233"/>
      <c r="H70" s="232"/>
      <c r="I70" s="238"/>
      <c r="J70" s="239"/>
      <c r="K70" s="39" t="s">
        <v>246</v>
      </c>
      <c r="L70" s="44">
        <f ca="1">(IF(B57=1,(I57/(B57+3)+L65),IF(B57=0,(I57/4+L65),IF(B57&gt;1,0))))</f>
        <v>28.5</v>
      </c>
    </row>
    <row r="71" spans="1:17" ht="16" hidden="1" thickBot="1" x14ac:dyDescent="0.4">
      <c r="A71" s="65" t="s">
        <v>247</v>
      </c>
      <c r="B71" s="66"/>
      <c r="C71" s="46">
        <v>38</v>
      </c>
      <c r="D71" s="67">
        <f ca="1">((100/(I57))*C71)/100</f>
        <v>1</v>
      </c>
      <c r="E71" s="68"/>
      <c r="F71" s="234"/>
      <c r="G71" s="235"/>
      <c r="H71" s="234"/>
      <c r="I71" s="240"/>
      <c r="J71" s="241"/>
      <c r="K71" s="47" t="s">
        <v>248</v>
      </c>
      <c r="L71" s="48">
        <f ca="1">(IF(B57&gt;1.5,(I57/(B57+2)+L65+MAX(0,L66-L65)+MAX(0,L67-L66)+MAX(0,L68-L67)+MAX(0,L69-L68)+MAX(0,L70-L69)),IF(B57=1,(I57/(B57+3)+L70),IF(B57=0,I57/4+L70))))</f>
        <v>38</v>
      </c>
    </row>
    <row r="72" spans="1:17" x14ac:dyDescent="0.35">
      <c r="A72" s="93" t="s">
        <v>197</v>
      </c>
      <c r="B72" s="94"/>
      <c r="C72" s="94"/>
      <c r="D72" s="94"/>
      <c r="E72" s="94"/>
      <c r="F72" s="94"/>
      <c r="G72" s="94"/>
      <c r="H72" s="94"/>
      <c r="I72" s="94"/>
      <c r="J72" s="95"/>
    </row>
    <row r="73" spans="1:17" x14ac:dyDescent="0.35">
      <c r="A73" s="93" t="s">
        <v>51</v>
      </c>
      <c r="B73" s="94"/>
      <c r="C73" s="94"/>
      <c r="D73" s="94"/>
      <c r="E73" s="94"/>
      <c r="F73" s="94"/>
      <c r="G73" s="94"/>
      <c r="H73" s="94"/>
      <c r="I73" s="94"/>
      <c r="J73" s="95"/>
    </row>
    <row r="74" spans="1:17" ht="15" customHeight="1" x14ac:dyDescent="0.35">
      <c r="A74" s="177" t="s">
        <v>72</v>
      </c>
      <c r="B74" s="178"/>
      <c r="C74" s="178"/>
      <c r="D74" s="178"/>
      <c r="E74" s="178"/>
      <c r="F74" s="178"/>
      <c r="G74" s="178"/>
      <c r="H74" s="178"/>
      <c r="I74" s="178"/>
      <c r="J74" s="179"/>
    </row>
    <row r="75" spans="1:17" x14ac:dyDescent="0.35">
      <c r="A75" s="180"/>
      <c r="B75" s="181"/>
      <c r="C75" s="181"/>
      <c r="D75" s="181"/>
      <c r="E75" s="181"/>
      <c r="F75" s="181"/>
      <c r="G75" s="181"/>
      <c r="H75" s="181"/>
      <c r="I75" s="181"/>
      <c r="J75" s="182"/>
    </row>
    <row r="76" spans="1:17" x14ac:dyDescent="0.35">
      <c r="A76" s="183" t="s">
        <v>24</v>
      </c>
      <c r="B76" s="144"/>
      <c r="C76" s="144"/>
      <c r="D76" s="144"/>
      <c r="E76" s="144"/>
      <c r="F76" s="144"/>
      <c r="G76" s="144"/>
      <c r="H76" s="144"/>
      <c r="I76" s="144"/>
      <c r="J76" s="145"/>
    </row>
    <row r="77" spans="1:17" x14ac:dyDescent="0.35">
      <c r="A77" s="93" t="s">
        <v>136</v>
      </c>
      <c r="B77" s="77"/>
      <c r="C77" s="77"/>
      <c r="D77" s="77"/>
      <c r="E77" s="77"/>
      <c r="F77" s="78"/>
      <c r="G77" s="69">
        <v>14000</v>
      </c>
      <c r="H77" s="70"/>
      <c r="I77" s="70"/>
      <c r="J77" s="71"/>
      <c r="K77">
        <f>(G80*34+G77)*1482+2*G85+G82+G86</f>
        <v>28586800</v>
      </c>
    </row>
    <row r="78" spans="1:17" x14ac:dyDescent="0.35">
      <c r="A78" s="93" t="s">
        <v>192</v>
      </c>
      <c r="B78" s="77"/>
      <c r="C78" s="77"/>
      <c r="D78" s="77"/>
      <c r="E78" s="77"/>
      <c r="F78" s="78"/>
      <c r="G78" s="69">
        <v>18000</v>
      </c>
      <c r="H78" s="70"/>
      <c r="I78" s="70"/>
      <c r="J78" s="71"/>
      <c r="K78" s="207" t="s">
        <v>264</v>
      </c>
      <c r="L78" s="208"/>
      <c r="M78" s="208"/>
      <c r="N78" s="208"/>
      <c r="O78" s="208"/>
      <c r="P78" s="208"/>
      <c r="Q78" s="52">
        <v>45177</v>
      </c>
    </row>
    <row r="79" spans="1:17" x14ac:dyDescent="0.35">
      <c r="A79" s="93" t="s">
        <v>193</v>
      </c>
      <c r="B79" s="77"/>
      <c r="C79" s="77"/>
      <c r="D79" s="77"/>
      <c r="E79" s="77"/>
      <c r="F79" s="78"/>
      <c r="G79" s="69">
        <v>16000</v>
      </c>
      <c r="H79" s="70"/>
      <c r="I79" s="70"/>
      <c r="J79" s="71"/>
    </row>
    <row r="80" spans="1:17" x14ac:dyDescent="0.35">
      <c r="A80" s="93" t="s">
        <v>203</v>
      </c>
      <c r="B80" s="77"/>
      <c r="C80" s="77"/>
      <c r="D80" s="77"/>
      <c r="E80" s="77"/>
      <c r="F80" s="78"/>
      <c r="G80" s="160">
        <v>100</v>
      </c>
      <c r="H80" s="161"/>
      <c r="I80" s="161"/>
      <c r="J80" s="162"/>
    </row>
    <row r="81" spans="1:10" hidden="1" x14ac:dyDescent="0.35">
      <c r="A81" s="93" t="s">
        <v>106</v>
      </c>
      <c r="B81" s="94"/>
      <c r="C81" s="94"/>
      <c r="D81" s="94"/>
      <c r="E81" s="94"/>
      <c r="F81" s="95"/>
      <c r="G81" s="160" t="s">
        <v>52</v>
      </c>
      <c r="H81" s="161"/>
      <c r="I81" s="161"/>
      <c r="J81" s="162"/>
    </row>
    <row r="82" spans="1:10" x14ac:dyDescent="0.35">
      <c r="A82" s="93" t="s">
        <v>195</v>
      </c>
      <c r="B82" s="94"/>
      <c r="C82" s="94"/>
      <c r="D82" s="94"/>
      <c r="E82" s="94"/>
      <c r="F82" s="95"/>
      <c r="G82" s="171">
        <v>300000</v>
      </c>
      <c r="H82" s="161"/>
      <c r="I82" s="161"/>
      <c r="J82" s="162"/>
    </row>
    <row r="83" spans="1:10" hidden="1" x14ac:dyDescent="0.35">
      <c r="A83" s="124" t="s">
        <v>107</v>
      </c>
      <c r="B83" s="114"/>
      <c r="C83" s="114"/>
      <c r="D83" s="114"/>
      <c r="E83" s="114"/>
      <c r="F83" s="115"/>
      <c r="G83" s="160" t="s">
        <v>52</v>
      </c>
      <c r="H83" s="161"/>
      <c r="I83" s="161"/>
      <c r="J83" s="162"/>
    </row>
    <row r="84" spans="1:10" hidden="1" x14ac:dyDescent="0.35">
      <c r="A84" s="93" t="s">
        <v>74</v>
      </c>
      <c r="B84" s="94"/>
      <c r="C84" s="94"/>
      <c r="D84" s="94"/>
      <c r="E84" s="94"/>
      <c r="F84" s="95"/>
      <c r="G84" s="160" t="s">
        <v>52</v>
      </c>
      <c r="H84" s="161"/>
      <c r="I84" s="161"/>
      <c r="J84" s="162"/>
    </row>
    <row r="85" spans="1:10" x14ac:dyDescent="0.35">
      <c r="A85" s="93" t="s">
        <v>96</v>
      </c>
      <c r="B85" s="77"/>
      <c r="C85" s="77"/>
      <c r="D85" s="77"/>
      <c r="E85" s="77"/>
      <c r="F85" s="78"/>
      <c r="G85" s="171">
        <v>1000000</v>
      </c>
      <c r="H85" s="161"/>
      <c r="I85" s="161"/>
      <c r="J85" s="162"/>
    </row>
    <row r="86" spans="1:10" x14ac:dyDescent="0.35">
      <c r="A86" s="93" t="s">
        <v>201</v>
      </c>
      <c r="B86" s="94"/>
      <c r="C86" s="94"/>
      <c r="D86" s="94"/>
      <c r="E86" s="94"/>
      <c r="F86" s="95"/>
      <c r="G86" s="171">
        <v>500000</v>
      </c>
      <c r="H86" s="161"/>
      <c r="I86" s="161"/>
      <c r="J86" s="162"/>
    </row>
    <row r="87" spans="1:10" hidden="1" x14ac:dyDescent="0.35">
      <c r="A87" s="93" t="s">
        <v>25</v>
      </c>
      <c r="B87" s="94"/>
      <c r="C87" s="94"/>
      <c r="D87" s="94"/>
      <c r="E87" s="94"/>
      <c r="F87" s="95"/>
      <c r="G87" s="160" t="s">
        <v>52</v>
      </c>
      <c r="H87" s="161"/>
      <c r="I87" s="161"/>
      <c r="J87" s="162"/>
    </row>
    <row r="88" spans="1:10" s="1" customFormat="1" ht="14.5" customHeight="1" x14ac:dyDescent="0.35">
      <c r="A88" s="126" t="s">
        <v>108</v>
      </c>
      <c r="B88" s="144"/>
      <c r="C88" s="144"/>
      <c r="D88" s="144"/>
      <c r="E88" s="144"/>
      <c r="F88" s="145"/>
      <c r="G88" s="69">
        <f>G77*0.8</f>
        <v>11200</v>
      </c>
      <c r="H88" s="70"/>
      <c r="I88" s="70"/>
      <c r="J88" s="71"/>
    </row>
    <row r="89" spans="1:10" s="28" customFormat="1" ht="15.75" customHeight="1" x14ac:dyDescent="0.35">
      <c r="A89" s="188" t="s">
        <v>208</v>
      </c>
      <c r="B89" s="189"/>
      <c r="C89" s="189"/>
      <c r="D89" s="189"/>
      <c r="E89" s="189"/>
      <c r="F89" s="189"/>
      <c r="G89" s="189"/>
      <c r="H89" s="189"/>
      <c r="I89" s="189"/>
      <c r="J89" s="190"/>
    </row>
    <row r="90" spans="1:10" s="28" customFormat="1" ht="15.75" customHeight="1" x14ac:dyDescent="0.35">
      <c r="A90" s="149" t="s">
        <v>209</v>
      </c>
      <c r="B90" s="150"/>
      <c r="C90" s="29" t="s">
        <v>210</v>
      </c>
      <c r="D90" s="191" t="s">
        <v>211</v>
      </c>
      <c r="E90" s="192"/>
      <c r="F90" s="193"/>
      <c r="G90" s="149" t="s">
        <v>212</v>
      </c>
      <c r="H90" s="194"/>
      <c r="I90" s="194"/>
      <c r="J90" s="150"/>
    </row>
    <row r="91" spans="1:10" s="28" customFormat="1" ht="15.5" x14ac:dyDescent="0.35">
      <c r="A91" s="74" t="s">
        <v>213</v>
      </c>
      <c r="B91" s="75"/>
      <c r="C91" s="30">
        <f>COUNT(D131:E164)</f>
        <v>33</v>
      </c>
      <c r="D91" s="195">
        <f>SUM(D131:E164)</f>
        <v>13941.866053440002</v>
      </c>
      <c r="E91" s="196"/>
      <c r="F91" s="197"/>
      <c r="G91" s="198">
        <f>SUM(G131:G164)</f>
        <v>22306.985685503998</v>
      </c>
      <c r="H91" s="199"/>
      <c r="I91" s="199"/>
      <c r="J91" s="200"/>
    </row>
    <row r="92" spans="1:10" s="28" customFormat="1" ht="15.5" x14ac:dyDescent="0.35">
      <c r="A92" s="188" t="s">
        <v>214</v>
      </c>
      <c r="B92" s="189"/>
      <c r="C92" s="189"/>
      <c r="D92" s="189"/>
      <c r="E92" s="189"/>
      <c r="F92" s="189"/>
      <c r="G92" s="189"/>
      <c r="H92" s="189"/>
      <c r="I92" s="189"/>
      <c r="J92" s="190"/>
    </row>
    <row r="93" spans="1:10" s="28" customFormat="1" ht="15.5" x14ac:dyDescent="0.35">
      <c r="A93" s="149" t="s">
        <v>209</v>
      </c>
      <c r="B93" s="150"/>
      <c r="C93" s="29" t="s">
        <v>210</v>
      </c>
      <c r="D93" s="191" t="s">
        <v>211</v>
      </c>
      <c r="E93" s="192"/>
      <c r="F93" s="193"/>
      <c r="G93" s="149" t="s">
        <v>212</v>
      </c>
      <c r="H93" s="194"/>
      <c r="I93" s="194"/>
      <c r="J93" s="150"/>
    </row>
    <row r="94" spans="1:10" s="28" customFormat="1" ht="15.5" x14ac:dyDescent="0.35">
      <c r="A94" s="74" t="s">
        <v>170</v>
      </c>
      <c r="B94" s="75"/>
      <c r="C94" s="31">
        <f>COUNT(D186:E187)*8+COUNT(D189:E190)*7+COUNT(D192:E193)*9+COUNT(D195:E196)*10+COUNT(D199:E200,D202)</f>
        <v>71</v>
      </c>
      <c r="D94" s="195">
        <f>SUM(D186:E187)*8+SUM(D189:E190)*7+SUM(D192:E193)*9+SUM(D195:E196)*10+SUM(D199:E200,D202)</f>
        <v>63252.245628000011</v>
      </c>
      <c r="E94" s="196"/>
      <c r="F94" s="197"/>
      <c r="G94" s="195">
        <f>SUM(G186:H187)*8+SUM(G189:H190)*7+SUM(G192:H193)*9+SUM(G195:H196)*10+SUM(G199:H200,G202)</f>
        <v>101497.30112340003</v>
      </c>
      <c r="H94" s="196"/>
      <c r="I94" s="196"/>
      <c r="J94" s="197"/>
    </row>
    <row r="95" spans="1:10" s="28" customFormat="1" ht="15.5" x14ac:dyDescent="0.35">
      <c r="A95" s="74" t="s">
        <v>147</v>
      </c>
      <c r="B95" s="75"/>
      <c r="C95" s="31">
        <f>COUNT(D208:E209)*6+COUNT(D211:E212)*7+COUNT(D214)*2+COUNT(D217:E218)*10+COUNT(D221:E222)*7+COUNT(D224)*3+COUNT(D227)</f>
        <v>66</v>
      </c>
      <c r="D95" s="195">
        <f>SUM(D208:E209)*6+SUM(D211:E212)*7+SUM(D214)*2+SUM(D217:E218)*10+SUM(D221:E222)*7+SUM(D224)*3+SUM(D227)</f>
        <v>45404.250559200002</v>
      </c>
      <c r="E95" s="196"/>
      <c r="F95" s="197"/>
      <c r="G95" s="195">
        <f>SUM(G208:H209)*6+SUM(G211:H212)*7+SUM(G214)*2+SUM(G217:H218)*10+SUM(G221:H222)*7+SUM(G224)*3+SUM(G227)</f>
        <v>73544.588366759999</v>
      </c>
      <c r="H95" s="196"/>
      <c r="I95" s="196"/>
      <c r="J95" s="197"/>
    </row>
    <row r="96" spans="1:10" s="28" customFormat="1" ht="15.5" x14ac:dyDescent="0.35">
      <c r="A96" s="74" t="s">
        <v>216</v>
      </c>
      <c r="B96" s="75"/>
      <c r="C96" s="31">
        <f>COUNT(D208:E209)*6+COUNT(D211:E212)*7+COUNT(D214)*2+COUNT(D217:E218)*10+COUNT(D221:E222)*7+COUNT(D224)*3+COUNT(D227)</f>
        <v>66</v>
      </c>
      <c r="D96" s="195">
        <f>SUM(D233:E234)*6+SUM(D236:E237)*7+SUM(D239)*2+SUM(D242:E243)*10+SUM(D246:E247)*7+SUM(D249)*3+SUM(D252)</f>
        <v>45404.250559200002</v>
      </c>
      <c r="E96" s="196"/>
      <c r="F96" s="197"/>
      <c r="G96" s="195">
        <f>SUM(G233:H234)*6+SUM(G236:H237)*7+SUM(G239)*2+SUM(G242:H243)*10+SUM(G246:H247)*7+SUM(G249)*3+SUM(G252)</f>
        <v>73544.588366759999</v>
      </c>
      <c r="H96" s="196"/>
      <c r="I96" s="196"/>
      <c r="J96" s="197"/>
    </row>
    <row r="97" spans="1:12" s="28" customFormat="1" ht="15.5" x14ac:dyDescent="0.35">
      <c r="A97" s="74" t="s">
        <v>215</v>
      </c>
      <c r="B97" s="75"/>
      <c r="C97" s="31">
        <f>COUNT(D186:E187)*8+COUNT(D189:E190)*7+COUNT(D192:E193)*9+COUNT(D195:E196)*10+COUNT(D199:E200,D202)</f>
        <v>71</v>
      </c>
      <c r="D97" s="195">
        <f>SUM(D256:E257)*8+SUM(D259:E260)*7+SUM(D262:E263)*9+SUM(D265:E266)*10+SUM(D269:E270,D272)</f>
        <v>63252.245628000011</v>
      </c>
      <c r="E97" s="196"/>
      <c r="F97" s="197"/>
      <c r="G97" s="195">
        <f>SUM(G256:H257)*8+SUM(G259:H260)*7+SUM(G262:H263)*9+SUM(G265:H266)*10+SUM(G269:H270,G272)</f>
        <v>101497.30112340003</v>
      </c>
      <c r="H97" s="196"/>
      <c r="I97" s="196"/>
      <c r="J97" s="197"/>
    </row>
    <row r="98" spans="1:12" s="28" customFormat="1" ht="15.5" x14ac:dyDescent="0.35">
      <c r="A98" s="188" t="s">
        <v>93</v>
      </c>
      <c r="B98" s="189"/>
      <c r="C98" s="29">
        <f>SUM(C94:C97)</f>
        <v>274</v>
      </c>
      <c r="D98" s="201">
        <f>SUM(D94:D97)</f>
        <v>217312.99237440003</v>
      </c>
      <c r="E98" s="202"/>
      <c r="F98" s="203"/>
      <c r="G98" s="149">
        <f>SUM(G94:G97)</f>
        <v>350083.77898032009</v>
      </c>
      <c r="H98" s="194"/>
      <c r="I98" s="194"/>
      <c r="J98" s="150"/>
    </row>
    <row r="99" spans="1:12" s="1" customFormat="1" ht="17.5" x14ac:dyDescent="0.35">
      <c r="A99" s="146" t="s">
        <v>109</v>
      </c>
      <c r="B99" s="147"/>
      <c r="C99" s="147"/>
      <c r="D99" s="147"/>
      <c r="E99" s="147"/>
      <c r="F99" s="147"/>
      <c r="G99" s="147"/>
      <c r="H99" s="147"/>
      <c r="I99" s="147"/>
      <c r="J99" s="148"/>
    </row>
    <row r="100" spans="1:12" x14ac:dyDescent="0.35">
      <c r="A100" s="118" t="s">
        <v>47</v>
      </c>
      <c r="B100" s="119"/>
      <c r="C100" s="119"/>
      <c r="D100" s="119"/>
      <c r="E100" s="119"/>
      <c r="F100" s="119"/>
      <c r="G100" s="119"/>
      <c r="H100" s="119"/>
      <c r="I100" s="119"/>
      <c r="J100" s="120"/>
    </row>
    <row r="101" spans="1:12" ht="39" x14ac:dyDescent="0.35">
      <c r="A101" s="149" t="s">
        <v>185</v>
      </c>
      <c r="B101" s="150"/>
      <c r="C101" s="7" t="s">
        <v>30</v>
      </c>
      <c r="D101" s="169" t="s">
        <v>137</v>
      </c>
      <c r="E101" s="170"/>
      <c r="F101" s="14" t="s">
        <v>31</v>
      </c>
      <c r="G101" s="7" t="s">
        <v>101</v>
      </c>
      <c r="H101" s="7" t="s">
        <v>32</v>
      </c>
      <c r="I101" s="149" t="s">
        <v>110</v>
      </c>
      <c r="J101" s="150"/>
    </row>
    <row r="102" spans="1:12" ht="15" x14ac:dyDescent="0.35">
      <c r="A102" s="184" t="s">
        <v>184</v>
      </c>
      <c r="B102" s="185"/>
      <c r="C102" s="185"/>
      <c r="D102" s="185"/>
      <c r="E102" s="185"/>
      <c r="F102" s="185"/>
      <c r="G102" s="185"/>
      <c r="H102" s="185"/>
      <c r="I102" s="185"/>
      <c r="J102" s="186"/>
    </row>
    <row r="103" spans="1:12" ht="15" x14ac:dyDescent="0.35">
      <c r="A103" s="184" t="s">
        <v>251</v>
      </c>
      <c r="B103" s="185"/>
      <c r="C103" s="185"/>
      <c r="D103" s="185"/>
      <c r="E103" s="185"/>
      <c r="F103" s="185"/>
      <c r="G103" s="185"/>
      <c r="H103" s="185"/>
      <c r="I103" s="185"/>
      <c r="J103" s="186"/>
    </row>
    <row r="104" spans="1:12" ht="15.5" x14ac:dyDescent="0.35">
      <c r="A104" s="74">
        <v>1</v>
      </c>
      <c r="B104" s="75"/>
      <c r="C104" s="32" t="s">
        <v>186</v>
      </c>
      <c r="D104" s="74">
        <f>(4.275*7.06+2.62*3.5)*10.764</f>
        <v>423.57954599999999</v>
      </c>
      <c r="E104" s="75"/>
      <c r="F104" s="32">
        <v>0</v>
      </c>
      <c r="G104" s="32">
        <f>D104*1.6</f>
        <v>677.72727359999999</v>
      </c>
      <c r="H104" s="32" t="s">
        <v>149</v>
      </c>
      <c r="I104" s="59" t="s">
        <v>187</v>
      </c>
      <c r="J104" s="59"/>
      <c r="L104">
        <f>455*G104</f>
        <v>308365.90948799998</v>
      </c>
    </row>
    <row r="105" spans="1:12" ht="15.5" x14ac:dyDescent="0.35">
      <c r="A105" s="74">
        <v>2</v>
      </c>
      <c r="B105" s="75"/>
      <c r="C105" s="32" t="s">
        <v>186</v>
      </c>
      <c r="D105" s="74">
        <f>3.35*10.35*10.764</f>
        <v>373.21478999999999</v>
      </c>
      <c r="E105" s="75"/>
      <c r="F105" s="32">
        <v>0</v>
      </c>
      <c r="G105" s="32">
        <f t="shared" ref="G105:G129" si="0">D105*1.6</f>
        <v>597.14366400000006</v>
      </c>
      <c r="H105" s="32" t="s">
        <v>149</v>
      </c>
      <c r="I105" s="59" t="s">
        <v>187</v>
      </c>
      <c r="J105" s="59"/>
      <c r="L105">
        <f t="shared" ref="L105:L129" si="1">455*G105</f>
        <v>271700.36712000001</v>
      </c>
    </row>
    <row r="106" spans="1:12" ht="15.5" x14ac:dyDescent="0.35">
      <c r="A106" s="74">
        <v>3</v>
      </c>
      <c r="B106" s="75"/>
      <c r="C106" s="32" t="s">
        <v>186</v>
      </c>
      <c r="D106" s="74">
        <f t="shared" ref="D106:D121" si="2">3.35*10.35*10.764</f>
        <v>373.21478999999999</v>
      </c>
      <c r="E106" s="75"/>
      <c r="F106" s="32">
        <v>0</v>
      </c>
      <c r="G106" s="32">
        <f t="shared" si="0"/>
        <v>597.14366400000006</v>
      </c>
      <c r="H106" s="32" t="s">
        <v>149</v>
      </c>
      <c r="I106" s="59" t="s">
        <v>187</v>
      </c>
      <c r="J106" s="59"/>
      <c r="L106">
        <f t="shared" si="1"/>
        <v>271700.36712000001</v>
      </c>
    </row>
    <row r="107" spans="1:12" ht="15.5" x14ac:dyDescent="0.35">
      <c r="A107" s="74">
        <v>4</v>
      </c>
      <c r="B107" s="75"/>
      <c r="C107" s="32" t="s">
        <v>186</v>
      </c>
      <c r="D107" s="74">
        <f t="shared" si="2"/>
        <v>373.21478999999999</v>
      </c>
      <c r="E107" s="75"/>
      <c r="F107" s="32">
        <v>0</v>
      </c>
      <c r="G107" s="32">
        <f t="shared" si="0"/>
        <v>597.14366400000006</v>
      </c>
      <c r="H107" s="32" t="s">
        <v>149</v>
      </c>
      <c r="I107" s="59" t="s">
        <v>187</v>
      </c>
      <c r="J107" s="59"/>
      <c r="L107">
        <f t="shared" si="1"/>
        <v>271700.36712000001</v>
      </c>
    </row>
    <row r="108" spans="1:12" ht="15.5" x14ac:dyDescent="0.35">
      <c r="A108" s="74">
        <v>5</v>
      </c>
      <c r="B108" s="75"/>
      <c r="C108" s="32" t="s">
        <v>186</v>
      </c>
      <c r="D108" s="74">
        <f t="shared" si="2"/>
        <v>373.21478999999999</v>
      </c>
      <c r="E108" s="75"/>
      <c r="F108" s="32">
        <v>0</v>
      </c>
      <c r="G108" s="32">
        <f t="shared" si="0"/>
        <v>597.14366400000006</v>
      </c>
      <c r="H108" s="32" t="s">
        <v>149</v>
      </c>
      <c r="I108" s="59" t="s">
        <v>187</v>
      </c>
      <c r="J108" s="59"/>
      <c r="L108">
        <f t="shared" si="1"/>
        <v>271700.36712000001</v>
      </c>
    </row>
    <row r="109" spans="1:12" ht="15.5" x14ac:dyDescent="0.35">
      <c r="A109" s="74">
        <v>6</v>
      </c>
      <c r="B109" s="75"/>
      <c r="C109" s="32" t="s">
        <v>186</v>
      </c>
      <c r="D109" s="74">
        <f t="shared" si="2"/>
        <v>373.21478999999999</v>
      </c>
      <c r="E109" s="75"/>
      <c r="F109" s="32">
        <v>0</v>
      </c>
      <c r="G109" s="32">
        <f t="shared" si="0"/>
        <v>597.14366400000006</v>
      </c>
      <c r="H109" s="32" t="s">
        <v>149</v>
      </c>
      <c r="I109" s="59" t="s">
        <v>187</v>
      </c>
      <c r="J109" s="59"/>
      <c r="L109">
        <f t="shared" si="1"/>
        <v>271700.36712000001</v>
      </c>
    </row>
    <row r="110" spans="1:12" ht="15.5" x14ac:dyDescent="0.35">
      <c r="A110" s="74">
        <v>7</v>
      </c>
      <c r="B110" s="75"/>
      <c r="C110" s="32" t="s">
        <v>186</v>
      </c>
      <c r="D110" s="74">
        <f>(3.35*7.6+1*3)*10.764</f>
        <v>306.34343999999999</v>
      </c>
      <c r="E110" s="75"/>
      <c r="F110" s="32">
        <v>0</v>
      </c>
      <c r="G110" s="32">
        <f t="shared" si="0"/>
        <v>490.14950399999998</v>
      </c>
      <c r="H110" s="32" t="s">
        <v>149</v>
      </c>
      <c r="I110" s="59" t="s">
        <v>187</v>
      </c>
      <c r="J110" s="59"/>
      <c r="L110">
        <f t="shared" si="1"/>
        <v>223018.02432</v>
      </c>
    </row>
    <row r="111" spans="1:12" ht="15.5" x14ac:dyDescent="0.35">
      <c r="A111" s="74">
        <v>8</v>
      </c>
      <c r="B111" s="75"/>
      <c r="C111" s="32" t="s">
        <v>186</v>
      </c>
      <c r="D111" s="74">
        <f>(3.35*7.6+1*3)*10.764</f>
        <v>306.34343999999999</v>
      </c>
      <c r="E111" s="75"/>
      <c r="F111" s="32">
        <v>0</v>
      </c>
      <c r="G111" s="32">
        <f t="shared" si="0"/>
        <v>490.14950399999998</v>
      </c>
      <c r="H111" s="32" t="s">
        <v>149</v>
      </c>
      <c r="I111" s="59" t="s">
        <v>187</v>
      </c>
      <c r="J111" s="59"/>
      <c r="L111">
        <f t="shared" si="1"/>
        <v>223018.02432</v>
      </c>
    </row>
    <row r="112" spans="1:12" ht="15.5" x14ac:dyDescent="0.35">
      <c r="A112" s="74">
        <v>9</v>
      </c>
      <c r="B112" s="75"/>
      <c r="C112" s="32" t="s">
        <v>186</v>
      </c>
      <c r="D112" s="74">
        <f t="shared" si="2"/>
        <v>373.21478999999999</v>
      </c>
      <c r="E112" s="75"/>
      <c r="F112" s="32">
        <v>0</v>
      </c>
      <c r="G112" s="32">
        <f t="shared" si="0"/>
        <v>597.14366400000006</v>
      </c>
      <c r="H112" s="32" t="s">
        <v>149</v>
      </c>
      <c r="I112" s="59" t="s">
        <v>187</v>
      </c>
      <c r="J112" s="59"/>
      <c r="L112">
        <f t="shared" si="1"/>
        <v>271700.36712000001</v>
      </c>
    </row>
    <row r="113" spans="1:12" ht="15.5" x14ac:dyDescent="0.35">
      <c r="A113" s="74">
        <v>10</v>
      </c>
      <c r="B113" s="75"/>
      <c r="C113" s="32" t="s">
        <v>186</v>
      </c>
      <c r="D113" s="74">
        <f t="shared" si="2"/>
        <v>373.21478999999999</v>
      </c>
      <c r="E113" s="75"/>
      <c r="F113" s="32">
        <v>0</v>
      </c>
      <c r="G113" s="32">
        <f t="shared" si="0"/>
        <v>597.14366400000006</v>
      </c>
      <c r="H113" s="32" t="s">
        <v>149</v>
      </c>
      <c r="I113" s="59" t="s">
        <v>187</v>
      </c>
      <c r="J113" s="59"/>
      <c r="L113">
        <f t="shared" si="1"/>
        <v>271700.36712000001</v>
      </c>
    </row>
    <row r="114" spans="1:12" ht="15.5" x14ac:dyDescent="0.35">
      <c r="A114" s="74">
        <v>11</v>
      </c>
      <c r="B114" s="75"/>
      <c r="C114" s="32" t="s">
        <v>186</v>
      </c>
      <c r="D114" s="74">
        <f t="shared" si="2"/>
        <v>373.21478999999999</v>
      </c>
      <c r="E114" s="75"/>
      <c r="F114" s="32">
        <v>0</v>
      </c>
      <c r="G114" s="32">
        <f t="shared" si="0"/>
        <v>597.14366400000006</v>
      </c>
      <c r="H114" s="32" t="s">
        <v>149</v>
      </c>
      <c r="I114" s="59" t="s">
        <v>187</v>
      </c>
      <c r="J114" s="59"/>
      <c r="L114">
        <f t="shared" si="1"/>
        <v>271700.36712000001</v>
      </c>
    </row>
    <row r="115" spans="1:12" ht="15.5" x14ac:dyDescent="0.35">
      <c r="A115" s="74">
        <v>12</v>
      </c>
      <c r="B115" s="75"/>
      <c r="C115" s="32" t="s">
        <v>186</v>
      </c>
      <c r="D115" s="74">
        <f t="shared" si="2"/>
        <v>373.21478999999999</v>
      </c>
      <c r="E115" s="75"/>
      <c r="F115" s="32">
        <v>0</v>
      </c>
      <c r="G115" s="32">
        <f t="shared" si="0"/>
        <v>597.14366400000006</v>
      </c>
      <c r="H115" s="32" t="s">
        <v>149</v>
      </c>
      <c r="I115" s="59" t="s">
        <v>187</v>
      </c>
      <c r="J115" s="59"/>
      <c r="L115">
        <f t="shared" si="1"/>
        <v>271700.36712000001</v>
      </c>
    </row>
    <row r="116" spans="1:12" ht="15.5" x14ac:dyDescent="0.35">
      <c r="A116" s="74">
        <v>13</v>
      </c>
      <c r="B116" s="75"/>
      <c r="C116" s="32" t="s">
        <v>186</v>
      </c>
      <c r="D116" s="74">
        <f t="shared" si="2"/>
        <v>373.21478999999999</v>
      </c>
      <c r="E116" s="75"/>
      <c r="F116" s="32">
        <v>0</v>
      </c>
      <c r="G116" s="32">
        <f t="shared" si="0"/>
        <v>597.14366400000006</v>
      </c>
      <c r="H116" s="32" t="s">
        <v>149</v>
      </c>
      <c r="I116" s="59" t="s">
        <v>187</v>
      </c>
      <c r="J116" s="59"/>
      <c r="L116">
        <f t="shared" si="1"/>
        <v>271700.36712000001</v>
      </c>
    </row>
    <row r="117" spans="1:12" ht="15.5" x14ac:dyDescent="0.35">
      <c r="A117" s="74">
        <v>14</v>
      </c>
      <c r="B117" s="75"/>
      <c r="C117" s="32" t="s">
        <v>186</v>
      </c>
      <c r="D117" s="74">
        <f t="shared" si="2"/>
        <v>373.21478999999999</v>
      </c>
      <c r="E117" s="75"/>
      <c r="F117" s="32">
        <v>0</v>
      </c>
      <c r="G117" s="32">
        <f t="shared" si="0"/>
        <v>597.14366400000006</v>
      </c>
      <c r="H117" s="32" t="s">
        <v>149</v>
      </c>
      <c r="I117" s="59" t="s">
        <v>187</v>
      </c>
      <c r="J117" s="59"/>
      <c r="L117">
        <f t="shared" si="1"/>
        <v>271700.36712000001</v>
      </c>
    </row>
    <row r="118" spans="1:12" ht="15.5" x14ac:dyDescent="0.35">
      <c r="A118" s="74">
        <v>15</v>
      </c>
      <c r="B118" s="75"/>
      <c r="C118" s="32" t="s">
        <v>186</v>
      </c>
      <c r="D118" s="74">
        <f t="shared" si="2"/>
        <v>373.21478999999999</v>
      </c>
      <c r="E118" s="75"/>
      <c r="F118" s="32">
        <v>0</v>
      </c>
      <c r="G118" s="32">
        <f t="shared" si="0"/>
        <v>597.14366400000006</v>
      </c>
      <c r="H118" s="32" t="s">
        <v>149</v>
      </c>
      <c r="I118" s="59" t="s">
        <v>187</v>
      </c>
      <c r="J118" s="59"/>
      <c r="L118">
        <f t="shared" si="1"/>
        <v>271700.36712000001</v>
      </c>
    </row>
    <row r="119" spans="1:12" ht="15.5" x14ac:dyDescent="0.35">
      <c r="A119" s="74">
        <v>16</v>
      </c>
      <c r="B119" s="75"/>
      <c r="C119" s="32" t="s">
        <v>186</v>
      </c>
      <c r="D119" s="74">
        <f t="shared" si="2"/>
        <v>373.21478999999999</v>
      </c>
      <c r="E119" s="75"/>
      <c r="F119" s="32">
        <v>0</v>
      </c>
      <c r="G119" s="32">
        <f t="shared" si="0"/>
        <v>597.14366400000006</v>
      </c>
      <c r="H119" s="32" t="s">
        <v>149</v>
      </c>
      <c r="I119" s="59" t="s">
        <v>187</v>
      </c>
      <c r="J119" s="59"/>
      <c r="L119">
        <f t="shared" si="1"/>
        <v>271700.36712000001</v>
      </c>
    </row>
    <row r="120" spans="1:12" ht="15.5" x14ac:dyDescent="0.35">
      <c r="A120" s="74">
        <v>17</v>
      </c>
      <c r="B120" s="75"/>
      <c r="C120" s="32" t="s">
        <v>186</v>
      </c>
      <c r="D120" s="74">
        <f t="shared" si="2"/>
        <v>373.21478999999999</v>
      </c>
      <c r="E120" s="75"/>
      <c r="F120" s="32">
        <v>0</v>
      </c>
      <c r="G120" s="32">
        <f t="shared" si="0"/>
        <v>597.14366400000006</v>
      </c>
      <c r="H120" s="32" t="s">
        <v>149</v>
      </c>
      <c r="I120" s="59" t="s">
        <v>187</v>
      </c>
      <c r="J120" s="59"/>
      <c r="L120">
        <f t="shared" si="1"/>
        <v>271700.36712000001</v>
      </c>
    </row>
    <row r="121" spans="1:12" ht="15.5" x14ac:dyDescent="0.35">
      <c r="A121" s="74">
        <v>18</v>
      </c>
      <c r="B121" s="75"/>
      <c r="C121" s="32" t="s">
        <v>186</v>
      </c>
      <c r="D121" s="74">
        <f t="shared" si="2"/>
        <v>373.21478999999999</v>
      </c>
      <c r="E121" s="75"/>
      <c r="F121" s="32">
        <v>0</v>
      </c>
      <c r="G121" s="32">
        <f t="shared" si="0"/>
        <v>597.14366400000006</v>
      </c>
      <c r="H121" s="32" t="s">
        <v>149</v>
      </c>
      <c r="I121" s="59" t="s">
        <v>187</v>
      </c>
      <c r="J121" s="59"/>
      <c r="L121">
        <f t="shared" si="1"/>
        <v>271700.36712000001</v>
      </c>
    </row>
    <row r="122" spans="1:12" ht="15.5" x14ac:dyDescent="0.35">
      <c r="A122" s="74">
        <v>19</v>
      </c>
      <c r="B122" s="75"/>
      <c r="C122" s="32" t="s">
        <v>186</v>
      </c>
      <c r="D122" s="74">
        <f>(3.35*7.6+1*3)*10.764</f>
        <v>306.34343999999999</v>
      </c>
      <c r="E122" s="75"/>
      <c r="F122" s="32">
        <v>0</v>
      </c>
      <c r="G122" s="32">
        <f t="shared" si="0"/>
        <v>490.14950399999998</v>
      </c>
      <c r="H122" s="32" t="s">
        <v>149</v>
      </c>
      <c r="I122" s="59" t="s">
        <v>187</v>
      </c>
      <c r="J122" s="59"/>
      <c r="L122">
        <f t="shared" si="1"/>
        <v>223018.02432</v>
      </c>
    </row>
    <row r="123" spans="1:12" ht="15.5" x14ac:dyDescent="0.35">
      <c r="A123" s="74">
        <v>20</v>
      </c>
      <c r="B123" s="75"/>
      <c r="C123" s="32" t="s">
        <v>186</v>
      </c>
      <c r="D123" s="74">
        <f>(3.35*7.6+1*3)*10.764</f>
        <v>306.34343999999999</v>
      </c>
      <c r="E123" s="75"/>
      <c r="F123" s="32">
        <v>0</v>
      </c>
      <c r="G123" s="32">
        <f t="shared" si="0"/>
        <v>490.14950399999998</v>
      </c>
      <c r="H123" s="32" t="s">
        <v>149</v>
      </c>
      <c r="I123" s="59" t="s">
        <v>187</v>
      </c>
      <c r="J123" s="59"/>
      <c r="L123">
        <f t="shared" si="1"/>
        <v>223018.02432</v>
      </c>
    </row>
    <row r="124" spans="1:12" ht="15.5" x14ac:dyDescent="0.35">
      <c r="A124" s="74">
        <v>21</v>
      </c>
      <c r="B124" s="75"/>
      <c r="C124" s="32" t="s">
        <v>186</v>
      </c>
      <c r="D124" s="74">
        <f t="shared" ref="D124:D128" si="3">3.35*10.35*10.764</f>
        <v>373.21478999999999</v>
      </c>
      <c r="E124" s="75"/>
      <c r="F124" s="32">
        <v>0</v>
      </c>
      <c r="G124" s="32">
        <f t="shared" si="0"/>
        <v>597.14366400000006</v>
      </c>
      <c r="H124" s="32" t="s">
        <v>149</v>
      </c>
      <c r="I124" s="59" t="s">
        <v>187</v>
      </c>
      <c r="J124" s="59"/>
      <c r="L124">
        <f t="shared" si="1"/>
        <v>271700.36712000001</v>
      </c>
    </row>
    <row r="125" spans="1:12" ht="15.5" x14ac:dyDescent="0.35">
      <c r="A125" s="74">
        <v>22</v>
      </c>
      <c r="B125" s="75"/>
      <c r="C125" s="32" t="s">
        <v>186</v>
      </c>
      <c r="D125" s="74">
        <f t="shared" si="3"/>
        <v>373.21478999999999</v>
      </c>
      <c r="E125" s="75"/>
      <c r="F125" s="32">
        <v>0</v>
      </c>
      <c r="G125" s="32">
        <f t="shared" si="0"/>
        <v>597.14366400000006</v>
      </c>
      <c r="H125" s="32" t="s">
        <v>149</v>
      </c>
      <c r="I125" s="59" t="s">
        <v>187</v>
      </c>
      <c r="J125" s="59"/>
      <c r="L125">
        <f t="shared" si="1"/>
        <v>271700.36712000001</v>
      </c>
    </row>
    <row r="126" spans="1:12" ht="15.5" x14ac:dyDescent="0.35">
      <c r="A126" s="74">
        <v>23</v>
      </c>
      <c r="B126" s="75"/>
      <c r="C126" s="32" t="s">
        <v>186</v>
      </c>
      <c r="D126" s="74">
        <f t="shared" si="3"/>
        <v>373.21478999999999</v>
      </c>
      <c r="E126" s="75"/>
      <c r="F126" s="32">
        <v>0</v>
      </c>
      <c r="G126" s="32">
        <f t="shared" si="0"/>
        <v>597.14366400000006</v>
      </c>
      <c r="H126" s="32" t="s">
        <v>149</v>
      </c>
      <c r="I126" s="59" t="s">
        <v>187</v>
      </c>
      <c r="J126" s="59"/>
      <c r="L126">
        <f t="shared" si="1"/>
        <v>271700.36712000001</v>
      </c>
    </row>
    <row r="127" spans="1:12" ht="15.5" x14ac:dyDescent="0.35">
      <c r="A127" s="74">
        <v>24</v>
      </c>
      <c r="B127" s="75"/>
      <c r="C127" s="32" t="s">
        <v>186</v>
      </c>
      <c r="D127" s="74">
        <f t="shared" si="3"/>
        <v>373.21478999999999</v>
      </c>
      <c r="E127" s="75"/>
      <c r="F127" s="32">
        <v>0</v>
      </c>
      <c r="G127" s="32">
        <f t="shared" si="0"/>
        <v>597.14366400000006</v>
      </c>
      <c r="H127" s="32" t="s">
        <v>149</v>
      </c>
      <c r="I127" s="59" t="s">
        <v>187</v>
      </c>
      <c r="J127" s="59"/>
      <c r="L127">
        <f t="shared" si="1"/>
        <v>271700.36712000001</v>
      </c>
    </row>
    <row r="128" spans="1:12" ht="15.5" x14ac:dyDescent="0.35">
      <c r="A128" s="74">
        <v>25</v>
      </c>
      <c r="B128" s="75"/>
      <c r="C128" s="32" t="s">
        <v>186</v>
      </c>
      <c r="D128" s="74">
        <f t="shared" si="3"/>
        <v>373.21478999999999</v>
      </c>
      <c r="E128" s="75"/>
      <c r="F128" s="32">
        <v>0</v>
      </c>
      <c r="G128" s="32">
        <f t="shared" si="0"/>
        <v>597.14366400000006</v>
      </c>
      <c r="H128" s="32" t="s">
        <v>149</v>
      </c>
      <c r="I128" s="59" t="s">
        <v>187</v>
      </c>
      <c r="J128" s="59"/>
      <c r="L128">
        <f t="shared" si="1"/>
        <v>271700.36712000001</v>
      </c>
    </row>
    <row r="129" spans="1:12" ht="15.5" x14ac:dyDescent="0.35">
      <c r="A129" s="74">
        <v>26</v>
      </c>
      <c r="B129" s="75"/>
      <c r="C129" s="32" t="s">
        <v>186</v>
      </c>
      <c r="D129" s="74">
        <f>3.35*13.635*10.764</f>
        <v>491.66991899999999</v>
      </c>
      <c r="E129" s="75"/>
      <c r="F129" s="32">
        <v>0</v>
      </c>
      <c r="G129" s="32">
        <f t="shared" si="0"/>
        <v>786.67187039999999</v>
      </c>
      <c r="H129" s="32" t="s">
        <v>149</v>
      </c>
      <c r="I129" s="59" t="s">
        <v>187</v>
      </c>
      <c r="J129" s="59"/>
      <c r="L129">
        <f t="shared" si="1"/>
        <v>357935.70103200001</v>
      </c>
    </row>
    <row r="130" spans="1:12" ht="15" x14ac:dyDescent="0.35">
      <c r="A130" s="166" t="s">
        <v>183</v>
      </c>
      <c r="B130" s="167"/>
      <c r="C130" s="167"/>
      <c r="D130" s="167"/>
      <c r="E130" s="167"/>
      <c r="F130" s="167"/>
      <c r="G130" s="167"/>
      <c r="H130" s="167"/>
      <c r="I130" s="167"/>
      <c r="J130" s="168"/>
    </row>
    <row r="131" spans="1:12" ht="15.5" x14ac:dyDescent="0.35">
      <c r="A131" s="74">
        <v>1</v>
      </c>
      <c r="B131" s="75"/>
      <c r="C131" s="13" t="s">
        <v>186</v>
      </c>
      <c r="D131" s="74">
        <f>(4.27*7+2.52*5.55)*10.764</f>
        <v>472.28126399999996</v>
      </c>
      <c r="E131" s="75"/>
      <c r="F131" s="13">
        <v>0</v>
      </c>
      <c r="G131" s="13">
        <f>D131*1.6</f>
        <v>755.65002240000001</v>
      </c>
      <c r="H131" s="13" t="s">
        <v>149</v>
      </c>
      <c r="I131" s="59" t="s">
        <v>187</v>
      </c>
      <c r="J131" s="59"/>
      <c r="L131">
        <f>455*G131</f>
        <v>343820.76019200002</v>
      </c>
    </row>
    <row r="132" spans="1:12" ht="15.5" x14ac:dyDescent="0.35">
      <c r="A132" s="74">
        <v>2</v>
      </c>
      <c r="B132" s="75"/>
      <c r="C132" s="13" t="s">
        <v>186</v>
      </c>
      <c r="D132" s="74">
        <f>3.35*12.65*10.764</f>
        <v>456.15141</v>
      </c>
      <c r="E132" s="75"/>
      <c r="F132" s="13">
        <v>0</v>
      </c>
      <c r="G132" s="13">
        <f t="shared" ref="G132:G156" si="4">D132*1.6</f>
        <v>729.84225600000002</v>
      </c>
      <c r="H132" s="13" t="s">
        <v>149</v>
      </c>
      <c r="I132" s="59" t="s">
        <v>187</v>
      </c>
      <c r="J132" s="59"/>
      <c r="L132">
        <f t="shared" ref="L132:L195" si="5">455*G132</f>
        <v>332078.22648000001</v>
      </c>
    </row>
    <row r="133" spans="1:12" ht="15.5" x14ac:dyDescent="0.35">
      <c r="A133" s="74">
        <v>3</v>
      </c>
      <c r="B133" s="75"/>
      <c r="C133" s="13" t="s">
        <v>186</v>
      </c>
      <c r="D133" s="74">
        <f>3.35*12.65*10.764</f>
        <v>456.15141</v>
      </c>
      <c r="E133" s="75"/>
      <c r="F133" s="13">
        <v>0</v>
      </c>
      <c r="G133" s="13">
        <f t="shared" si="4"/>
        <v>729.84225600000002</v>
      </c>
      <c r="H133" s="13" t="s">
        <v>149</v>
      </c>
      <c r="I133" s="59" t="s">
        <v>187</v>
      </c>
      <c r="J133" s="59"/>
      <c r="L133">
        <f t="shared" si="5"/>
        <v>332078.22648000001</v>
      </c>
    </row>
    <row r="134" spans="1:12" ht="15.5" x14ac:dyDescent="0.35">
      <c r="A134" s="74">
        <v>4</v>
      </c>
      <c r="B134" s="75"/>
      <c r="C134" s="13" t="s">
        <v>186</v>
      </c>
      <c r="D134" s="74">
        <f>3.35*12.65*10.764</f>
        <v>456.15141</v>
      </c>
      <c r="E134" s="75"/>
      <c r="F134" s="13">
        <v>0</v>
      </c>
      <c r="G134" s="13">
        <f t="shared" si="4"/>
        <v>729.84225600000002</v>
      </c>
      <c r="H134" s="13" t="s">
        <v>149</v>
      </c>
      <c r="I134" s="59" t="s">
        <v>187</v>
      </c>
      <c r="J134" s="59"/>
      <c r="L134">
        <f t="shared" si="5"/>
        <v>332078.22648000001</v>
      </c>
    </row>
    <row r="135" spans="1:12" ht="15.5" x14ac:dyDescent="0.35">
      <c r="A135" s="74">
        <v>5</v>
      </c>
      <c r="B135" s="75"/>
      <c r="C135" s="13" t="s">
        <v>186</v>
      </c>
      <c r="D135" s="74">
        <f>3.35*12.65*10.764</f>
        <v>456.15141</v>
      </c>
      <c r="E135" s="75"/>
      <c r="F135" s="13">
        <v>0</v>
      </c>
      <c r="G135" s="13">
        <f t="shared" si="4"/>
        <v>729.84225600000002</v>
      </c>
      <c r="H135" s="13" t="s">
        <v>149</v>
      </c>
      <c r="I135" s="59" t="s">
        <v>187</v>
      </c>
      <c r="J135" s="59"/>
      <c r="L135">
        <f t="shared" si="5"/>
        <v>332078.22648000001</v>
      </c>
    </row>
    <row r="136" spans="1:12" ht="15.5" x14ac:dyDescent="0.35">
      <c r="A136" s="74">
        <v>6</v>
      </c>
      <c r="B136" s="75"/>
      <c r="C136" s="13" t="s">
        <v>186</v>
      </c>
      <c r="D136" s="74">
        <f>3.35*12.65*10.764</f>
        <v>456.15141</v>
      </c>
      <c r="E136" s="75"/>
      <c r="F136" s="13">
        <v>0</v>
      </c>
      <c r="G136" s="13">
        <f t="shared" si="4"/>
        <v>729.84225600000002</v>
      </c>
      <c r="H136" s="13" t="s">
        <v>149</v>
      </c>
      <c r="I136" s="59" t="s">
        <v>187</v>
      </c>
      <c r="J136" s="59"/>
      <c r="L136">
        <f t="shared" si="5"/>
        <v>332078.22648000001</v>
      </c>
    </row>
    <row r="137" spans="1:12" ht="15.5" x14ac:dyDescent="0.35">
      <c r="A137" s="74">
        <v>7</v>
      </c>
      <c r="B137" s="75"/>
      <c r="C137" s="13" t="s">
        <v>186</v>
      </c>
      <c r="D137" s="74">
        <f>(3.35*7.75+1.258*12.65-7.75)*10.764</f>
        <v>367.33441680000004</v>
      </c>
      <c r="E137" s="75"/>
      <c r="F137" s="13">
        <v>0</v>
      </c>
      <c r="G137" s="13">
        <f t="shared" si="4"/>
        <v>587.73506688000009</v>
      </c>
      <c r="H137" s="13" t="s">
        <v>149</v>
      </c>
      <c r="I137" s="59" t="s">
        <v>187</v>
      </c>
      <c r="J137" s="59"/>
      <c r="L137">
        <f t="shared" si="5"/>
        <v>267419.45543040003</v>
      </c>
    </row>
    <row r="138" spans="1:12" ht="15.5" x14ac:dyDescent="0.35">
      <c r="A138" s="74">
        <v>8</v>
      </c>
      <c r="B138" s="75"/>
      <c r="C138" s="13" t="s">
        <v>186</v>
      </c>
      <c r="D138" s="74">
        <f>(3.35*7.75+1.258*12.65-7.75)*10.764</f>
        <v>367.33441680000004</v>
      </c>
      <c r="E138" s="75"/>
      <c r="F138" s="13">
        <v>0</v>
      </c>
      <c r="G138" s="13">
        <f t="shared" si="4"/>
        <v>587.73506688000009</v>
      </c>
      <c r="H138" s="13" t="s">
        <v>149</v>
      </c>
      <c r="I138" s="59" t="s">
        <v>187</v>
      </c>
      <c r="J138" s="59"/>
      <c r="L138">
        <f t="shared" si="5"/>
        <v>267419.45543040003</v>
      </c>
    </row>
    <row r="139" spans="1:12" ht="15.5" x14ac:dyDescent="0.35">
      <c r="A139" s="74">
        <v>9</v>
      </c>
      <c r="B139" s="75"/>
      <c r="C139" s="13" t="s">
        <v>186</v>
      </c>
      <c r="D139" s="74">
        <f t="shared" ref="D139:D148" si="6">3.35*12.65*10.764</f>
        <v>456.15141</v>
      </c>
      <c r="E139" s="75"/>
      <c r="F139" s="13">
        <v>0</v>
      </c>
      <c r="G139" s="13">
        <f t="shared" si="4"/>
        <v>729.84225600000002</v>
      </c>
      <c r="H139" s="13" t="s">
        <v>149</v>
      </c>
      <c r="I139" s="59" t="s">
        <v>187</v>
      </c>
      <c r="J139" s="59"/>
      <c r="L139">
        <f t="shared" si="5"/>
        <v>332078.22648000001</v>
      </c>
    </row>
    <row r="140" spans="1:12" ht="15.5" x14ac:dyDescent="0.35">
      <c r="A140" s="74">
        <v>10</v>
      </c>
      <c r="B140" s="75"/>
      <c r="C140" s="13" t="s">
        <v>186</v>
      </c>
      <c r="D140" s="74">
        <f t="shared" si="6"/>
        <v>456.15141</v>
      </c>
      <c r="E140" s="75"/>
      <c r="F140" s="13">
        <v>0</v>
      </c>
      <c r="G140" s="13">
        <f t="shared" si="4"/>
        <v>729.84225600000002</v>
      </c>
      <c r="H140" s="13" t="s">
        <v>149</v>
      </c>
      <c r="I140" s="59" t="s">
        <v>187</v>
      </c>
      <c r="J140" s="59"/>
      <c r="L140">
        <f t="shared" si="5"/>
        <v>332078.22648000001</v>
      </c>
    </row>
    <row r="141" spans="1:12" ht="15.5" x14ac:dyDescent="0.35">
      <c r="A141" s="74">
        <v>11</v>
      </c>
      <c r="B141" s="75"/>
      <c r="C141" s="13" t="s">
        <v>186</v>
      </c>
      <c r="D141" s="74">
        <f t="shared" si="6"/>
        <v>456.15141</v>
      </c>
      <c r="E141" s="75"/>
      <c r="F141" s="13">
        <v>0</v>
      </c>
      <c r="G141" s="13">
        <f t="shared" si="4"/>
        <v>729.84225600000002</v>
      </c>
      <c r="H141" s="13" t="s">
        <v>149</v>
      </c>
      <c r="I141" s="59" t="s">
        <v>187</v>
      </c>
      <c r="J141" s="59"/>
      <c r="L141">
        <f t="shared" si="5"/>
        <v>332078.22648000001</v>
      </c>
    </row>
    <row r="142" spans="1:12" ht="15.5" x14ac:dyDescent="0.35">
      <c r="A142" s="74">
        <v>12</v>
      </c>
      <c r="B142" s="75"/>
      <c r="C142" s="13" t="s">
        <v>186</v>
      </c>
      <c r="D142" s="74">
        <f t="shared" si="6"/>
        <v>456.15141</v>
      </c>
      <c r="E142" s="75"/>
      <c r="F142" s="13">
        <v>0</v>
      </c>
      <c r="G142" s="13">
        <f t="shared" si="4"/>
        <v>729.84225600000002</v>
      </c>
      <c r="H142" s="13" t="s">
        <v>149</v>
      </c>
      <c r="I142" s="59" t="s">
        <v>187</v>
      </c>
      <c r="J142" s="59"/>
      <c r="L142">
        <f t="shared" si="5"/>
        <v>332078.22648000001</v>
      </c>
    </row>
    <row r="143" spans="1:12" ht="15.5" x14ac:dyDescent="0.35">
      <c r="A143" s="74">
        <v>13</v>
      </c>
      <c r="B143" s="75"/>
      <c r="C143" s="13" t="s">
        <v>186</v>
      </c>
      <c r="D143" s="74">
        <f t="shared" si="6"/>
        <v>456.15141</v>
      </c>
      <c r="E143" s="75"/>
      <c r="F143" s="13">
        <v>0</v>
      </c>
      <c r="G143" s="13">
        <f t="shared" si="4"/>
        <v>729.84225600000002</v>
      </c>
      <c r="H143" s="13" t="s">
        <v>149</v>
      </c>
      <c r="I143" s="59" t="s">
        <v>187</v>
      </c>
      <c r="J143" s="59"/>
      <c r="L143">
        <f t="shared" si="5"/>
        <v>332078.22648000001</v>
      </c>
    </row>
    <row r="144" spans="1:12" ht="15.5" x14ac:dyDescent="0.35">
      <c r="A144" s="74">
        <v>14</v>
      </c>
      <c r="B144" s="75"/>
      <c r="C144" s="13" t="s">
        <v>186</v>
      </c>
      <c r="D144" s="74">
        <f t="shared" si="6"/>
        <v>456.15141</v>
      </c>
      <c r="E144" s="75"/>
      <c r="F144" s="13">
        <v>0</v>
      </c>
      <c r="G144" s="13">
        <f t="shared" si="4"/>
        <v>729.84225600000002</v>
      </c>
      <c r="H144" s="13" t="s">
        <v>149</v>
      </c>
      <c r="I144" s="59" t="s">
        <v>187</v>
      </c>
      <c r="J144" s="59"/>
      <c r="L144">
        <f t="shared" si="5"/>
        <v>332078.22648000001</v>
      </c>
    </row>
    <row r="145" spans="1:12" ht="15.5" x14ac:dyDescent="0.35">
      <c r="A145" s="74">
        <v>15</v>
      </c>
      <c r="B145" s="75"/>
      <c r="C145" s="13" t="s">
        <v>186</v>
      </c>
      <c r="D145" s="74">
        <f t="shared" si="6"/>
        <v>456.15141</v>
      </c>
      <c r="E145" s="75"/>
      <c r="F145" s="13">
        <v>0</v>
      </c>
      <c r="G145" s="13">
        <f t="shared" si="4"/>
        <v>729.84225600000002</v>
      </c>
      <c r="H145" s="13" t="s">
        <v>149</v>
      </c>
      <c r="I145" s="59" t="s">
        <v>187</v>
      </c>
      <c r="J145" s="59"/>
      <c r="L145">
        <f t="shared" si="5"/>
        <v>332078.22648000001</v>
      </c>
    </row>
    <row r="146" spans="1:12" ht="15.5" x14ac:dyDescent="0.35">
      <c r="A146" s="74">
        <v>16</v>
      </c>
      <c r="B146" s="75"/>
      <c r="C146" s="13" t="s">
        <v>186</v>
      </c>
      <c r="D146" s="74">
        <f t="shared" si="6"/>
        <v>456.15141</v>
      </c>
      <c r="E146" s="75"/>
      <c r="F146" s="13">
        <v>0</v>
      </c>
      <c r="G146" s="13">
        <f t="shared" si="4"/>
        <v>729.84225600000002</v>
      </c>
      <c r="H146" s="13" t="s">
        <v>149</v>
      </c>
      <c r="I146" s="59" t="s">
        <v>187</v>
      </c>
      <c r="J146" s="59"/>
      <c r="L146">
        <f t="shared" si="5"/>
        <v>332078.22648000001</v>
      </c>
    </row>
    <row r="147" spans="1:12" ht="15.5" x14ac:dyDescent="0.35">
      <c r="A147" s="74">
        <v>17</v>
      </c>
      <c r="B147" s="75"/>
      <c r="C147" s="13" t="s">
        <v>186</v>
      </c>
      <c r="D147" s="74">
        <f t="shared" si="6"/>
        <v>456.15141</v>
      </c>
      <c r="E147" s="75"/>
      <c r="F147" s="13">
        <v>0</v>
      </c>
      <c r="G147" s="13">
        <f t="shared" si="4"/>
        <v>729.84225600000002</v>
      </c>
      <c r="H147" s="13" t="s">
        <v>149</v>
      </c>
      <c r="I147" s="59" t="s">
        <v>187</v>
      </c>
      <c r="J147" s="59"/>
      <c r="L147">
        <f t="shared" si="5"/>
        <v>332078.22648000001</v>
      </c>
    </row>
    <row r="148" spans="1:12" ht="15.5" x14ac:dyDescent="0.35">
      <c r="A148" s="74">
        <v>18</v>
      </c>
      <c r="B148" s="75"/>
      <c r="C148" s="13" t="s">
        <v>186</v>
      </c>
      <c r="D148" s="74">
        <f t="shared" si="6"/>
        <v>456.15141</v>
      </c>
      <c r="E148" s="75"/>
      <c r="F148" s="13">
        <v>0</v>
      </c>
      <c r="G148" s="13">
        <f t="shared" si="4"/>
        <v>729.84225600000002</v>
      </c>
      <c r="H148" s="13" t="s">
        <v>149</v>
      </c>
      <c r="I148" s="59" t="s">
        <v>187</v>
      </c>
      <c r="J148" s="59"/>
      <c r="L148">
        <f t="shared" si="5"/>
        <v>332078.22648000001</v>
      </c>
    </row>
    <row r="149" spans="1:12" ht="15.5" x14ac:dyDescent="0.35">
      <c r="A149" s="74">
        <v>19</v>
      </c>
      <c r="B149" s="75"/>
      <c r="C149" s="13" t="s">
        <v>186</v>
      </c>
      <c r="D149" s="74">
        <f>(3.35*7.75+1.258*12.65-7.75)*10.764</f>
        <v>367.33441680000004</v>
      </c>
      <c r="E149" s="75"/>
      <c r="F149" s="13">
        <v>0</v>
      </c>
      <c r="G149" s="13">
        <f t="shared" si="4"/>
        <v>587.73506688000009</v>
      </c>
      <c r="H149" s="13" t="s">
        <v>149</v>
      </c>
      <c r="I149" s="59" t="s">
        <v>187</v>
      </c>
      <c r="J149" s="59"/>
      <c r="L149">
        <f t="shared" si="5"/>
        <v>267419.45543040003</v>
      </c>
    </row>
    <row r="150" spans="1:12" ht="15.5" x14ac:dyDescent="0.35">
      <c r="A150" s="74">
        <v>20</v>
      </c>
      <c r="B150" s="75"/>
      <c r="C150" s="13" t="s">
        <v>186</v>
      </c>
      <c r="D150" s="74">
        <f>(3.35*7.75+1.258*12.65-7.75)*10.764</f>
        <v>367.33441680000004</v>
      </c>
      <c r="E150" s="75"/>
      <c r="F150" s="13">
        <v>0</v>
      </c>
      <c r="G150" s="13">
        <f t="shared" si="4"/>
        <v>587.73506688000009</v>
      </c>
      <c r="H150" s="13" t="s">
        <v>149</v>
      </c>
      <c r="I150" s="59" t="s">
        <v>187</v>
      </c>
      <c r="J150" s="59"/>
      <c r="L150">
        <f t="shared" si="5"/>
        <v>267419.45543040003</v>
      </c>
    </row>
    <row r="151" spans="1:12" ht="15.5" x14ac:dyDescent="0.35">
      <c r="A151" s="74">
        <v>21</v>
      </c>
      <c r="B151" s="75"/>
      <c r="C151" s="13" t="s">
        <v>186</v>
      </c>
      <c r="D151" s="74">
        <f>3.35*12.65*10.764</f>
        <v>456.15141</v>
      </c>
      <c r="E151" s="75"/>
      <c r="F151" s="13">
        <v>0</v>
      </c>
      <c r="G151" s="13">
        <f t="shared" si="4"/>
        <v>729.84225600000002</v>
      </c>
      <c r="H151" s="13" t="s">
        <v>149</v>
      </c>
      <c r="I151" s="59" t="s">
        <v>187</v>
      </c>
      <c r="J151" s="59"/>
      <c r="L151">
        <f t="shared" si="5"/>
        <v>332078.22648000001</v>
      </c>
    </row>
    <row r="152" spans="1:12" ht="15.5" x14ac:dyDescent="0.35">
      <c r="A152" s="74">
        <v>22</v>
      </c>
      <c r="B152" s="75"/>
      <c r="C152" s="13" t="s">
        <v>186</v>
      </c>
      <c r="D152" s="74">
        <f>3.35*12.65*10.764</f>
        <v>456.15141</v>
      </c>
      <c r="E152" s="75"/>
      <c r="F152" s="13">
        <v>0</v>
      </c>
      <c r="G152" s="13">
        <f t="shared" si="4"/>
        <v>729.84225600000002</v>
      </c>
      <c r="H152" s="13" t="s">
        <v>149</v>
      </c>
      <c r="I152" s="59" t="s">
        <v>187</v>
      </c>
      <c r="J152" s="59"/>
      <c r="L152">
        <f t="shared" si="5"/>
        <v>332078.22648000001</v>
      </c>
    </row>
    <row r="153" spans="1:12" ht="15.5" x14ac:dyDescent="0.35">
      <c r="A153" s="74">
        <v>23</v>
      </c>
      <c r="B153" s="75"/>
      <c r="C153" s="13" t="s">
        <v>186</v>
      </c>
      <c r="D153" s="74">
        <f>3.35*12.65*10.764</f>
        <v>456.15141</v>
      </c>
      <c r="E153" s="75"/>
      <c r="F153" s="13">
        <v>0</v>
      </c>
      <c r="G153" s="13">
        <f t="shared" si="4"/>
        <v>729.84225600000002</v>
      </c>
      <c r="H153" s="13" t="s">
        <v>149</v>
      </c>
      <c r="I153" s="59" t="s">
        <v>187</v>
      </c>
      <c r="J153" s="59"/>
      <c r="L153">
        <f t="shared" si="5"/>
        <v>332078.22648000001</v>
      </c>
    </row>
    <row r="154" spans="1:12" ht="15.5" x14ac:dyDescent="0.35">
      <c r="A154" s="74">
        <v>24</v>
      </c>
      <c r="B154" s="75"/>
      <c r="C154" s="13" t="s">
        <v>186</v>
      </c>
      <c r="D154" s="74">
        <f>3.35*12.65*10.764</f>
        <v>456.15141</v>
      </c>
      <c r="E154" s="75"/>
      <c r="F154" s="13">
        <v>0</v>
      </c>
      <c r="G154" s="13">
        <f t="shared" si="4"/>
        <v>729.84225600000002</v>
      </c>
      <c r="H154" s="13" t="s">
        <v>149</v>
      </c>
      <c r="I154" s="59" t="s">
        <v>187</v>
      </c>
      <c r="J154" s="59"/>
      <c r="L154">
        <f t="shared" si="5"/>
        <v>332078.22648000001</v>
      </c>
    </row>
    <row r="155" spans="1:12" ht="15.5" x14ac:dyDescent="0.35">
      <c r="A155" s="74">
        <v>25</v>
      </c>
      <c r="B155" s="75"/>
      <c r="C155" s="13" t="s">
        <v>186</v>
      </c>
      <c r="D155" s="74">
        <f>3.35*12.65*10.764</f>
        <v>456.15141</v>
      </c>
      <c r="E155" s="75"/>
      <c r="F155" s="13">
        <v>0</v>
      </c>
      <c r="G155" s="13">
        <f t="shared" si="4"/>
        <v>729.84225600000002</v>
      </c>
      <c r="H155" s="13" t="s">
        <v>149</v>
      </c>
      <c r="I155" s="59" t="s">
        <v>187</v>
      </c>
      <c r="J155" s="59"/>
      <c r="L155">
        <f t="shared" si="5"/>
        <v>332078.22648000001</v>
      </c>
    </row>
    <row r="156" spans="1:12" ht="15.5" x14ac:dyDescent="0.35">
      <c r="A156" s="74">
        <v>26</v>
      </c>
      <c r="B156" s="75"/>
      <c r="C156" s="13" t="s">
        <v>186</v>
      </c>
      <c r="D156" s="74">
        <f>(4.27*7+2.52*5.55)*10.764</f>
        <v>472.28126399999996</v>
      </c>
      <c r="E156" s="75"/>
      <c r="F156" s="13">
        <v>0</v>
      </c>
      <c r="G156" s="13">
        <f t="shared" si="4"/>
        <v>755.65002240000001</v>
      </c>
      <c r="H156" s="13" t="s">
        <v>149</v>
      </c>
      <c r="I156" s="59" t="s">
        <v>187</v>
      </c>
      <c r="J156" s="59"/>
      <c r="L156">
        <f t="shared" si="5"/>
        <v>343820.76019200002</v>
      </c>
    </row>
    <row r="157" spans="1:12" ht="15" x14ac:dyDescent="0.35">
      <c r="A157" s="184" t="s">
        <v>189</v>
      </c>
      <c r="B157" s="185"/>
      <c r="C157" s="185"/>
      <c r="D157" s="185"/>
      <c r="E157" s="185"/>
      <c r="F157" s="185"/>
      <c r="G157" s="185"/>
      <c r="H157" s="185"/>
      <c r="I157" s="185"/>
      <c r="J157" s="186"/>
      <c r="L157">
        <f t="shared" si="5"/>
        <v>0</v>
      </c>
    </row>
    <row r="158" spans="1:12" ht="15.5" x14ac:dyDescent="0.35">
      <c r="A158" s="74">
        <v>1</v>
      </c>
      <c r="B158" s="75"/>
      <c r="C158" s="13" t="s">
        <v>190</v>
      </c>
      <c r="D158" s="74">
        <f>4.27*9.168*10.764</f>
        <v>421.38218303999992</v>
      </c>
      <c r="E158" s="75"/>
      <c r="F158" s="13">
        <v>0</v>
      </c>
      <c r="G158" s="13">
        <f>D158*1.6</f>
        <v>674.21149286399987</v>
      </c>
      <c r="H158" s="13" t="s">
        <v>149</v>
      </c>
      <c r="I158" s="59" t="s">
        <v>191</v>
      </c>
      <c r="J158" s="59"/>
      <c r="L158">
        <f t="shared" si="5"/>
        <v>306766.22925311996</v>
      </c>
    </row>
    <row r="159" spans="1:12" ht="15.5" x14ac:dyDescent="0.35">
      <c r="A159" s="74">
        <v>2</v>
      </c>
      <c r="B159" s="75"/>
      <c r="C159" s="13" t="s">
        <v>190</v>
      </c>
      <c r="D159" s="74">
        <f>3.35*9.168*10.764</f>
        <v>330.59257919999993</v>
      </c>
      <c r="E159" s="75"/>
      <c r="F159" s="13">
        <v>0</v>
      </c>
      <c r="G159" s="13">
        <f t="shared" ref="G159:G183" si="7">D159*1.6</f>
        <v>528.94812671999989</v>
      </c>
      <c r="H159" s="13" t="s">
        <v>149</v>
      </c>
      <c r="I159" s="59" t="s">
        <v>191</v>
      </c>
      <c r="J159" s="59"/>
      <c r="L159">
        <f t="shared" si="5"/>
        <v>240671.39765759994</v>
      </c>
    </row>
    <row r="160" spans="1:12" ht="15.5" x14ac:dyDescent="0.35">
      <c r="A160" s="74">
        <v>3</v>
      </c>
      <c r="B160" s="75"/>
      <c r="C160" s="13" t="s">
        <v>190</v>
      </c>
      <c r="D160" s="74">
        <f t="shared" ref="D160:D182" si="8">3.35*9.168*10.764</f>
        <v>330.59257919999993</v>
      </c>
      <c r="E160" s="75"/>
      <c r="F160" s="13">
        <v>0</v>
      </c>
      <c r="G160" s="13">
        <f t="shared" si="7"/>
        <v>528.94812671999989</v>
      </c>
      <c r="H160" s="13" t="s">
        <v>149</v>
      </c>
      <c r="I160" s="59" t="s">
        <v>191</v>
      </c>
      <c r="J160" s="59"/>
      <c r="L160">
        <f t="shared" si="5"/>
        <v>240671.39765759994</v>
      </c>
    </row>
    <row r="161" spans="1:12" ht="15.5" x14ac:dyDescent="0.35">
      <c r="A161" s="74">
        <v>4</v>
      </c>
      <c r="B161" s="75"/>
      <c r="C161" s="13" t="s">
        <v>190</v>
      </c>
      <c r="D161" s="74">
        <f t="shared" si="8"/>
        <v>330.59257919999993</v>
      </c>
      <c r="E161" s="75"/>
      <c r="F161" s="13">
        <v>0</v>
      </c>
      <c r="G161" s="13">
        <f t="shared" si="7"/>
        <v>528.94812671999989</v>
      </c>
      <c r="H161" s="13" t="s">
        <v>149</v>
      </c>
      <c r="I161" s="59" t="s">
        <v>191</v>
      </c>
      <c r="J161" s="59"/>
      <c r="L161">
        <f t="shared" si="5"/>
        <v>240671.39765759994</v>
      </c>
    </row>
    <row r="162" spans="1:12" ht="15.5" x14ac:dyDescent="0.35">
      <c r="A162" s="74">
        <v>5</v>
      </c>
      <c r="B162" s="75"/>
      <c r="C162" s="13" t="s">
        <v>190</v>
      </c>
      <c r="D162" s="74">
        <f t="shared" si="8"/>
        <v>330.59257919999993</v>
      </c>
      <c r="E162" s="75"/>
      <c r="F162" s="13">
        <v>0</v>
      </c>
      <c r="G162" s="13">
        <f t="shared" si="7"/>
        <v>528.94812671999989</v>
      </c>
      <c r="H162" s="13" t="s">
        <v>149</v>
      </c>
      <c r="I162" s="59" t="s">
        <v>191</v>
      </c>
      <c r="J162" s="59"/>
      <c r="L162">
        <f t="shared" si="5"/>
        <v>240671.39765759994</v>
      </c>
    </row>
    <row r="163" spans="1:12" ht="15.5" x14ac:dyDescent="0.35">
      <c r="A163" s="74">
        <v>6</v>
      </c>
      <c r="B163" s="75"/>
      <c r="C163" s="13" t="s">
        <v>190</v>
      </c>
      <c r="D163" s="74">
        <f t="shared" si="8"/>
        <v>330.59257919999993</v>
      </c>
      <c r="E163" s="75"/>
      <c r="F163" s="13">
        <v>0</v>
      </c>
      <c r="G163" s="13">
        <f t="shared" si="7"/>
        <v>528.94812671999989</v>
      </c>
      <c r="H163" s="13" t="s">
        <v>149</v>
      </c>
      <c r="I163" s="59" t="s">
        <v>191</v>
      </c>
      <c r="J163" s="59"/>
      <c r="L163">
        <f t="shared" si="5"/>
        <v>240671.39765759994</v>
      </c>
    </row>
    <row r="164" spans="1:12" ht="15.5" x14ac:dyDescent="0.35">
      <c r="A164" s="74">
        <v>7</v>
      </c>
      <c r="B164" s="75"/>
      <c r="C164" s="13" t="s">
        <v>190</v>
      </c>
      <c r="D164" s="74">
        <f t="shared" si="8"/>
        <v>330.59257919999993</v>
      </c>
      <c r="E164" s="75"/>
      <c r="F164" s="13">
        <v>0</v>
      </c>
      <c r="G164" s="13">
        <f t="shared" si="7"/>
        <v>528.94812671999989</v>
      </c>
      <c r="H164" s="13" t="s">
        <v>149</v>
      </c>
      <c r="I164" s="59" t="s">
        <v>191</v>
      </c>
      <c r="J164" s="59"/>
      <c r="L164">
        <f t="shared" si="5"/>
        <v>240671.39765759994</v>
      </c>
    </row>
    <row r="165" spans="1:12" ht="15.5" x14ac:dyDescent="0.35">
      <c r="A165" s="74">
        <v>8</v>
      </c>
      <c r="B165" s="75"/>
      <c r="C165" s="13" t="s">
        <v>190</v>
      </c>
      <c r="D165" s="74">
        <f t="shared" si="8"/>
        <v>330.59257919999993</v>
      </c>
      <c r="E165" s="75"/>
      <c r="F165" s="13">
        <v>0</v>
      </c>
      <c r="G165" s="13">
        <f t="shared" si="7"/>
        <v>528.94812671999989</v>
      </c>
      <c r="H165" s="13" t="s">
        <v>149</v>
      </c>
      <c r="I165" s="59" t="s">
        <v>191</v>
      </c>
      <c r="J165" s="59"/>
      <c r="L165">
        <f t="shared" si="5"/>
        <v>240671.39765759994</v>
      </c>
    </row>
    <row r="166" spans="1:12" ht="15.5" x14ac:dyDescent="0.35">
      <c r="A166" s="74">
        <v>9</v>
      </c>
      <c r="B166" s="75"/>
      <c r="C166" s="13" t="s">
        <v>190</v>
      </c>
      <c r="D166" s="74">
        <f t="shared" si="8"/>
        <v>330.59257919999993</v>
      </c>
      <c r="E166" s="75"/>
      <c r="F166" s="13">
        <v>0</v>
      </c>
      <c r="G166" s="13">
        <f t="shared" si="7"/>
        <v>528.94812671999989</v>
      </c>
      <c r="H166" s="13" t="s">
        <v>149</v>
      </c>
      <c r="I166" s="59" t="s">
        <v>191</v>
      </c>
      <c r="J166" s="59"/>
      <c r="L166">
        <f t="shared" si="5"/>
        <v>240671.39765759994</v>
      </c>
    </row>
    <row r="167" spans="1:12" ht="15.5" x14ac:dyDescent="0.35">
      <c r="A167" s="74">
        <v>10</v>
      </c>
      <c r="B167" s="75"/>
      <c r="C167" s="13" t="s">
        <v>190</v>
      </c>
      <c r="D167" s="74">
        <f t="shared" si="8"/>
        <v>330.59257919999993</v>
      </c>
      <c r="E167" s="75"/>
      <c r="F167" s="13">
        <v>0</v>
      </c>
      <c r="G167" s="13">
        <f t="shared" si="7"/>
        <v>528.94812671999989</v>
      </c>
      <c r="H167" s="13" t="s">
        <v>149</v>
      </c>
      <c r="I167" s="59" t="s">
        <v>191</v>
      </c>
      <c r="J167" s="59"/>
      <c r="L167">
        <f t="shared" si="5"/>
        <v>240671.39765759994</v>
      </c>
    </row>
    <row r="168" spans="1:12" ht="15.5" x14ac:dyDescent="0.35">
      <c r="A168" s="74">
        <v>11</v>
      </c>
      <c r="B168" s="75"/>
      <c r="C168" s="13" t="s">
        <v>190</v>
      </c>
      <c r="D168" s="74">
        <f t="shared" si="8"/>
        <v>330.59257919999993</v>
      </c>
      <c r="E168" s="75"/>
      <c r="F168" s="13">
        <v>0</v>
      </c>
      <c r="G168" s="13">
        <f t="shared" si="7"/>
        <v>528.94812671999989</v>
      </c>
      <c r="H168" s="13" t="s">
        <v>149</v>
      </c>
      <c r="I168" s="59" t="s">
        <v>191</v>
      </c>
      <c r="J168" s="59"/>
      <c r="L168">
        <f t="shared" si="5"/>
        <v>240671.39765759994</v>
      </c>
    </row>
    <row r="169" spans="1:12" ht="15.5" x14ac:dyDescent="0.35">
      <c r="A169" s="74">
        <v>12</v>
      </c>
      <c r="B169" s="75"/>
      <c r="C169" s="13" t="s">
        <v>190</v>
      </c>
      <c r="D169" s="74">
        <f t="shared" si="8"/>
        <v>330.59257919999993</v>
      </c>
      <c r="E169" s="75"/>
      <c r="F169" s="13">
        <v>0</v>
      </c>
      <c r="G169" s="13">
        <f t="shared" si="7"/>
        <v>528.94812671999989</v>
      </c>
      <c r="H169" s="13" t="s">
        <v>149</v>
      </c>
      <c r="I169" s="59" t="s">
        <v>191</v>
      </c>
      <c r="J169" s="59"/>
      <c r="L169">
        <f t="shared" si="5"/>
        <v>240671.39765759994</v>
      </c>
    </row>
    <row r="170" spans="1:12" ht="15.5" x14ac:dyDescent="0.35">
      <c r="A170" s="74">
        <v>13</v>
      </c>
      <c r="B170" s="75"/>
      <c r="C170" s="13" t="s">
        <v>190</v>
      </c>
      <c r="D170" s="74">
        <f t="shared" si="8"/>
        <v>330.59257919999993</v>
      </c>
      <c r="E170" s="75"/>
      <c r="F170" s="13">
        <v>0</v>
      </c>
      <c r="G170" s="13">
        <f t="shared" si="7"/>
        <v>528.94812671999989</v>
      </c>
      <c r="H170" s="13" t="s">
        <v>149</v>
      </c>
      <c r="I170" s="59" t="s">
        <v>191</v>
      </c>
      <c r="J170" s="59"/>
      <c r="L170">
        <f t="shared" si="5"/>
        <v>240671.39765759994</v>
      </c>
    </row>
    <row r="171" spans="1:12" ht="15.5" x14ac:dyDescent="0.35">
      <c r="A171" s="74">
        <v>14</v>
      </c>
      <c r="B171" s="75"/>
      <c r="C171" s="13" t="s">
        <v>190</v>
      </c>
      <c r="D171" s="74">
        <f t="shared" si="8"/>
        <v>330.59257919999993</v>
      </c>
      <c r="E171" s="75"/>
      <c r="F171" s="13">
        <v>0</v>
      </c>
      <c r="G171" s="13">
        <f t="shared" si="7"/>
        <v>528.94812671999989</v>
      </c>
      <c r="H171" s="13" t="s">
        <v>149</v>
      </c>
      <c r="I171" s="59" t="s">
        <v>191</v>
      </c>
      <c r="J171" s="59"/>
      <c r="L171">
        <f t="shared" si="5"/>
        <v>240671.39765759994</v>
      </c>
    </row>
    <row r="172" spans="1:12" ht="15.5" x14ac:dyDescent="0.35">
      <c r="A172" s="74">
        <v>15</v>
      </c>
      <c r="B172" s="75"/>
      <c r="C172" s="13" t="s">
        <v>190</v>
      </c>
      <c r="D172" s="74">
        <f t="shared" si="8"/>
        <v>330.59257919999993</v>
      </c>
      <c r="E172" s="75"/>
      <c r="F172" s="13">
        <v>0</v>
      </c>
      <c r="G172" s="13">
        <f t="shared" si="7"/>
        <v>528.94812671999989</v>
      </c>
      <c r="H172" s="13" t="s">
        <v>149</v>
      </c>
      <c r="I172" s="59" t="s">
        <v>191</v>
      </c>
      <c r="J172" s="59"/>
      <c r="L172">
        <f t="shared" si="5"/>
        <v>240671.39765759994</v>
      </c>
    </row>
    <row r="173" spans="1:12" ht="15.5" x14ac:dyDescent="0.35">
      <c r="A173" s="74">
        <v>16</v>
      </c>
      <c r="B173" s="75"/>
      <c r="C173" s="13" t="s">
        <v>190</v>
      </c>
      <c r="D173" s="74">
        <f t="shared" si="8"/>
        <v>330.59257919999993</v>
      </c>
      <c r="E173" s="75"/>
      <c r="F173" s="13">
        <v>0</v>
      </c>
      <c r="G173" s="13">
        <f t="shared" si="7"/>
        <v>528.94812671999989</v>
      </c>
      <c r="H173" s="13" t="s">
        <v>149</v>
      </c>
      <c r="I173" s="59" t="s">
        <v>191</v>
      </c>
      <c r="J173" s="59"/>
      <c r="L173">
        <f t="shared" si="5"/>
        <v>240671.39765759994</v>
      </c>
    </row>
    <row r="174" spans="1:12" ht="15.5" x14ac:dyDescent="0.35">
      <c r="A174" s="74">
        <v>17</v>
      </c>
      <c r="B174" s="75"/>
      <c r="C174" s="13" t="s">
        <v>190</v>
      </c>
      <c r="D174" s="74">
        <f t="shared" si="8"/>
        <v>330.59257919999993</v>
      </c>
      <c r="E174" s="75"/>
      <c r="F174" s="13">
        <v>0</v>
      </c>
      <c r="G174" s="13">
        <f t="shared" si="7"/>
        <v>528.94812671999989</v>
      </c>
      <c r="H174" s="13" t="s">
        <v>149</v>
      </c>
      <c r="I174" s="59" t="s">
        <v>191</v>
      </c>
      <c r="J174" s="59"/>
      <c r="L174">
        <f t="shared" si="5"/>
        <v>240671.39765759994</v>
      </c>
    </row>
    <row r="175" spans="1:12" ht="15.5" x14ac:dyDescent="0.35">
      <c r="A175" s="74">
        <v>18</v>
      </c>
      <c r="B175" s="75"/>
      <c r="C175" s="13" t="s">
        <v>190</v>
      </c>
      <c r="D175" s="74">
        <f t="shared" si="8"/>
        <v>330.59257919999993</v>
      </c>
      <c r="E175" s="75"/>
      <c r="F175" s="13">
        <v>0</v>
      </c>
      <c r="G175" s="13">
        <f t="shared" si="7"/>
        <v>528.94812671999989</v>
      </c>
      <c r="H175" s="13" t="s">
        <v>149</v>
      </c>
      <c r="I175" s="59" t="s">
        <v>191</v>
      </c>
      <c r="J175" s="59"/>
      <c r="L175">
        <f t="shared" si="5"/>
        <v>240671.39765759994</v>
      </c>
    </row>
    <row r="176" spans="1:12" ht="15.5" x14ac:dyDescent="0.35">
      <c r="A176" s="74">
        <v>19</v>
      </c>
      <c r="B176" s="75"/>
      <c r="C176" s="13" t="s">
        <v>190</v>
      </c>
      <c r="D176" s="74">
        <f t="shared" si="8"/>
        <v>330.59257919999993</v>
      </c>
      <c r="E176" s="75"/>
      <c r="F176" s="13">
        <v>0</v>
      </c>
      <c r="G176" s="13">
        <f t="shared" si="7"/>
        <v>528.94812671999989</v>
      </c>
      <c r="H176" s="13" t="s">
        <v>149</v>
      </c>
      <c r="I176" s="59" t="s">
        <v>191</v>
      </c>
      <c r="J176" s="59"/>
      <c r="L176">
        <f t="shared" si="5"/>
        <v>240671.39765759994</v>
      </c>
    </row>
    <row r="177" spans="1:15" ht="15.5" x14ac:dyDescent="0.35">
      <c r="A177" s="74">
        <v>20</v>
      </c>
      <c r="B177" s="75"/>
      <c r="C177" s="13" t="s">
        <v>190</v>
      </c>
      <c r="D177" s="74">
        <f t="shared" si="8"/>
        <v>330.59257919999993</v>
      </c>
      <c r="E177" s="75"/>
      <c r="F177" s="13">
        <v>0</v>
      </c>
      <c r="G177" s="13">
        <f t="shared" si="7"/>
        <v>528.94812671999989</v>
      </c>
      <c r="H177" s="13" t="s">
        <v>149</v>
      </c>
      <c r="I177" s="59" t="s">
        <v>191</v>
      </c>
      <c r="J177" s="59"/>
      <c r="L177">
        <f t="shared" si="5"/>
        <v>240671.39765759994</v>
      </c>
    </row>
    <row r="178" spans="1:15" ht="15.5" x14ac:dyDescent="0.35">
      <c r="A178" s="74">
        <v>21</v>
      </c>
      <c r="B178" s="75"/>
      <c r="C178" s="13" t="s">
        <v>190</v>
      </c>
      <c r="D178" s="74">
        <f t="shared" si="8"/>
        <v>330.59257919999993</v>
      </c>
      <c r="E178" s="75"/>
      <c r="F178" s="13">
        <v>0</v>
      </c>
      <c r="G178" s="13">
        <f t="shared" si="7"/>
        <v>528.94812671999989</v>
      </c>
      <c r="H178" s="13" t="s">
        <v>149</v>
      </c>
      <c r="I178" s="59" t="s">
        <v>191</v>
      </c>
      <c r="J178" s="59"/>
      <c r="L178">
        <f t="shared" si="5"/>
        <v>240671.39765759994</v>
      </c>
    </row>
    <row r="179" spans="1:15" ht="15.5" x14ac:dyDescent="0.35">
      <c r="A179" s="74">
        <v>22</v>
      </c>
      <c r="B179" s="75"/>
      <c r="C179" s="13" t="s">
        <v>190</v>
      </c>
      <c r="D179" s="74">
        <f t="shared" si="8"/>
        <v>330.59257919999993</v>
      </c>
      <c r="E179" s="75"/>
      <c r="F179" s="13">
        <v>0</v>
      </c>
      <c r="G179" s="13">
        <f t="shared" si="7"/>
        <v>528.94812671999989</v>
      </c>
      <c r="H179" s="13" t="s">
        <v>149</v>
      </c>
      <c r="I179" s="59" t="s">
        <v>191</v>
      </c>
      <c r="J179" s="59"/>
      <c r="L179">
        <f t="shared" si="5"/>
        <v>240671.39765759994</v>
      </c>
    </row>
    <row r="180" spans="1:15" ht="15.5" x14ac:dyDescent="0.35">
      <c r="A180" s="74">
        <v>23</v>
      </c>
      <c r="B180" s="75"/>
      <c r="C180" s="13" t="s">
        <v>190</v>
      </c>
      <c r="D180" s="74">
        <f t="shared" si="8"/>
        <v>330.59257919999993</v>
      </c>
      <c r="E180" s="75"/>
      <c r="F180" s="13">
        <v>0</v>
      </c>
      <c r="G180" s="13">
        <f t="shared" si="7"/>
        <v>528.94812671999989</v>
      </c>
      <c r="H180" s="13" t="s">
        <v>149</v>
      </c>
      <c r="I180" s="59" t="s">
        <v>191</v>
      </c>
      <c r="J180" s="59"/>
      <c r="L180">
        <f t="shared" si="5"/>
        <v>240671.39765759994</v>
      </c>
    </row>
    <row r="181" spans="1:15" ht="15.5" x14ac:dyDescent="0.35">
      <c r="A181" s="74">
        <v>24</v>
      </c>
      <c r="B181" s="75"/>
      <c r="C181" s="13" t="s">
        <v>190</v>
      </c>
      <c r="D181" s="74">
        <f t="shared" si="8"/>
        <v>330.59257919999993</v>
      </c>
      <c r="E181" s="75"/>
      <c r="F181" s="13">
        <v>0</v>
      </c>
      <c r="G181" s="13">
        <f t="shared" si="7"/>
        <v>528.94812671999989</v>
      </c>
      <c r="H181" s="13" t="s">
        <v>149</v>
      </c>
      <c r="I181" s="59" t="s">
        <v>191</v>
      </c>
      <c r="J181" s="59"/>
      <c r="L181">
        <f t="shared" si="5"/>
        <v>240671.39765759994</v>
      </c>
    </row>
    <row r="182" spans="1:15" ht="15.5" x14ac:dyDescent="0.35">
      <c r="A182" s="74">
        <v>25</v>
      </c>
      <c r="B182" s="75"/>
      <c r="C182" s="13" t="s">
        <v>190</v>
      </c>
      <c r="D182" s="74">
        <f t="shared" si="8"/>
        <v>330.59257919999993</v>
      </c>
      <c r="E182" s="75"/>
      <c r="F182" s="13">
        <v>0</v>
      </c>
      <c r="G182" s="13">
        <f t="shared" si="7"/>
        <v>528.94812671999989</v>
      </c>
      <c r="H182" s="13" t="s">
        <v>149</v>
      </c>
      <c r="I182" s="59" t="s">
        <v>191</v>
      </c>
      <c r="J182" s="59"/>
      <c r="L182">
        <f t="shared" si="5"/>
        <v>240671.39765759994</v>
      </c>
    </row>
    <row r="183" spans="1:15" ht="15.5" x14ac:dyDescent="0.35">
      <c r="A183" s="74">
        <v>26</v>
      </c>
      <c r="B183" s="75"/>
      <c r="C183" s="13" t="s">
        <v>190</v>
      </c>
      <c r="D183" s="74">
        <f>4.27*9.168*10.764</f>
        <v>421.38218303999992</v>
      </c>
      <c r="E183" s="75"/>
      <c r="F183" s="13">
        <v>0</v>
      </c>
      <c r="G183" s="13">
        <f t="shared" si="7"/>
        <v>674.21149286399987</v>
      </c>
      <c r="H183" s="13" t="s">
        <v>149</v>
      </c>
      <c r="I183" s="59" t="s">
        <v>191</v>
      </c>
      <c r="J183" s="59"/>
      <c r="L183">
        <f t="shared" si="5"/>
        <v>306766.22925311996</v>
      </c>
    </row>
    <row r="184" spans="1:15" ht="15" x14ac:dyDescent="0.35">
      <c r="A184" s="58" t="s">
        <v>170</v>
      </c>
      <c r="B184" s="58"/>
      <c r="C184" s="58"/>
      <c r="D184" s="58"/>
      <c r="E184" s="58"/>
      <c r="F184" s="58"/>
      <c r="G184" s="58"/>
      <c r="H184" s="58"/>
      <c r="I184" s="58"/>
      <c r="J184" s="58"/>
      <c r="L184">
        <f t="shared" si="5"/>
        <v>0</v>
      </c>
    </row>
    <row r="185" spans="1:15" ht="15" x14ac:dyDescent="0.35">
      <c r="A185" s="58" t="s">
        <v>178</v>
      </c>
      <c r="B185" s="58"/>
      <c r="C185" s="58"/>
      <c r="D185" s="58"/>
      <c r="E185" s="58"/>
      <c r="F185" s="58"/>
      <c r="G185" s="58"/>
      <c r="H185" s="58"/>
      <c r="I185" s="58"/>
      <c r="J185" s="58"/>
      <c r="L185">
        <f t="shared" si="5"/>
        <v>0</v>
      </c>
    </row>
    <row r="186" spans="1:15" ht="15.5" x14ac:dyDescent="0.35">
      <c r="A186" s="59">
        <v>1</v>
      </c>
      <c r="B186" s="59"/>
      <c r="C186" s="13" t="s">
        <v>171</v>
      </c>
      <c r="D186" s="59">
        <f>(66.952+3*0.6*3+2.565*0.6+1.55*0.6+3.35*0.6+3.87*0.6)*10.764</f>
        <v>852.0028920000002</v>
      </c>
      <c r="E186" s="59"/>
      <c r="F186" s="13">
        <f>4.5*10.764</f>
        <v>48.437999999999995</v>
      </c>
      <c r="G186" s="13">
        <f>D186*1.55+F186</f>
        <v>1369.0424826000005</v>
      </c>
      <c r="H186" s="13" t="s">
        <v>149</v>
      </c>
      <c r="I186" s="59" t="str">
        <f>A185</f>
        <v>3rd, 5th, 7th, 9th, 11th, 13th, 15th &amp; 17th Floor</v>
      </c>
      <c r="J186" s="59"/>
      <c r="L186">
        <f t="shared" si="5"/>
        <v>622914.32958300028</v>
      </c>
    </row>
    <row r="187" spans="1:15" ht="15.5" x14ac:dyDescent="0.35">
      <c r="A187" s="59">
        <v>2</v>
      </c>
      <c r="B187" s="59"/>
      <c r="C187" s="13" t="s">
        <v>171</v>
      </c>
      <c r="D187" s="59">
        <f>(66.952+3*0.6*3+2.565*0.6+1.55*0.6+3.35*0.6+3.87*0.6)*10.764</f>
        <v>852.0028920000002</v>
      </c>
      <c r="E187" s="59"/>
      <c r="F187" s="13">
        <f>4.5*10.764</f>
        <v>48.437999999999995</v>
      </c>
      <c r="G187" s="51">
        <f>D187*1.55+F187</f>
        <v>1369.0424826000005</v>
      </c>
      <c r="H187" s="13" t="s">
        <v>149</v>
      </c>
      <c r="I187" s="59"/>
      <c r="J187" s="59"/>
      <c r="L187">
        <f t="shared" si="5"/>
        <v>622914.32958300028</v>
      </c>
    </row>
    <row r="188" spans="1:15" ht="19.5" customHeight="1" x14ac:dyDescent="0.35">
      <c r="A188" s="58" t="s">
        <v>163</v>
      </c>
      <c r="B188" s="58"/>
      <c r="C188" s="58"/>
      <c r="D188" s="58"/>
      <c r="E188" s="58"/>
      <c r="F188" s="58"/>
      <c r="G188" s="58"/>
      <c r="H188" s="58"/>
      <c r="I188" s="58"/>
      <c r="J188" s="58"/>
      <c r="L188">
        <f t="shared" si="5"/>
        <v>0</v>
      </c>
    </row>
    <row r="189" spans="1:15" ht="15.5" x14ac:dyDescent="0.35">
      <c r="A189" s="59">
        <v>1</v>
      </c>
      <c r="B189" s="59"/>
      <c r="C189" s="13" t="s">
        <v>171</v>
      </c>
      <c r="D189" s="59">
        <f>(66.952+3*0.6*3+2.565*0.6+1.55*0.6+3.35*0.6+3.87*0.6)*10.764</f>
        <v>852.0028920000002</v>
      </c>
      <c r="E189" s="59"/>
      <c r="F189" s="13">
        <f>4.5*10.764</f>
        <v>48.437999999999995</v>
      </c>
      <c r="G189" s="51">
        <f>D189*1.55+F189</f>
        <v>1369.0424826000005</v>
      </c>
      <c r="H189" s="13" t="s">
        <v>149</v>
      </c>
      <c r="I189" s="59" t="str">
        <f>A188</f>
        <v>4th, 6th, 8th, 10th, 12th, 14th, 16th Floor.</v>
      </c>
      <c r="J189" s="59"/>
      <c r="L189">
        <f t="shared" si="5"/>
        <v>622914.32958300028</v>
      </c>
      <c r="M189">
        <f>5.5*3.95+2.45*2.45+3.05*3.05+3.05*3.8+3.05*3.5+2.4*1.38*3+1.38+2.45+1.38*0.45+0.5</f>
        <v>74.181999999999988</v>
      </c>
      <c r="N189">
        <f>3*0.6*3+2.565*0.6+1.55*0.6</f>
        <v>7.8689999999999989</v>
      </c>
      <c r="O189">
        <f>M189-N189</f>
        <v>66.312999999999988</v>
      </c>
    </row>
    <row r="190" spans="1:15" ht="15.5" x14ac:dyDescent="0.35">
      <c r="A190" s="59">
        <v>2</v>
      </c>
      <c r="B190" s="59"/>
      <c r="C190" s="13" t="s">
        <v>171</v>
      </c>
      <c r="D190" s="59">
        <f t="shared" ref="D190" si="9">(66.952+3*0.6*3+2.565*0.6+1.55*0.6+3.35*0.6+3.87*0.6)*10.764</f>
        <v>852.0028920000002</v>
      </c>
      <c r="E190" s="59"/>
      <c r="F190" s="13">
        <f>4.5*10.764</f>
        <v>48.437999999999995</v>
      </c>
      <c r="G190" s="51">
        <f>D190*1.55+F190</f>
        <v>1369.0424826000005</v>
      </c>
      <c r="H190" s="13" t="s">
        <v>149</v>
      </c>
      <c r="I190" s="59"/>
      <c r="J190" s="59"/>
      <c r="L190">
        <f t="shared" si="5"/>
        <v>622914.32958300028</v>
      </c>
    </row>
    <row r="191" spans="1:15" ht="19.5" customHeight="1" x14ac:dyDescent="0.35">
      <c r="A191" s="58" t="s">
        <v>172</v>
      </c>
      <c r="B191" s="58"/>
      <c r="C191" s="58"/>
      <c r="D191" s="58"/>
      <c r="E191" s="58"/>
      <c r="F191" s="58"/>
      <c r="G191" s="58"/>
      <c r="H191" s="58"/>
      <c r="I191" s="58"/>
      <c r="J191" s="58"/>
      <c r="L191">
        <f t="shared" si="5"/>
        <v>0</v>
      </c>
    </row>
    <row r="192" spans="1:15" ht="30.75" customHeight="1" x14ac:dyDescent="0.35">
      <c r="A192" s="59">
        <v>1</v>
      </c>
      <c r="B192" s="59"/>
      <c r="C192" s="13" t="s">
        <v>171</v>
      </c>
      <c r="D192" s="59">
        <f>(73.206+3*0.6*3+2.565*0.6+1.55*0.6+3.35*0.6+3.87*0.6)*10.764</f>
        <v>919.32094800000016</v>
      </c>
      <c r="E192" s="59"/>
      <c r="F192" s="13">
        <f t="shared" ref="F192:F202" si="10">4.5*10.764</f>
        <v>48.437999999999995</v>
      </c>
      <c r="G192" s="51">
        <f>D192*1.55+F192</f>
        <v>1473.3854694000004</v>
      </c>
      <c r="H192" s="13" t="s">
        <v>149</v>
      </c>
      <c r="I192" s="59" t="str">
        <f>A191</f>
        <v>18th, 20th, 22nd, 24th, 26th, 28th, 30th, 32nd &amp; 34th Floor</v>
      </c>
      <c r="J192" s="59"/>
      <c r="L192">
        <f t="shared" si="5"/>
        <v>670390.38857700012</v>
      </c>
    </row>
    <row r="193" spans="1:12" ht="30.75" customHeight="1" x14ac:dyDescent="0.35">
      <c r="A193" s="59">
        <v>2</v>
      </c>
      <c r="B193" s="59"/>
      <c r="C193" s="13" t="s">
        <v>171</v>
      </c>
      <c r="D193" s="59">
        <f>(73.206+3*0.6*3+2.565*0.6+1.55*0.6+3.35*0.6+3.87*0.6)*10.764</f>
        <v>919.32094800000016</v>
      </c>
      <c r="E193" s="59"/>
      <c r="F193" s="13">
        <f t="shared" si="10"/>
        <v>48.437999999999995</v>
      </c>
      <c r="G193" s="51">
        <f>D193*1.55+F193</f>
        <v>1473.3854694000004</v>
      </c>
      <c r="H193" s="13" t="s">
        <v>149</v>
      </c>
      <c r="I193" s="59"/>
      <c r="J193" s="59"/>
      <c r="L193">
        <f t="shared" si="5"/>
        <v>670390.38857700012</v>
      </c>
    </row>
    <row r="194" spans="1:12" ht="19.5" customHeight="1" x14ac:dyDescent="0.35">
      <c r="A194" s="58" t="s">
        <v>179</v>
      </c>
      <c r="B194" s="58"/>
      <c r="C194" s="58"/>
      <c r="D194" s="58"/>
      <c r="E194" s="58"/>
      <c r="F194" s="58"/>
      <c r="G194" s="58"/>
      <c r="H194" s="58"/>
      <c r="I194" s="58"/>
      <c r="J194" s="58"/>
      <c r="L194">
        <f t="shared" si="5"/>
        <v>0</v>
      </c>
    </row>
    <row r="195" spans="1:12" ht="33" customHeight="1" x14ac:dyDescent="0.35">
      <c r="A195" s="59">
        <v>1</v>
      </c>
      <c r="B195" s="59"/>
      <c r="C195" s="13" t="s">
        <v>171</v>
      </c>
      <c r="D195" s="59">
        <f>(73.206+3*0.6*3+2.565*0.6+1.55*0.6+3.35*0.6+3.87*0.6)*10.764</f>
        <v>919.32094800000016</v>
      </c>
      <c r="E195" s="59"/>
      <c r="F195" s="13">
        <f t="shared" si="10"/>
        <v>48.437999999999995</v>
      </c>
      <c r="G195" s="51">
        <f>D195*1.55+F195</f>
        <v>1473.3854694000004</v>
      </c>
      <c r="H195" s="13" t="s">
        <v>149</v>
      </c>
      <c r="I195" s="59" t="str">
        <f>A194</f>
        <v>19th, 21st, 23rd, 25th, 27th, 29th, 31st, 33rd, 35th &amp; 37th Floor</v>
      </c>
      <c r="J195" s="59"/>
      <c r="L195">
        <f t="shared" si="5"/>
        <v>670390.38857700012</v>
      </c>
    </row>
    <row r="196" spans="1:12" ht="33" customHeight="1" x14ac:dyDescent="0.35">
      <c r="A196" s="59">
        <v>2</v>
      </c>
      <c r="B196" s="59"/>
      <c r="C196" s="13" t="s">
        <v>171</v>
      </c>
      <c r="D196" s="59">
        <f>(73.206+3*0.6*3+2.565*0.6+1.55*0.6+3.35*0.6+3.87*0.6)*10.764</f>
        <v>919.32094800000016</v>
      </c>
      <c r="E196" s="59"/>
      <c r="F196" s="13">
        <f t="shared" si="10"/>
        <v>48.437999999999995</v>
      </c>
      <c r="G196" s="51">
        <f>D196*1.55+F196</f>
        <v>1473.3854694000004</v>
      </c>
      <c r="H196" s="13" t="s">
        <v>149</v>
      </c>
      <c r="I196" s="59"/>
      <c r="J196" s="59"/>
      <c r="L196">
        <f t="shared" ref="L196:L227" si="11">455*G196</f>
        <v>670390.38857700012</v>
      </c>
    </row>
    <row r="197" spans="1:12" ht="15" x14ac:dyDescent="0.35">
      <c r="A197" s="58" t="s">
        <v>177</v>
      </c>
      <c r="B197" s="58"/>
      <c r="C197" s="58"/>
      <c r="D197" s="58"/>
      <c r="E197" s="58"/>
      <c r="F197" s="58"/>
      <c r="G197" s="58"/>
      <c r="H197" s="58"/>
      <c r="I197" s="58"/>
      <c r="J197" s="58"/>
      <c r="L197">
        <f t="shared" si="11"/>
        <v>0</v>
      </c>
    </row>
    <row r="198" spans="1:12" ht="15" x14ac:dyDescent="0.35">
      <c r="A198" s="58" t="s">
        <v>175</v>
      </c>
      <c r="B198" s="58"/>
      <c r="C198" s="58"/>
      <c r="D198" s="58"/>
      <c r="E198" s="58"/>
      <c r="F198" s="58"/>
      <c r="G198" s="58"/>
      <c r="H198" s="58"/>
      <c r="I198" s="58"/>
      <c r="J198" s="58"/>
      <c r="L198">
        <f t="shared" si="11"/>
        <v>0</v>
      </c>
    </row>
    <row r="199" spans="1:12" ht="15.5" x14ac:dyDescent="0.35">
      <c r="A199" s="59">
        <v>1</v>
      </c>
      <c r="B199" s="59"/>
      <c r="C199" s="13" t="s">
        <v>171</v>
      </c>
      <c r="D199" s="59">
        <f t="shared" ref="D199:D200" si="12">(73.206+3*0.6*3+2.565*0.6+1.55*0.6+3.35*0.6+3.87*0.6)*10.764</f>
        <v>919.32094800000016</v>
      </c>
      <c r="E199" s="59"/>
      <c r="F199" s="25">
        <f>(4.5+2*3.05)*10.764</f>
        <v>114.09839999999998</v>
      </c>
      <c r="G199" s="51">
        <f>D199*1.55+F199/2</f>
        <v>1481.9966694000002</v>
      </c>
      <c r="H199" s="13" t="s">
        <v>149</v>
      </c>
      <c r="I199" s="59" t="str">
        <f>A198</f>
        <v>36th Floor</v>
      </c>
      <c r="J199" s="59"/>
      <c r="L199">
        <f t="shared" si="11"/>
        <v>674308.48457700014</v>
      </c>
    </row>
    <row r="200" spans="1:12" ht="15.5" x14ac:dyDescent="0.35">
      <c r="A200" s="59">
        <v>2</v>
      </c>
      <c r="B200" s="59"/>
      <c r="C200" s="13" t="s">
        <v>171</v>
      </c>
      <c r="D200" s="59">
        <f t="shared" si="12"/>
        <v>919.32094800000016</v>
      </c>
      <c r="E200" s="59"/>
      <c r="F200" s="25">
        <f>(4.5+2*3.05)*10.764</f>
        <v>114.09839999999998</v>
      </c>
      <c r="G200" s="51">
        <f>D200*1.55+F200/2</f>
        <v>1481.9966694000002</v>
      </c>
      <c r="H200" s="13" t="s">
        <v>149</v>
      </c>
      <c r="I200" s="59"/>
      <c r="J200" s="59"/>
      <c r="L200">
        <f t="shared" si="11"/>
        <v>674308.48457700014</v>
      </c>
    </row>
    <row r="201" spans="1:12" ht="15" x14ac:dyDescent="0.35">
      <c r="A201" s="58" t="s">
        <v>173</v>
      </c>
      <c r="B201" s="58"/>
      <c r="C201" s="58"/>
      <c r="D201" s="58"/>
      <c r="E201" s="58"/>
      <c r="F201" s="58"/>
      <c r="G201" s="58"/>
      <c r="H201" s="58"/>
      <c r="I201" s="58"/>
      <c r="J201" s="58"/>
      <c r="L201">
        <f t="shared" si="11"/>
        <v>0</v>
      </c>
    </row>
    <row r="202" spans="1:12" ht="18" customHeight="1" x14ac:dyDescent="0.35">
      <c r="A202" s="59">
        <v>1</v>
      </c>
      <c r="B202" s="59"/>
      <c r="C202" s="13" t="s">
        <v>171</v>
      </c>
      <c r="D202" s="59">
        <f>(73.206+3*0.6*3+2.565*0.6+1.55*0.6+3.35*0.6+3.87*0.6)*10.764</f>
        <v>919.32094800000016</v>
      </c>
      <c r="E202" s="59"/>
      <c r="F202" s="13">
        <f t="shared" si="10"/>
        <v>48.437999999999995</v>
      </c>
      <c r="G202" s="51">
        <f>D202*1.55+F202</f>
        <v>1473.3854694000004</v>
      </c>
      <c r="H202" s="13" t="s">
        <v>149</v>
      </c>
      <c r="I202" s="59" t="str">
        <f>A201</f>
        <v>38th Floor</v>
      </c>
      <c r="J202" s="59"/>
      <c r="L202">
        <f t="shared" si="11"/>
        <v>670390.38857700012</v>
      </c>
    </row>
    <row r="203" spans="1:12" ht="17.25" customHeight="1" x14ac:dyDescent="0.35">
      <c r="A203" s="59">
        <v>2</v>
      </c>
      <c r="B203" s="59"/>
      <c r="C203" s="59" t="s">
        <v>174</v>
      </c>
      <c r="D203" s="59"/>
      <c r="E203" s="59"/>
      <c r="F203" s="59"/>
      <c r="G203" s="59"/>
      <c r="H203" s="59"/>
      <c r="I203" s="59"/>
      <c r="J203" s="59"/>
      <c r="L203">
        <f t="shared" si="11"/>
        <v>0</v>
      </c>
    </row>
    <row r="204" spans="1:12" ht="15" x14ac:dyDescent="0.35">
      <c r="A204" s="58" t="s">
        <v>147</v>
      </c>
      <c r="B204" s="58"/>
      <c r="C204" s="58"/>
      <c r="D204" s="58"/>
      <c r="E204" s="58"/>
      <c r="F204" s="58"/>
      <c r="G204" s="58"/>
      <c r="H204" s="58"/>
      <c r="I204" s="58"/>
      <c r="J204" s="58"/>
      <c r="L204">
        <f t="shared" si="11"/>
        <v>0</v>
      </c>
    </row>
    <row r="205" spans="1:12" ht="15" x14ac:dyDescent="0.35">
      <c r="A205" s="58" t="s">
        <v>155</v>
      </c>
      <c r="B205" s="58"/>
      <c r="C205" s="58"/>
      <c r="D205" s="58"/>
      <c r="E205" s="58"/>
      <c r="F205" s="58"/>
      <c r="G205" s="58"/>
      <c r="H205" s="58"/>
      <c r="I205" s="58"/>
      <c r="J205" s="58"/>
      <c r="L205">
        <f t="shared" si="11"/>
        <v>0</v>
      </c>
    </row>
    <row r="206" spans="1:12" ht="15" x14ac:dyDescent="0.35">
      <c r="A206" s="58" t="s">
        <v>156</v>
      </c>
      <c r="B206" s="58"/>
      <c r="C206" s="58"/>
      <c r="D206" s="58"/>
      <c r="E206" s="58"/>
      <c r="F206" s="58"/>
      <c r="G206" s="58"/>
      <c r="H206" s="58"/>
      <c r="I206" s="58"/>
      <c r="J206" s="58"/>
      <c r="L206">
        <f t="shared" si="11"/>
        <v>0</v>
      </c>
    </row>
    <row r="207" spans="1:12" ht="15" x14ac:dyDescent="0.35">
      <c r="A207" s="58" t="s">
        <v>252</v>
      </c>
      <c r="B207" s="58"/>
      <c r="C207" s="58"/>
      <c r="D207" s="58"/>
      <c r="E207" s="58"/>
      <c r="F207" s="58"/>
      <c r="G207" s="58"/>
      <c r="H207" s="58"/>
      <c r="I207" s="58"/>
      <c r="J207" s="58"/>
      <c r="L207">
        <f t="shared" si="11"/>
        <v>0</v>
      </c>
    </row>
    <row r="208" spans="1:12" ht="15.5" x14ac:dyDescent="0.35">
      <c r="A208" s="59">
        <v>1</v>
      </c>
      <c r="B208" s="59"/>
      <c r="C208" s="13" t="s">
        <v>148</v>
      </c>
      <c r="D208" s="59">
        <f>(50.019+3*0.6*2+2.565*0.6+1.55*0.6+3.36*0.6+2.54*0.6)*10.764</f>
        <v>641.83579199999997</v>
      </c>
      <c r="E208" s="59"/>
      <c r="F208" s="13">
        <v>48</v>
      </c>
      <c r="G208" s="51">
        <f>D208*1.55+F208</f>
        <v>1042.8454775999999</v>
      </c>
      <c r="H208" s="13" t="s">
        <v>149</v>
      </c>
      <c r="I208" s="59" t="str">
        <f>A207</f>
        <v>3rd, 5th, 9th, 11th, 15th, 17th Floor</v>
      </c>
      <c r="J208" s="59"/>
      <c r="L208">
        <f t="shared" si="11"/>
        <v>474494.69230799994</v>
      </c>
    </row>
    <row r="209" spans="1:17" ht="15.5" x14ac:dyDescent="0.35">
      <c r="A209" s="59">
        <v>2</v>
      </c>
      <c r="B209" s="59"/>
      <c r="C209" s="13" t="s">
        <v>148</v>
      </c>
      <c r="D209" s="59">
        <f>(50.019+3*0.6*2+2.565*0.6+1.55*0.6+3.36*0.6+2.54*0.6)*10.764</f>
        <v>641.83579199999997</v>
      </c>
      <c r="E209" s="59"/>
      <c r="F209" s="13">
        <v>48</v>
      </c>
      <c r="G209" s="51">
        <f>D209*1.55+F209</f>
        <v>1042.8454775999999</v>
      </c>
      <c r="H209" s="13" t="s">
        <v>149</v>
      </c>
      <c r="I209" s="59"/>
      <c r="J209" s="59"/>
      <c r="L209">
        <f t="shared" si="11"/>
        <v>474494.69230799994</v>
      </c>
    </row>
    <row r="210" spans="1:17" ht="19.5" customHeight="1" x14ac:dyDescent="0.35">
      <c r="A210" s="58" t="s">
        <v>163</v>
      </c>
      <c r="B210" s="58"/>
      <c r="C210" s="58"/>
      <c r="D210" s="58"/>
      <c r="E210" s="58"/>
      <c r="F210" s="58"/>
      <c r="G210" s="58"/>
      <c r="H210" s="58"/>
      <c r="I210" s="58"/>
      <c r="J210" s="58"/>
      <c r="L210">
        <f t="shared" si="11"/>
        <v>0</v>
      </c>
    </row>
    <row r="211" spans="1:17" ht="15.5" x14ac:dyDescent="0.35">
      <c r="A211" s="59">
        <v>1</v>
      </c>
      <c r="B211" s="59"/>
      <c r="C211" s="13" t="s">
        <v>148</v>
      </c>
      <c r="D211" s="59">
        <f>(50.019+3*0.6*2+2.565*0.6+1.55*0.6+3.36*0.6+2.54*0.6)*10.764</f>
        <v>641.83579199999997</v>
      </c>
      <c r="E211" s="59"/>
      <c r="F211" s="13">
        <v>48</v>
      </c>
      <c r="G211" s="51">
        <f t="shared" ref="G211:G212" si="13">D211*1.55+F211</f>
        <v>1042.8454775999999</v>
      </c>
      <c r="H211" s="13" t="s">
        <v>149</v>
      </c>
      <c r="I211" s="59" t="str">
        <f>A210</f>
        <v>4th, 6th, 8th, 10th, 12th, 14th, 16th Floor.</v>
      </c>
      <c r="J211" s="59"/>
      <c r="L211">
        <f t="shared" si="11"/>
        <v>474494.69230799994</v>
      </c>
    </row>
    <row r="212" spans="1:17" ht="15.5" x14ac:dyDescent="0.35">
      <c r="A212" s="59">
        <v>2</v>
      </c>
      <c r="B212" s="59"/>
      <c r="C212" s="13" t="s">
        <v>148</v>
      </c>
      <c r="D212" s="59">
        <f>(50.019+3*0.6*2+2.565*0.6+1.55*0.6+3.36*0.6+2.54*0.6)*10.764</f>
        <v>641.83579199999997</v>
      </c>
      <c r="E212" s="59"/>
      <c r="F212" s="13">
        <v>48</v>
      </c>
      <c r="G212" s="51">
        <f t="shared" si="13"/>
        <v>1042.8454775999999</v>
      </c>
      <c r="H212" s="13" t="s">
        <v>149</v>
      </c>
      <c r="I212" s="59"/>
      <c r="J212" s="59"/>
      <c r="L212">
        <f t="shared" si="11"/>
        <v>474494.69230799994</v>
      </c>
    </row>
    <row r="213" spans="1:17" ht="19.5" customHeight="1" x14ac:dyDescent="0.35">
      <c r="A213" s="58" t="s">
        <v>188</v>
      </c>
      <c r="B213" s="58"/>
      <c r="C213" s="58"/>
      <c r="D213" s="58"/>
      <c r="E213" s="58"/>
      <c r="F213" s="58"/>
      <c r="G213" s="58"/>
      <c r="H213" s="58"/>
      <c r="I213" s="58"/>
      <c r="J213" s="58"/>
      <c r="L213">
        <f t="shared" si="11"/>
        <v>0</v>
      </c>
    </row>
    <row r="214" spans="1:17" ht="26.25" customHeight="1" x14ac:dyDescent="0.35">
      <c r="A214" s="59">
        <v>1</v>
      </c>
      <c r="B214" s="59"/>
      <c r="C214" s="13" t="s">
        <v>148</v>
      </c>
      <c r="D214" s="59">
        <f>(50.019+3*0.6*2+2.565*0.6+1.55*0.6+3.36*0.6+2.54*0.6)*10.764</f>
        <v>641.83579199999997</v>
      </c>
      <c r="E214" s="59"/>
      <c r="F214" s="13">
        <v>48</v>
      </c>
      <c r="G214" s="51">
        <f>D214*1.55+F214</f>
        <v>1042.8454775999999</v>
      </c>
      <c r="H214" s="13" t="s">
        <v>149</v>
      </c>
      <c r="I214" s="59" t="s">
        <v>253</v>
      </c>
      <c r="J214" s="59"/>
      <c r="L214">
        <f t="shared" si="11"/>
        <v>474494.69230799994</v>
      </c>
    </row>
    <row r="215" spans="1:17" ht="26.25" customHeight="1" x14ac:dyDescent="0.35">
      <c r="A215" s="59">
        <v>2</v>
      </c>
      <c r="B215" s="59"/>
      <c r="C215" s="59" t="s">
        <v>157</v>
      </c>
      <c r="D215" s="59"/>
      <c r="E215" s="59"/>
      <c r="F215" s="59"/>
      <c r="G215" s="59"/>
      <c r="H215" s="59"/>
      <c r="I215" s="59"/>
      <c r="J215" s="59"/>
      <c r="L215">
        <f t="shared" si="11"/>
        <v>0</v>
      </c>
    </row>
    <row r="216" spans="1:17" ht="19.5" customHeight="1" x14ac:dyDescent="0.35">
      <c r="A216" s="58" t="s">
        <v>161</v>
      </c>
      <c r="B216" s="58"/>
      <c r="C216" s="58"/>
      <c r="D216" s="58"/>
      <c r="E216" s="58"/>
      <c r="F216" s="58"/>
      <c r="G216" s="58"/>
      <c r="H216" s="58"/>
      <c r="I216" s="58"/>
      <c r="J216" s="58"/>
      <c r="L216">
        <f t="shared" si="11"/>
        <v>0</v>
      </c>
    </row>
    <row r="217" spans="1:17" ht="26.25" customHeight="1" x14ac:dyDescent="0.35">
      <c r="A217" s="59">
        <v>1</v>
      </c>
      <c r="B217" s="59"/>
      <c r="C217" s="13" t="s">
        <v>148</v>
      </c>
      <c r="D217" s="59">
        <f>(57.282+3*0.6*2+2.565*0.6+1.55*0.6+3.36*0.6+2.54*0.6)*10.764</f>
        <v>720.014724</v>
      </c>
      <c r="E217" s="59"/>
      <c r="F217" s="13">
        <v>48</v>
      </c>
      <c r="G217" s="51">
        <f t="shared" ref="G217:G218" si="14">D217*1.55+F217</f>
        <v>1164.0228222000001</v>
      </c>
      <c r="H217" s="13" t="s">
        <v>149</v>
      </c>
      <c r="I217" s="59" t="str">
        <f>A216</f>
        <v>18th, 20th, 22nd, 24th, 26th, 28th, 30th, 32nd, 34th, 36th Floor.</v>
      </c>
      <c r="J217" s="59"/>
      <c r="L217">
        <f t="shared" si="11"/>
        <v>529630.38410100003</v>
      </c>
      <c r="N217">
        <v>1129</v>
      </c>
      <c r="O217">
        <v>1284</v>
      </c>
      <c r="P217">
        <f>N217/O217</f>
        <v>0.87928348909657317</v>
      </c>
      <c r="Q217">
        <f>15200*P217</f>
        <v>13365.109034267913</v>
      </c>
    </row>
    <row r="218" spans="1:17" ht="26.25" customHeight="1" x14ac:dyDescent="0.35">
      <c r="A218" s="60">
        <v>2</v>
      </c>
      <c r="B218" s="60"/>
      <c r="C218" s="13" t="s">
        <v>148</v>
      </c>
      <c r="D218" s="59">
        <f>(57.282+3*0.6*2+2.565*0.6+1.55*0.6+3.36*0.6+2.54*0.6)*10.764</f>
        <v>720.014724</v>
      </c>
      <c r="E218" s="59"/>
      <c r="F218" s="13">
        <v>48</v>
      </c>
      <c r="G218" s="51">
        <f t="shared" si="14"/>
        <v>1164.0228222000001</v>
      </c>
      <c r="H218" s="13" t="s">
        <v>149</v>
      </c>
      <c r="I218" s="59"/>
      <c r="J218" s="59"/>
      <c r="L218">
        <f t="shared" si="11"/>
        <v>529630.38410100003</v>
      </c>
      <c r="N218">
        <v>1230</v>
      </c>
      <c r="O218">
        <v>1381</v>
      </c>
      <c r="P218">
        <f t="shared" ref="P218:P220" si="15">N218/O218</f>
        <v>0.89065894279507607</v>
      </c>
      <c r="Q218">
        <f t="shared" ref="Q218:Q220" si="16">15200*P218</f>
        <v>13538.015930485157</v>
      </c>
    </row>
    <row r="219" spans="1:17" ht="15" x14ac:dyDescent="0.35">
      <c r="A219" s="58" t="s">
        <v>169</v>
      </c>
      <c r="B219" s="58"/>
      <c r="C219" s="58"/>
      <c r="D219" s="58"/>
      <c r="E219" s="58"/>
      <c r="F219" s="58"/>
      <c r="G219" s="58"/>
      <c r="H219" s="58"/>
      <c r="I219" s="58"/>
      <c r="J219" s="58"/>
      <c r="L219">
        <f t="shared" si="11"/>
        <v>0</v>
      </c>
      <c r="N219">
        <v>856</v>
      </c>
      <c r="O219">
        <v>979</v>
      </c>
      <c r="P219">
        <f t="shared" si="15"/>
        <v>0.87436159346271702</v>
      </c>
      <c r="Q219">
        <f t="shared" si="16"/>
        <v>13290.2962206333</v>
      </c>
    </row>
    <row r="220" spans="1:17" ht="15" x14ac:dyDescent="0.35">
      <c r="A220" s="58" t="s">
        <v>162</v>
      </c>
      <c r="B220" s="58"/>
      <c r="C220" s="58"/>
      <c r="D220" s="58"/>
      <c r="E220" s="58"/>
      <c r="F220" s="58"/>
      <c r="G220" s="58"/>
      <c r="H220" s="58"/>
      <c r="I220" s="58"/>
      <c r="J220" s="58"/>
      <c r="L220">
        <f t="shared" si="11"/>
        <v>0</v>
      </c>
      <c r="N220">
        <v>973</v>
      </c>
      <c r="O220">
        <v>1092</v>
      </c>
      <c r="P220">
        <f t="shared" si="15"/>
        <v>0.89102564102564108</v>
      </c>
      <c r="Q220">
        <f t="shared" si="16"/>
        <v>13543.589743589744</v>
      </c>
    </row>
    <row r="221" spans="1:17" ht="15.5" x14ac:dyDescent="0.35">
      <c r="A221" s="59">
        <v>1</v>
      </c>
      <c r="B221" s="59"/>
      <c r="C221" s="25" t="s">
        <v>148</v>
      </c>
      <c r="D221" s="59">
        <f t="shared" ref="D221:D222" si="17">(57.282+3*0.6*2+2.565*0.6+1.55*0.6+3.36*0.6+2.54*0.6)*10.764</f>
        <v>720.014724</v>
      </c>
      <c r="E221" s="59"/>
      <c r="F221" s="25">
        <v>48</v>
      </c>
      <c r="G221" s="51">
        <f t="shared" ref="G221:G222" si="18">D221*1.55+F221</f>
        <v>1164.0228222000001</v>
      </c>
      <c r="H221" s="25" t="s">
        <v>149</v>
      </c>
      <c r="I221" s="59" t="str">
        <f>A220</f>
        <v>21st, 23rd, 27th, 29th, 33rd, 35th &amp; 37th Floor.</v>
      </c>
      <c r="J221" s="59"/>
      <c r="L221">
        <f t="shared" si="11"/>
        <v>529630.38410100003</v>
      </c>
      <c r="N221" s="27">
        <f>(G221-F221)/D221</f>
        <v>1.55</v>
      </c>
    </row>
    <row r="222" spans="1:17" ht="15.5" x14ac:dyDescent="0.35">
      <c r="A222" s="59">
        <v>2</v>
      </c>
      <c r="B222" s="59"/>
      <c r="C222" s="25" t="s">
        <v>148</v>
      </c>
      <c r="D222" s="59">
        <f t="shared" si="17"/>
        <v>720.014724</v>
      </c>
      <c r="E222" s="59"/>
      <c r="F222" s="25">
        <v>48</v>
      </c>
      <c r="G222" s="51">
        <f t="shared" si="18"/>
        <v>1164.0228222000001</v>
      </c>
      <c r="H222" s="25" t="s">
        <v>149</v>
      </c>
      <c r="I222" s="59"/>
      <c r="J222" s="59"/>
      <c r="L222">
        <f t="shared" si="11"/>
        <v>529630.38410100003</v>
      </c>
    </row>
    <row r="223" spans="1:17" ht="15" x14ac:dyDescent="0.35">
      <c r="A223" s="58" t="s">
        <v>160</v>
      </c>
      <c r="B223" s="58"/>
      <c r="C223" s="58"/>
      <c r="D223" s="58"/>
      <c r="E223" s="58"/>
      <c r="F223" s="58"/>
      <c r="G223" s="58"/>
      <c r="H223" s="58"/>
      <c r="I223" s="58"/>
      <c r="J223" s="58"/>
      <c r="L223">
        <f t="shared" si="11"/>
        <v>0</v>
      </c>
    </row>
    <row r="224" spans="1:17" ht="15.5" x14ac:dyDescent="0.35">
      <c r="A224" s="59">
        <v>1</v>
      </c>
      <c r="B224" s="59"/>
      <c r="C224" s="13" t="s">
        <v>148</v>
      </c>
      <c r="D224" s="59">
        <f>(57.282+3*0.6*2+2.565*0.6+1.55*0.6+3.36*0.6+2.54*0.6)*10.764</f>
        <v>720.014724</v>
      </c>
      <c r="E224" s="59"/>
      <c r="F224" s="13">
        <v>48</v>
      </c>
      <c r="G224" s="51">
        <f>D224*1.55+F224</f>
        <v>1164.0228222000001</v>
      </c>
      <c r="H224" s="13" t="s">
        <v>149</v>
      </c>
      <c r="I224" s="59" t="s">
        <v>150</v>
      </c>
      <c r="J224" s="59"/>
      <c r="L224">
        <f t="shared" si="11"/>
        <v>529630.38410100003</v>
      </c>
    </row>
    <row r="225" spans="1:12" ht="15.5" x14ac:dyDescent="0.35">
      <c r="A225" s="59">
        <v>2</v>
      </c>
      <c r="B225" s="59"/>
      <c r="C225" s="59" t="s">
        <v>157</v>
      </c>
      <c r="D225" s="59"/>
      <c r="E225" s="59"/>
      <c r="F225" s="59"/>
      <c r="G225" s="59"/>
      <c r="H225" s="59"/>
      <c r="I225" s="59"/>
      <c r="J225" s="59"/>
      <c r="L225">
        <f t="shared" si="11"/>
        <v>0</v>
      </c>
    </row>
    <row r="226" spans="1:12" ht="15" x14ac:dyDescent="0.35">
      <c r="A226" s="58" t="s">
        <v>158</v>
      </c>
      <c r="B226" s="58"/>
      <c r="C226" s="58"/>
      <c r="D226" s="58"/>
      <c r="E226" s="58"/>
      <c r="F226" s="58"/>
      <c r="G226" s="58"/>
      <c r="H226" s="58"/>
      <c r="I226" s="58"/>
      <c r="J226" s="58"/>
      <c r="L226">
        <f t="shared" si="11"/>
        <v>0</v>
      </c>
    </row>
    <row r="227" spans="1:12" ht="15.5" x14ac:dyDescent="0.35">
      <c r="A227" s="59">
        <v>1</v>
      </c>
      <c r="B227" s="59"/>
      <c r="C227" s="13" t="s">
        <v>148</v>
      </c>
      <c r="D227" s="59">
        <f>(61.827+3*0.6*2+2.565*0.6+1.55*0.6+3.36*0.6+6.158*0.6)*10.764</f>
        <v>792.30359520000002</v>
      </c>
      <c r="E227" s="59"/>
      <c r="F227" s="13">
        <v>48</v>
      </c>
      <c r="G227" s="51">
        <f>D227*1.55+F227</f>
        <v>1276.0705725600001</v>
      </c>
      <c r="H227" s="13" t="s">
        <v>149</v>
      </c>
      <c r="I227" s="59" t="s">
        <v>151</v>
      </c>
      <c r="J227" s="59"/>
      <c r="L227">
        <f t="shared" si="11"/>
        <v>580612.11051480006</v>
      </c>
    </row>
    <row r="228" spans="1:12" ht="15.5" x14ac:dyDescent="0.35">
      <c r="A228" s="59">
        <v>2</v>
      </c>
      <c r="B228" s="59"/>
      <c r="C228" s="59" t="s">
        <v>159</v>
      </c>
      <c r="D228" s="59"/>
      <c r="E228" s="59"/>
      <c r="F228" s="59"/>
      <c r="G228" s="59"/>
      <c r="H228" s="59"/>
      <c r="I228" s="59"/>
      <c r="J228" s="59"/>
    </row>
    <row r="229" spans="1:12" ht="15" x14ac:dyDescent="0.35">
      <c r="A229" s="58" t="s">
        <v>216</v>
      </c>
      <c r="B229" s="58"/>
      <c r="C229" s="58"/>
      <c r="D229" s="58"/>
      <c r="E229" s="58"/>
      <c r="F229" s="58"/>
      <c r="G229" s="58"/>
      <c r="H229" s="58"/>
      <c r="I229" s="58"/>
      <c r="J229" s="58"/>
      <c r="L229">
        <f t="shared" ref="L229:L252" si="19">455*G229</f>
        <v>0</v>
      </c>
    </row>
    <row r="230" spans="1:12" ht="15" x14ac:dyDescent="0.35">
      <c r="A230" s="58" t="s">
        <v>155</v>
      </c>
      <c r="B230" s="58"/>
      <c r="C230" s="58"/>
      <c r="D230" s="58"/>
      <c r="E230" s="58"/>
      <c r="F230" s="58"/>
      <c r="G230" s="58"/>
      <c r="H230" s="58"/>
      <c r="I230" s="58"/>
      <c r="J230" s="58"/>
      <c r="L230">
        <f t="shared" si="19"/>
        <v>0</v>
      </c>
    </row>
    <row r="231" spans="1:12" ht="15" x14ac:dyDescent="0.35">
      <c r="A231" s="58" t="s">
        <v>156</v>
      </c>
      <c r="B231" s="58"/>
      <c r="C231" s="58"/>
      <c r="D231" s="58"/>
      <c r="E231" s="58"/>
      <c r="F231" s="58"/>
      <c r="G231" s="58"/>
      <c r="H231" s="58"/>
      <c r="I231" s="58"/>
      <c r="J231" s="58"/>
      <c r="L231">
        <f t="shared" si="19"/>
        <v>0</v>
      </c>
    </row>
    <row r="232" spans="1:12" ht="15" x14ac:dyDescent="0.35">
      <c r="A232" s="58" t="s">
        <v>252</v>
      </c>
      <c r="B232" s="58"/>
      <c r="C232" s="58"/>
      <c r="D232" s="58"/>
      <c r="E232" s="58"/>
      <c r="F232" s="58"/>
      <c r="G232" s="58"/>
      <c r="H232" s="58"/>
      <c r="I232" s="58"/>
      <c r="J232" s="58"/>
      <c r="L232">
        <f t="shared" si="19"/>
        <v>0</v>
      </c>
    </row>
    <row r="233" spans="1:12" ht="15.5" x14ac:dyDescent="0.35">
      <c r="A233" s="59">
        <v>1</v>
      </c>
      <c r="B233" s="59"/>
      <c r="C233" s="49" t="s">
        <v>148</v>
      </c>
      <c r="D233" s="59">
        <f>(50.019+3*0.6*2+2.565*0.6+1.55*0.6+3.36*0.6+2.54*0.6)*10.764</f>
        <v>641.83579199999997</v>
      </c>
      <c r="E233" s="59"/>
      <c r="F233" s="49">
        <v>48</v>
      </c>
      <c r="G233" s="51">
        <f t="shared" ref="G233:G234" si="20">D233*1.55+F233</f>
        <v>1042.8454775999999</v>
      </c>
      <c r="H233" s="49" t="s">
        <v>149</v>
      </c>
      <c r="I233" s="59" t="str">
        <f>A232</f>
        <v>3rd, 5th, 9th, 11th, 15th, 17th Floor</v>
      </c>
      <c r="J233" s="59"/>
      <c r="L233">
        <f t="shared" si="19"/>
        <v>474494.69230799994</v>
      </c>
    </row>
    <row r="234" spans="1:12" ht="15.5" x14ac:dyDescent="0.35">
      <c r="A234" s="59">
        <v>2</v>
      </c>
      <c r="B234" s="59"/>
      <c r="C234" s="49" t="s">
        <v>148</v>
      </c>
      <c r="D234" s="59">
        <f>(50.019+3*0.6*2+2.565*0.6+1.55*0.6+3.36*0.6+2.54*0.6)*10.764</f>
        <v>641.83579199999997</v>
      </c>
      <c r="E234" s="59"/>
      <c r="F234" s="49">
        <v>48</v>
      </c>
      <c r="G234" s="51">
        <f t="shared" si="20"/>
        <v>1042.8454775999999</v>
      </c>
      <c r="H234" s="49" t="s">
        <v>149</v>
      </c>
      <c r="I234" s="59"/>
      <c r="J234" s="59"/>
      <c r="L234">
        <f t="shared" si="19"/>
        <v>474494.69230799994</v>
      </c>
    </row>
    <row r="235" spans="1:12" ht="19.5" customHeight="1" x14ac:dyDescent="0.35">
      <c r="A235" s="58" t="s">
        <v>163</v>
      </c>
      <c r="B235" s="58"/>
      <c r="C235" s="58"/>
      <c r="D235" s="58"/>
      <c r="E235" s="58"/>
      <c r="F235" s="58"/>
      <c r="G235" s="58"/>
      <c r="H235" s="58"/>
      <c r="I235" s="58"/>
      <c r="J235" s="58"/>
      <c r="L235">
        <f t="shared" si="19"/>
        <v>0</v>
      </c>
    </row>
    <row r="236" spans="1:12" ht="15.5" x14ac:dyDescent="0.35">
      <c r="A236" s="59">
        <v>1</v>
      </c>
      <c r="B236" s="59"/>
      <c r="C236" s="49" t="s">
        <v>148</v>
      </c>
      <c r="D236" s="59">
        <f>(50.019+3*0.6*2+2.565*0.6+1.55*0.6+3.36*0.6+2.54*0.6)*10.764</f>
        <v>641.83579199999997</v>
      </c>
      <c r="E236" s="59"/>
      <c r="F236" s="49">
        <v>48</v>
      </c>
      <c r="G236" s="51">
        <f t="shared" ref="G236:G237" si="21">D236*1.55+F236</f>
        <v>1042.8454775999999</v>
      </c>
      <c r="H236" s="49" t="s">
        <v>149</v>
      </c>
      <c r="I236" s="59" t="str">
        <f>A235</f>
        <v>4th, 6th, 8th, 10th, 12th, 14th, 16th Floor.</v>
      </c>
      <c r="J236" s="59"/>
      <c r="L236">
        <f t="shared" si="19"/>
        <v>474494.69230799994</v>
      </c>
    </row>
    <row r="237" spans="1:12" ht="15.5" x14ac:dyDescent="0.35">
      <c r="A237" s="59">
        <v>2</v>
      </c>
      <c r="B237" s="59"/>
      <c r="C237" s="49" t="s">
        <v>148</v>
      </c>
      <c r="D237" s="59">
        <f>(50.019+3*0.6*2+2.565*0.6+1.55*0.6+3.36*0.6+2.54*0.6)*10.764</f>
        <v>641.83579199999997</v>
      </c>
      <c r="E237" s="59"/>
      <c r="F237" s="49">
        <v>48</v>
      </c>
      <c r="G237" s="51">
        <f t="shared" si="21"/>
        <v>1042.8454775999999</v>
      </c>
      <c r="H237" s="49" t="s">
        <v>149</v>
      </c>
      <c r="I237" s="59"/>
      <c r="J237" s="59"/>
      <c r="L237">
        <f t="shared" si="19"/>
        <v>474494.69230799994</v>
      </c>
    </row>
    <row r="238" spans="1:12" ht="15" x14ac:dyDescent="0.35">
      <c r="A238" s="58" t="s">
        <v>188</v>
      </c>
      <c r="B238" s="58"/>
      <c r="C238" s="58"/>
      <c r="D238" s="58"/>
      <c r="E238" s="58"/>
      <c r="F238" s="58"/>
      <c r="G238" s="58"/>
      <c r="H238" s="58"/>
      <c r="I238" s="58"/>
      <c r="J238" s="58"/>
      <c r="L238">
        <f t="shared" si="19"/>
        <v>0</v>
      </c>
    </row>
    <row r="239" spans="1:12" ht="15.5" x14ac:dyDescent="0.35">
      <c r="A239" s="59">
        <v>1</v>
      </c>
      <c r="B239" s="59"/>
      <c r="C239" s="49" t="s">
        <v>148</v>
      </c>
      <c r="D239" s="59">
        <f>(50.019+3*0.6*2+2.565*0.6+1.55*0.6+3.36*0.6+2.54*0.6)*10.764</f>
        <v>641.83579199999997</v>
      </c>
      <c r="E239" s="59"/>
      <c r="F239" s="49">
        <v>48</v>
      </c>
      <c r="G239" s="51">
        <f>D239*1.55+F239</f>
        <v>1042.8454775999999</v>
      </c>
      <c r="H239" s="49" t="s">
        <v>149</v>
      </c>
      <c r="I239" s="59" t="s">
        <v>253</v>
      </c>
      <c r="J239" s="59"/>
      <c r="L239">
        <f t="shared" si="19"/>
        <v>474494.69230799994</v>
      </c>
    </row>
    <row r="240" spans="1:12" ht="15.5" x14ac:dyDescent="0.35">
      <c r="A240" s="59">
        <v>2</v>
      </c>
      <c r="B240" s="59"/>
      <c r="C240" s="59" t="s">
        <v>157</v>
      </c>
      <c r="D240" s="59"/>
      <c r="E240" s="59"/>
      <c r="F240" s="59"/>
      <c r="G240" s="59"/>
      <c r="H240" s="59"/>
      <c r="I240" s="59"/>
      <c r="J240" s="59"/>
      <c r="L240">
        <f t="shared" si="19"/>
        <v>0</v>
      </c>
    </row>
    <row r="241" spans="1:17" ht="19.5" customHeight="1" x14ac:dyDescent="0.35">
      <c r="A241" s="58" t="s">
        <v>161</v>
      </c>
      <c r="B241" s="58"/>
      <c r="C241" s="58"/>
      <c r="D241" s="58"/>
      <c r="E241" s="58"/>
      <c r="F241" s="58"/>
      <c r="G241" s="58"/>
      <c r="H241" s="58"/>
      <c r="I241" s="58"/>
      <c r="J241" s="58"/>
      <c r="L241">
        <f t="shared" si="19"/>
        <v>0</v>
      </c>
    </row>
    <row r="242" spans="1:17" ht="26.25" customHeight="1" x14ac:dyDescent="0.35">
      <c r="A242" s="59">
        <v>1</v>
      </c>
      <c r="B242" s="59"/>
      <c r="C242" s="49" t="s">
        <v>148</v>
      </c>
      <c r="D242" s="59">
        <f>(57.282+3*0.6*2+2.565*0.6+1.55*0.6+3.36*0.6+2.54*0.6)*10.764</f>
        <v>720.014724</v>
      </c>
      <c r="E242" s="59"/>
      <c r="F242" s="49">
        <v>48</v>
      </c>
      <c r="G242" s="51">
        <f t="shared" ref="G242:G243" si="22">D242*1.55+F242</f>
        <v>1164.0228222000001</v>
      </c>
      <c r="H242" s="49" t="s">
        <v>149</v>
      </c>
      <c r="I242" s="59" t="str">
        <f>A241</f>
        <v>18th, 20th, 22nd, 24th, 26th, 28th, 30th, 32nd, 34th, 36th Floor.</v>
      </c>
      <c r="J242" s="59"/>
      <c r="L242">
        <f t="shared" si="19"/>
        <v>529630.38410100003</v>
      </c>
      <c r="N242">
        <v>1129</v>
      </c>
      <c r="O242">
        <v>1284</v>
      </c>
      <c r="P242">
        <f>N242/O242</f>
        <v>0.87928348909657317</v>
      </c>
      <c r="Q242">
        <f>15200*P242</f>
        <v>13365.109034267913</v>
      </c>
    </row>
    <row r="243" spans="1:17" ht="26.25" customHeight="1" x14ac:dyDescent="0.35">
      <c r="A243" s="60">
        <v>2</v>
      </c>
      <c r="B243" s="60"/>
      <c r="C243" s="49" t="s">
        <v>148</v>
      </c>
      <c r="D243" s="59">
        <f>(57.282+3*0.6*2+2.565*0.6+1.55*0.6+3.36*0.6+2.54*0.6)*10.764</f>
        <v>720.014724</v>
      </c>
      <c r="E243" s="59"/>
      <c r="F243" s="49">
        <v>48</v>
      </c>
      <c r="G243" s="51">
        <f t="shared" si="22"/>
        <v>1164.0228222000001</v>
      </c>
      <c r="H243" s="49" t="s">
        <v>149</v>
      </c>
      <c r="I243" s="59"/>
      <c r="J243" s="59"/>
      <c r="L243">
        <f t="shared" si="19"/>
        <v>529630.38410100003</v>
      </c>
      <c r="N243">
        <v>1230</v>
      </c>
      <c r="O243">
        <v>1381</v>
      </c>
      <c r="P243">
        <f t="shared" ref="P243:P245" si="23">N243/O243</f>
        <v>0.89065894279507607</v>
      </c>
      <c r="Q243">
        <f t="shared" ref="Q243:Q245" si="24">15200*P243</f>
        <v>13538.015930485157</v>
      </c>
    </row>
    <row r="244" spans="1:17" ht="15" x14ac:dyDescent="0.35">
      <c r="A244" s="58" t="s">
        <v>169</v>
      </c>
      <c r="B244" s="58"/>
      <c r="C244" s="58"/>
      <c r="D244" s="58"/>
      <c r="E244" s="58"/>
      <c r="F244" s="58"/>
      <c r="G244" s="58"/>
      <c r="H244" s="58"/>
      <c r="I244" s="58"/>
      <c r="J244" s="58"/>
      <c r="L244">
        <f t="shared" si="19"/>
        <v>0</v>
      </c>
      <c r="N244">
        <v>856</v>
      </c>
      <c r="O244">
        <v>979</v>
      </c>
      <c r="P244">
        <f t="shared" si="23"/>
        <v>0.87436159346271702</v>
      </c>
      <c r="Q244">
        <f t="shared" si="24"/>
        <v>13290.2962206333</v>
      </c>
    </row>
    <row r="245" spans="1:17" ht="15" x14ac:dyDescent="0.35">
      <c r="A245" s="58" t="s">
        <v>162</v>
      </c>
      <c r="B245" s="58"/>
      <c r="C245" s="58"/>
      <c r="D245" s="58"/>
      <c r="E245" s="58"/>
      <c r="F245" s="58"/>
      <c r="G245" s="58"/>
      <c r="H245" s="58"/>
      <c r="I245" s="58"/>
      <c r="J245" s="58"/>
      <c r="L245">
        <f t="shared" si="19"/>
        <v>0</v>
      </c>
      <c r="N245">
        <v>973</v>
      </c>
      <c r="O245">
        <v>1092</v>
      </c>
      <c r="P245">
        <f t="shared" si="23"/>
        <v>0.89102564102564108</v>
      </c>
      <c r="Q245">
        <f t="shared" si="24"/>
        <v>13543.589743589744</v>
      </c>
    </row>
    <row r="246" spans="1:17" ht="15.5" x14ac:dyDescent="0.35">
      <c r="A246" s="59">
        <v>1</v>
      </c>
      <c r="B246" s="59"/>
      <c r="C246" s="50" t="s">
        <v>148</v>
      </c>
      <c r="D246" s="59">
        <f t="shared" ref="D246:D247" si="25">(57.282+3*0.6*2+2.565*0.6+1.55*0.6+3.36*0.6+2.54*0.6)*10.764</f>
        <v>720.014724</v>
      </c>
      <c r="E246" s="59"/>
      <c r="F246" s="50">
        <v>48</v>
      </c>
      <c r="G246" s="51">
        <f t="shared" ref="G246:G247" si="26">D246*1.55+F246</f>
        <v>1164.0228222000001</v>
      </c>
      <c r="H246" s="50" t="s">
        <v>149</v>
      </c>
      <c r="I246" s="59" t="str">
        <f>A245</f>
        <v>21st, 23rd, 27th, 29th, 33rd, 35th &amp; 37th Floor.</v>
      </c>
      <c r="J246" s="59"/>
      <c r="L246">
        <f t="shared" si="19"/>
        <v>529630.38410100003</v>
      </c>
      <c r="N246" s="27">
        <f>(G246-F246)/D246</f>
        <v>1.55</v>
      </c>
    </row>
    <row r="247" spans="1:17" ht="15.5" x14ac:dyDescent="0.35">
      <c r="A247" s="59">
        <v>2</v>
      </c>
      <c r="B247" s="59"/>
      <c r="C247" s="50" t="s">
        <v>148</v>
      </c>
      <c r="D247" s="59">
        <f t="shared" si="25"/>
        <v>720.014724</v>
      </c>
      <c r="E247" s="59"/>
      <c r="F247" s="50">
        <v>48</v>
      </c>
      <c r="G247" s="51">
        <f t="shared" si="26"/>
        <v>1164.0228222000001</v>
      </c>
      <c r="H247" s="50" t="s">
        <v>149</v>
      </c>
      <c r="I247" s="59"/>
      <c r="J247" s="59"/>
      <c r="L247">
        <f t="shared" si="19"/>
        <v>529630.38410100003</v>
      </c>
    </row>
    <row r="248" spans="1:17" ht="19.5" customHeight="1" x14ac:dyDescent="0.35">
      <c r="A248" s="58" t="s">
        <v>160</v>
      </c>
      <c r="B248" s="58"/>
      <c r="C248" s="58"/>
      <c r="D248" s="58"/>
      <c r="E248" s="58"/>
      <c r="F248" s="58"/>
      <c r="G248" s="58"/>
      <c r="H248" s="58"/>
      <c r="I248" s="58"/>
      <c r="J248" s="58"/>
      <c r="L248">
        <f t="shared" si="19"/>
        <v>0</v>
      </c>
    </row>
    <row r="249" spans="1:17" ht="15.5" x14ac:dyDescent="0.35">
      <c r="A249" s="59">
        <v>1</v>
      </c>
      <c r="B249" s="59"/>
      <c r="C249" s="49" t="s">
        <v>148</v>
      </c>
      <c r="D249" s="59">
        <f>(57.282+3*0.6*2+2.565*0.6+1.55*0.6+3.36*0.6+2.54*0.6)*10.764</f>
        <v>720.014724</v>
      </c>
      <c r="E249" s="59"/>
      <c r="F249" s="49">
        <v>48</v>
      </c>
      <c r="G249" s="51">
        <f>D249*1.55+F249</f>
        <v>1164.0228222000001</v>
      </c>
      <c r="H249" s="49" t="s">
        <v>149</v>
      </c>
      <c r="I249" s="59" t="s">
        <v>150</v>
      </c>
      <c r="J249" s="59"/>
      <c r="L249">
        <f t="shared" si="19"/>
        <v>529630.38410100003</v>
      </c>
    </row>
    <row r="250" spans="1:17" ht="15.5" x14ac:dyDescent="0.35">
      <c r="A250" s="59">
        <v>2</v>
      </c>
      <c r="B250" s="59"/>
      <c r="C250" s="59" t="s">
        <v>157</v>
      </c>
      <c r="D250" s="59"/>
      <c r="E250" s="59"/>
      <c r="F250" s="59"/>
      <c r="G250" s="59"/>
      <c r="H250" s="59"/>
      <c r="I250" s="59"/>
      <c r="J250" s="59"/>
      <c r="L250">
        <f t="shared" si="19"/>
        <v>0</v>
      </c>
    </row>
    <row r="251" spans="1:17" ht="19.5" customHeight="1" x14ac:dyDescent="0.35">
      <c r="A251" s="58" t="s">
        <v>158</v>
      </c>
      <c r="B251" s="58"/>
      <c r="C251" s="58"/>
      <c r="D251" s="58"/>
      <c r="E251" s="58"/>
      <c r="F251" s="58"/>
      <c r="G251" s="58"/>
      <c r="H251" s="58"/>
      <c r="I251" s="58"/>
      <c r="J251" s="58"/>
      <c r="L251">
        <f t="shared" si="19"/>
        <v>0</v>
      </c>
    </row>
    <row r="252" spans="1:17" ht="15.5" x14ac:dyDescent="0.35">
      <c r="A252" s="59">
        <v>1</v>
      </c>
      <c r="B252" s="59"/>
      <c r="C252" s="49" t="s">
        <v>148</v>
      </c>
      <c r="D252" s="59">
        <f>(61.827+3*0.6*2+2.565*0.6+1.55*0.6+3.36*0.6+6.158*0.6)*10.764</f>
        <v>792.30359520000002</v>
      </c>
      <c r="E252" s="59"/>
      <c r="F252" s="49">
        <v>48</v>
      </c>
      <c r="G252" s="51">
        <f>D252*1.55+F252</f>
        <v>1276.0705725600001</v>
      </c>
      <c r="H252" s="49" t="s">
        <v>149</v>
      </c>
      <c r="I252" s="59" t="s">
        <v>151</v>
      </c>
      <c r="J252" s="59"/>
      <c r="L252">
        <f t="shared" si="19"/>
        <v>580612.11051480006</v>
      </c>
    </row>
    <row r="253" spans="1:17" ht="15.5" x14ac:dyDescent="0.35">
      <c r="A253" s="59">
        <v>2</v>
      </c>
      <c r="B253" s="59"/>
      <c r="C253" s="59" t="s">
        <v>159</v>
      </c>
      <c r="D253" s="59"/>
      <c r="E253" s="59"/>
      <c r="F253" s="59"/>
      <c r="G253" s="59"/>
      <c r="H253" s="59"/>
      <c r="I253" s="59"/>
      <c r="J253" s="59"/>
    </row>
    <row r="254" spans="1:17" ht="15" x14ac:dyDescent="0.35">
      <c r="A254" s="58" t="s">
        <v>215</v>
      </c>
      <c r="B254" s="58"/>
      <c r="C254" s="58"/>
      <c r="D254" s="58"/>
      <c r="E254" s="58"/>
      <c r="F254" s="58"/>
      <c r="G254" s="58"/>
      <c r="H254" s="58"/>
      <c r="I254" s="58"/>
      <c r="J254" s="58"/>
      <c r="L254">
        <f t="shared" ref="L254:L273" si="27">455*G254</f>
        <v>0</v>
      </c>
    </row>
    <row r="255" spans="1:17" ht="15" x14ac:dyDescent="0.35">
      <c r="A255" s="58" t="s">
        <v>178</v>
      </c>
      <c r="B255" s="58"/>
      <c r="C255" s="58"/>
      <c r="D255" s="58"/>
      <c r="E255" s="58"/>
      <c r="F255" s="58"/>
      <c r="G255" s="58"/>
      <c r="H255" s="58"/>
      <c r="I255" s="58"/>
      <c r="J255" s="58"/>
      <c r="L255">
        <f t="shared" si="27"/>
        <v>0</v>
      </c>
    </row>
    <row r="256" spans="1:17" ht="15.5" x14ac:dyDescent="0.35">
      <c r="A256" s="59">
        <v>1</v>
      </c>
      <c r="B256" s="59"/>
      <c r="C256" s="49" t="s">
        <v>171</v>
      </c>
      <c r="D256" s="59">
        <f>(66.952+3*0.6*3+2.565*0.6+1.55*0.6+3.35*0.6+3.87*0.6)*10.764</f>
        <v>852.0028920000002</v>
      </c>
      <c r="E256" s="59"/>
      <c r="F256" s="49">
        <f>4.5*10.764</f>
        <v>48.437999999999995</v>
      </c>
      <c r="G256" s="51">
        <f t="shared" ref="G256:G257" si="28">D256*1.55+F256</f>
        <v>1369.0424826000005</v>
      </c>
      <c r="H256" s="49" t="s">
        <v>149</v>
      </c>
      <c r="I256" s="59" t="str">
        <f>A255</f>
        <v>3rd, 5th, 7th, 9th, 11th, 13th, 15th &amp; 17th Floor</v>
      </c>
      <c r="J256" s="59"/>
      <c r="L256">
        <f t="shared" si="27"/>
        <v>622914.32958300028</v>
      </c>
    </row>
    <row r="257" spans="1:15" ht="15.5" x14ac:dyDescent="0.35">
      <c r="A257" s="59">
        <v>2</v>
      </c>
      <c r="B257" s="59"/>
      <c r="C257" s="49" t="s">
        <v>171</v>
      </c>
      <c r="D257" s="59">
        <f>(66.952+3*0.6*3+2.565*0.6+1.55*0.6+3.35*0.6+3.87*0.6)*10.764</f>
        <v>852.0028920000002</v>
      </c>
      <c r="E257" s="59"/>
      <c r="F257" s="49">
        <f>4.5*10.764</f>
        <v>48.437999999999995</v>
      </c>
      <c r="G257" s="51">
        <f t="shared" si="28"/>
        <v>1369.0424826000005</v>
      </c>
      <c r="H257" s="49" t="s">
        <v>149</v>
      </c>
      <c r="I257" s="59"/>
      <c r="J257" s="59"/>
      <c r="L257">
        <f t="shared" si="27"/>
        <v>622914.32958300028</v>
      </c>
    </row>
    <row r="258" spans="1:15" ht="19.5" customHeight="1" x14ac:dyDescent="0.35">
      <c r="A258" s="58" t="s">
        <v>163</v>
      </c>
      <c r="B258" s="58"/>
      <c r="C258" s="58"/>
      <c r="D258" s="58"/>
      <c r="E258" s="58"/>
      <c r="F258" s="58"/>
      <c r="G258" s="58"/>
      <c r="H258" s="58"/>
      <c r="I258" s="58"/>
      <c r="J258" s="58"/>
      <c r="L258">
        <f t="shared" si="27"/>
        <v>0</v>
      </c>
    </row>
    <row r="259" spans="1:15" ht="15.5" x14ac:dyDescent="0.35">
      <c r="A259" s="59">
        <v>1</v>
      </c>
      <c r="B259" s="59"/>
      <c r="C259" s="49" t="s">
        <v>171</v>
      </c>
      <c r="D259" s="59">
        <f>(66.952+3*0.6*3+2.565*0.6+1.55*0.6+3.35*0.6+3.87*0.6)*10.764</f>
        <v>852.0028920000002</v>
      </c>
      <c r="E259" s="59"/>
      <c r="F259" s="49">
        <f>4.5*10.764</f>
        <v>48.437999999999995</v>
      </c>
      <c r="G259" s="51">
        <f t="shared" ref="G259:G260" si="29">D259*1.55+F259</f>
        <v>1369.0424826000005</v>
      </c>
      <c r="H259" s="49" t="s">
        <v>149</v>
      </c>
      <c r="I259" s="59" t="str">
        <f>A258</f>
        <v>4th, 6th, 8th, 10th, 12th, 14th, 16th Floor.</v>
      </c>
      <c r="J259" s="59"/>
      <c r="L259">
        <f t="shared" si="27"/>
        <v>622914.32958300028</v>
      </c>
      <c r="M259">
        <f>5.5*3.95+2.45*2.45+3.05*3.05+3.05*3.8+3.05*3.5+2.4*1.38*3+1.38+2.45+1.38*0.45+0.5</f>
        <v>74.181999999999988</v>
      </c>
      <c r="N259">
        <f>3*0.6*3+2.565*0.6+1.55*0.6</f>
        <v>7.8689999999999989</v>
      </c>
      <c r="O259">
        <f>M259-N259</f>
        <v>66.312999999999988</v>
      </c>
    </row>
    <row r="260" spans="1:15" ht="15.5" x14ac:dyDescent="0.35">
      <c r="A260" s="59">
        <v>2</v>
      </c>
      <c r="B260" s="59"/>
      <c r="C260" s="49" t="s">
        <v>171</v>
      </c>
      <c r="D260" s="59">
        <f t="shared" ref="D260" si="30">(66.952+3*0.6*3+2.565*0.6+1.55*0.6+3.35*0.6+3.87*0.6)*10.764</f>
        <v>852.0028920000002</v>
      </c>
      <c r="E260" s="59"/>
      <c r="F260" s="49">
        <f>4.5*10.764</f>
        <v>48.437999999999995</v>
      </c>
      <c r="G260" s="51">
        <f t="shared" si="29"/>
        <v>1369.0424826000005</v>
      </c>
      <c r="H260" s="49" t="s">
        <v>149</v>
      </c>
      <c r="I260" s="59"/>
      <c r="J260" s="59"/>
      <c r="L260">
        <f t="shared" si="27"/>
        <v>622914.32958300028</v>
      </c>
    </row>
    <row r="261" spans="1:15" ht="19.5" customHeight="1" x14ac:dyDescent="0.35">
      <c r="A261" s="58" t="s">
        <v>172</v>
      </c>
      <c r="B261" s="58"/>
      <c r="C261" s="58"/>
      <c r="D261" s="58"/>
      <c r="E261" s="58"/>
      <c r="F261" s="58"/>
      <c r="G261" s="58"/>
      <c r="H261" s="58"/>
      <c r="I261" s="58"/>
      <c r="J261" s="58"/>
      <c r="L261">
        <f t="shared" si="27"/>
        <v>0</v>
      </c>
    </row>
    <row r="262" spans="1:15" ht="24" customHeight="1" x14ac:dyDescent="0.35">
      <c r="A262" s="59">
        <v>1</v>
      </c>
      <c r="B262" s="59"/>
      <c r="C262" s="49" t="s">
        <v>171</v>
      </c>
      <c r="D262" s="59">
        <f>(73.206+3*0.6*3+2.565*0.6+1.55*0.6+3.35*0.6+3.87*0.6)*10.764</f>
        <v>919.32094800000016</v>
      </c>
      <c r="E262" s="59"/>
      <c r="F262" s="49">
        <f t="shared" ref="F262:F272" si="31">4.5*10.764</f>
        <v>48.437999999999995</v>
      </c>
      <c r="G262" s="51">
        <f t="shared" ref="G262:G263" si="32">D262*1.55+F262</f>
        <v>1473.3854694000004</v>
      </c>
      <c r="H262" s="49" t="s">
        <v>149</v>
      </c>
      <c r="I262" s="59" t="str">
        <f>A261</f>
        <v>18th, 20th, 22nd, 24th, 26th, 28th, 30th, 32nd &amp; 34th Floor</v>
      </c>
      <c r="J262" s="59"/>
      <c r="L262">
        <f t="shared" si="27"/>
        <v>670390.38857700012</v>
      </c>
    </row>
    <row r="263" spans="1:15" ht="24" customHeight="1" x14ac:dyDescent="0.35">
      <c r="A263" s="59">
        <v>2</v>
      </c>
      <c r="B263" s="59"/>
      <c r="C263" s="49" t="s">
        <v>171</v>
      </c>
      <c r="D263" s="59">
        <f>(73.206+3*0.6*3+2.565*0.6+1.55*0.6+3.35*0.6+3.87*0.6)*10.764</f>
        <v>919.32094800000016</v>
      </c>
      <c r="E263" s="59"/>
      <c r="F263" s="49">
        <f t="shared" si="31"/>
        <v>48.437999999999995</v>
      </c>
      <c r="G263" s="51">
        <f t="shared" si="32"/>
        <v>1473.3854694000004</v>
      </c>
      <c r="H263" s="49" t="s">
        <v>149</v>
      </c>
      <c r="I263" s="59"/>
      <c r="J263" s="59"/>
      <c r="L263">
        <f t="shared" si="27"/>
        <v>670390.38857700012</v>
      </c>
    </row>
    <row r="264" spans="1:15" ht="19.5" customHeight="1" x14ac:dyDescent="0.35">
      <c r="A264" s="58" t="s">
        <v>179</v>
      </c>
      <c r="B264" s="58"/>
      <c r="C264" s="58"/>
      <c r="D264" s="58"/>
      <c r="E264" s="58"/>
      <c r="F264" s="58"/>
      <c r="G264" s="58"/>
      <c r="H264" s="58"/>
      <c r="I264" s="58"/>
      <c r="J264" s="58"/>
      <c r="L264">
        <f t="shared" si="27"/>
        <v>0</v>
      </c>
    </row>
    <row r="265" spans="1:15" ht="24.75" customHeight="1" x14ac:dyDescent="0.35">
      <c r="A265" s="59">
        <v>1</v>
      </c>
      <c r="B265" s="59"/>
      <c r="C265" s="49" t="s">
        <v>171</v>
      </c>
      <c r="D265" s="59">
        <f>(73.206+3*0.6*3+2.565*0.6+1.55*0.6+3.35*0.6+3.87*0.6)*10.764</f>
        <v>919.32094800000016</v>
      </c>
      <c r="E265" s="59"/>
      <c r="F265" s="49">
        <f t="shared" si="31"/>
        <v>48.437999999999995</v>
      </c>
      <c r="G265" s="51">
        <f t="shared" ref="G265:G266" si="33">D265*1.55+F265</f>
        <v>1473.3854694000004</v>
      </c>
      <c r="H265" s="49" t="s">
        <v>149</v>
      </c>
      <c r="I265" s="59" t="str">
        <f>A264</f>
        <v>19th, 21st, 23rd, 25th, 27th, 29th, 31st, 33rd, 35th &amp; 37th Floor</v>
      </c>
      <c r="J265" s="59"/>
      <c r="L265">
        <f t="shared" si="27"/>
        <v>670390.38857700012</v>
      </c>
    </row>
    <row r="266" spans="1:15" ht="24.75" customHeight="1" x14ac:dyDescent="0.35">
      <c r="A266" s="59">
        <v>2</v>
      </c>
      <c r="B266" s="59"/>
      <c r="C266" s="49" t="s">
        <v>171</v>
      </c>
      <c r="D266" s="59">
        <f>(73.206+3*0.6*3+2.565*0.6+1.55*0.6+3.35*0.6+3.87*0.6)*10.764</f>
        <v>919.32094800000016</v>
      </c>
      <c r="E266" s="59"/>
      <c r="F266" s="49">
        <f t="shared" si="31"/>
        <v>48.437999999999995</v>
      </c>
      <c r="G266" s="51">
        <f t="shared" si="33"/>
        <v>1473.3854694000004</v>
      </c>
      <c r="H266" s="49" t="s">
        <v>149</v>
      </c>
      <c r="I266" s="59"/>
      <c r="J266" s="59"/>
      <c r="L266">
        <f t="shared" si="27"/>
        <v>670390.38857700012</v>
      </c>
    </row>
    <row r="267" spans="1:15" ht="15" x14ac:dyDescent="0.35">
      <c r="A267" s="58" t="s">
        <v>177</v>
      </c>
      <c r="B267" s="58"/>
      <c r="C267" s="58"/>
      <c r="D267" s="58"/>
      <c r="E267" s="58"/>
      <c r="F267" s="58"/>
      <c r="G267" s="58"/>
      <c r="H267" s="58"/>
      <c r="I267" s="58"/>
      <c r="J267" s="58"/>
      <c r="L267">
        <f t="shared" si="27"/>
        <v>0</v>
      </c>
    </row>
    <row r="268" spans="1:15" ht="15" x14ac:dyDescent="0.35">
      <c r="A268" s="58" t="s">
        <v>175</v>
      </c>
      <c r="B268" s="58"/>
      <c r="C268" s="58"/>
      <c r="D268" s="58"/>
      <c r="E268" s="58"/>
      <c r="F268" s="58"/>
      <c r="G268" s="58"/>
      <c r="H268" s="58"/>
      <c r="I268" s="58"/>
      <c r="J268" s="58"/>
      <c r="L268">
        <f t="shared" si="27"/>
        <v>0</v>
      </c>
    </row>
    <row r="269" spans="1:15" ht="15.5" x14ac:dyDescent="0.35">
      <c r="A269" s="59">
        <v>1</v>
      </c>
      <c r="B269" s="59"/>
      <c r="C269" s="49" t="s">
        <v>171</v>
      </c>
      <c r="D269" s="59">
        <f t="shared" ref="D269:D270" si="34">(73.206+3*0.6*3+2.565*0.6+1.55*0.6+3.35*0.6+3.87*0.6)*10.764</f>
        <v>919.32094800000016</v>
      </c>
      <c r="E269" s="59"/>
      <c r="F269" s="50">
        <f>(4.5+2*3.05)*10.764</f>
        <v>114.09839999999998</v>
      </c>
      <c r="G269" s="51">
        <f>D269*1.55+F269/2</f>
        <v>1481.9966694000002</v>
      </c>
      <c r="H269" s="49" t="s">
        <v>149</v>
      </c>
      <c r="I269" s="59" t="str">
        <f>A268</f>
        <v>36th Floor</v>
      </c>
      <c r="J269" s="59"/>
      <c r="L269">
        <f t="shared" si="27"/>
        <v>674308.48457700014</v>
      </c>
    </row>
    <row r="270" spans="1:15" ht="15.5" x14ac:dyDescent="0.35">
      <c r="A270" s="59">
        <v>2</v>
      </c>
      <c r="B270" s="59"/>
      <c r="C270" s="49" t="s">
        <v>171</v>
      </c>
      <c r="D270" s="59">
        <f t="shared" si="34"/>
        <v>919.32094800000016</v>
      </c>
      <c r="E270" s="59"/>
      <c r="F270" s="50">
        <f>(4.5+2*3.05)*10.764</f>
        <v>114.09839999999998</v>
      </c>
      <c r="G270" s="51">
        <f>D270*1.55+F270/2</f>
        <v>1481.9966694000002</v>
      </c>
      <c r="H270" s="49" t="s">
        <v>149</v>
      </c>
      <c r="I270" s="59"/>
      <c r="J270" s="59"/>
      <c r="L270">
        <f t="shared" si="27"/>
        <v>674308.48457700014</v>
      </c>
    </row>
    <row r="271" spans="1:15" ht="15" x14ac:dyDescent="0.35">
      <c r="A271" s="58" t="s">
        <v>173</v>
      </c>
      <c r="B271" s="58"/>
      <c r="C271" s="58"/>
      <c r="D271" s="58"/>
      <c r="E271" s="58"/>
      <c r="F271" s="58"/>
      <c r="G271" s="58"/>
      <c r="H271" s="58"/>
      <c r="I271" s="58"/>
      <c r="J271" s="58"/>
      <c r="L271">
        <f t="shared" si="27"/>
        <v>0</v>
      </c>
    </row>
    <row r="272" spans="1:15" ht="18" customHeight="1" x14ac:dyDescent="0.35">
      <c r="A272" s="59">
        <v>1</v>
      </c>
      <c r="B272" s="59"/>
      <c r="C272" s="49" t="s">
        <v>171</v>
      </c>
      <c r="D272" s="59">
        <f>(73.206+3*0.6*3+2.565*0.6+1.55*0.6+3.35*0.6+3.87*0.6)*10.764</f>
        <v>919.32094800000016</v>
      </c>
      <c r="E272" s="59"/>
      <c r="F272" s="49">
        <f t="shared" si="31"/>
        <v>48.437999999999995</v>
      </c>
      <c r="G272" s="51">
        <f>D272*1.55+F272</f>
        <v>1473.3854694000004</v>
      </c>
      <c r="H272" s="49" t="s">
        <v>149</v>
      </c>
      <c r="I272" s="59" t="str">
        <f>A271</f>
        <v>38th Floor</v>
      </c>
      <c r="J272" s="59"/>
      <c r="L272">
        <f t="shared" si="27"/>
        <v>670390.38857700012</v>
      </c>
    </row>
    <row r="273" spans="1:12" ht="17.25" customHeight="1" x14ac:dyDescent="0.35">
      <c r="A273" s="59">
        <v>2</v>
      </c>
      <c r="B273" s="59"/>
      <c r="C273" s="59" t="s">
        <v>174</v>
      </c>
      <c r="D273" s="59"/>
      <c r="E273" s="59"/>
      <c r="F273" s="59"/>
      <c r="G273" s="59"/>
      <c r="H273" s="59"/>
      <c r="I273" s="59"/>
      <c r="J273" s="59"/>
      <c r="L273">
        <f t="shared" si="27"/>
        <v>0</v>
      </c>
    </row>
    <row r="274" spans="1:12" ht="134.25" customHeight="1" x14ac:dyDescent="0.35">
      <c r="A274" s="152" t="s">
        <v>266</v>
      </c>
      <c r="B274" s="153"/>
      <c r="C274" s="153"/>
      <c r="D274" s="153"/>
      <c r="E274" s="153"/>
      <c r="F274" s="153"/>
      <c r="G274" s="153"/>
      <c r="H274" s="153"/>
      <c r="I274" s="153"/>
      <c r="J274" s="154"/>
    </row>
    <row r="275" spans="1:12" x14ac:dyDescent="0.35">
      <c r="A275" s="151" t="s">
        <v>26</v>
      </c>
      <c r="B275" s="80"/>
      <c r="C275" s="80"/>
      <c r="D275" s="80"/>
      <c r="E275" s="80"/>
      <c r="F275" s="80"/>
      <c r="G275" s="80"/>
      <c r="H275" s="80"/>
      <c r="I275" s="80"/>
      <c r="J275" s="81"/>
    </row>
    <row r="276" spans="1:12" x14ac:dyDescent="0.35">
      <c r="A276" s="76" t="s">
        <v>33</v>
      </c>
      <c r="B276" s="77"/>
      <c r="C276" s="77"/>
      <c r="D276" s="77"/>
      <c r="E276" s="77"/>
      <c r="F276" s="77"/>
      <c r="G276" s="77"/>
      <c r="H276" s="77"/>
      <c r="I276" s="77"/>
      <c r="J276" s="78"/>
    </row>
    <row r="277" spans="1:12" x14ac:dyDescent="0.35">
      <c r="A277" s="151" t="s">
        <v>28</v>
      </c>
      <c r="B277" s="80"/>
      <c r="C277" s="80"/>
      <c r="D277" s="80"/>
      <c r="E277" s="80"/>
      <c r="F277" s="80"/>
      <c r="G277" s="80"/>
      <c r="H277" s="80"/>
      <c r="I277" s="80"/>
      <c r="J277" s="81"/>
    </row>
    <row r="278" spans="1:12" x14ac:dyDescent="0.35">
      <c r="A278" s="93" t="s">
        <v>38</v>
      </c>
      <c r="B278" s="94"/>
      <c r="C278" s="94"/>
      <c r="D278" s="94"/>
      <c r="E278" s="94"/>
      <c r="F278" s="94"/>
      <c r="G278" s="94"/>
      <c r="H278" s="94"/>
      <c r="I278" s="94"/>
      <c r="J278" s="95"/>
    </row>
    <row r="279" spans="1:12" ht="16.5" customHeight="1" x14ac:dyDescent="0.35">
      <c r="A279" s="106" t="s">
        <v>56</v>
      </c>
      <c r="B279" s="107"/>
      <c r="C279" s="107"/>
      <c r="D279" s="107"/>
      <c r="E279" s="107"/>
      <c r="F279" s="107"/>
      <c r="G279" s="107"/>
      <c r="H279" s="107"/>
      <c r="I279" s="107"/>
      <c r="J279" s="108"/>
    </row>
    <row r="280" spans="1:12" x14ac:dyDescent="0.35">
      <c r="A280" s="93" t="s">
        <v>39</v>
      </c>
      <c r="B280" s="94"/>
      <c r="C280" s="94"/>
      <c r="D280" s="94"/>
      <c r="E280" s="94"/>
      <c r="F280" s="94"/>
      <c r="G280" s="94"/>
      <c r="H280" s="94"/>
      <c r="I280" s="94"/>
      <c r="J280" s="95"/>
    </row>
    <row r="281" spans="1:12" x14ac:dyDescent="0.35">
      <c r="A281" s="93" t="s">
        <v>40</v>
      </c>
      <c r="B281" s="94"/>
      <c r="C281" s="94"/>
      <c r="D281" s="94"/>
      <c r="E281" s="94"/>
      <c r="F281" s="94"/>
      <c r="G281" s="94"/>
      <c r="H281" s="94"/>
      <c r="I281" s="94"/>
      <c r="J281" s="95"/>
    </row>
    <row r="282" spans="1:12" ht="30.75" customHeight="1" x14ac:dyDescent="0.35">
      <c r="A282" s="124" t="s">
        <v>41</v>
      </c>
      <c r="B282" s="114"/>
      <c r="C282" s="114"/>
      <c r="D282" s="114"/>
      <c r="E282" s="114"/>
      <c r="F282" s="114"/>
      <c r="G282" s="114"/>
      <c r="H282" s="114"/>
      <c r="I282" s="114"/>
      <c r="J282" s="115"/>
    </row>
    <row r="283" spans="1:12" ht="15" customHeight="1" x14ac:dyDescent="0.35">
      <c r="A283" s="135" t="s">
        <v>27</v>
      </c>
      <c r="B283" s="136"/>
      <c r="C283" s="136"/>
      <c r="D283" s="136"/>
      <c r="E283" s="136"/>
      <c r="F283" s="136"/>
      <c r="G283" s="136"/>
      <c r="H283" s="136"/>
      <c r="I283" s="136"/>
      <c r="J283" s="137"/>
    </row>
    <row r="284" spans="1:12" x14ac:dyDescent="0.35">
      <c r="A284" s="138"/>
      <c r="B284" s="139"/>
      <c r="C284" s="139"/>
      <c r="D284" s="139"/>
      <c r="E284" s="139"/>
      <c r="F284" s="139"/>
      <c r="G284" s="139"/>
      <c r="H284" s="139"/>
      <c r="I284" s="139"/>
      <c r="J284" s="140"/>
    </row>
    <row r="285" spans="1:12" x14ac:dyDescent="0.35">
      <c r="A285" s="138"/>
      <c r="B285" s="139"/>
      <c r="C285" s="139"/>
      <c r="D285" s="139"/>
      <c r="E285" s="139"/>
      <c r="F285" s="139"/>
      <c r="G285" s="139"/>
      <c r="H285" s="139"/>
      <c r="I285" s="139"/>
      <c r="J285" s="140"/>
    </row>
    <row r="286" spans="1:12" ht="13.5" customHeight="1" x14ac:dyDescent="0.35">
      <c r="A286" s="141"/>
      <c r="B286" s="142"/>
      <c r="C286" s="142"/>
      <c r="D286" s="142"/>
      <c r="E286" s="142"/>
      <c r="F286" s="142"/>
      <c r="G286" s="142"/>
      <c r="H286" s="142"/>
      <c r="I286" s="142"/>
      <c r="J286" s="143"/>
    </row>
    <row r="287" spans="1:12" ht="15" customHeight="1" x14ac:dyDescent="0.35">
      <c r="A287" s="20" t="s">
        <v>196</v>
      </c>
      <c r="B287" s="26"/>
      <c r="C287" s="26"/>
      <c r="D287" s="26"/>
      <c r="F287" s="26" t="str">
        <f>F8</f>
        <v>NG Grand Plaza</v>
      </c>
      <c r="G287" s="19"/>
      <c r="H287" s="187"/>
      <c r="I287" s="187"/>
    </row>
    <row r="327" hidden="1" x14ac:dyDescent="0.35"/>
    <row r="328" hidden="1" x14ac:dyDescent="0.35"/>
    <row r="329" hidden="1" x14ac:dyDescent="0.35"/>
    <row r="330" hidden="1" x14ac:dyDescent="0.35"/>
    <row r="331" hidden="1" x14ac:dyDescent="0.35"/>
    <row r="332" hidden="1" x14ac:dyDescent="0.35"/>
    <row r="333" hidden="1" x14ac:dyDescent="0.35"/>
    <row r="334" hidden="1" x14ac:dyDescent="0.35"/>
    <row r="335" hidden="1" x14ac:dyDescent="0.35"/>
    <row r="336" hidden="1" x14ac:dyDescent="0.35"/>
    <row r="337" spans="1:1" hidden="1" x14ac:dyDescent="0.35"/>
    <row r="338" spans="1:1" hidden="1" x14ac:dyDescent="0.35"/>
    <row r="340" spans="1:1" x14ac:dyDescent="0.35">
      <c r="A340" s="23" t="s">
        <v>134</v>
      </c>
    </row>
  </sheetData>
  <mergeCells count="628">
    <mergeCell ref="K78:P78"/>
    <mergeCell ref="A52:C52"/>
    <mergeCell ref="D52:J52"/>
    <mergeCell ref="F51:G51"/>
    <mergeCell ref="H51:J51"/>
    <mergeCell ref="A59:B60"/>
    <mergeCell ref="C59:E60"/>
    <mergeCell ref="F59:G60"/>
    <mergeCell ref="H59:J60"/>
    <mergeCell ref="A56:B56"/>
    <mergeCell ref="C56:J56"/>
    <mergeCell ref="I57:J57"/>
    <mergeCell ref="A58:B58"/>
    <mergeCell ref="C58:J58"/>
    <mergeCell ref="A61:B61"/>
    <mergeCell ref="D61:E61"/>
    <mergeCell ref="F61:G61"/>
    <mergeCell ref="H61:J61"/>
    <mergeCell ref="A62:B62"/>
    <mergeCell ref="D62:E62"/>
    <mergeCell ref="F62:G71"/>
    <mergeCell ref="H62:J71"/>
    <mergeCell ref="A63:B63"/>
    <mergeCell ref="D63:E63"/>
    <mergeCell ref="H46:J46"/>
    <mergeCell ref="C46:F46"/>
    <mergeCell ref="A46:B46"/>
    <mergeCell ref="A47:B47"/>
    <mergeCell ref="C47:F47"/>
    <mergeCell ref="H47:J47"/>
    <mergeCell ref="A48:B48"/>
    <mergeCell ref="C48:F48"/>
    <mergeCell ref="H48:J48"/>
    <mergeCell ref="A128:B128"/>
    <mergeCell ref="D128:E128"/>
    <mergeCell ref="I128:J128"/>
    <mergeCell ref="A129:B129"/>
    <mergeCell ref="D129:E129"/>
    <mergeCell ref="I129:J129"/>
    <mergeCell ref="A125:B125"/>
    <mergeCell ref="D125:E125"/>
    <mergeCell ref="I125:J125"/>
    <mergeCell ref="A126:B126"/>
    <mergeCell ref="D126:E126"/>
    <mergeCell ref="I126:J126"/>
    <mergeCell ref="A127:B127"/>
    <mergeCell ref="D127:E127"/>
    <mergeCell ref="I127:J127"/>
    <mergeCell ref="A122:B122"/>
    <mergeCell ref="D122:E122"/>
    <mergeCell ref="I122:J122"/>
    <mergeCell ref="A123:B123"/>
    <mergeCell ref="D123:E123"/>
    <mergeCell ref="I123:J123"/>
    <mergeCell ref="A124:B124"/>
    <mergeCell ref="D124:E124"/>
    <mergeCell ref="I124:J124"/>
    <mergeCell ref="A119:B119"/>
    <mergeCell ref="D119:E119"/>
    <mergeCell ref="I119:J119"/>
    <mergeCell ref="A120:B120"/>
    <mergeCell ref="D120:E120"/>
    <mergeCell ref="I120:J120"/>
    <mergeCell ref="A121:B121"/>
    <mergeCell ref="D121:E121"/>
    <mergeCell ref="I121:J121"/>
    <mergeCell ref="A116:B116"/>
    <mergeCell ref="D116:E116"/>
    <mergeCell ref="I116:J116"/>
    <mergeCell ref="A117:B117"/>
    <mergeCell ref="D117:E117"/>
    <mergeCell ref="I117:J117"/>
    <mergeCell ref="A118:B118"/>
    <mergeCell ref="D118:E118"/>
    <mergeCell ref="I118:J118"/>
    <mergeCell ref="A113:B113"/>
    <mergeCell ref="D113:E113"/>
    <mergeCell ref="I113:J113"/>
    <mergeCell ref="A114:B114"/>
    <mergeCell ref="D114:E114"/>
    <mergeCell ref="I114:J114"/>
    <mergeCell ref="A115:B115"/>
    <mergeCell ref="D115:E115"/>
    <mergeCell ref="I115:J115"/>
    <mergeCell ref="A110:B110"/>
    <mergeCell ref="D110:E110"/>
    <mergeCell ref="I110:J110"/>
    <mergeCell ref="A111:B111"/>
    <mergeCell ref="D111:E111"/>
    <mergeCell ref="I111:J111"/>
    <mergeCell ref="A112:B112"/>
    <mergeCell ref="D112:E112"/>
    <mergeCell ref="I112:J112"/>
    <mergeCell ref="A107:B107"/>
    <mergeCell ref="D107:E107"/>
    <mergeCell ref="I107:J107"/>
    <mergeCell ref="A108:B108"/>
    <mergeCell ref="D108:E108"/>
    <mergeCell ref="I108:J108"/>
    <mergeCell ref="A109:B109"/>
    <mergeCell ref="D109:E109"/>
    <mergeCell ref="I109:J109"/>
    <mergeCell ref="A103:J103"/>
    <mergeCell ref="A104:B104"/>
    <mergeCell ref="D104:E104"/>
    <mergeCell ref="I104:J104"/>
    <mergeCell ref="A105:B105"/>
    <mergeCell ref="D105:E105"/>
    <mergeCell ref="I105:J105"/>
    <mergeCell ref="A106:B106"/>
    <mergeCell ref="D106:E106"/>
    <mergeCell ref="I106:J106"/>
    <mergeCell ref="A94:B94"/>
    <mergeCell ref="D94:F94"/>
    <mergeCell ref="G94:J94"/>
    <mergeCell ref="A95:B95"/>
    <mergeCell ref="D95:F95"/>
    <mergeCell ref="G95:J95"/>
    <mergeCell ref="A98:B98"/>
    <mergeCell ref="D98:F98"/>
    <mergeCell ref="G98:J98"/>
    <mergeCell ref="A96:B96"/>
    <mergeCell ref="D96:F96"/>
    <mergeCell ref="G96:J96"/>
    <mergeCell ref="A97:B97"/>
    <mergeCell ref="D97:F97"/>
    <mergeCell ref="G97:J97"/>
    <mergeCell ref="A89:J89"/>
    <mergeCell ref="A90:B90"/>
    <mergeCell ref="D90:F90"/>
    <mergeCell ref="G90:J90"/>
    <mergeCell ref="A91:B91"/>
    <mergeCell ref="D91:F91"/>
    <mergeCell ref="G91:J91"/>
    <mergeCell ref="A92:J92"/>
    <mergeCell ref="A93:B93"/>
    <mergeCell ref="D93:F93"/>
    <mergeCell ref="G93:J93"/>
    <mergeCell ref="H287:I287"/>
    <mergeCell ref="A180:B180"/>
    <mergeCell ref="D180:E180"/>
    <mergeCell ref="A183:B183"/>
    <mergeCell ref="D183:E183"/>
    <mergeCell ref="I183:J183"/>
    <mergeCell ref="A182:B182"/>
    <mergeCell ref="D182:E182"/>
    <mergeCell ref="I182:J182"/>
    <mergeCell ref="A181:B181"/>
    <mergeCell ref="D181:E181"/>
    <mergeCell ref="I181:J181"/>
    <mergeCell ref="A224:B224"/>
    <mergeCell ref="D224:E224"/>
    <mergeCell ref="A225:B225"/>
    <mergeCell ref="A227:B227"/>
    <mergeCell ref="D227:E227"/>
    <mergeCell ref="A223:J223"/>
    <mergeCell ref="I224:J225"/>
    <mergeCell ref="C225:H225"/>
    <mergeCell ref="A226:J226"/>
    <mergeCell ref="I227:J228"/>
    <mergeCell ref="C228:H228"/>
    <mergeCell ref="A211:B211"/>
    <mergeCell ref="A102:J102"/>
    <mergeCell ref="A157:J157"/>
    <mergeCell ref="A179:B179"/>
    <mergeCell ref="I179:J179"/>
    <mergeCell ref="I132:J132"/>
    <mergeCell ref="A175:B175"/>
    <mergeCell ref="D175:E175"/>
    <mergeCell ref="I175:J175"/>
    <mergeCell ref="A78:F78"/>
    <mergeCell ref="G78:J78"/>
    <mergeCell ref="A79:F79"/>
    <mergeCell ref="G82:J82"/>
    <mergeCell ref="G84:J84"/>
    <mergeCell ref="A82:F82"/>
    <mergeCell ref="D143:E143"/>
    <mergeCell ref="I143:J143"/>
    <mergeCell ref="A144:B144"/>
    <mergeCell ref="D144:E144"/>
    <mergeCell ref="I144:J144"/>
    <mergeCell ref="A145:B145"/>
    <mergeCell ref="A84:F84"/>
    <mergeCell ref="A85:F85"/>
    <mergeCell ref="A101:B101"/>
    <mergeCell ref="G86:J86"/>
    <mergeCell ref="G81:J81"/>
    <mergeCell ref="A83:F83"/>
    <mergeCell ref="D101:E101"/>
    <mergeCell ref="G85:J85"/>
    <mergeCell ref="A86:F86"/>
    <mergeCell ref="I14:J14"/>
    <mergeCell ref="A81:F81"/>
    <mergeCell ref="G83:J83"/>
    <mergeCell ref="A87:F87"/>
    <mergeCell ref="G87:J87"/>
    <mergeCell ref="F39:J39"/>
    <mergeCell ref="F38:J38"/>
    <mergeCell ref="A55:J55"/>
    <mergeCell ref="G80:J80"/>
    <mergeCell ref="A80:F80"/>
    <mergeCell ref="A77:F77"/>
    <mergeCell ref="A40:E40"/>
    <mergeCell ref="C43:F43"/>
    <mergeCell ref="A54:J54"/>
    <mergeCell ref="A72:J72"/>
    <mergeCell ref="A73:J73"/>
    <mergeCell ref="A74:J75"/>
    <mergeCell ref="A76:J76"/>
    <mergeCell ref="G79:J79"/>
    <mergeCell ref="D211:E211"/>
    <mergeCell ref="A130:J130"/>
    <mergeCell ref="A131:B131"/>
    <mergeCell ref="A210:J210"/>
    <mergeCell ref="A207:J207"/>
    <mergeCell ref="D131:E131"/>
    <mergeCell ref="I131:J131"/>
    <mergeCell ref="A132:B132"/>
    <mergeCell ref="D132:E132"/>
    <mergeCell ref="I208:J209"/>
    <mergeCell ref="D209:E209"/>
    <mergeCell ref="A208:B208"/>
    <mergeCell ref="D208:E208"/>
    <mergeCell ref="D179:E179"/>
    <mergeCell ref="A205:J205"/>
    <mergeCell ref="A206:J206"/>
    <mergeCell ref="I137:J137"/>
    <mergeCell ref="A138:B138"/>
    <mergeCell ref="D138:E138"/>
    <mergeCell ref="A142:B142"/>
    <mergeCell ref="D142:E142"/>
    <mergeCell ref="I142:J142"/>
    <mergeCell ref="A143:B143"/>
    <mergeCell ref="I138:J138"/>
    <mergeCell ref="I217:J218"/>
    <mergeCell ref="D212:E212"/>
    <mergeCell ref="A212:B212"/>
    <mergeCell ref="A221:B221"/>
    <mergeCell ref="D221:E221"/>
    <mergeCell ref="I214:J215"/>
    <mergeCell ref="C215:H215"/>
    <mergeCell ref="A220:J220"/>
    <mergeCell ref="I221:J222"/>
    <mergeCell ref="A219:J219"/>
    <mergeCell ref="D222:E222"/>
    <mergeCell ref="A218:B218"/>
    <mergeCell ref="D218:E218"/>
    <mergeCell ref="A222:B222"/>
    <mergeCell ref="A214:B214"/>
    <mergeCell ref="D214:E214"/>
    <mergeCell ref="A215:B215"/>
    <mergeCell ref="A217:B217"/>
    <mergeCell ref="D217:E217"/>
    <mergeCell ref="A213:J213"/>
    <mergeCell ref="A41:E41"/>
    <mergeCell ref="F41:J41"/>
    <mergeCell ref="F40:J40"/>
    <mergeCell ref="A1:J1"/>
    <mergeCell ref="F49:G49"/>
    <mergeCell ref="A13:B13"/>
    <mergeCell ref="C13:J13"/>
    <mergeCell ref="A43:B43"/>
    <mergeCell ref="A51:C51"/>
    <mergeCell ref="A42:J42"/>
    <mergeCell ref="D49:E49"/>
    <mergeCell ref="C44:F44"/>
    <mergeCell ref="C45:F45"/>
    <mergeCell ref="A49:C49"/>
    <mergeCell ref="D51:E51"/>
    <mergeCell ref="H49:J49"/>
    <mergeCell ref="A45:B45"/>
    <mergeCell ref="A44:B44"/>
    <mergeCell ref="A39:E39"/>
    <mergeCell ref="A34:J35"/>
    <mergeCell ref="A50:J50"/>
    <mergeCell ref="A30:J30"/>
    <mergeCell ref="A37:E37"/>
    <mergeCell ref="F37:J37"/>
    <mergeCell ref="A283:J286"/>
    <mergeCell ref="A88:F88"/>
    <mergeCell ref="G88:J88"/>
    <mergeCell ref="A99:J99"/>
    <mergeCell ref="A100:J100"/>
    <mergeCell ref="A279:J279"/>
    <mergeCell ref="A280:J280"/>
    <mergeCell ref="A281:J281"/>
    <mergeCell ref="A282:J282"/>
    <mergeCell ref="I101:J101"/>
    <mergeCell ref="A276:J276"/>
    <mergeCell ref="A277:J277"/>
    <mergeCell ref="A274:J274"/>
    <mergeCell ref="A186:B186"/>
    <mergeCell ref="D186:E186"/>
    <mergeCell ref="A187:B187"/>
    <mergeCell ref="D190:E190"/>
    <mergeCell ref="A191:J191"/>
    <mergeCell ref="A195:B195"/>
    <mergeCell ref="A278:J278"/>
    <mergeCell ref="A275:J275"/>
    <mergeCell ref="A228:B228"/>
    <mergeCell ref="A216:J216"/>
    <mergeCell ref="A198:J198"/>
    <mergeCell ref="A199:B199"/>
    <mergeCell ref="D199:E199"/>
    <mergeCell ref="A194:J194"/>
    <mergeCell ref="A204:J204"/>
    <mergeCell ref="I211:J212"/>
    <mergeCell ref="A209:B209"/>
    <mergeCell ref="G77:J77"/>
    <mergeCell ref="C203:H203"/>
    <mergeCell ref="A133:B133"/>
    <mergeCell ref="A192:B192"/>
    <mergeCell ref="D133:E133"/>
    <mergeCell ref="I133:J133"/>
    <mergeCell ref="A134:B134"/>
    <mergeCell ref="D134:E134"/>
    <mergeCell ref="A176:B176"/>
    <mergeCell ref="D176:E176"/>
    <mergeCell ref="I176:J176"/>
    <mergeCell ref="A139:B139"/>
    <mergeCell ref="D139:E139"/>
    <mergeCell ref="I139:J139"/>
    <mergeCell ref="A140:B140"/>
    <mergeCell ref="D140:E140"/>
    <mergeCell ref="I140:J140"/>
    <mergeCell ref="A141:B141"/>
    <mergeCell ref="F36:J36"/>
    <mergeCell ref="A31:B31"/>
    <mergeCell ref="I28:J28"/>
    <mergeCell ref="E28:F28"/>
    <mergeCell ref="A29:J29"/>
    <mergeCell ref="C28:D28"/>
    <mergeCell ref="A36:E36"/>
    <mergeCell ref="A33:J33"/>
    <mergeCell ref="A32:B32"/>
    <mergeCell ref="C32:J32"/>
    <mergeCell ref="C31:J31"/>
    <mergeCell ref="A28:B28"/>
    <mergeCell ref="C26:D26"/>
    <mergeCell ref="E26:F26"/>
    <mergeCell ref="G26:H26"/>
    <mergeCell ref="C27:D27"/>
    <mergeCell ref="I26:J26"/>
    <mergeCell ref="A10:E10"/>
    <mergeCell ref="F10:J10"/>
    <mergeCell ref="E14:F14"/>
    <mergeCell ref="A27:B27"/>
    <mergeCell ref="A2:J2"/>
    <mergeCell ref="A3:E3"/>
    <mergeCell ref="F3:J3"/>
    <mergeCell ref="A4:E4"/>
    <mergeCell ref="F4:J4"/>
    <mergeCell ref="F9:J9"/>
    <mergeCell ref="H43:J43"/>
    <mergeCell ref="B16:E16"/>
    <mergeCell ref="A17:B17"/>
    <mergeCell ref="G28:H28"/>
    <mergeCell ref="E27:F27"/>
    <mergeCell ref="G27:H27"/>
    <mergeCell ref="A12:E12"/>
    <mergeCell ref="A5:E5"/>
    <mergeCell ref="F5:J5"/>
    <mergeCell ref="A7:E7"/>
    <mergeCell ref="F7:J7"/>
    <mergeCell ref="C17:E17"/>
    <mergeCell ref="A38:E38"/>
    <mergeCell ref="A6:E6"/>
    <mergeCell ref="F6:J6"/>
    <mergeCell ref="F8:J8"/>
    <mergeCell ref="F11:J11"/>
    <mergeCell ref="B15:E15"/>
    <mergeCell ref="A8:E8"/>
    <mergeCell ref="F25:J25"/>
    <mergeCell ref="A20:E21"/>
    <mergeCell ref="F20:J21"/>
    <mergeCell ref="G15:J15"/>
    <mergeCell ref="F18:J19"/>
    <mergeCell ref="F22:J22"/>
    <mergeCell ref="H44:J44"/>
    <mergeCell ref="F17:G17"/>
    <mergeCell ref="A18:E19"/>
    <mergeCell ref="B14:D14"/>
    <mergeCell ref="G16:J16"/>
    <mergeCell ref="A11:E11"/>
    <mergeCell ref="F12:J12"/>
    <mergeCell ref="A9:E9"/>
    <mergeCell ref="F23:J23"/>
    <mergeCell ref="I27:J27"/>
    <mergeCell ref="H17:J17"/>
    <mergeCell ref="A23:E23"/>
    <mergeCell ref="A24:E24"/>
    <mergeCell ref="A25:E25"/>
    <mergeCell ref="F24:J24"/>
    <mergeCell ref="A22:E22"/>
    <mergeCell ref="A26:B26"/>
    <mergeCell ref="D141:E141"/>
    <mergeCell ref="I141:J141"/>
    <mergeCell ref="I134:J134"/>
    <mergeCell ref="A135:B135"/>
    <mergeCell ref="D135:E135"/>
    <mergeCell ref="I135:J135"/>
    <mergeCell ref="A136:B136"/>
    <mergeCell ref="D136:E136"/>
    <mergeCell ref="I136:J136"/>
    <mergeCell ref="A137:B137"/>
    <mergeCell ref="D137:E137"/>
    <mergeCell ref="D145:E145"/>
    <mergeCell ref="I145:J145"/>
    <mergeCell ref="A146:B146"/>
    <mergeCell ref="D146:E146"/>
    <mergeCell ref="I146:J146"/>
    <mergeCell ref="A147:B147"/>
    <mergeCell ref="D147:E147"/>
    <mergeCell ref="I147:J147"/>
    <mergeCell ref="A148:B148"/>
    <mergeCell ref="D148:E148"/>
    <mergeCell ref="I148:J148"/>
    <mergeCell ref="A149:B149"/>
    <mergeCell ref="D149:E149"/>
    <mergeCell ref="I149:J149"/>
    <mergeCell ref="A150:B150"/>
    <mergeCell ref="D150:E150"/>
    <mergeCell ref="I150:J150"/>
    <mergeCell ref="A151:B151"/>
    <mergeCell ref="D151:E151"/>
    <mergeCell ref="I151:J151"/>
    <mergeCell ref="A152:B152"/>
    <mergeCell ref="D152:E152"/>
    <mergeCell ref="I152:J152"/>
    <mergeCell ref="A153:B153"/>
    <mergeCell ref="D153:E153"/>
    <mergeCell ref="I153:J153"/>
    <mergeCell ref="A154:B154"/>
    <mergeCell ref="D154:E154"/>
    <mergeCell ref="I154:J154"/>
    <mergeCell ref="A155:B155"/>
    <mergeCell ref="D155:E155"/>
    <mergeCell ref="I155:J155"/>
    <mergeCell ref="A156:B156"/>
    <mergeCell ref="D156:E156"/>
    <mergeCell ref="I156:J156"/>
    <mergeCell ref="A158:B158"/>
    <mergeCell ref="D158:E158"/>
    <mergeCell ref="I158:J158"/>
    <mergeCell ref="A159:B159"/>
    <mergeCell ref="D159:E159"/>
    <mergeCell ref="I159:J159"/>
    <mergeCell ref="A160:B160"/>
    <mergeCell ref="D160:E160"/>
    <mergeCell ref="I160:J160"/>
    <mergeCell ref="A161:B161"/>
    <mergeCell ref="D161:E161"/>
    <mergeCell ref="I161:J161"/>
    <mergeCell ref="A162:B162"/>
    <mergeCell ref="D162:E162"/>
    <mergeCell ref="I162:J162"/>
    <mergeCell ref="A163:B163"/>
    <mergeCell ref="D163:E163"/>
    <mergeCell ref="I163:J163"/>
    <mergeCell ref="A164:B164"/>
    <mergeCell ref="D164:E164"/>
    <mergeCell ref="I164:J164"/>
    <mergeCell ref="A165:B165"/>
    <mergeCell ref="D165:E165"/>
    <mergeCell ref="I165:J165"/>
    <mergeCell ref="A166:B166"/>
    <mergeCell ref="D166:E166"/>
    <mergeCell ref="I166:J166"/>
    <mergeCell ref="A167:B167"/>
    <mergeCell ref="D167:E167"/>
    <mergeCell ref="I167:J167"/>
    <mergeCell ref="A168:B168"/>
    <mergeCell ref="D168:E168"/>
    <mergeCell ref="I168:J168"/>
    <mergeCell ref="A169:B169"/>
    <mergeCell ref="D169:E169"/>
    <mergeCell ref="I169:J169"/>
    <mergeCell ref="A170:B170"/>
    <mergeCell ref="D170:E170"/>
    <mergeCell ref="I170:J170"/>
    <mergeCell ref="A171:B171"/>
    <mergeCell ref="D171:E171"/>
    <mergeCell ref="I171:J171"/>
    <mergeCell ref="A172:B172"/>
    <mergeCell ref="D172:E172"/>
    <mergeCell ref="I172:J172"/>
    <mergeCell ref="A173:B173"/>
    <mergeCell ref="D173:E173"/>
    <mergeCell ref="I173:J173"/>
    <mergeCell ref="A188:J188"/>
    <mergeCell ref="I189:J190"/>
    <mergeCell ref="D193:E193"/>
    <mergeCell ref="A174:B174"/>
    <mergeCell ref="D174:E174"/>
    <mergeCell ref="I174:J174"/>
    <mergeCell ref="A184:J184"/>
    <mergeCell ref="A185:J185"/>
    <mergeCell ref="I186:J187"/>
    <mergeCell ref="A177:B177"/>
    <mergeCell ref="D177:E177"/>
    <mergeCell ref="I177:J177"/>
    <mergeCell ref="A178:B178"/>
    <mergeCell ref="D187:E187"/>
    <mergeCell ref="I180:J180"/>
    <mergeCell ref="D178:E178"/>
    <mergeCell ref="I178:J178"/>
    <mergeCell ref="A201:J201"/>
    <mergeCell ref="A202:B202"/>
    <mergeCell ref="D202:E202"/>
    <mergeCell ref="I202:J203"/>
    <mergeCell ref="A203:B203"/>
    <mergeCell ref="A197:J197"/>
    <mergeCell ref="H45:J45"/>
    <mergeCell ref="D195:E195"/>
    <mergeCell ref="A196:B196"/>
    <mergeCell ref="D196:E196"/>
    <mergeCell ref="I195:J196"/>
    <mergeCell ref="I199:J200"/>
    <mergeCell ref="A200:B200"/>
    <mergeCell ref="D200:E200"/>
    <mergeCell ref="D53:J53"/>
    <mergeCell ref="A53:C53"/>
    <mergeCell ref="A189:B189"/>
    <mergeCell ref="D189:E189"/>
    <mergeCell ref="A190:B190"/>
    <mergeCell ref="D192:E192"/>
    <mergeCell ref="I192:J193"/>
    <mergeCell ref="A193:B193"/>
    <mergeCell ref="A69:B69"/>
    <mergeCell ref="D69:E69"/>
    <mergeCell ref="A70:B70"/>
    <mergeCell ref="D70:E70"/>
    <mergeCell ref="A71:B71"/>
    <mergeCell ref="D71:E71"/>
    <mergeCell ref="A64:B64"/>
    <mergeCell ref="D64:E64"/>
    <mergeCell ref="A65:B65"/>
    <mergeCell ref="D65:E65"/>
    <mergeCell ref="A66:B66"/>
    <mergeCell ref="D66:E66"/>
    <mergeCell ref="A67:B67"/>
    <mergeCell ref="D67:E67"/>
    <mergeCell ref="A68:B68"/>
    <mergeCell ref="D68:E68"/>
    <mergeCell ref="A229:J229"/>
    <mergeCell ref="A230:J230"/>
    <mergeCell ref="A231:J231"/>
    <mergeCell ref="A232:J232"/>
    <mergeCell ref="A233:B233"/>
    <mergeCell ref="D233:E233"/>
    <mergeCell ref="I233:J234"/>
    <mergeCell ref="A234:B234"/>
    <mergeCell ref="D234:E234"/>
    <mergeCell ref="A235:J235"/>
    <mergeCell ref="A236:B236"/>
    <mergeCell ref="D236:E236"/>
    <mergeCell ref="I236:J237"/>
    <mergeCell ref="A237:B237"/>
    <mergeCell ref="D237:E237"/>
    <mergeCell ref="A238:J238"/>
    <mergeCell ref="A239:B239"/>
    <mergeCell ref="D239:E239"/>
    <mergeCell ref="I239:J240"/>
    <mergeCell ref="A240:B240"/>
    <mergeCell ref="C240:H240"/>
    <mergeCell ref="A241:J241"/>
    <mergeCell ref="A242:B242"/>
    <mergeCell ref="D242:E242"/>
    <mergeCell ref="I242:J243"/>
    <mergeCell ref="A243:B243"/>
    <mergeCell ref="D243:E243"/>
    <mergeCell ref="A244:J244"/>
    <mergeCell ref="A245:J245"/>
    <mergeCell ref="A246:B246"/>
    <mergeCell ref="D246:E246"/>
    <mergeCell ref="I246:J247"/>
    <mergeCell ref="A247:B247"/>
    <mergeCell ref="D247:E247"/>
    <mergeCell ref="A248:J248"/>
    <mergeCell ref="A249:B249"/>
    <mergeCell ref="D249:E249"/>
    <mergeCell ref="I249:J250"/>
    <mergeCell ref="A250:B250"/>
    <mergeCell ref="C250:H250"/>
    <mergeCell ref="A251:J251"/>
    <mergeCell ref="A252:B252"/>
    <mergeCell ref="D252:E252"/>
    <mergeCell ref="I252:J253"/>
    <mergeCell ref="A253:B253"/>
    <mergeCell ref="C253:H253"/>
    <mergeCell ref="A254:J254"/>
    <mergeCell ref="A255:J255"/>
    <mergeCell ref="A256:B256"/>
    <mergeCell ref="D256:E256"/>
    <mergeCell ref="I256:J257"/>
    <mergeCell ref="A257:B257"/>
    <mergeCell ref="D257:E257"/>
    <mergeCell ref="A258:J258"/>
    <mergeCell ref="A259:B259"/>
    <mergeCell ref="D259:E259"/>
    <mergeCell ref="I259:J260"/>
    <mergeCell ref="A260:B260"/>
    <mergeCell ref="D260:E260"/>
    <mergeCell ref="A261:J261"/>
    <mergeCell ref="A262:B262"/>
    <mergeCell ref="D262:E262"/>
    <mergeCell ref="I262:J263"/>
    <mergeCell ref="A263:B263"/>
    <mergeCell ref="D263:E263"/>
    <mergeCell ref="A264:J264"/>
    <mergeCell ref="A265:B265"/>
    <mergeCell ref="D265:E265"/>
    <mergeCell ref="I265:J266"/>
    <mergeCell ref="A266:B266"/>
    <mergeCell ref="D266:E266"/>
    <mergeCell ref="A267:J267"/>
    <mergeCell ref="A268:J268"/>
    <mergeCell ref="A269:B269"/>
    <mergeCell ref="D269:E269"/>
    <mergeCell ref="I269:J270"/>
    <mergeCell ref="A270:B270"/>
    <mergeCell ref="D270:E270"/>
    <mergeCell ref="A271:J271"/>
    <mergeCell ref="A272:B272"/>
    <mergeCell ref="D272:E272"/>
    <mergeCell ref="I272:J273"/>
    <mergeCell ref="A273:B273"/>
    <mergeCell ref="C273:H273"/>
  </mergeCells>
  <phoneticPr fontId="0" type="noConversion"/>
  <hyperlinks>
    <hyperlink ref="C32" r:id="rId1"/>
  </hyperlinks>
  <pageMargins left="0.39370078740157483" right="0.31496062992125984" top="0.78740157480314965" bottom="0.78740157480314965" header="0.19685039370078741" footer="0.19685039370078741"/>
  <pageSetup scale="99" fitToHeight="0" orientation="portrait" r:id="rId2"/>
  <headerFooter>
    <oddHeader>&amp;C&amp;"Times New Roman,Bold"&amp;20&amp;G</oddHeader>
    <oddFooter>&amp;L&amp;"Times New Roman,Bold"Ref No: &amp;F&amp;C&amp;G&amp;R&amp;P</oddFooter>
  </headerFooter>
  <rowBreaks count="2" manualBreakCount="2">
    <brk id="286" max="16383" man="1"/>
    <brk id="33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0"/>
  <sheetViews>
    <sheetView workbookViewId="0">
      <selection activeCell="C17" sqref="C17"/>
    </sheetView>
  </sheetViews>
  <sheetFormatPr defaultRowHeight="14.5" x14ac:dyDescent="0.35"/>
  <cols>
    <col min="2" max="2" width="11.7265625" customWidth="1"/>
  </cols>
  <sheetData>
    <row r="2" spans="1:15" x14ac:dyDescent="0.35">
      <c r="A2" t="s">
        <v>111</v>
      </c>
      <c r="B2" s="15" t="s">
        <v>131</v>
      </c>
      <c r="C2" s="15">
        <v>38</v>
      </c>
    </row>
    <row r="3" spans="1:15" x14ac:dyDescent="0.35">
      <c r="B3" t="s">
        <v>112</v>
      </c>
      <c r="C3" t="s">
        <v>113</v>
      </c>
    </row>
    <row r="4" spans="1:15" x14ac:dyDescent="0.35">
      <c r="A4" t="s">
        <v>114</v>
      </c>
      <c r="B4" s="8">
        <v>10</v>
      </c>
      <c r="C4" s="8">
        <v>10</v>
      </c>
      <c r="E4">
        <f>(100/B4)*C4</f>
        <v>100</v>
      </c>
    </row>
    <row r="5" spans="1:15" x14ac:dyDescent="0.35">
      <c r="A5" t="s">
        <v>115</v>
      </c>
      <c r="B5" t="s">
        <v>116</v>
      </c>
      <c r="C5" t="s">
        <v>117</v>
      </c>
      <c r="E5">
        <f>(100/B6)*C6</f>
        <v>100.00000000000001</v>
      </c>
      <c r="I5" s="8" t="s">
        <v>118</v>
      </c>
      <c r="J5" s="8" t="s">
        <v>119</v>
      </c>
      <c r="K5" s="8" t="s">
        <v>120</v>
      </c>
      <c r="L5" s="8" t="s">
        <v>37</v>
      </c>
      <c r="M5" s="8" t="s">
        <v>43</v>
      </c>
      <c r="N5" s="8" t="s">
        <v>121</v>
      </c>
      <c r="O5" s="8" t="s">
        <v>44</v>
      </c>
    </row>
    <row r="6" spans="1:15" x14ac:dyDescent="0.35">
      <c r="B6" s="8">
        <f>C2+1</f>
        <v>39</v>
      </c>
      <c r="C6" s="8">
        <v>39</v>
      </c>
      <c r="E6">
        <f>(100/B8)*C8</f>
        <v>100</v>
      </c>
      <c r="F6" s="16" t="s">
        <v>122</v>
      </c>
      <c r="I6" s="16">
        <f>C4</f>
        <v>10</v>
      </c>
      <c r="J6" s="16">
        <f>40/B6*C6</f>
        <v>40</v>
      </c>
      <c r="K6" s="16">
        <f>15/B8*C8</f>
        <v>15</v>
      </c>
      <c r="L6" s="16">
        <f>10/B10*C10</f>
        <v>10</v>
      </c>
      <c r="M6" s="16">
        <f>10/B12*C12</f>
        <v>10</v>
      </c>
      <c r="N6" s="16">
        <f>5/B14*C14</f>
        <v>5</v>
      </c>
      <c r="O6" s="16">
        <f>5/B16*C16</f>
        <v>5</v>
      </c>
    </row>
    <row r="7" spans="1:15" x14ac:dyDescent="0.35">
      <c r="A7" t="s">
        <v>123</v>
      </c>
      <c r="B7" t="s">
        <v>124</v>
      </c>
      <c r="C7" t="s">
        <v>125</v>
      </c>
      <c r="E7">
        <f>(100/B10)*C10</f>
        <v>100</v>
      </c>
      <c r="F7" s="8" t="s">
        <v>126</v>
      </c>
      <c r="G7" s="8"/>
      <c r="H7" s="8"/>
      <c r="I7" s="8">
        <f>I6+20</f>
        <v>30</v>
      </c>
      <c r="J7" s="8">
        <f>30/B6*C6</f>
        <v>30</v>
      </c>
      <c r="K7" s="8">
        <f>15/B8*C8</f>
        <v>15</v>
      </c>
      <c r="L7" s="8">
        <f>10/B10*C10</f>
        <v>10</v>
      </c>
      <c r="M7" s="8">
        <f>5/B12*C12</f>
        <v>5</v>
      </c>
      <c r="N7" s="8">
        <f>5/B14*C14</f>
        <v>5</v>
      </c>
      <c r="O7" s="8">
        <f>5/B16*C16</f>
        <v>5</v>
      </c>
    </row>
    <row r="8" spans="1:15" x14ac:dyDescent="0.35">
      <c r="B8" s="8">
        <f>C2</f>
        <v>38</v>
      </c>
      <c r="C8" s="8">
        <v>38</v>
      </c>
      <c r="E8">
        <f>(100/B12)*C12</f>
        <v>100</v>
      </c>
    </row>
    <row r="9" spans="1:15" x14ac:dyDescent="0.35">
      <c r="A9" t="s">
        <v>127</v>
      </c>
      <c r="B9" t="s">
        <v>124</v>
      </c>
      <c r="C9" t="s">
        <v>125</v>
      </c>
      <c r="E9">
        <f>(100/B14)*C14</f>
        <v>100</v>
      </c>
    </row>
    <row r="10" spans="1:15" x14ac:dyDescent="0.35">
      <c r="B10" s="8">
        <f>C2</f>
        <v>38</v>
      </c>
      <c r="C10" s="8">
        <v>38</v>
      </c>
      <c r="E10">
        <f>(100/B16)*C16</f>
        <v>100</v>
      </c>
    </row>
    <row r="11" spans="1:15" x14ac:dyDescent="0.35">
      <c r="A11" t="s">
        <v>43</v>
      </c>
      <c r="B11" t="s">
        <v>124</v>
      </c>
      <c r="C11" t="s">
        <v>125</v>
      </c>
    </row>
    <row r="12" spans="1:15" x14ac:dyDescent="0.35">
      <c r="B12" s="8">
        <f>C2</f>
        <v>38</v>
      </c>
      <c r="C12" s="8">
        <v>38</v>
      </c>
      <c r="F12" s="8"/>
      <c r="G12" s="8" t="s">
        <v>122</v>
      </c>
      <c r="H12" s="8" t="s">
        <v>128</v>
      </c>
      <c r="L12" t="s">
        <v>129</v>
      </c>
    </row>
    <row r="13" spans="1:15" ht="29" x14ac:dyDescent="0.35">
      <c r="A13" s="17" t="s">
        <v>121</v>
      </c>
      <c r="B13" t="s">
        <v>124</v>
      </c>
      <c r="C13" t="s">
        <v>125</v>
      </c>
      <c r="F13" s="8" t="s">
        <v>35</v>
      </c>
      <c r="G13" s="8">
        <f>I6</f>
        <v>10</v>
      </c>
      <c r="H13" s="8">
        <f>I7</f>
        <v>30</v>
      </c>
      <c r="L13" t="s">
        <v>129</v>
      </c>
    </row>
    <row r="14" spans="1:15" x14ac:dyDescent="0.35">
      <c r="B14" s="8">
        <f>C2</f>
        <v>38</v>
      </c>
      <c r="C14" s="8">
        <v>38</v>
      </c>
      <c r="F14" s="8" t="s">
        <v>36</v>
      </c>
      <c r="G14" s="8">
        <f>J6</f>
        <v>40</v>
      </c>
      <c r="H14" s="8">
        <f>J7</f>
        <v>30</v>
      </c>
    </row>
    <row r="15" spans="1:15" x14ac:dyDescent="0.35">
      <c r="A15" t="s">
        <v>44</v>
      </c>
      <c r="B15" t="s">
        <v>124</v>
      </c>
      <c r="C15" t="s">
        <v>125</v>
      </c>
      <c r="F15" s="8" t="s">
        <v>120</v>
      </c>
      <c r="G15" s="8">
        <f>K6</f>
        <v>15</v>
      </c>
      <c r="H15" s="8">
        <f>K7</f>
        <v>15</v>
      </c>
    </row>
    <row r="16" spans="1:15" x14ac:dyDescent="0.35">
      <c r="B16" s="8">
        <f>C2</f>
        <v>38</v>
      </c>
      <c r="C16" s="8">
        <v>38</v>
      </c>
      <c r="F16" s="8" t="s">
        <v>37</v>
      </c>
      <c r="G16" s="8">
        <f>L6</f>
        <v>10</v>
      </c>
      <c r="H16" s="8">
        <f>L7</f>
        <v>10</v>
      </c>
    </row>
    <row r="17" spans="6:8" x14ac:dyDescent="0.35">
      <c r="F17" s="8" t="s">
        <v>43</v>
      </c>
      <c r="G17" s="8">
        <f>M6</f>
        <v>10</v>
      </c>
      <c r="H17" s="8">
        <f>M7</f>
        <v>5</v>
      </c>
    </row>
    <row r="18" spans="6:8" ht="29" x14ac:dyDescent="0.35">
      <c r="F18" s="18" t="s">
        <v>121</v>
      </c>
      <c r="G18" s="8">
        <f>N6</f>
        <v>5</v>
      </c>
      <c r="H18" s="8">
        <f>N7</f>
        <v>5</v>
      </c>
    </row>
    <row r="19" spans="6:8" x14ac:dyDescent="0.35">
      <c r="F19" s="8" t="s">
        <v>44</v>
      </c>
      <c r="G19" s="8">
        <f>O6</f>
        <v>5</v>
      </c>
      <c r="H19" s="8">
        <f>O7</f>
        <v>5</v>
      </c>
    </row>
    <row r="20" spans="6:8" x14ac:dyDescent="0.35">
      <c r="F20" s="8" t="s">
        <v>130</v>
      </c>
      <c r="G20" s="8">
        <f>G13+G14+G15+G16+G17+G18+G19</f>
        <v>95</v>
      </c>
      <c r="H20" s="8">
        <f>H13+H14+H15+H16+H17+H18+H19</f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4"/>
  <sheetViews>
    <sheetView topLeftCell="A10" workbookViewId="0">
      <selection activeCell="M6" sqref="M6"/>
    </sheetView>
  </sheetViews>
  <sheetFormatPr defaultRowHeight="14.5" x14ac:dyDescent="0.35"/>
  <sheetData>
    <row r="2" spans="2:13" x14ac:dyDescent="0.35">
      <c r="C2" s="11" t="s">
        <v>94</v>
      </c>
      <c r="D2" s="242"/>
      <c r="E2" s="242"/>
    </row>
    <row r="3" spans="2:13" x14ac:dyDescent="0.35">
      <c r="E3" s="10"/>
      <c r="F3" s="10"/>
      <c r="G3" s="10"/>
      <c r="H3" s="10"/>
      <c r="I3" s="10"/>
      <c r="J3" s="10"/>
    </row>
    <row r="4" spans="2:13" x14ac:dyDescent="0.35">
      <c r="B4" s="11" t="s">
        <v>95</v>
      </c>
      <c r="C4" s="9" t="s">
        <v>75</v>
      </c>
      <c r="D4" s="243" t="s">
        <v>76</v>
      </c>
      <c r="E4" s="243"/>
      <c r="F4" s="243"/>
      <c r="G4" s="12"/>
      <c r="H4" s="243" t="s">
        <v>77</v>
      </c>
      <c r="I4" s="243"/>
      <c r="J4" s="243"/>
      <c r="K4" s="243" t="s">
        <v>78</v>
      </c>
      <c r="L4" s="243"/>
      <c r="M4" s="243"/>
    </row>
    <row r="5" spans="2:13" x14ac:dyDescent="0.35">
      <c r="B5" s="11">
        <v>1</v>
      </c>
      <c r="C5" s="9"/>
      <c r="D5" s="9" t="s">
        <v>79</v>
      </c>
      <c r="E5" s="9" t="s">
        <v>80</v>
      </c>
      <c r="F5" s="9" t="s">
        <v>81</v>
      </c>
      <c r="G5" s="9"/>
      <c r="H5" s="9" t="s">
        <v>79</v>
      </c>
      <c r="I5" s="9" t="s">
        <v>80</v>
      </c>
      <c r="J5" s="9" t="s">
        <v>81</v>
      </c>
      <c r="K5" s="9" t="s">
        <v>79</v>
      </c>
      <c r="L5" s="9" t="s">
        <v>80</v>
      </c>
      <c r="M5" s="9" t="s">
        <v>81</v>
      </c>
    </row>
    <row r="6" spans="2:13" x14ac:dyDescent="0.35">
      <c r="C6" s="8" t="s">
        <v>82</v>
      </c>
      <c r="D6" s="8"/>
      <c r="E6" s="8"/>
      <c r="F6" s="8">
        <f>D6*E6</f>
        <v>0</v>
      </c>
      <c r="G6" s="8" t="s">
        <v>97</v>
      </c>
      <c r="H6" s="8"/>
      <c r="I6" s="8"/>
      <c r="J6" s="8">
        <f>H6*I6</f>
        <v>0</v>
      </c>
      <c r="K6" s="8">
        <v>3</v>
      </c>
      <c r="L6" s="8">
        <v>1.5</v>
      </c>
      <c r="M6" s="8">
        <f>K6*L6</f>
        <v>4.5</v>
      </c>
    </row>
    <row r="7" spans="2:13" x14ac:dyDescent="0.35">
      <c r="C7" s="8"/>
      <c r="D7" s="8"/>
      <c r="E7" s="8"/>
      <c r="F7" s="8">
        <f t="shared" ref="F7:F33" si="0">D7*E7</f>
        <v>0</v>
      </c>
      <c r="G7" s="8" t="s">
        <v>98</v>
      </c>
      <c r="H7" s="8"/>
      <c r="I7" s="8"/>
      <c r="J7" s="8">
        <f t="shared" ref="J7:J29" si="1">H7*I7</f>
        <v>0</v>
      </c>
      <c r="K7" s="8"/>
      <c r="L7" s="8"/>
      <c r="M7" s="8">
        <f t="shared" ref="M7:M29" si="2">K7*L7</f>
        <v>0</v>
      </c>
    </row>
    <row r="8" spans="2:13" x14ac:dyDescent="0.35">
      <c r="C8" s="8"/>
      <c r="D8" s="8"/>
      <c r="E8" s="8"/>
      <c r="F8" s="8">
        <f t="shared" si="0"/>
        <v>0</v>
      </c>
      <c r="G8" s="8"/>
      <c r="H8" s="8"/>
      <c r="I8" s="8"/>
      <c r="J8" s="8">
        <f t="shared" si="1"/>
        <v>0</v>
      </c>
      <c r="K8" s="8"/>
      <c r="L8" s="8"/>
      <c r="M8" s="8">
        <f t="shared" si="2"/>
        <v>0</v>
      </c>
    </row>
    <row r="9" spans="2:13" x14ac:dyDescent="0.35">
      <c r="C9" s="8" t="s">
        <v>85</v>
      </c>
      <c r="D9" s="8"/>
      <c r="E9" s="8"/>
      <c r="F9" s="8">
        <f t="shared" si="0"/>
        <v>0</v>
      </c>
      <c r="G9" s="8" t="s">
        <v>97</v>
      </c>
      <c r="H9" s="8"/>
      <c r="I9" s="8"/>
      <c r="J9" s="8">
        <f t="shared" si="1"/>
        <v>0</v>
      </c>
      <c r="K9" s="8"/>
      <c r="L9" s="8"/>
      <c r="M9" s="8">
        <f t="shared" si="2"/>
        <v>0</v>
      </c>
    </row>
    <row r="10" spans="2:13" x14ac:dyDescent="0.35">
      <c r="C10" s="8"/>
      <c r="D10" s="8"/>
      <c r="E10" s="8"/>
      <c r="F10" s="8">
        <f t="shared" si="0"/>
        <v>0</v>
      </c>
      <c r="G10" s="8" t="s">
        <v>98</v>
      </c>
      <c r="H10" s="8"/>
      <c r="I10" s="8"/>
      <c r="J10" s="8">
        <f t="shared" si="1"/>
        <v>0</v>
      </c>
      <c r="K10" s="8"/>
      <c r="L10" s="8"/>
      <c r="M10" s="8">
        <f t="shared" si="2"/>
        <v>0</v>
      </c>
    </row>
    <row r="11" spans="2:13" x14ac:dyDescent="0.35">
      <c r="C11" s="8"/>
      <c r="D11" s="8"/>
      <c r="E11" s="8"/>
      <c r="F11" s="8">
        <f t="shared" si="0"/>
        <v>0</v>
      </c>
      <c r="G11" s="8"/>
      <c r="H11" s="8"/>
      <c r="I11" s="8"/>
      <c r="J11" s="8">
        <f t="shared" si="1"/>
        <v>0</v>
      </c>
      <c r="K11" s="8"/>
      <c r="L11" s="8"/>
      <c r="M11" s="8">
        <f t="shared" si="2"/>
        <v>0</v>
      </c>
    </row>
    <row r="12" spans="2:13" x14ac:dyDescent="0.35">
      <c r="C12" s="8"/>
      <c r="D12" s="8"/>
      <c r="E12" s="8"/>
      <c r="F12" s="8">
        <f t="shared" si="0"/>
        <v>0</v>
      </c>
      <c r="G12" s="8"/>
      <c r="H12" s="8"/>
      <c r="I12" s="8"/>
      <c r="J12" s="8">
        <f t="shared" si="1"/>
        <v>0</v>
      </c>
      <c r="K12" s="8"/>
      <c r="L12" s="8"/>
      <c r="M12" s="8">
        <f t="shared" si="2"/>
        <v>0</v>
      </c>
    </row>
    <row r="13" spans="2:13" x14ac:dyDescent="0.35">
      <c r="C13" s="8" t="s">
        <v>83</v>
      </c>
      <c r="D13" s="8"/>
      <c r="E13" s="8"/>
      <c r="F13" s="8">
        <f t="shared" si="0"/>
        <v>0</v>
      </c>
      <c r="G13" s="8" t="s">
        <v>97</v>
      </c>
      <c r="H13" s="8"/>
      <c r="I13" s="8"/>
      <c r="J13" s="8">
        <f t="shared" si="1"/>
        <v>0</v>
      </c>
      <c r="K13" s="8"/>
      <c r="L13" s="8"/>
      <c r="M13" s="8">
        <f t="shared" si="2"/>
        <v>0</v>
      </c>
    </row>
    <row r="14" spans="2:13" x14ac:dyDescent="0.35">
      <c r="C14" s="8"/>
      <c r="D14" s="8"/>
      <c r="E14" s="8"/>
      <c r="F14" s="8">
        <f t="shared" si="0"/>
        <v>0</v>
      </c>
      <c r="G14" s="8" t="s">
        <v>98</v>
      </c>
      <c r="H14" s="8"/>
      <c r="I14" s="8"/>
      <c r="J14" s="8">
        <f t="shared" si="1"/>
        <v>0</v>
      </c>
      <c r="K14" s="8"/>
      <c r="L14" s="8"/>
      <c r="M14" s="8">
        <f t="shared" si="2"/>
        <v>0</v>
      </c>
    </row>
    <row r="15" spans="2:13" x14ac:dyDescent="0.35">
      <c r="C15" s="8"/>
      <c r="D15" s="8"/>
      <c r="E15" s="8"/>
      <c r="F15" s="8">
        <f t="shared" si="0"/>
        <v>0</v>
      </c>
      <c r="G15" s="8"/>
      <c r="H15" s="8"/>
      <c r="I15" s="8"/>
      <c r="J15" s="8">
        <f t="shared" si="1"/>
        <v>0</v>
      </c>
      <c r="K15" s="8"/>
      <c r="L15" s="8"/>
      <c r="M15" s="8">
        <f t="shared" si="2"/>
        <v>0</v>
      </c>
    </row>
    <row r="16" spans="2:13" x14ac:dyDescent="0.35">
      <c r="C16" s="8"/>
      <c r="D16" s="8"/>
      <c r="E16" s="8"/>
      <c r="F16" s="8">
        <f t="shared" si="0"/>
        <v>0</v>
      </c>
      <c r="G16" s="8"/>
      <c r="H16" s="8"/>
      <c r="I16" s="8"/>
      <c r="J16" s="8">
        <f t="shared" si="1"/>
        <v>0</v>
      </c>
      <c r="K16" s="8"/>
      <c r="L16" s="8"/>
      <c r="M16" s="8">
        <f t="shared" si="2"/>
        <v>0</v>
      </c>
    </row>
    <row r="17" spans="3:13" x14ac:dyDescent="0.35">
      <c r="C17" s="8" t="s">
        <v>84</v>
      </c>
      <c r="D17" s="8"/>
      <c r="E17" s="8"/>
      <c r="F17" s="8">
        <f t="shared" si="0"/>
        <v>0</v>
      </c>
      <c r="G17" s="8" t="s">
        <v>97</v>
      </c>
      <c r="H17" s="8"/>
      <c r="I17" s="8"/>
      <c r="J17" s="8">
        <f t="shared" si="1"/>
        <v>0</v>
      </c>
      <c r="K17" s="8"/>
      <c r="L17" s="8"/>
      <c r="M17" s="8">
        <f t="shared" si="2"/>
        <v>0</v>
      </c>
    </row>
    <row r="18" spans="3:13" x14ac:dyDescent="0.35">
      <c r="C18" s="8"/>
      <c r="D18" s="8"/>
      <c r="E18" s="8"/>
      <c r="F18" s="8">
        <f t="shared" si="0"/>
        <v>0</v>
      </c>
      <c r="G18" s="8" t="s">
        <v>98</v>
      </c>
      <c r="H18" s="8"/>
      <c r="I18" s="8"/>
      <c r="J18" s="8">
        <f t="shared" si="1"/>
        <v>0</v>
      </c>
      <c r="K18" s="8"/>
      <c r="L18" s="8"/>
      <c r="M18" s="8">
        <f t="shared" si="2"/>
        <v>0</v>
      </c>
    </row>
    <row r="19" spans="3:13" x14ac:dyDescent="0.35">
      <c r="C19" s="8"/>
      <c r="D19" s="8"/>
      <c r="E19" s="8"/>
      <c r="F19" s="8">
        <f t="shared" si="0"/>
        <v>0</v>
      </c>
      <c r="G19" s="8"/>
      <c r="H19" s="8"/>
      <c r="I19" s="8"/>
      <c r="J19" s="8">
        <f t="shared" si="1"/>
        <v>0</v>
      </c>
      <c r="K19" s="8"/>
      <c r="L19" s="8"/>
      <c r="M19" s="8">
        <f t="shared" si="2"/>
        <v>0</v>
      </c>
    </row>
    <row r="20" spans="3:13" x14ac:dyDescent="0.35">
      <c r="C20" s="8" t="s">
        <v>84</v>
      </c>
      <c r="D20" s="8"/>
      <c r="E20" s="8"/>
      <c r="F20" s="8">
        <f t="shared" si="0"/>
        <v>0</v>
      </c>
      <c r="G20" s="8" t="s">
        <v>97</v>
      </c>
      <c r="H20" s="8"/>
      <c r="I20" s="8"/>
      <c r="J20" s="8">
        <f t="shared" si="1"/>
        <v>0</v>
      </c>
      <c r="K20" s="8"/>
      <c r="L20" s="8"/>
      <c r="M20" s="8">
        <f t="shared" si="2"/>
        <v>0</v>
      </c>
    </row>
    <row r="21" spans="3:13" x14ac:dyDescent="0.35">
      <c r="C21" s="8"/>
      <c r="D21" s="8"/>
      <c r="E21" s="8"/>
      <c r="F21" s="8">
        <f t="shared" si="0"/>
        <v>0</v>
      </c>
      <c r="G21" s="8" t="s">
        <v>98</v>
      </c>
      <c r="H21" s="8"/>
      <c r="I21" s="8"/>
      <c r="J21" s="8">
        <f t="shared" si="1"/>
        <v>0</v>
      </c>
      <c r="K21" s="8"/>
      <c r="L21" s="8"/>
      <c r="M21" s="8">
        <f t="shared" si="2"/>
        <v>0</v>
      </c>
    </row>
    <row r="22" spans="3:13" x14ac:dyDescent="0.35">
      <c r="C22" s="8"/>
      <c r="D22" s="8"/>
      <c r="E22" s="8"/>
      <c r="F22" s="8">
        <f t="shared" si="0"/>
        <v>0</v>
      </c>
      <c r="G22" s="8"/>
      <c r="H22" s="8"/>
      <c r="I22" s="8"/>
      <c r="J22" s="8">
        <f t="shared" si="1"/>
        <v>0</v>
      </c>
      <c r="K22" s="8"/>
      <c r="L22" s="8"/>
      <c r="M22" s="8">
        <f t="shared" si="2"/>
        <v>0</v>
      </c>
    </row>
    <row r="23" spans="3:13" x14ac:dyDescent="0.35">
      <c r="C23" s="8" t="s">
        <v>90</v>
      </c>
      <c r="D23" s="8"/>
      <c r="E23" s="8"/>
      <c r="F23" s="8">
        <f t="shared" si="0"/>
        <v>0</v>
      </c>
      <c r="G23" s="8" t="s">
        <v>99</v>
      </c>
      <c r="H23" s="8"/>
      <c r="I23" s="8"/>
      <c r="J23" s="8">
        <f t="shared" si="1"/>
        <v>0</v>
      </c>
      <c r="K23" s="8"/>
      <c r="L23" s="8"/>
      <c r="M23" s="8">
        <f t="shared" si="2"/>
        <v>0</v>
      </c>
    </row>
    <row r="24" spans="3:13" x14ac:dyDescent="0.35">
      <c r="C24" s="8" t="s">
        <v>91</v>
      </c>
      <c r="D24" s="8"/>
      <c r="E24" s="8"/>
      <c r="F24" s="8">
        <f t="shared" si="0"/>
        <v>0</v>
      </c>
      <c r="G24" s="8" t="s">
        <v>99</v>
      </c>
      <c r="H24" s="8"/>
      <c r="I24" s="8"/>
      <c r="J24" s="8">
        <f t="shared" si="1"/>
        <v>0</v>
      </c>
      <c r="K24" s="8"/>
      <c r="L24" s="8"/>
      <c r="M24" s="8">
        <f t="shared" si="2"/>
        <v>0</v>
      </c>
    </row>
    <row r="25" spans="3:13" x14ac:dyDescent="0.35">
      <c r="C25" s="8" t="s">
        <v>92</v>
      </c>
      <c r="D25" s="8"/>
      <c r="E25" s="8"/>
      <c r="F25" s="8">
        <f t="shared" si="0"/>
        <v>0</v>
      </c>
      <c r="G25" s="8" t="s">
        <v>99</v>
      </c>
      <c r="H25" s="8"/>
      <c r="I25" s="8"/>
      <c r="J25" s="8">
        <f t="shared" si="1"/>
        <v>0</v>
      </c>
      <c r="K25" s="8"/>
      <c r="L25" s="8"/>
      <c r="M25" s="8">
        <f t="shared" si="2"/>
        <v>0</v>
      </c>
    </row>
    <row r="26" spans="3:13" x14ac:dyDescent="0.35">
      <c r="C26" s="8"/>
      <c r="D26" s="8"/>
      <c r="E26" s="8"/>
      <c r="F26" s="8">
        <f t="shared" si="0"/>
        <v>0</v>
      </c>
      <c r="G26" s="8"/>
      <c r="H26" s="8"/>
      <c r="I26" s="8"/>
      <c r="J26" s="8">
        <f t="shared" si="1"/>
        <v>0</v>
      </c>
      <c r="K26" s="8"/>
      <c r="L26" s="8"/>
      <c r="M26" s="8">
        <f t="shared" si="2"/>
        <v>0</v>
      </c>
    </row>
    <row r="27" spans="3:13" x14ac:dyDescent="0.35">
      <c r="C27" s="8" t="s">
        <v>86</v>
      </c>
      <c r="D27" s="8"/>
      <c r="E27" s="8"/>
      <c r="F27" s="8">
        <f t="shared" si="0"/>
        <v>0</v>
      </c>
      <c r="G27" s="8"/>
      <c r="H27" s="8"/>
      <c r="I27" s="8"/>
      <c r="J27" s="8">
        <f t="shared" si="1"/>
        <v>0</v>
      </c>
      <c r="K27" s="8"/>
      <c r="L27" s="8"/>
      <c r="M27" s="8">
        <f t="shared" si="2"/>
        <v>0</v>
      </c>
    </row>
    <row r="28" spans="3:13" x14ac:dyDescent="0.35">
      <c r="C28" s="8" t="s">
        <v>87</v>
      </c>
      <c r="D28" s="8"/>
      <c r="E28" s="8"/>
      <c r="F28" s="8">
        <f t="shared" si="0"/>
        <v>0</v>
      </c>
      <c r="G28" s="8"/>
      <c r="H28" s="8"/>
      <c r="I28" s="8"/>
      <c r="J28" s="8">
        <f t="shared" si="1"/>
        <v>0</v>
      </c>
      <c r="K28" s="8"/>
      <c r="L28" s="8"/>
      <c r="M28" s="8">
        <f t="shared" si="2"/>
        <v>0</v>
      </c>
    </row>
    <row r="29" spans="3:13" x14ac:dyDescent="0.35">
      <c r="C29" s="8" t="s">
        <v>88</v>
      </c>
      <c r="D29" s="8"/>
      <c r="E29" s="8"/>
      <c r="F29" s="8">
        <f t="shared" si="0"/>
        <v>0</v>
      </c>
      <c r="G29" s="8"/>
      <c r="H29" s="8"/>
      <c r="I29" s="8"/>
      <c r="J29" s="8">
        <f t="shared" si="1"/>
        <v>0</v>
      </c>
      <c r="K29" s="8"/>
      <c r="L29" s="8"/>
      <c r="M29" s="8">
        <f t="shared" si="2"/>
        <v>0</v>
      </c>
    </row>
    <row r="30" spans="3:13" x14ac:dyDescent="0.35">
      <c r="C30" s="8" t="s">
        <v>89</v>
      </c>
      <c r="D30" s="8"/>
      <c r="E30" s="8"/>
      <c r="F30" s="8">
        <f t="shared" si="0"/>
        <v>0</v>
      </c>
      <c r="G30" s="8"/>
      <c r="H30" s="8"/>
      <c r="I30" s="8"/>
      <c r="J30" s="8">
        <f>H30*I30</f>
        <v>0</v>
      </c>
      <c r="K30" s="8"/>
      <c r="L30" s="8"/>
      <c r="M30" s="8">
        <f>K30*L30</f>
        <v>0</v>
      </c>
    </row>
    <row r="31" spans="3:13" x14ac:dyDescent="0.35">
      <c r="C31" s="8"/>
      <c r="D31" s="8"/>
      <c r="E31" s="8"/>
      <c r="F31" s="8">
        <f t="shared" si="0"/>
        <v>0</v>
      </c>
      <c r="G31" s="8"/>
      <c r="H31" s="8"/>
      <c r="I31" s="8"/>
      <c r="J31" s="8">
        <f>H31*I31</f>
        <v>0</v>
      </c>
      <c r="K31" s="8"/>
      <c r="L31" s="8"/>
      <c r="M31" s="8">
        <f>K31*L31</f>
        <v>0</v>
      </c>
    </row>
    <row r="32" spans="3:13" x14ac:dyDescent="0.35">
      <c r="C32" s="8"/>
      <c r="D32" s="8"/>
      <c r="E32" s="8"/>
      <c r="F32" s="8">
        <f t="shared" si="0"/>
        <v>0</v>
      </c>
      <c r="G32" s="8"/>
      <c r="H32" s="8"/>
      <c r="I32" s="8"/>
      <c r="J32" s="8">
        <f>H32*I32</f>
        <v>0</v>
      </c>
      <c r="K32" s="8"/>
      <c r="L32" s="8"/>
      <c r="M32" s="8">
        <f>K32*L32</f>
        <v>0</v>
      </c>
    </row>
    <row r="33" spans="3:13" x14ac:dyDescent="0.35">
      <c r="C33" s="8"/>
      <c r="D33" s="8"/>
      <c r="E33" s="8"/>
      <c r="F33" s="8">
        <f t="shared" si="0"/>
        <v>0</v>
      </c>
      <c r="G33" s="8"/>
      <c r="H33" s="8"/>
      <c r="I33" s="8"/>
      <c r="J33" s="8">
        <f>H33*I33</f>
        <v>0</v>
      </c>
      <c r="K33" s="8"/>
      <c r="L33" s="8"/>
      <c r="M33" s="8">
        <f>K33*L33</f>
        <v>0</v>
      </c>
    </row>
    <row r="34" spans="3:13" x14ac:dyDescent="0.35">
      <c r="C34" s="8" t="s">
        <v>93</v>
      </c>
      <c r="D34" s="8"/>
      <c r="E34" s="8">
        <f>F34*10.764</f>
        <v>0</v>
      </c>
      <c r="F34" s="8">
        <f>SUM(F6:F33)</f>
        <v>0</v>
      </c>
      <c r="G34" s="8"/>
      <c r="H34" s="8"/>
      <c r="I34" s="8">
        <f>J34*10.764</f>
        <v>0</v>
      </c>
      <c r="J34" s="8">
        <f>SUM(J6:J33)</f>
        <v>0</v>
      </c>
      <c r="K34" s="8"/>
      <c r="L34" s="8">
        <f>M34*10.764</f>
        <v>48.437999999999995</v>
      </c>
      <c r="M34" s="8">
        <f>SUM(M6:M33)</f>
        <v>4.5</v>
      </c>
    </row>
  </sheetData>
  <mergeCells count="4">
    <mergeCell ref="D2:E2"/>
    <mergeCell ref="D4:F4"/>
    <mergeCell ref="H4:J4"/>
    <mergeCell ref="K4:M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8"/>
  <sheetViews>
    <sheetView topLeftCell="A28" workbookViewId="0">
      <selection activeCell="F39" sqref="F39"/>
    </sheetView>
  </sheetViews>
  <sheetFormatPr defaultRowHeight="14.5" x14ac:dyDescent="0.35"/>
  <sheetData>
    <row r="3" spans="2:13" x14ac:dyDescent="0.35">
      <c r="C3" s="11" t="s">
        <v>94</v>
      </c>
      <c r="D3" s="242"/>
      <c r="E3" s="242"/>
    </row>
    <row r="4" spans="2:13" x14ac:dyDescent="0.35">
      <c r="E4" s="10"/>
      <c r="F4" s="10"/>
      <c r="G4" s="10"/>
      <c r="H4" s="10"/>
      <c r="I4" s="10"/>
      <c r="J4" s="10"/>
    </row>
    <row r="5" spans="2:13" x14ac:dyDescent="0.35">
      <c r="B5" s="11" t="s">
        <v>95</v>
      </c>
      <c r="C5" s="9" t="s">
        <v>75</v>
      </c>
      <c r="D5" s="243" t="s">
        <v>76</v>
      </c>
      <c r="E5" s="243"/>
      <c r="F5" s="243"/>
      <c r="G5" s="12"/>
      <c r="H5" s="243" t="s">
        <v>77</v>
      </c>
      <c r="I5" s="243"/>
      <c r="J5" s="243"/>
      <c r="K5" s="243" t="s">
        <v>78</v>
      </c>
      <c r="L5" s="243"/>
      <c r="M5" s="243"/>
    </row>
    <row r="6" spans="2:13" x14ac:dyDescent="0.35">
      <c r="B6" s="11">
        <v>1</v>
      </c>
      <c r="C6" s="9"/>
      <c r="D6" s="9" t="s">
        <v>79</v>
      </c>
      <c r="E6" s="9" t="s">
        <v>80</v>
      </c>
      <c r="F6" s="9" t="s">
        <v>81</v>
      </c>
      <c r="G6" s="9"/>
      <c r="H6" s="9" t="s">
        <v>79</v>
      </c>
      <c r="I6" s="9" t="s">
        <v>80</v>
      </c>
      <c r="J6" s="9" t="s">
        <v>81</v>
      </c>
      <c r="K6" s="9" t="s">
        <v>79</v>
      </c>
      <c r="L6" s="9" t="s">
        <v>80</v>
      </c>
      <c r="M6" s="9" t="s">
        <v>81</v>
      </c>
    </row>
    <row r="7" spans="2:13" x14ac:dyDescent="0.35">
      <c r="C7" s="8" t="s">
        <v>82</v>
      </c>
      <c r="D7" s="8">
        <v>5.5</v>
      </c>
      <c r="E7" s="8">
        <v>3.35</v>
      </c>
      <c r="F7" s="8">
        <f>D7*E7</f>
        <v>18.425000000000001</v>
      </c>
      <c r="G7" s="8" t="s">
        <v>97</v>
      </c>
      <c r="H7" s="8"/>
      <c r="I7" s="8"/>
      <c r="J7" s="8">
        <f>H7*I7</f>
        <v>0</v>
      </c>
      <c r="K7" s="8"/>
      <c r="L7" s="8"/>
      <c r="M7" s="8">
        <f>K7*L7</f>
        <v>0</v>
      </c>
    </row>
    <row r="8" spans="2:13" x14ac:dyDescent="0.35">
      <c r="C8" s="8"/>
      <c r="D8" s="8"/>
      <c r="E8" s="8"/>
      <c r="F8" s="8">
        <f t="shared" ref="F8:F34" si="0">D8*E8</f>
        <v>0</v>
      </c>
      <c r="G8" s="8" t="s">
        <v>98</v>
      </c>
      <c r="H8" s="8"/>
      <c r="I8" s="8"/>
      <c r="J8" s="8">
        <f t="shared" ref="J8:J34" si="1">H8*I8</f>
        <v>0</v>
      </c>
      <c r="K8" s="8">
        <v>0.6</v>
      </c>
      <c r="L8" s="8">
        <v>1.7</v>
      </c>
      <c r="M8" s="8">
        <f t="shared" ref="M8:M34" si="2">K8*L8</f>
        <v>1.02</v>
      </c>
    </row>
    <row r="9" spans="2:13" x14ac:dyDescent="0.35">
      <c r="C9" s="8"/>
      <c r="D9" s="8">
        <v>0.6</v>
      </c>
      <c r="E9" s="8">
        <v>2.6</v>
      </c>
      <c r="F9" s="8">
        <f t="shared" si="0"/>
        <v>1.56</v>
      </c>
      <c r="G9" s="8"/>
      <c r="H9" s="8"/>
      <c r="I9" s="8"/>
      <c r="J9" s="8">
        <f t="shared" si="1"/>
        <v>0</v>
      </c>
      <c r="K9" s="8"/>
      <c r="L9" s="8"/>
      <c r="M9" s="8">
        <f t="shared" si="2"/>
        <v>0</v>
      </c>
    </row>
    <row r="10" spans="2:13" x14ac:dyDescent="0.35">
      <c r="C10" s="8" t="s">
        <v>85</v>
      </c>
      <c r="D10" s="8">
        <v>1.85</v>
      </c>
      <c r="E10" s="8">
        <v>2.4500000000000002</v>
      </c>
      <c r="F10" s="8">
        <f t="shared" si="0"/>
        <v>4.5325000000000006</v>
      </c>
      <c r="G10" s="8" t="s">
        <v>97</v>
      </c>
      <c r="H10" s="8"/>
      <c r="I10" s="8"/>
      <c r="J10" s="8">
        <f t="shared" si="1"/>
        <v>0</v>
      </c>
      <c r="K10" s="8"/>
      <c r="L10" s="8"/>
      <c r="M10" s="8">
        <f t="shared" si="2"/>
        <v>0</v>
      </c>
    </row>
    <row r="11" spans="2:13" x14ac:dyDescent="0.35">
      <c r="C11" s="8"/>
      <c r="D11" s="8"/>
      <c r="E11" s="8"/>
      <c r="F11" s="8">
        <f t="shared" si="0"/>
        <v>0</v>
      </c>
      <c r="G11" s="8" t="s">
        <v>98</v>
      </c>
      <c r="H11" s="8"/>
      <c r="I11" s="8"/>
      <c r="J11" s="8">
        <f t="shared" si="1"/>
        <v>0</v>
      </c>
      <c r="K11" s="8">
        <v>0.6</v>
      </c>
      <c r="L11" s="8">
        <v>2.4500000000000002</v>
      </c>
      <c r="M11" s="8">
        <f t="shared" si="2"/>
        <v>1.47</v>
      </c>
    </row>
    <row r="12" spans="2:13" x14ac:dyDescent="0.35">
      <c r="C12" s="8"/>
      <c r="D12" s="8">
        <v>0.6</v>
      </c>
      <c r="E12" s="8">
        <v>1.2</v>
      </c>
      <c r="F12" s="8">
        <f t="shared" si="0"/>
        <v>0.72</v>
      </c>
      <c r="G12" s="8"/>
      <c r="H12" s="8"/>
      <c r="I12" s="8"/>
      <c r="J12" s="8">
        <f t="shared" si="1"/>
        <v>0</v>
      </c>
      <c r="K12" s="8"/>
      <c r="L12" s="8"/>
      <c r="M12" s="8">
        <f t="shared" si="2"/>
        <v>0</v>
      </c>
    </row>
    <row r="13" spans="2:13" x14ac:dyDescent="0.35">
      <c r="C13" s="8"/>
      <c r="D13" s="8"/>
      <c r="E13" s="8"/>
      <c r="F13" s="8">
        <f t="shared" si="0"/>
        <v>0</v>
      </c>
      <c r="G13" s="8"/>
      <c r="H13" s="8"/>
      <c r="I13" s="8"/>
      <c r="J13" s="8">
        <f t="shared" si="1"/>
        <v>0</v>
      </c>
      <c r="K13" s="8"/>
      <c r="L13" s="8"/>
      <c r="M13" s="8">
        <f t="shared" si="2"/>
        <v>0</v>
      </c>
    </row>
    <row r="14" spans="2:13" x14ac:dyDescent="0.35">
      <c r="C14" s="8" t="s">
        <v>83</v>
      </c>
      <c r="D14" s="8">
        <v>2.4500000000000002</v>
      </c>
      <c r="E14" s="8">
        <v>3.5</v>
      </c>
      <c r="F14" s="8">
        <f t="shared" si="0"/>
        <v>8.5750000000000011</v>
      </c>
      <c r="G14" s="8" t="s">
        <v>97</v>
      </c>
      <c r="H14" s="8">
        <v>0.5</v>
      </c>
      <c r="I14" s="8">
        <v>2.4500000000000002</v>
      </c>
      <c r="J14" s="8">
        <f t="shared" si="1"/>
        <v>1.2250000000000001</v>
      </c>
      <c r="K14" s="8"/>
      <c r="L14" s="8"/>
      <c r="M14" s="8">
        <f t="shared" si="2"/>
        <v>0</v>
      </c>
    </row>
    <row r="15" spans="2:13" x14ac:dyDescent="0.35">
      <c r="C15" s="8"/>
      <c r="D15" s="8"/>
      <c r="E15" s="8"/>
      <c r="F15" s="8">
        <f t="shared" si="0"/>
        <v>0</v>
      </c>
      <c r="G15" s="8" t="s">
        <v>98</v>
      </c>
      <c r="H15" s="8"/>
      <c r="I15" s="8"/>
      <c r="J15" s="8">
        <f t="shared" si="1"/>
        <v>0</v>
      </c>
      <c r="K15" s="8">
        <v>0.6</v>
      </c>
      <c r="L15" s="8">
        <v>3.2</v>
      </c>
      <c r="M15" s="8">
        <f t="shared" si="2"/>
        <v>1.92</v>
      </c>
    </row>
    <row r="16" spans="2:13" x14ac:dyDescent="0.35">
      <c r="C16" s="8"/>
      <c r="D16" s="8"/>
      <c r="E16" s="8"/>
      <c r="F16" s="8">
        <f t="shared" si="0"/>
        <v>0</v>
      </c>
      <c r="G16" s="8"/>
      <c r="H16" s="8"/>
      <c r="I16" s="8"/>
      <c r="J16" s="8">
        <f t="shared" si="1"/>
        <v>0</v>
      </c>
      <c r="K16" s="8"/>
      <c r="L16" s="8"/>
      <c r="M16" s="8">
        <f t="shared" si="2"/>
        <v>0</v>
      </c>
    </row>
    <row r="17" spans="3:13" x14ac:dyDescent="0.35">
      <c r="C17" s="8"/>
      <c r="D17" s="8"/>
      <c r="E17" s="8"/>
      <c r="F17" s="8">
        <f t="shared" si="0"/>
        <v>0</v>
      </c>
      <c r="G17" s="8"/>
      <c r="H17" s="8"/>
      <c r="I17" s="8"/>
      <c r="J17" s="8">
        <f t="shared" si="1"/>
        <v>0</v>
      </c>
      <c r="K17" s="8"/>
      <c r="L17" s="8"/>
      <c r="M17" s="8">
        <f t="shared" si="2"/>
        <v>0</v>
      </c>
    </row>
    <row r="18" spans="3:13" x14ac:dyDescent="0.35">
      <c r="C18" s="8" t="s">
        <v>84</v>
      </c>
      <c r="D18" s="8">
        <v>2.4500000000000002</v>
      </c>
      <c r="E18" s="8">
        <v>3.8</v>
      </c>
      <c r="F18" s="8">
        <f t="shared" si="0"/>
        <v>9.31</v>
      </c>
      <c r="G18" s="8" t="s">
        <v>97</v>
      </c>
      <c r="H18" s="8">
        <v>2.4500000000000002</v>
      </c>
      <c r="I18" s="8">
        <v>0.5</v>
      </c>
      <c r="J18" s="8">
        <f t="shared" si="1"/>
        <v>1.2250000000000001</v>
      </c>
      <c r="K18" s="8"/>
      <c r="L18" s="8"/>
      <c r="M18" s="8">
        <f t="shared" si="2"/>
        <v>0</v>
      </c>
    </row>
    <row r="19" spans="3:13" x14ac:dyDescent="0.35">
      <c r="C19" s="8"/>
      <c r="D19" s="8"/>
      <c r="E19" s="8"/>
      <c r="F19" s="8">
        <f t="shared" si="0"/>
        <v>0</v>
      </c>
      <c r="G19" s="8" t="s">
        <v>98</v>
      </c>
      <c r="H19" s="8"/>
      <c r="I19" s="8"/>
      <c r="J19" s="8">
        <f t="shared" si="1"/>
        <v>0</v>
      </c>
      <c r="K19" s="8">
        <v>0.6</v>
      </c>
      <c r="L19" s="8">
        <v>3.2</v>
      </c>
      <c r="M19" s="8">
        <f t="shared" si="2"/>
        <v>1.92</v>
      </c>
    </row>
    <row r="20" spans="3:13" x14ac:dyDescent="0.35">
      <c r="C20" s="8"/>
      <c r="D20" s="8"/>
      <c r="E20" s="8"/>
      <c r="F20" s="8">
        <f t="shared" si="0"/>
        <v>0</v>
      </c>
      <c r="G20" s="8"/>
      <c r="H20" s="8"/>
      <c r="I20" s="8"/>
      <c r="J20" s="8">
        <f t="shared" si="1"/>
        <v>0</v>
      </c>
      <c r="K20" s="8"/>
      <c r="L20" s="8"/>
      <c r="M20" s="8">
        <f t="shared" si="2"/>
        <v>0</v>
      </c>
    </row>
    <row r="21" spans="3:13" x14ac:dyDescent="0.35">
      <c r="C21" s="8" t="s">
        <v>84</v>
      </c>
      <c r="D21" s="8">
        <v>2.4500000000000002</v>
      </c>
      <c r="E21" s="8">
        <v>1.5</v>
      </c>
      <c r="F21" s="8">
        <f t="shared" si="0"/>
        <v>3.6750000000000003</v>
      </c>
      <c r="G21" s="8" t="s">
        <v>97</v>
      </c>
      <c r="H21" s="8"/>
      <c r="I21" s="8"/>
      <c r="J21" s="8">
        <f t="shared" si="1"/>
        <v>0</v>
      </c>
      <c r="K21" s="8">
        <v>3.05</v>
      </c>
      <c r="L21" s="8">
        <v>0.6</v>
      </c>
      <c r="M21" s="8">
        <f t="shared" si="2"/>
        <v>1.8299999999999998</v>
      </c>
    </row>
    <row r="22" spans="3:13" x14ac:dyDescent="0.35">
      <c r="C22" s="8"/>
      <c r="D22" s="8"/>
      <c r="E22" s="8"/>
      <c r="F22" s="8">
        <f t="shared" si="0"/>
        <v>0</v>
      </c>
      <c r="G22" s="8" t="s">
        <v>98</v>
      </c>
      <c r="H22" s="8"/>
      <c r="I22" s="8"/>
      <c r="J22" s="8">
        <f t="shared" si="1"/>
        <v>0</v>
      </c>
      <c r="K22" s="8"/>
      <c r="L22" s="8"/>
      <c r="M22" s="8">
        <f t="shared" si="2"/>
        <v>0</v>
      </c>
    </row>
    <row r="23" spans="3:13" x14ac:dyDescent="0.35">
      <c r="C23" s="8"/>
      <c r="D23" s="8"/>
      <c r="E23" s="8"/>
      <c r="F23" s="8">
        <f t="shared" si="0"/>
        <v>0</v>
      </c>
      <c r="G23" s="8"/>
      <c r="H23" s="8"/>
      <c r="I23" s="8"/>
      <c r="J23" s="8">
        <f t="shared" si="1"/>
        <v>0</v>
      </c>
      <c r="K23" s="8"/>
      <c r="L23" s="8"/>
      <c r="M23" s="8">
        <f t="shared" si="2"/>
        <v>0</v>
      </c>
    </row>
    <row r="24" spans="3:13" x14ac:dyDescent="0.35">
      <c r="C24" s="8" t="s">
        <v>90</v>
      </c>
      <c r="D24" s="8">
        <v>2.4</v>
      </c>
      <c r="E24" s="8">
        <v>1.38</v>
      </c>
      <c r="F24" s="8">
        <f t="shared" si="0"/>
        <v>3.3119999999999998</v>
      </c>
      <c r="G24" s="8" t="s">
        <v>99</v>
      </c>
      <c r="H24" s="8"/>
      <c r="I24" s="8"/>
      <c r="J24" s="8">
        <f t="shared" si="1"/>
        <v>0</v>
      </c>
      <c r="K24" s="8"/>
      <c r="L24" s="8"/>
      <c r="M24" s="8">
        <f t="shared" si="2"/>
        <v>0</v>
      </c>
    </row>
    <row r="25" spans="3:13" x14ac:dyDescent="0.35">
      <c r="C25" s="8" t="s">
        <v>91</v>
      </c>
      <c r="D25" s="8">
        <v>2.44</v>
      </c>
      <c r="E25" s="8">
        <v>1.38</v>
      </c>
      <c r="F25" s="8">
        <f t="shared" si="0"/>
        <v>3.3671999999999995</v>
      </c>
      <c r="G25" s="8" t="s">
        <v>99</v>
      </c>
      <c r="H25" s="8"/>
      <c r="I25" s="8"/>
      <c r="J25" s="8">
        <f t="shared" si="1"/>
        <v>0</v>
      </c>
      <c r="K25" s="8"/>
      <c r="L25" s="8"/>
      <c r="M25" s="8">
        <f t="shared" si="2"/>
        <v>0</v>
      </c>
    </row>
    <row r="26" spans="3:13" x14ac:dyDescent="0.35">
      <c r="C26" s="8" t="s">
        <v>92</v>
      </c>
      <c r="D26" s="8"/>
      <c r="E26" s="8"/>
      <c r="F26" s="8">
        <f t="shared" si="0"/>
        <v>0</v>
      </c>
      <c r="G26" s="8" t="s">
        <v>99</v>
      </c>
      <c r="H26" s="8"/>
      <c r="I26" s="8"/>
      <c r="J26" s="8">
        <f t="shared" si="1"/>
        <v>0</v>
      </c>
      <c r="K26" s="8"/>
      <c r="L26" s="8"/>
      <c r="M26" s="8">
        <f t="shared" si="2"/>
        <v>0</v>
      </c>
    </row>
    <row r="27" spans="3:13" x14ac:dyDescent="0.35">
      <c r="C27" s="8"/>
      <c r="D27" s="8"/>
      <c r="E27" s="8"/>
      <c r="F27" s="8">
        <f t="shared" si="0"/>
        <v>0</v>
      </c>
      <c r="G27" s="8"/>
      <c r="H27" s="8"/>
      <c r="I27" s="8"/>
      <c r="J27" s="8">
        <f t="shared" si="1"/>
        <v>0</v>
      </c>
      <c r="K27" s="8"/>
      <c r="L27" s="8"/>
      <c r="M27" s="8">
        <f t="shared" si="2"/>
        <v>0</v>
      </c>
    </row>
    <row r="28" spans="3:13" x14ac:dyDescent="0.35">
      <c r="C28" s="8" t="s">
        <v>86</v>
      </c>
      <c r="D28" s="8">
        <v>3.1</v>
      </c>
      <c r="E28" s="8">
        <v>1</v>
      </c>
      <c r="F28" s="8">
        <f t="shared" si="0"/>
        <v>3.1</v>
      </c>
      <c r="G28" s="8"/>
      <c r="H28" s="8"/>
      <c r="I28" s="8"/>
      <c r="J28" s="8">
        <f t="shared" si="1"/>
        <v>0</v>
      </c>
      <c r="K28" s="8"/>
      <c r="L28" s="8"/>
      <c r="M28" s="8">
        <f t="shared" si="2"/>
        <v>0</v>
      </c>
    </row>
    <row r="29" spans="3:13" x14ac:dyDescent="0.35">
      <c r="C29" s="8" t="s">
        <v>87</v>
      </c>
      <c r="D29" s="8"/>
      <c r="E29" s="8"/>
      <c r="F29" s="8">
        <f t="shared" si="0"/>
        <v>0</v>
      </c>
      <c r="G29" s="8"/>
      <c r="H29" s="8"/>
      <c r="I29" s="8"/>
      <c r="J29" s="8">
        <f t="shared" si="1"/>
        <v>0</v>
      </c>
      <c r="K29" s="8"/>
      <c r="L29" s="8"/>
      <c r="M29" s="8">
        <f t="shared" si="2"/>
        <v>0</v>
      </c>
    </row>
    <row r="30" spans="3:13" x14ac:dyDescent="0.35">
      <c r="C30" s="8" t="s">
        <v>88</v>
      </c>
      <c r="D30" s="8"/>
      <c r="E30" s="8"/>
      <c r="F30" s="8">
        <f t="shared" si="0"/>
        <v>0</v>
      </c>
      <c r="G30" s="8"/>
      <c r="H30" s="8"/>
      <c r="I30" s="8"/>
      <c r="J30" s="8">
        <f t="shared" si="1"/>
        <v>0</v>
      </c>
      <c r="K30" s="8"/>
      <c r="L30" s="8"/>
      <c r="M30" s="8">
        <f t="shared" si="2"/>
        <v>0</v>
      </c>
    </row>
    <row r="31" spans="3:13" x14ac:dyDescent="0.35">
      <c r="C31" s="8" t="s">
        <v>89</v>
      </c>
      <c r="D31" s="8"/>
      <c r="E31" s="8"/>
      <c r="F31" s="8">
        <f t="shared" si="0"/>
        <v>0</v>
      </c>
      <c r="G31" s="8"/>
      <c r="H31" s="8"/>
      <c r="I31" s="8"/>
      <c r="J31" s="8">
        <f t="shared" si="1"/>
        <v>0</v>
      </c>
      <c r="K31" s="8"/>
      <c r="L31" s="8"/>
      <c r="M31" s="8">
        <f t="shared" si="2"/>
        <v>0</v>
      </c>
    </row>
    <row r="32" spans="3:13" x14ac:dyDescent="0.35">
      <c r="C32" s="8"/>
      <c r="D32" s="8"/>
      <c r="E32" s="8"/>
      <c r="F32" s="8">
        <f t="shared" si="0"/>
        <v>0</v>
      </c>
      <c r="G32" s="8"/>
      <c r="H32" s="8"/>
      <c r="I32" s="8"/>
      <c r="J32" s="8">
        <f t="shared" si="1"/>
        <v>0</v>
      </c>
      <c r="K32" s="8"/>
      <c r="L32" s="8"/>
      <c r="M32" s="8">
        <f t="shared" si="2"/>
        <v>0</v>
      </c>
    </row>
    <row r="33" spans="3:13" x14ac:dyDescent="0.35">
      <c r="C33" s="8"/>
      <c r="D33" s="8"/>
      <c r="E33" s="8"/>
      <c r="F33" s="8">
        <f t="shared" si="0"/>
        <v>0</v>
      </c>
      <c r="G33" s="8"/>
      <c r="H33" s="8"/>
      <c r="I33" s="8"/>
      <c r="J33" s="8">
        <f t="shared" si="1"/>
        <v>0</v>
      </c>
      <c r="K33" s="8"/>
      <c r="L33" s="8"/>
      <c r="M33" s="8">
        <f t="shared" si="2"/>
        <v>0</v>
      </c>
    </row>
    <row r="34" spans="3:13" x14ac:dyDescent="0.35">
      <c r="C34" s="8"/>
      <c r="D34" s="8"/>
      <c r="E34" s="8"/>
      <c r="F34" s="8">
        <f t="shared" si="0"/>
        <v>0</v>
      </c>
      <c r="G34" s="8"/>
      <c r="H34" s="8"/>
      <c r="I34" s="8"/>
      <c r="J34" s="8">
        <f t="shared" si="1"/>
        <v>0</v>
      </c>
      <c r="K34" s="8"/>
      <c r="L34" s="8"/>
      <c r="M34" s="8">
        <f t="shared" si="2"/>
        <v>0</v>
      </c>
    </row>
    <row r="35" spans="3:13" x14ac:dyDescent="0.35">
      <c r="C35" s="8" t="s">
        <v>93</v>
      </c>
      <c r="D35" s="8"/>
      <c r="E35" s="8">
        <f>F35*10.764</f>
        <v>608.99159879999991</v>
      </c>
      <c r="F35" s="8">
        <f>SUM(F7:F34)</f>
        <v>56.576699999999995</v>
      </c>
      <c r="G35" s="8"/>
      <c r="H35" s="8"/>
      <c r="I35" s="8">
        <f>J35*10.764</f>
        <v>26.3718</v>
      </c>
      <c r="J35" s="8">
        <f>SUM(J7:J34)</f>
        <v>2.4500000000000002</v>
      </c>
      <c r="K35" s="8"/>
      <c r="L35" s="8">
        <f>M35*10.764</f>
        <v>87.834239999999994</v>
      </c>
      <c r="M35" s="8">
        <f>SUM(M7:M34)</f>
        <v>8.16</v>
      </c>
    </row>
    <row r="38" spans="3:13" x14ac:dyDescent="0.35">
      <c r="F38">
        <f>F35+J35+M35</f>
        <v>67.186700000000002</v>
      </c>
    </row>
  </sheetData>
  <mergeCells count="4">
    <mergeCell ref="D3:E3"/>
    <mergeCell ref="D5:F5"/>
    <mergeCell ref="H5:J5"/>
    <mergeCell ref="K5:M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N35"/>
  <sheetViews>
    <sheetView workbookViewId="0">
      <selection activeCell="H7" sqref="H7:H8"/>
    </sheetView>
  </sheetViews>
  <sheetFormatPr defaultRowHeight="14.5" x14ac:dyDescent="0.35"/>
  <sheetData>
    <row r="3" spans="3:14" x14ac:dyDescent="0.35">
      <c r="D3" s="11" t="s">
        <v>94</v>
      </c>
      <c r="E3" s="242"/>
      <c r="F3" s="242"/>
    </row>
    <row r="4" spans="3:14" x14ac:dyDescent="0.35">
      <c r="F4" s="10"/>
      <c r="G4" s="10"/>
      <c r="H4" s="10"/>
      <c r="I4" s="10"/>
      <c r="J4" s="10"/>
      <c r="K4" s="10"/>
    </row>
    <row r="5" spans="3:14" x14ac:dyDescent="0.35">
      <c r="C5" s="11" t="s">
        <v>95</v>
      </c>
      <c r="D5" s="9" t="s">
        <v>75</v>
      </c>
      <c r="E5" s="243" t="s">
        <v>76</v>
      </c>
      <c r="F5" s="243"/>
      <c r="G5" s="243"/>
      <c r="H5" s="12"/>
      <c r="I5" s="243" t="s">
        <v>77</v>
      </c>
      <c r="J5" s="243"/>
      <c r="K5" s="243"/>
      <c r="L5" s="243" t="s">
        <v>78</v>
      </c>
      <c r="M5" s="243"/>
      <c r="N5" s="243"/>
    </row>
    <row r="6" spans="3:14" x14ac:dyDescent="0.35">
      <c r="C6" s="11">
        <v>1</v>
      </c>
      <c r="D6" s="9"/>
      <c r="E6" s="9" t="s">
        <v>79</v>
      </c>
      <c r="F6" s="9" t="s">
        <v>80</v>
      </c>
      <c r="G6" s="9" t="s">
        <v>81</v>
      </c>
      <c r="H6" s="9"/>
      <c r="I6" s="9" t="s">
        <v>79</v>
      </c>
      <c r="J6" s="9" t="s">
        <v>80</v>
      </c>
      <c r="K6" s="9" t="s">
        <v>81</v>
      </c>
      <c r="L6" s="9" t="s">
        <v>79</v>
      </c>
      <c r="M6" s="9" t="s">
        <v>80</v>
      </c>
      <c r="N6" s="9" t="s">
        <v>81</v>
      </c>
    </row>
    <row r="7" spans="3:14" x14ac:dyDescent="0.35">
      <c r="D7" s="8" t="s">
        <v>82</v>
      </c>
      <c r="E7" s="8"/>
      <c r="F7" s="8"/>
      <c r="G7" s="8">
        <f>E7*F7</f>
        <v>0</v>
      </c>
      <c r="H7" s="8" t="s">
        <v>97</v>
      </c>
      <c r="I7" s="8"/>
      <c r="J7" s="8"/>
      <c r="K7" s="8">
        <f>I7*J7</f>
        <v>0</v>
      </c>
      <c r="L7" s="8"/>
      <c r="M7" s="8"/>
      <c r="N7" s="8">
        <f>L7*M7</f>
        <v>0</v>
      </c>
    </row>
    <row r="8" spans="3:14" x14ac:dyDescent="0.35">
      <c r="D8" s="8"/>
      <c r="E8" s="8"/>
      <c r="F8" s="8"/>
      <c r="G8" s="8">
        <f t="shared" ref="G8:G34" si="0">E8*F8</f>
        <v>0</v>
      </c>
      <c r="H8" s="8" t="s">
        <v>98</v>
      </c>
      <c r="I8" s="8"/>
      <c r="J8" s="8"/>
      <c r="K8" s="8">
        <f t="shared" ref="K8:K34" si="1">I8*J8</f>
        <v>0</v>
      </c>
      <c r="L8" s="8"/>
      <c r="M8" s="8"/>
      <c r="N8" s="8">
        <f t="shared" ref="N8:N34" si="2">L8*M8</f>
        <v>0</v>
      </c>
    </row>
    <row r="9" spans="3:14" x14ac:dyDescent="0.35">
      <c r="D9" s="8"/>
      <c r="E9" s="8"/>
      <c r="F9" s="8"/>
      <c r="G9" s="8">
        <f t="shared" si="0"/>
        <v>0</v>
      </c>
      <c r="H9" s="8"/>
      <c r="I9" s="8"/>
      <c r="J9" s="8"/>
      <c r="K9" s="8">
        <f t="shared" si="1"/>
        <v>0</v>
      </c>
      <c r="L9" s="8"/>
      <c r="M9" s="8"/>
      <c r="N9" s="8">
        <f t="shared" si="2"/>
        <v>0</v>
      </c>
    </row>
    <row r="10" spans="3:14" x14ac:dyDescent="0.35">
      <c r="D10" s="8" t="s">
        <v>85</v>
      </c>
      <c r="E10" s="8"/>
      <c r="F10" s="8"/>
      <c r="G10" s="8">
        <f t="shared" si="0"/>
        <v>0</v>
      </c>
      <c r="H10" s="8" t="s">
        <v>97</v>
      </c>
      <c r="I10" s="8"/>
      <c r="J10" s="8"/>
      <c r="K10" s="8">
        <f t="shared" si="1"/>
        <v>0</v>
      </c>
      <c r="L10" s="8"/>
      <c r="M10" s="8"/>
      <c r="N10" s="8">
        <f t="shared" si="2"/>
        <v>0</v>
      </c>
    </row>
    <row r="11" spans="3:14" x14ac:dyDescent="0.35">
      <c r="D11" s="8"/>
      <c r="E11" s="8"/>
      <c r="F11" s="8"/>
      <c r="G11" s="8">
        <f t="shared" si="0"/>
        <v>0</v>
      </c>
      <c r="H11" s="8" t="s">
        <v>98</v>
      </c>
      <c r="I11" s="8"/>
      <c r="J11" s="8"/>
      <c r="K11" s="8">
        <f t="shared" si="1"/>
        <v>0</v>
      </c>
      <c r="L11" s="8"/>
      <c r="M11" s="8"/>
      <c r="N11" s="8">
        <f t="shared" si="2"/>
        <v>0</v>
      </c>
    </row>
    <row r="12" spans="3:14" x14ac:dyDescent="0.35">
      <c r="D12" s="8"/>
      <c r="E12" s="8"/>
      <c r="F12" s="8"/>
      <c r="G12" s="8">
        <f t="shared" si="0"/>
        <v>0</v>
      </c>
      <c r="H12" s="8"/>
      <c r="I12" s="8"/>
      <c r="J12" s="8"/>
      <c r="K12" s="8">
        <f t="shared" si="1"/>
        <v>0</v>
      </c>
      <c r="L12" s="8"/>
      <c r="M12" s="8"/>
      <c r="N12" s="8">
        <f t="shared" si="2"/>
        <v>0</v>
      </c>
    </row>
    <row r="13" spans="3:14" x14ac:dyDescent="0.35">
      <c r="D13" s="8"/>
      <c r="E13" s="8"/>
      <c r="F13" s="8"/>
      <c r="G13" s="8">
        <f t="shared" si="0"/>
        <v>0</v>
      </c>
      <c r="H13" s="8"/>
      <c r="I13" s="8"/>
      <c r="J13" s="8"/>
      <c r="K13" s="8">
        <f t="shared" si="1"/>
        <v>0</v>
      </c>
      <c r="L13" s="8"/>
      <c r="M13" s="8"/>
      <c r="N13" s="8">
        <f t="shared" si="2"/>
        <v>0</v>
      </c>
    </row>
    <row r="14" spans="3:14" x14ac:dyDescent="0.35">
      <c r="D14" s="8" t="s">
        <v>83</v>
      </c>
      <c r="E14" s="8"/>
      <c r="F14" s="8"/>
      <c r="G14" s="8">
        <f t="shared" si="0"/>
        <v>0</v>
      </c>
      <c r="H14" s="8" t="s">
        <v>97</v>
      </c>
      <c r="I14" s="8"/>
      <c r="J14" s="8"/>
      <c r="K14" s="8">
        <f t="shared" si="1"/>
        <v>0</v>
      </c>
      <c r="L14" s="8"/>
      <c r="M14" s="8"/>
      <c r="N14" s="8">
        <f t="shared" si="2"/>
        <v>0</v>
      </c>
    </row>
    <row r="15" spans="3:14" x14ac:dyDescent="0.35">
      <c r="D15" s="8"/>
      <c r="E15" s="8"/>
      <c r="F15" s="8"/>
      <c r="G15" s="8">
        <f t="shared" si="0"/>
        <v>0</v>
      </c>
      <c r="H15" s="8" t="s">
        <v>98</v>
      </c>
      <c r="I15" s="8"/>
      <c r="J15" s="8"/>
      <c r="K15" s="8">
        <f t="shared" si="1"/>
        <v>0</v>
      </c>
      <c r="L15" s="8"/>
      <c r="M15" s="8"/>
      <c r="N15" s="8">
        <f t="shared" si="2"/>
        <v>0</v>
      </c>
    </row>
    <row r="16" spans="3:14" x14ac:dyDescent="0.35">
      <c r="D16" s="8"/>
      <c r="E16" s="8"/>
      <c r="F16" s="8"/>
      <c r="G16" s="8">
        <f t="shared" si="0"/>
        <v>0</v>
      </c>
      <c r="H16" s="8"/>
      <c r="I16" s="8"/>
      <c r="J16" s="8"/>
      <c r="K16" s="8">
        <f t="shared" si="1"/>
        <v>0</v>
      </c>
      <c r="L16" s="8"/>
      <c r="M16" s="8"/>
      <c r="N16" s="8">
        <f t="shared" si="2"/>
        <v>0</v>
      </c>
    </row>
    <row r="17" spans="4:14" x14ac:dyDescent="0.35">
      <c r="D17" s="8"/>
      <c r="E17" s="8"/>
      <c r="F17" s="8"/>
      <c r="G17" s="8">
        <f t="shared" si="0"/>
        <v>0</v>
      </c>
      <c r="H17" s="8"/>
      <c r="I17" s="8"/>
      <c r="J17" s="8"/>
      <c r="K17" s="8">
        <f t="shared" si="1"/>
        <v>0</v>
      </c>
      <c r="L17" s="8"/>
      <c r="M17" s="8"/>
      <c r="N17" s="8">
        <f t="shared" si="2"/>
        <v>0</v>
      </c>
    </row>
    <row r="18" spans="4:14" x14ac:dyDescent="0.35">
      <c r="D18" s="8" t="s">
        <v>84</v>
      </c>
      <c r="E18" s="8"/>
      <c r="F18" s="8"/>
      <c r="G18" s="8">
        <f t="shared" si="0"/>
        <v>0</v>
      </c>
      <c r="H18" s="8" t="s">
        <v>97</v>
      </c>
      <c r="I18" s="8"/>
      <c r="J18" s="8"/>
      <c r="K18" s="8">
        <f t="shared" si="1"/>
        <v>0</v>
      </c>
      <c r="L18" s="8"/>
      <c r="M18" s="8"/>
      <c r="N18" s="8">
        <f t="shared" si="2"/>
        <v>0</v>
      </c>
    </row>
    <row r="19" spans="4:14" x14ac:dyDescent="0.35">
      <c r="D19" s="8"/>
      <c r="E19" s="8"/>
      <c r="F19" s="8"/>
      <c r="G19" s="8">
        <f t="shared" si="0"/>
        <v>0</v>
      </c>
      <c r="H19" s="8" t="s">
        <v>98</v>
      </c>
      <c r="I19" s="8"/>
      <c r="J19" s="8"/>
      <c r="K19" s="8">
        <f t="shared" si="1"/>
        <v>0</v>
      </c>
      <c r="L19" s="8"/>
      <c r="M19" s="8"/>
      <c r="N19" s="8">
        <f t="shared" si="2"/>
        <v>0</v>
      </c>
    </row>
    <row r="20" spans="4:14" x14ac:dyDescent="0.35">
      <c r="D20" s="8"/>
      <c r="E20" s="8"/>
      <c r="F20" s="8"/>
      <c r="G20" s="8">
        <f t="shared" si="0"/>
        <v>0</v>
      </c>
      <c r="H20" s="8"/>
      <c r="I20" s="8"/>
      <c r="J20" s="8"/>
      <c r="K20" s="8">
        <f t="shared" si="1"/>
        <v>0</v>
      </c>
      <c r="L20" s="8"/>
      <c r="M20" s="8"/>
      <c r="N20" s="8">
        <f t="shared" si="2"/>
        <v>0</v>
      </c>
    </row>
    <row r="21" spans="4:14" x14ac:dyDescent="0.35">
      <c r="D21" s="8" t="s">
        <v>84</v>
      </c>
      <c r="E21" s="8"/>
      <c r="F21" s="8"/>
      <c r="G21" s="8">
        <f t="shared" si="0"/>
        <v>0</v>
      </c>
      <c r="H21" s="8" t="s">
        <v>97</v>
      </c>
      <c r="I21" s="8"/>
      <c r="J21" s="8"/>
      <c r="K21" s="8">
        <f t="shared" si="1"/>
        <v>0</v>
      </c>
      <c r="L21" s="8"/>
      <c r="M21" s="8"/>
      <c r="N21" s="8">
        <f t="shared" si="2"/>
        <v>0</v>
      </c>
    </row>
    <row r="22" spans="4:14" x14ac:dyDescent="0.35">
      <c r="D22" s="8"/>
      <c r="E22" s="8"/>
      <c r="F22" s="8"/>
      <c r="G22" s="8">
        <f t="shared" si="0"/>
        <v>0</v>
      </c>
      <c r="H22" s="8" t="s">
        <v>98</v>
      </c>
      <c r="I22" s="8"/>
      <c r="J22" s="8"/>
      <c r="K22" s="8">
        <f t="shared" si="1"/>
        <v>0</v>
      </c>
      <c r="L22" s="8"/>
      <c r="M22" s="8"/>
      <c r="N22" s="8">
        <f t="shared" si="2"/>
        <v>0</v>
      </c>
    </row>
    <row r="23" spans="4:14" x14ac:dyDescent="0.35">
      <c r="D23" s="8"/>
      <c r="E23" s="8"/>
      <c r="F23" s="8"/>
      <c r="G23" s="8">
        <f t="shared" si="0"/>
        <v>0</v>
      </c>
      <c r="H23" s="8"/>
      <c r="I23" s="8"/>
      <c r="J23" s="8"/>
      <c r="K23" s="8">
        <f t="shared" si="1"/>
        <v>0</v>
      </c>
      <c r="L23" s="8"/>
      <c r="M23" s="8"/>
      <c r="N23" s="8">
        <f t="shared" si="2"/>
        <v>0</v>
      </c>
    </row>
    <row r="24" spans="4:14" x14ac:dyDescent="0.35">
      <c r="D24" s="8" t="s">
        <v>90</v>
      </c>
      <c r="E24" s="8"/>
      <c r="F24" s="8"/>
      <c r="G24" s="8">
        <f t="shared" si="0"/>
        <v>0</v>
      </c>
      <c r="H24" s="8" t="s">
        <v>99</v>
      </c>
      <c r="I24" s="8"/>
      <c r="J24" s="8"/>
      <c r="K24" s="8">
        <f t="shared" si="1"/>
        <v>0</v>
      </c>
      <c r="L24" s="8"/>
      <c r="M24" s="8"/>
      <c r="N24" s="8">
        <f t="shared" si="2"/>
        <v>0</v>
      </c>
    </row>
    <row r="25" spans="4:14" x14ac:dyDescent="0.35">
      <c r="D25" s="8" t="s">
        <v>91</v>
      </c>
      <c r="E25" s="8"/>
      <c r="F25" s="8"/>
      <c r="G25" s="8">
        <f t="shared" si="0"/>
        <v>0</v>
      </c>
      <c r="H25" s="8" t="s">
        <v>99</v>
      </c>
      <c r="I25" s="8"/>
      <c r="J25" s="8"/>
      <c r="K25" s="8">
        <f t="shared" si="1"/>
        <v>0</v>
      </c>
      <c r="L25" s="8"/>
      <c r="M25" s="8"/>
      <c r="N25" s="8">
        <f t="shared" si="2"/>
        <v>0</v>
      </c>
    </row>
    <row r="26" spans="4:14" x14ac:dyDescent="0.35">
      <c r="D26" s="8" t="s">
        <v>92</v>
      </c>
      <c r="E26" s="8"/>
      <c r="F26" s="8"/>
      <c r="G26" s="8">
        <f t="shared" si="0"/>
        <v>0</v>
      </c>
      <c r="H26" s="8" t="s">
        <v>99</v>
      </c>
      <c r="I26" s="8"/>
      <c r="J26" s="8"/>
      <c r="K26" s="8">
        <f t="shared" si="1"/>
        <v>0</v>
      </c>
      <c r="L26" s="8"/>
      <c r="M26" s="8"/>
      <c r="N26" s="8">
        <f t="shared" si="2"/>
        <v>0</v>
      </c>
    </row>
    <row r="27" spans="4:14" x14ac:dyDescent="0.35">
      <c r="D27" s="8"/>
      <c r="E27" s="8"/>
      <c r="F27" s="8"/>
      <c r="G27" s="8">
        <f t="shared" si="0"/>
        <v>0</v>
      </c>
      <c r="H27" s="8"/>
      <c r="I27" s="8"/>
      <c r="J27" s="8"/>
      <c r="K27" s="8">
        <f t="shared" si="1"/>
        <v>0</v>
      </c>
      <c r="L27" s="8"/>
      <c r="M27" s="8"/>
      <c r="N27" s="8">
        <f t="shared" si="2"/>
        <v>0</v>
      </c>
    </row>
    <row r="28" spans="4:14" x14ac:dyDescent="0.35">
      <c r="D28" s="8" t="s">
        <v>86</v>
      </c>
      <c r="E28" s="8"/>
      <c r="F28" s="8"/>
      <c r="G28" s="8">
        <f t="shared" si="0"/>
        <v>0</v>
      </c>
      <c r="H28" s="8"/>
      <c r="I28" s="8"/>
      <c r="J28" s="8"/>
      <c r="K28" s="8">
        <f t="shared" si="1"/>
        <v>0</v>
      </c>
      <c r="L28" s="8"/>
      <c r="M28" s="8"/>
      <c r="N28" s="8">
        <f t="shared" si="2"/>
        <v>0</v>
      </c>
    </row>
    <row r="29" spans="4:14" x14ac:dyDescent="0.35">
      <c r="D29" s="8" t="s">
        <v>87</v>
      </c>
      <c r="E29" s="8"/>
      <c r="F29" s="8"/>
      <c r="G29" s="8">
        <f t="shared" si="0"/>
        <v>0</v>
      </c>
      <c r="H29" s="8"/>
      <c r="I29" s="8"/>
      <c r="J29" s="8"/>
      <c r="K29" s="8">
        <f t="shared" si="1"/>
        <v>0</v>
      </c>
      <c r="L29" s="8"/>
      <c r="M29" s="8"/>
      <c r="N29" s="8">
        <f t="shared" si="2"/>
        <v>0</v>
      </c>
    </row>
    <row r="30" spans="4:14" x14ac:dyDescent="0.35">
      <c r="D30" s="8" t="s">
        <v>88</v>
      </c>
      <c r="E30" s="8"/>
      <c r="F30" s="8"/>
      <c r="G30" s="8">
        <f t="shared" si="0"/>
        <v>0</v>
      </c>
      <c r="H30" s="8"/>
      <c r="I30" s="8"/>
      <c r="J30" s="8"/>
      <c r="K30" s="8">
        <f t="shared" si="1"/>
        <v>0</v>
      </c>
      <c r="L30" s="8"/>
      <c r="M30" s="8"/>
      <c r="N30" s="8">
        <f t="shared" si="2"/>
        <v>0</v>
      </c>
    </row>
    <row r="31" spans="4:14" x14ac:dyDescent="0.35">
      <c r="D31" s="8" t="s">
        <v>89</v>
      </c>
      <c r="E31" s="8"/>
      <c r="F31" s="8"/>
      <c r="G31" s="8">
        <f t="shared" si="0"/>
        <v>0</v>
      </c>
      <c r="H31" s="8"/>
      <c r="I31" s="8"/>
      <c r="J31" s="8"/>
      <c r="K31" s="8">
        <f t="shared" si="1"/>
        <v>0</v>
      </c>
      <c r="L31" s="8"/>
      <c r="M31" s="8"/>
      <c r="N31" s="8">
        <f t="shared" si="2"/>
        <v>0</v>
      </c>
    </row>
    <row r="32" spans="4:14" x14ac:dyDescent="0.35">
      <c r="D32" s="8"/>
      <c r="E32" s="8"/>
      <c r="F32" s="8"/>
      <c r="G32" s="8">
        <f t="shared" si="0"/>
        <v>0</v>
      </c>
      <c r="H32" s="8"/>
      <c r="I32" s="8"/>
      <c r="J32" s="8"/>
      <c r="K32" s="8">
        <f t="shared" si="1"/>
        <v>0</v>
      </c>
      <c r="L32" s="8"/>
      <c r="M32" s="8"/>
      <c r="N32" s="8">
        <f t="shared" si="2"/>
        <v>0</v>
      </c>
    </row>
    <row r="33" spans="4:14" x14ac:dyDescent="0.35">
      <c r="D33" s="8"/>
      <c r="E33" s="8"/>
      <c r="F33" s="8"/>
      <c r="G33" s="8">
        <f t="shared" si="0"/>
        <v>0</v>
      </c>
      <c r="H33" s="8"/>
      <c r="I33" s="8"/>
      <c r="J33" s="8"/>
      <c r="K33" s="8">
        <f t="shared" si="1"/>
        <v>0</v>
      </c>
      <c r="L33" s="8"/>
      <c r="M33" s="8"/>
      <c r="N33" s="8">
        <f t="shared" si="2"/>
        <v>0</v>
      </c>
    </row>
    <row r="34" spans="4:14" x14ac:dyDescent="0.35">
      <c r="D34" s="8"/>
      <c r="E34" s="8"/>
      <c r="F34" s="8"/>
      <c r="G34" s="8">
        <f t="shared" si="0"/>
        <v>0</v>
      </c>
      <c r="H34" s="8"/>
      <c r="I34" s="8"/>
      <c r="J34" s="8"/>
      <c r="K34" s="8">
        <f t="shared" si="1"/>
        <v>0</v>
      </c>
      <c r="L34" s="8"/>
      <c r="M34" s="8"/>
      <c r="N34" s="8">
        <f t="shared" si="2"/>
        <v>0</v>
      </c>
    </row>
    <row r="35" spans="4:14" x14ac:dyDescent="0.35">
      <c r="D35" s="8" t="s">
        <v>93</v>
      </c>
      <c r="E35" s="8"/>
      <c r="F35" s="8">
        <f>G35*10.764</f>
        <v>0</v>
      </c>
      <c r="G35" s="8">
        <f>SUM(G7:G34)</f>
        <v>0</v>
      </c>
      <c r="H35" s="8"/>
      <c r="I35" s="8"/>
      <c r="J35" s="8">
        <f>K35*10.764</f>
        <v>0</v>
      </c>
      <c r="K35" s="8">
        <f>SUM(K7:K34)</f>
        <v>0</v>
      </c>
      <c r="L35" s="8"/>
      <c r="M35" s="8">
        <f>N35*10.764</f>
        <v>0</v>
      </c>
      <c r="N35" s="8">
        <f>SUM(N7:N34)</f>
        <v>0</v>
      </c>
    </row>
  </sheetData>
  <mergeCells count="4">
    <mergeCell ref="E3:F3"/>
    <mergeCell ref="E5:G5"/>
    <mergeCell ref="I5:K5"/>
    <mergeCell ref="L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Construction %</vt:lpstr>
      <vt:lpstr>Wing A</vt:lpstr>
      <vt:lpstr>Wing B</vt:lpstr>
      <vt:lpstr>Wing C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 Elitebook 840 G6</cp:lastModifiedBy>
  <cp:lastPrinted>2024-11-07T10:56:26Z</cp:lastPrinted>
  <dcterms:created xsi:type="dcterms:W3CDTF">2013-11-23T05:32:33Z</dcterms:created>
  <dcterms:modified xsi:type="dcterms:W3CDTF">2025-09-17T09:13:44Z</dcterms:modified>
</cp:coreProperties>
</file>