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VSJCV\Making\AXIS\2025-26\Axis\APF Old\Sept 2025\18-09-2025\"/>
    </mc:Choice>
  </mc:AlternateContent>
  <bookViews>
    <workbookView xWindow="0" yWindow="0" windowWidth="19200" windowHeight="6640"/>
  </bookViews>
  <sheets>
    <sheet name="Report" sheetId="1" r:id="rId1"/>
    <sheet name="Flat detail" sheetId="3" r:id="rId2"/>
    <sheet name="Note" sheetId="4" r:id="rId3"/>
    <sheet name="valuation" sheetId="5" r:id="rId4"/>
  </sheets>
  <definedNames>
    <definedName name="_xlnm.Print_Area" localSheetId="0">Report!$A$1:$H$523</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44" i="1" l="1"/>
  <c r="E3" i="1" l="1"/>
  <c r="J168" i="1" l="1"/>
  <c r="J167" i="1"/>
  <c r="J166" i="1"/>
  <c r="J165" i="1"/>
  <c r="J98" i="1"/>
  <c r="J97" i="1"/>
  <c r="J96" i="1"/>
  <c r="J95" i="1"/>
  <c r="J154" i="1"/>
  <c r="J153" i="1"/>
  <c r="J152" i="1"/>
  <c r="J151" i="1"/>
  <c r="J140" i="1"/>
  <c r="J139" i="1"/>
  <c r="J138" i="1"/>
  <c r="J137" i="1"/>
  <c r="J126" i="1"/>
  <c r="J125" i="1"/>
  <c r="J124" i="1"/>
  <c r="J123" i="1"/>
  <c r="H130" i="1"/>
  <c r="H88" i="1"/>
  <c r="H158" i="1"/>
  <c r="H144" i="1"/>
  <c r="H116" i="1"/>
  <c r="C163" i="1" l="1"/>
  <c r="D163" i="1" s="1"/>
  <c r="D170" i="1"/>
  <c r="D166" i="1"/>
  <c r="J162" i="1"/>
  <c r="C161" i="1" s="1"/>
  <c r="J160" i="1"/>
  <c r="D167" i="1"/>
  <c r="D169" i="1"/>
  <c r="D165" i="1"/>
  <c r="J161" i="1"/>
  <c r="D168" i="1"/>
  <c r="D164" i="1"/>
  <c r="J163" i="1"/>
  <c r="J164" i="1" s="1"/>
  <c r="J169" i="1" s="1"/>
  <c r="J170" i="1" s="1"/>
  <c r="C162" i="1" s="1"/>
  <c r="C93" i="1"/>
  <c r="D93" i="1" s="1"/>
  <c r="D100" i="1"/>
  <c r="D96" i="1"/>
  <c r="D99" i="1"/>
  <c r="D95" i="1"/>
  <c r="J91" i="1"/>
  <c r="J92" i="1"/>
  <c r="C91" i="1" s="1"/>
  <c r="D91" i="1" s="1"/>
  <c r="D98" i="1"/>
  <c r="D94" i="1"/>
  <c r="J93" i="1"/>
  <c r="J94" i="1" s="1"/>
  <c r="J99" i="1" s="1"/>
  <c r="J100" i="1" s="1"/>
  <c r="C92" i="1" s="1"/>
  <c r="D97" i="1"/>
  <c r="J90" i="1"/>
  <c r="C149" i="1"/>
  <c r="D149" i="1" s="1"/>
  <c r="D156" i="1"/>
  <c r="D152" i="1"/>
  <c r="J148" i="1"/>
  <c r="C147" i="1" s="1"/>
  <c r="D147" i="1" s="1"/>
  <c r="J146" i="1"/>
  <c r="D153" i="1"/>
  <c r="D155" i="1"/>
  <c r="D151" i="1"/>
  <c r="J147" i="1"/>
  <c r="D154" i="1"/>
  <c r="D150" i="1"/>
  <c r="J149" i="1"/>
  <c r="J150" i="1" s="1"/>
  <c r="J155" i="1" s="1"/>
  <c r="J156" i="1" s="1"/>
  <c r="C148" i="1" s="1"/>
  <c r="D142" i="1"/>
  <c r="D138" i="1"/>
  <c r="J134" i="1"/>
  <c r="C133" i="1" s="1"/>
  <c r="D133" i="1" s="1"/>
  <c r="J132" i="1"/>
  <c r="D141" i="1"/>
  <c r="D137" i="1"/>
  <c r="D140" i="1"/>
  <c r="D136" i="1"/>
  <c r="D139" i="1"/>
  <c r="J135" i="1"/>
  <c r="J136" i="1" s="1"/>
  <c r="J141" i="1" s="1"/>
  <c r="J142" i="1" s="1"/>
  <c r="C134" i="1" s="1"/>
  <c r="C135" i="1"/>
  <c r="D135" i="1" s="1"/>
  <c r="J133" i="1"/>
  <c r="C121" i="1"/>
  <c r="D121" i="1" s="1"/>
  <c r="D128" i="1"/>
  <c r="J120" i="1"/>
  <c r="C119" i="1" s="1"/>
  <c r="D119" i="1" s="1"/>
  <c r="D127" i="1"/>
  <c r="D123" i="1"/>
  <c r="J119" i="1"/>
  <c r="D126" i="1"/>
  <c r="D122" i="1"/>
  <c r="J121" i="1"/>
  <c r="J122" i="1" s="1"/>
  <c r="J127" i="1" s="1"/>
  <c r="J128" i="1" s="1"/>
  <c r="C120" i="1" s="1"/>
  <c r="D124" i="1"/>
  <c r="D125" i="1"/>
  <c r="J118" i="1"/>
  <c r="J112" i="1"/>
  <c r="J111" i="1"/>
  <c r="J110" i="1"/>
  <c r="J109" i="1"/>
  <c r="J84" i="1"/>
  <c r="J83" i="1"/>
  <c r="J82" i="1"/>
  <c r="J81" i="1"/>
  <c r="J70" i="1"/>
  <c r="J69" i="1"/>
  <c r="F11" i="5"/>
  <c r="G11" i="5" s="1"/>
  <c r="F10" i="5"/>
  <c r="G10" i="5" s="1"/>
  <c r="F9" i="5"/>
  <c r="G9" i="5" s="1"/>
  <c r="G8" i="5"/>
  <c r="F8" i="5"/>
  <c r="F7" i="5"/>
  <c r="G7" i="5" s="1"/>
  <c r="F6" i="5"/>
  <c r="G6" i="5" s="1"/>
  <c r="F5" i="5"/>
  <c r="G5" i="5" s="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L34" i="3" s="1"/>
  <c r="K34" i="3" s="1"/>
  <c r="I6" i="3"/>
  <c r="E6" i="3"/>
  <c r="D386" i="1"/>
  <c r="F386" i="1" s="1"/>
  <c r="D385" i="1"/>
  <c r="F385" i="1" s="1"/>
  <c r="G384" i="1"/>
  <c r="D384" i="1"/>
  <c r="F384" i="1" s="1"/>
  <c r="D382" i="1"/>
  <c r="F382" i="1" s="1"/>
  <c r="D381" i="1"/>
  <c r="F381" i="1" s="1"/>
  <c r="G380" i="1"/>
  <c r="D380" i="1"/>
  <c r="F380" i="1" s="1"/>
  <c r="D376" i="1"/>
  <c r="F376" i="1" s="1"/>
  <c r="G375" i="1"/>
  <c r="D375" i="1"/>
  <c r="F375" i="1" s="1"/>
  <c r="D373" i="1"/>
  <c r="G372" i="1"/>
  <c r="D372" i="1"/>
  <c r="F372" i="1" s="1"/>
  <c r="D368" i="1"/>
  <c r="F368" i="1" s="1"/>
  <c r="G367" i="1"/>
  <c r="D367" i="1"/>
  <c r="F367" i="1" s="1"/>
  <c r="D365" i="1"/>
  <c r="F365" i="1" s="1"/>
  <c r="G364" i="1"/>
  <c r="D364" i="1"/>
  <c r="F364" i="1" s="1"/>
  <c r="D360" i="1"/>
  <c r="F360" i="1" s="1"/>
  <c r="G359" i="1"/>
  <c r="D359" i="1"/>
  <c r="F359" i="1" s="1"/>
  <c r="D357" i="1"/>
  <c r="F357" i="1" s="1"/>
  <c r="G356" i="1"/>
  <c r="D356" i="1"/>
  <c r="D352" i="1"/>
  <c r="F352" i="1" s="1"/>
  <c r="G351" i="1"/>
  <c r="D351" i="1"/>
  <c r="D349" i="1"/>
  <c r="F349" i="1" s="1"/>
  <c r="G348" i="1"/>
  <c r="D348" i="1"/>
  <c r="F348" i="1" s="1"/>
  <c r="D344" i="1"/>
  <c r="F344" i="1" s="1"/>
  <c r="D343" i="1"/>
  <c r="F343" i="1" s="1"/>
  <c r="G342" i="1"/>
  <c r="D342" i="1"/>
  <c r="F342" i="1" s="1"/>
  <c r="D340" i="1"/>
  <c r="F340" i="1" s="1"/>
  <c r="D339" i="1"/>
  <c r="F339" i="1" s="1"/>
  <c r="G338" i="1"/>
  <c r="D338" i="1"/>
  <c r="D333" i="1"/>
  <c r="F333" i="1" s="1"/>
  <c r="D332" i="1"/>
  <c r="F332" i="1" s="1"/>
  <c r="G331" i="1"/>
  <c r="D331" i="1"/>
  <c r="F331" i="1" s="1"/>
  <c r="D329" i="1"/>
  <c r="F329" i="1" s="1"/>
  <c r="D328" i="1"/>
  <c r="F328" i="1" s="1"/>
  <c r="G327" i="1"/>
  <c r="D327" i="1"/>
  <c r="F327" i="1" s="1"/>
  <c r="D323" i="1"/>
  <c r="F323" i="1" s="1"/>
  <c r="G322" i="1"/>
  <c r="D322" i="1"/>
  <c r="F322" i="1" s="1"/>
  <c r="D320" i="1"/>
  <c r="F320" i="1" s="1"/>
  <c r="G319" i="1"/>
  <c r="D319" i="1"/>
  <c r="F319" i="1" s="1"/>
  <c r="D315" i="1"/>
  <c r="F315" i="1" s="1"/>
  <c r="D314" i="1"/>
  <c r="F314" i="1" s="1"/>
  <c r="D313" i="1"/>
  <c r="F313" i="1" s="1"/>
  <c r="G312" i="1"/>
  <c r="D312" i="1"/>
  <c r="F312" i="1" s="1"/>
  <c r="D310" i="1"/>
  <c r="F310" i="1" s="1"/>
  <c r="D309" i="1"/>
  <c r="D308" i="1"/>
  <c r="F308" i="1" s="1"/>
  <c r="G307" i="1"/>
  <c r="D307" i="1"/>
  <c r="F307" i="1" s="1"/>
  <c r="D303" i="1"/>
  <c r="F303" i="1" s="1"/>
  <c r="D302" i="1"/>
  <c r="F302" i="1" s="1"/>
  <c r="D301" i="1"/>
  <c r="G300" i="1"/>
  <c r="D300" i="1"/>
  <c r="F300" i="1" s="1"/>
  <c r="D298" i="1"/>
  <c r="F298" i="1" s="1"/>
  <c r="D297" i="1"/>
  <c r="F297" i="1" s="1"/>
  <c r="D296" i="1"/>
  <c r="F296" i="1" s="1"/>
  <c r="G295" i="1"/>
  <c r="D295" i="1"/>
  <c r="F295" i="1" s="1"/>
  <c r="D291" i="1"/>
  <c r="F291" i="1" s="1"/>
  <c r="G290" i="1"/>
  <c r="D290" i="1"/>
  <c r="F290" i="1" s="1"/>
  <c r="D288" i="1"/>
  <c r="F288" i="1" s="1"/>
  <c r="G287" i="1"/>
  <c r="D287" i="1"/>
  <c r="F287" i="1" s="1"/>
  <c r="D283" i="1"/>
  <c r="F283" i="1" s="1"/>
  <c r="D282" i="1"/>
  <c r="F282" i="1" s="1"/>
  <c r="G281" i="1"/>
  <c r="D281" i="1"/>
  <c r="D279" i="1"/>
  <c r="F279" i="1" s="1"/>
  <c r="D278" i="1"/>
  <c r="F278" i="1" s="1"/>
  <c r="G277" i="1"/>
  <c r="D277" i="1"/>
  <c r="F277" i="1" s="1"/>
  <c r="D272" i="1"/>
  <c r="G271" i="1"/>
  <c r="D271" i="1"/>
  <c r="F271" i="1" s="1"/>
  <c r="D267" i="1"/>
  <c r="F267" i="1" s="1"/>
  <c r="G266" i="1"/>
  <c r="D266" i="1"/>
  <c r="F266" i="1" s="1"/>
  <c r="D262" i="1"/>
  <c r="G261" i="1"/>
  <c r="D261" i="1"/>
  <c r="F261" i="1" s="1"/>
  <c r="D256" i="1"/>
  <c r="F256" i="1" s="1"/>
  <c r="D255" i="1"/>
  <c r="F255" i="1" s="1"/>
  <c r="D254" i="1"/>
  <c r="F254" i="1" s="1"/>
  <c r="G253" i="1"/>
  <c r="D253" i="1"/>
  <c r="F253" i="1" s="1"/>
  <c r="D249" i="1"/>
  <c r="F249" i="1" s="1"/>
  <c r="D248" i="1"/>
  <c r="F248" i="1" s="1"/>
  <c r="D247" i="1"/>
  <c r="F247" i="1" s="1"/>
  <c r="G246" i="1"/>
  <c r="D246" i="1"/>
  <c r="F246" i="1" s="1"/>
  <c r="D242" i="1"/>
  <c r="F242" i="1" s="1"/>
  <c r="D241" i="1"/>
  <c r="F241" i="1" s="1"/>
  <c r="D240" i="1"/>
  <c r="F240" i="1" s="1"/>
  <c r="G239" i="1"/>
  <c r="D239" i="1"/>
  <c r="F239" i="1" s="1"/>
  <c r="D235" i="1"/>
  <c r="F235" i="1" s="1"/>
  <c r="D234" i="1"/>
  <c r="F234" i="1" s="1"/>
  <c r="D233" i="1"/>
  <c r="F233" i="1" s="1"/>
  <c r="G232" i="1"/>
  <c r="D232" i="1"/>
  <c r="D228" i="1"/>
  <c r="F228" i="1" s="1"/>
  <c r="G227" i="1"/>
  <c r="D227" i="1"/>
  <c r="F227" i="1" s="1"/>
  <c r="D223" i="1"/>
  <c r="F223" i="1" s="1"/>
  <c r="G222" i="1"/>
  <c r="D222" i="1"/>
  <c r="F187" i="1"/>
  <c r="D51" i="1"/>
  <c r="G46" i="1"/>
  <c r="G47" i="1" s="1"/>
  <c r="C46" i="1"/>
  <c r="C47" i="1" s="1"/>
  <c r="E40" i="1"/>
  <c r="E41" i="1" s="1"/>
  <c r="C13" i="1"/>
  <c r="E7" i="1"/>
  <c r="H102" i="1"/>
  <c r="H74" i="1"/>
  <c r="H60" i="1"/>
  <c r="D209" i="1" l="1"/>
  <c r="D200" i="1"/>
  <c r="C200" i="1"/>
  <c r="D193" i="1"/>
  <c r="D212" i="1"/>
  <c r="D203" i="1"/>
  <c r="F373" i="1"/>
  <c r="D201" i="1"/>
  <c r="E34" i="3"/>
  <c r="G12" i="5"/>
  <c r="C203" i="1"/>
  <c r="I34" i="3"/>
  <c r="H34" i="3" s="1"/>
  <c r="D199" i="1"/>
  <c r="E161" i="1"/>
  <c r="D162" i="1"/>
  <c r="G161" i="1"/>
  <c r="D161" i="1"/>
  <c r="E91" i="1"/>
  <c r="I87" i="1" s="1"/>
  <c r="C89" i="1" s="1"/>
  <c r="D92" i="1"/>
  <c r="G91" i="1"/>
  <c r="D198" i="1"/>
  <c r="D195" i="1"/>
  <c r="F222" i="1"/>
  <c r="F193" i="1" s="1"/>
  <c r="F272" i="1"/>
  <c r="F201" i="1" s="1"/>
  <c r="C193" i="1"/>
  <c r="D196" i="1"/>
  <c r="D210" i="1"/>
  <c r="F203" i="1"/>
  <c r="D211" i="1"/>
  <c r="C209" i="1"/>
  <c r="D208" i="1"/>
  <c r="F200" i="1"/>
  <c r="D206" i="1"/>
  <c r="F198" i="1"/>
  <c r="C204" i="1"/>
  <c r="D205" i="1"/>
  <c r="D207" i="1"/>
  <c r="F196" i="1"/>
  <c r="D202" i="1"/>
  <c r="F207" i="1"/>
  <c r="C210" i="1"/>
  <c r="F211" i="1"/>
  <c r="E147" i="1"/>
  <c r="I143" i="1" s="1"/>
  <c r="C145" i="1" s="1"/>
  <c r="D148" i="1"/>
  <c r="G147" i="1"/>
  <c r="E133" i="1"/>
  <c r="I129" i="1" s="1"/>
  <c r="C131" i="1" s="1"/>
  <c r="D134" i="1"/>
  <c r="G133" i="1"/>
  <c r="E119" i="1"/>
  <c r="I115" i="1" s="1"/>
  <c r="C117" i="1" s="1"/>
  <c r="D120" i="1"/>
  <c r="G119" i="1"/>
  <c r="D113" i="1"/>
  <c r="D109" i="1"/>
  <c r="J105" i="1"/>
  <c r="D112" i="1"/>
  <c r="D108" i="1"/>
  <c r="J107" i="1"/>
  <c r="J108" i="1" s="1"/>
  <c r="J113" i="1" s="1"/>
  <c r="J114" i="1" s="1"/>
  <c r="C106" i="1" s="1"/>
  <c r="D111" i="1"/>
  <c r="C107" i="1"/>
  <c r="D107" i="1" s="1"/>
  <c r="D114" i="1"/>
  <c r="D110" i="1"/>
  <c r="J106" i="1"/>
  <c r="C105" i="1" s="1"/>
  <c r="J104" i="1"/>
  <c r="D86" i="1"/>
  <c r="D82" i="1"/>
  <c r="J78" i="1"/>
  <c r="C77" i="1" s="1"/>
  <c r="D77" i="1" s="1"/>
  <c r="J76" i="1"/>
  <c r="J77" i="1"/>
  <c r="D85" i="1"/>
  <c r="D81" i="1"/>
  <c r="D84" i="1"/>
  <c r="D80" i="1"/>
  <c r="J79" i="1"/>
  <c r="J80" i="1" s="1"/>
  <c r="J85" i="1" s="1"/>
  <c r="J86" i="1" s="1"/>
  <c r="C78" i="1" s="1"/>
  <c r="D83" i="1"/>
  <c r="C79" i="1"/>
  <c r="D79" i="1" s="1"/>
  <c r="D65" i="1"/>
  <c r="D72" i="1"/>
  <c r="D68" i="1"/>
  <c r="J64" i="1"/>
  <c r="C63" i="1" s="1"/>
  <c r="J62" i="1"/>
  <c r="D71" i="1"/>
  <c r="D67" i="1"/>
  <c r="J63" i="1"/>
  <c r="D70" i="1"/>
  <c r="D66" i="1"/>
  <c r="J65" i="1"/>
  <c r="J66" i="1" s="1"/>
  <c r="J67" i="1" s="1"/>
  <c r="D69" i="1"/>
  <c r="F194" i="1"/>
  <c r="F197" i="1"/>
  <c r="F212" i="1"/>
  <c r="F206" i="1"/>
  <c r="F213" i="1"/>
  <c r="D34" i="3"/>
  <c r="D36" i="3" s="1"/>
  <c r="E36" i="3"/>
  <c r="C194" i="1"/>
  <c r="D197" i="1"/>
  <c r="D213" i="1"/>
  <c r="F232" i="1"/>
  <c r="F262" i="1"/>
  <c r="F199" i="1" s="1"/>
  <c r="F301" i="1"/>
  <c r="F204" i="1" s="1"/>
  <c r="F338" i="1"/>
  <c r="F208" i="1" s="1"/>
  <c r="F356" i="1"/>
  <c r="F210" i="1" s="1"/>
  <c r="D194" i="1"/>
  <c r="C195" i="1"/>
  <c r="D204" i="1"/>
  <c r="C208" i="1"/>
  <c r="F281" i="1"/>
  <c r="F202" i="1" s="1"/>
  <c r="F309" i="1"/>
  <c r="F205" i="1" s="1"/>
  <c r="F351" i="1"/>
  <c r="F209" i="1" s="1"/>
  <c r="C199" i="1"/>
  <c r="C202" i="1"/>
  <c r="D214" i="1" l="1"/>
  <c r="I157" i="1"/>
  <c r="C159" i="1" s="1"/>
  <c r="E105" i="1"/>
  <c r="D106" i="1"/>
  <c r="G105" i="1"/>
  <c r="D105" i="1"/>
  <c r="E77" i="1"/>
  <c r="I73" i="1" s="1"/>
  <c r="C75" i="1" s="1"/>
  <c r="D78" i="1"/>
  <c r="G77" i="1"/>
  <c r="J71" i="1"/>
  <c r="J68" i="1"/>
  <c r="D63" i="1"/>
  <c r="C214" i="1"/>
  <c r="F195" i="1"/>
  <c r="F214" i="1" s="1"/>
  <c r="I232" i="1"/>
  <c r="I101" i="1" l="1"/>
  <c r="C103" i="1" s="1"/>
  <c r="J72" i="1"/>
  <c r="C64" i="1" s="1"/>
  <c r="D64" i="1" s="1"/>
  <c r="E63" i="1" l="1"/>
  <c r="I59" i="1" s="1"/>
  <c r="C61" i="1" s="1"/>
  <c r="G63" i="1"/>
</calcChain>
</file>

<file path=xl/sharedStrings.xml><?xml version="1.0" encoding="utf-8"?>
<sst xmlns="http://schemas.openxmlformats.org/spreadsheetml/2006/main" count="759" uniqueCount="270">
  <si>
    <t xml:space="preserve">Valuation Report </t>
  </si>
  <si>
    <t>Date:</t>
  </si>
  <si>
    <t>CPC Name:</t>
  </si>
  <si>
    <t>Axis Sanpada</t>
  </si>
  <si>
    <t>Date Of Property Visit</t>
  </si>
  <si>
    <t>Name of the builder group</t>
  </si>
  <si>
    <t xml:space="preserve">M/s. Swaraj Mega Structure Private Limited
</t>
  </si>
  <si>
    <t>Name of the builder company</t>
  </si>
  <si>
    <t>Name of the Project</t>
  </si>
  <si>
    <t>Avante</t>
  </si>
  <si>
    <t>Contect Details ( Name &amp; Contect No.)</t>
  </si>
  <si>
    <t>Name / No of the Building</t>
  </si>
  <si>
    <t>Building No. 1 (Wing A1 to A6)
Building No. 2 (Wing B1 to B3)
Building No. 3 (Wing C1 to C6)
Building No. 4 (Wing D1 to D6)</t>
  </si>
  <si>
    <t>Docouments Provided</t>
  </si>
  <si>
    <t>Approved Plans, CC, Cost Sheet</t>
  </si>
  <si>
    <t>RERA No.</t>
  </si>
  <si>
    <t xml:space="preserve">P52000016411
</t>
  </si>
  <si>
    <t xml:space="preserve">Project location details       </t>
  </si>
  <si>
    <t>Gut No</t>
  </si>
  <si>
    <t>139/3, 139/6, 139/7, 139/10, 139/12, 139/14A, 139/14B, 140/1(2), 140/1(4), 140/2, 141, 142, 143 &amp; 146/2</t>
  </si>
  <si>
    <t>Road</t>
  </si>
  <si>
    <t>Swapna Nagari Road</t>
  </si>
  <si>
    <t>Locality/Village</t>
  </si>
  <si>
    <t>Wakdi</t>
  </si>
  <si>
    <t>City</t>
  </si>
  <si>
    <t>Panvel</t>
  </si>
  <si>
    <t>District</t>
  </si>
  <si>
    <t>Raigad</t>
  </si>
  <si>
    <t>Taluka</t>
  </si>
  <si>
    <t>Pin Code</t>
  </si>
  <si>
    <t>Near by Landmark</t>
  </si>
  <si>
    <t>Shanti Harmony</t>
  </si>
  <si>
    <t xml:space="preserve">Distance from city centre: </t>
  </si>
  <si>
    <t>7.2km from Panvel Railway Station</t>
  </si>
  <si>
    <t>Accessibility to the Project from the City: (Proximity to civic amenities like school, hospital, market, etc.)</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</si>
  <si>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</si>
  <si>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</si>
  <si>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</si>
  <si>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</si>
  <si>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</si>
  <si>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</si>
  <si>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</si>
  <si>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</si>
  <si>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</si>
  <si>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</si>
  <si>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</si>
  <si>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Type of Structure</t>
  </si>
  <si>
    <t>RCC Frame Structure</t>
  </si>
  <si>
    <t xml:space="preserve">Approved usage of the Property:                                                                                                                                             </t>
  </si>
  <si>
    <t>Residential</t>
  </si>
  <si>
    <t>Restrictive Covenants in regard to Land Use</t>
  </si>
  <si>
    <t>No</t>
  </si>
  <si>
    <t>Boundries</t>
  </si>
  <si>
    <t>As per deed</t>
  </si>
  <si>
    <t>At site</t>
  </si>
  <si>
    <t>East</t>
  </si>
  <si>
    <t>NA</t>
  </si>
  <si>
    <t>West</t>
  </si>
  <si>
    <t>Open Plot</t>
  </si>
  <si>
    <t>North</t>
  </si>
  <si>
    <t>South</t>
  </si>
  <si>
    <t>Does the boundaries at site match, as mentioned in the Docoumentation: NA</t>
  </si>
  <si>
    <t>Latitude</t>
  </si>
  <si>
    <t>Longitude</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</si>
  <si>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</si>
  <si>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</si>
  <si>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</si>
  <si>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</si>
  <si>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</si>
  <si>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</si>
  <si>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</si>
  <si>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21 Wings</t>
  </si>
  <si>
    <t xml:space="preserve">Approval Detail : Plan approval </t>
  </si>
  <si>
    <t xml:space="preserve">Layout Approval No     </t>
  </si>
  <si>
    <t>CIDCO/NAINA/Panvel/Wakadi/BP-223/CC/2018/1228</t>
  </si>
  <si>
    <t>Dated</t>
  </si>
  <si>
    <t>09/02/2018.</t>
  </si>
  <si>
    <t xml:space="preserve">Approved Floor plan No.  </t>
  </si>
  <si>
    <t>Commencement Certificate No.</t>
  </si>
  <si>
    <t xml:space="preserve">O. Certificate No.: </t>
  </si>
  <si>
    <t>NA
Approved upto : NA</t>
  </si>
  <si>
    <t xml:space="preserve">Date of approval: </t>
  </si>
  <si>
    <t>Building wise Construction details</t>
  </si>
  <si>
    <t>Approved area of building (Sq.Mt)</t>
  </si>
  <si>
    <t>Approved no of units</t>
  </si>
  <si>
    <t>Flats - 232</t>
  </si>
  <si>
    <t>Approved no of Floors</t>
  </si>
  <si>
    <t>Proposed no of Floors</t>
  </si>
  <si>
    <t>Expected Completion</t>
  </si>
  <si>
    <t>Projected life of the structure</t>
  </si>
  <si>
    <t>60 Years After Completion</t>
  </si>
  <si>
    <t xml:space="preserve">Quality of construction: </t>
  </si>
  <si>
    <t xml:space="preserve">Material laying at Site: </t>
  </si>
  <si>
    <t>Cement, Aggregate, Steel, etc</t>
  </si>
  <si>
    <t>Basement</t>
  </si>
  <si>
    <t>Ground</t>
  </si>
  <si>
    <t>Podium</t>
  </si>
  <si>
    <t>Floors</t>
  </si>
  <si>
    <t xml:space="preserve">Stage of construction: </t>
  </si>
  <si>
    <t>Type of Work</t>
  </si>
  <si>
    <t>Complition %</t>
  </si>
  <si>
    <t>Progress %</t>
  </si>
  <si>
    <t>Disbursement %</t>
  </si>
  <si>
    <t>All work Completed. OC Received.</t>
  </si>
  <si>
    <t>Plinth</t>
  </si>
  <si>
    <t>Excavation in process</t>
  </si>
  <si>
    <t>Excavation Completed</t>
  </si>
  <si>
    <t>Footing in Process</t>
  </si>
  <si>
    <t>Footing Completed</t>
  </si>
  <si>
    <t>Plinth in process</t>
  </si>
  <si>
    <t>Plinth completed</t>
  </si>
  <si>
    <t>Wheather the construction is as per approved Building plan : Under Construction</t>
  </si>
  <si>
    <t>Violations Observed if any : NA</t>
  </si>
  <si>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</si>
  <si>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Rates of the Property :</t>
  </si>
  <si>
    <t>Recommended rate of the flat Per Sq. Ft. ( on Saleable area)</t>
  </si>
  <si>
    <t>Recommended rate of the shop Per Sq. Ft. ( on Saleable area)</t>
  </si>
  <si>
    <t>Recommended rate of the Office Per Sq. Ft. ( on Saleable area)</t>
  </si>
  <si>
    <t>Floor Rise Rate Per Sq.ft</t>
  </si>
  <si>
    <t>Development Charges</t>
  </si>
  <si>
    <t>Club Charges</t>
  </si>
  <si>
    <t>Legal Services Charges</t>
  </si>
  <si>
    <t>Gas Connection Charges</t>
  </si>
  <si>
    <t>Water, Electricity, Drainages, Sewerage Connection</t>
  </si>
  <si>
    <t>Society Formation Charges</t>
  </si>
  <si>
    <t>Advance Maintenance Charges</t>
  </si>
  <si>
    <t xml:space="preserve">Recommended rate of Parking </t>
  </si>
  <si>
    <t>100000/-</t>
  </si>
  <si>
    <t>Distressed valuation of the Property</t>
  </si>
  <si>
    <t>Commercial Area Details :</t>
  </si>
  <si>
    <t>Building &amp; Wing</t>
  </si>
  <si>
    <t>No. of Units</t>
  </si>
  <si>
    <t>Total Carpet Area</t>
  </si>
  <si>
    <t>Total Saleable Area</t>
  </si>
  <si>
    <t>Residential Area Details :</t>
  </si>
  <si>
    <t>Building No.1</t>
  </si>
  <si>
    <t>Wing A1</t>
  </si>
  <si>
    <t>Wing A2</t>
  </si>
  <si>
    <t>Wing A3</t>
  </si>
  <si>
    <t>Wing A4</t>
  </si>
  <si>
    <t>Wing A5</t>
  </si>
  <si>
    <t>Wing A6</t>
  </si>
  <si>
    <t>Building No.2</t>
  </si>
  <si>
    <t>Wing B1</t>
  </si>
  <si>
    <t>Wing B2</t>
  </si>
  <si>
    <t>Wing B3</t>
  </si>
  <si>
    <t>Building No.3</t>
  </si>
  <si>
    <t>Wing C1</t>
  </si>
  <si>
    <t>Wing C2</t>
  </si>
  <si>
    <t>Wing C3</t>
  </si>
  <si>
    <t>Wing C4</t>
  </si>
  <si>
    <t>Wing C5</t>
  </si>
  <si>
    <t>Wing C6</t>
  </si>
  <si>
    <t>Building No.4</t>
  </si>
  <si>
    <t>Wing D1</t>
  </si>
  <si>
    <t>Wing D2</t>
  </si>
  <si>
    <t>Wing D3</t>
  </si>
  <si>
    <t>Wing D4</t>
  </si>
  <si>
    <t>Wing D5</t>
  </si>
  <si>
    <t>Wing D6</t>
  </si>
  <si>
    <t>Total</t>
  </si>
  <si>
    <t>Building details Floor Wise</t>
  </si>
  <si>
    <t xml:space="preserve">Details of Flats in Building   </t>
  </si>
  <si>
    <t>Flat/Shop No.</t>
  </si>
  <si>
    <t>Description</t>
  </si>
  <si>
    <t>Gross Carpet area</t>
  </si>
  <si>
    <t>Attached Terrace area</t>
  </si>
  <si>
    <t>Saleable area</t>
  </si>
  <si>
    <t>Floor</t>
  </si>
  <si>
    <t>Building No. 1</t>
  </si>
  <si>
    <t>Stilt Floor for Parking</t>
  </si>
  <si>
    <t>1st to 4th Floor for Residential</t>
  </si>
  <si>
    <t>2BHK</t>
  </si>
  <si>
    <t>1BHK</t>
  </si>
  <si>
    <t>Building No. 2</t>
  </si>
  <si>
    <t>Building No. 3</t>
  </si>
  <si>
    <t>1st Floor for Residential</t>
  </si>
  <si>
    <t>1RK</t>
  </si>
  <si>
    <t>2nd to 4th Floor</t>
  </si>
  <si>
    <t>Building No. 4</t>
  </si>
  <si>
    <t xml:space="preserve">Remarks:  </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</si>
  <si>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</si>
  <si>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</si>
  <si>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</si>
  <si>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</si>
  <si>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</si>
  <si>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</si>
  <si>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</si>
  <si>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</si>
  <si>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Report By :</t>
  </si>
  <si>
    <t>Authorized Signatory
Name &amp; Seal of the agency</t>
  </si>
  <si>
    <t xml:space="preserve">PHOTOGRAPHS OF PROPERTY : 
</t>
  </si>
  <si>
    <t>Google Map :</t>
  </si>
  <si>
    <t xml:space="preserve">Floor No </t>
  </si>
  <si>
    <t>Flat</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</si>
  <si>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</si>
  <si>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</si>
  <si>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</si>
  <si>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</si>
  <si>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</si>
  <si>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</si>
  <si>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</si>
  <si>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</si>
  <si>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</si>
  <si>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</si>
  <si>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</si>
  <si>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</si>
  <si>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</si>
  <si>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</si>
  <si>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</si>
  <si>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</si>
  <si>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</si>
  <si>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</si>
  <si>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</si>
  <si>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</si>
  <si>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</si>
  <si>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t>Market Research Data</t>
  </si>
  <si>
    <t>Source</t>
  </si>
  <si>
    <t>Distance from proposed property</t>
  </si>
  <si>
    <t>Net Carpet</t>
  </si>
  <si>
    <t>Saleable Area</t>
  </si>
  <si>
    <t>Rate on Saleable</t>
  </si>
  <si>
    <t>Market Value</t>
  </si>
  <si>
    <t>Magic Brick</t>
  </si>
  <si>
    <t>Suraj Palette - 500m</t>
  </si>
  <si>
    <t>3BHK</t>
  </si>
  <si>
    <t>Mangrish Apartment sea side - 1.1KM</t>
  </si>
  <si>
    <t>4BHK</t>
  </si>
  <si>
    <t>Suvidha Emerald - 1.1KM</t>
  </si>
  <si>
    <t>99 Acres</t>
  </si>
  <si>
    <t>Kings Krest - 350m</t>
  </si>
  <si>
    <t>Average</t>
  </si>
  <si>
    <t xml:space="preserve">Valuation Adopted </t>
  </si>
  <si>
    <t>Valid Up to: 
Building No. 1 (Wing A1 to A6) = St/Gr + 1st to 4th Floor
Building No. 2 (Wing B1 to B3) = St/Gr + 1st to 4th Floor
Building No. 3 (Wing C1 to C6) = St/Gr + 1st to 4th Floor
Building No. 4 (Wing D1 to D6) = St/Gr + 1st to 4th Floor</t>
  </si>
  <si>
    <t>Building No. 1 (Wing A1 to A6) = St/Gr + 1st to 4th Floor
Building No. 2 (Wing B1 to B3) = St/Gr + 1st to 4th Floor
Building No. 3 (Wing C1 to C6) = St/Gr + 1st to 4th Floor
Building No. 4 (Wing D1 to D6) = St/Gr + 1st to 4th Floor</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</si>
  <si>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</si>
  <si>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</si>
  <si>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</si>
  <si>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</si>
  <si>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</si>
  <si>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</si>
  <si>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</si>
  <si>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</si>
  <si>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</si>
  <si>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</si>
  <si>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</si>
  <si>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</si>
  <si>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</si>
  <si>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</si>
  <si>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</si>
  <si>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</si>
  <si>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</si>
  <si>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</si>
  <si>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Building No.2 (Wing B1, B2 &amp; B3) = Gr + 1st to 4th Floor</t>
  </si>
  <si>
    <t>Building No.3 (Wing C4, C5 &amp; C6) = Gr + 4th Floor</t>
  </si>
  <si>
    <r>
      <t xml:space="preserve">Proposed Amenities :                                                                                                                                                                                                                      </t>
    </r>
    <r>
      <rPr>
        <sz val="12"/>
        <rFont val="Times New Roman"/>
        <family val="1"/>
      </rPr>
      <t xml:space="preserve">   </t>
    </r>
    <r>
      <rPr>
        <b/>
        <sz val="12"/>
        <rFont val="Times New Roman"/>
        <family val="1"/>
      </rPr>
      <t xml:space="preserve">                                               </t>
    </r>
  </si>
  <si>
    <t>Building No.1 (Wing A4 to A6) = Gr + 1st to 4th Floor</t>
  </si>
  <si>
    <t>Building No. 4 (Wing D4 to D6) = Gr + 1st to 4th Floor</t>
  </si>
  <si>
    <t>Building No.1 (Wing A3 to A6) = Gr + 1st to 4th Floor</t>
  </si>
  <si>
    <t>Building No.3 (Wing C1 to C6) = Gr + 1st to 4th Floor</t>
  </si>
  <si>
    <t>Building No. 4 (Wing D1 to D6) = Gr + 1st to 4th Floor</t>
  </si>
  <si>
    <t>Office No. 1031, Wing J, Akshar Business Park, Plot No. 03 Sector 25, Near APMC Market,
Vashi, Navi Mumbai, Maharashtra 400703 TEL: 022-46090378/79/8
E mail : vsjcapf@gmail.com. Web site : www.vsjadon.com</t>
  </si>
  <si>
    <t>Location Link</t>
  </si>
  <si>
    <t>https://maps.app.goo.gl/AsN6Stt55Tzarv4K8</t>
  </si>
  <si>
    <t>As per RERA - 31/12/2025</t>
  </si>
  <si>
    <t xml:space="preserve"> Building No.1 (Wing A1 to A6) = Gr + 1st to 4th Floor</t>
  </si>
  <si>
    <t>Pooja</t>
  </si>
  <si>
    <t>Ravindra vishwakarma</t>
  </si>
  <si>
    <t>1. Bldg No.1 (Wing A1 to A6) = Lift work is pending.
    Bldg No.2 (Wing B1 to B3) = Work is same as last visit (dtd. 09/06/2025).
    Bldg No.3 (Wing C1 to C6) &amp; Bldg No.4 (Wing D1 to D6) = Finishing work is in process.
2. We considered  Saleable area  as per our calculation.
3. We considered Carpet area as per Approved Plan.
4. We considered Gross carpet area = Net carpet + Enclose balcony.
5. We have considered rate by verifying it from market inquire.
6. Car parking is subjected to authentic documentation.
7. Recommended rate should be considered as all inclusive rate if other charges are not mentioned. (Excluding GST &amp; other government Taxes).
8. On Site, we meet Mr. Singh (9167788944).</t>
  </si>
  <si>
    <t>Avante : Building No.1 (Wing A1 to A6)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</si>
</sst>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0">
    <font>
      <sz val="11"/>
      <color rgb="FF000000"/>
      <name val="Calibri"/>
      <charset val="134"/>
    </font>
    <font>
      <sz val="11"/>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font>
    <font>
      <sz val="12"/>
      <color rgb="FFFF0000"/>
      <name val="Times New Roman"/>
      <family val="1"/>
    </font>
    <font>
      <sz val="12"/>
      <name val="Times New Roman"/>
      <family val="1"/>
    </font>
    <font>
      <sz val="11"/>
      <color theme="1"/>
      <name val="Times New Roman"/>
      <family val="1"/>
    </font>
    <font>
      <sz val="12"/>
      <color indexed="8"/>
      <name val="Times New Roman"/>
      <family val="1"/>
    </font>
    <font>
      <sz val="12"/>
      <color theme="1"/>
      <name val="Times New Roman"/>
      <family val="1"/>
    </font>
    <font>
      <b/>
      <sz val="12"/>
      <color theme="1"/>
      <name val="Times New Roman"/>
      <family val="1"/>
    </font>
    <font>
      <b/>
      <sz val="11.5"/>
      <color indexed="8"/>
      <name val="Times New Roman"/>
      <family val="1"/>
    </font>
    <font>
      <b/>
      <sz val="12"/>
      <color indexed="8"/>
      <name val="Times New Roman"/>
      <family val="1"/>
    </font>
    <font>
      <b/>
      <sz val="12"/>
      <name val="Times New Roman"/>
      <family val="1"/>
    </font>
    <font>
      <sz val="11"/>
      <color rgb="FF000000"/>
      <name val="Times New Roman"/>
      <family val="1"/>
    </font>
    <font>
      <sz val="11"/>
      <name val="Times New Roman"/>
      <family val="1"/>
    </font>
    <font>
      <b/>
      <sz val="11"/>
      <color indexed="8"/>
      <name val="Times New Roman"/>
      <family val="1"/>
    </font>
    <font>
      <sz val="10"/>
      <name val="Arial"/>
      <family val="2"/>
    </font>
    <font>
      <u/>
      <sz val="11"/>
      <color theme="10"/>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0" fontId="1" fillId="0" borderId="0"/>
    <xf numFmtId="0" fontId="2" fillId="0" borderId="0"/>
    <xf numFmtId="0" fontId="18" fillId="0" borderId="0"/>
    <xf numFmtId="0" fontId="2" fillId="0" borderId="0"/>
    <xf numFmtId="0" fontId="2" fillId="0" borderId="0"/>
    <xf numFmtId="164" fontId="1" fillId="0" borderId="0" applyFont="0" applyFill="0" applyBorder="0" applyAlignment="0" applyProtection="0"/>
    <xf numFmtId="0" fontId="1" fillId="0" borderId="0"/>
    <xf numFmtId="0" fontId="19" fillId="0" borderId="0" applyNumberFormat="0" applyFill="0" applyBorder="0" applyAlignment="0" applyProtection="0"/>
  </cellStyleXfs>
  <cellXfs count="170">
    <xf numFmtId="0" fontId="0" fillId="0" borderId="0" xfId="0"/>
    <xf numFmtId="0" fontId="1" fillId="0" borderId="0" xfId="1"/>
    <xf numFmtId="0" fontId="1" fillId="0" borderId="0" xfId="1" applyFont="1"/>
    <xf numFmtId="0" fontId="2" fillId="0" borderId="0" xfId="2"/>
    <xf numFmtId="0" fontId="3" fillId="0" borderId="1" xfId="2" applyFont="1" applyBorder="1" applyAlignment="1">
      <alignment horizontal="center" vertical="top" wrapText="1"/>
    </xf>
    <xf numFmtId="0" fontId="2" fillId="0" borderId="1" xfId="2" applyBorder="1" applyAlignment="1">
      <alignment horizontal="center" vertical="center"/>
    </xf>
    <xf numFmtId="0" fontId="2" fillId="0" borderId="1" xfId="2" applyBorder="1" applyAlignment="1">
      <alignment horizontal="left" vertical="center"/>
    </xf>
    <xf numFmtId="1" fontId="2" fillId="0" borderId="1" xfId="2"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2" applyBorder="1" applyAlignment="1">
      <alignment horizontal="left" vertical="center" wrapText="1"/>
    </xf>
    <xf numFmtId="0" fontId="3" fillId="0" borderId="1" xfId="2" applyFont="1" applyBorder="1" applyAlignment="1">
      <alignment horizontal="center" vertical="center"/>
    </xf>
    <xf numFmtId="1" fontId="4" fillId="0" borderId="1" xfId="2" applyNumberFormat="1" applyFont="1" applyBorder="1" applyAlignment="1">
      <alignment horizontal="center" vertical="center"/>
    </xf>
    <xf numFmtId="0" fontId="2" fillId="0" borderId="1" xfId="2" applyFont="1" applyBorder="1" applyAlignment="1">
      <alignment horizontal="center" vertical="center"/>
    </xf>
    <xf numFmtId="0" fontId="1" fillId="0" borderId="1" xfId="1" applyFont="1" applyBorder="1" applyAlignment="1">
      <alignment horizontal="center" vertical="center"/>
    </xf>
    <xf numFmtId="0" fontId="5" fillId="0" borderId="0" xfId="1" applyFont="1"/>
    <xf numFmtId="0" fontId="0" fillId="2" borderId="1" xfId="0" applyFill="1" applyBorder="1"/>
    <xf numFmtId="0" fontId="0" fillId="0" borderId="2" xfId="0" applyBorder="1" applyAlignment="1"/>
    <xf numFmtId="0" fontId="3" fillId="0" borderId="1" xfId="0" applyFont="1" applyBorder="1"/>
    <xf numFmtId="0" fontId="3" fillId="0" borderId="1" xfId="0" applyFont="1" applyBorder="1" applyAlignment="1">
      <alignment horizontal="center"/>
    </xf>
    <xf numFmtId="0" fontId="0" fillId="0" borderId="1" xfId="0" applyBorder="1"/>
    <xf numFmtId="0" fontId="6" fillId="0" borderId="0" xfId="5" applyFont="1"/>
    <xf numFmtId="0" fontId="7" fillId="0" borderId="0" xfId="5" applyFont="1"/>
    <xf numFmtId="0" fontId="8" fillId="0" borderId="0" xfId="5" applyFont="1"/>
    <xf numFmtId="0" fontId="9" fillId="0" borderId="0" xfId="7" applyFont="1"/>
    <xf numFmtId="0" fontId="10" fillId="0" borderId="0" xfId="0" applyFont="1" applyAlignment="1">
      <alignment horizontal="center" vertical="center"/>
    </xf>
    <xf numFmtId="0" fontId="11" fillId="0" borderId="0" xfId="0" applyFont="1" applyAlignment="1">
      <alignment horizontal="center" vertical="center"/>
    </xf>
    <xf numFmtId="0" fontId="10" fillId="0" borderId="0" xfId="5" applyFont="1" applyAlignment="1">
      <alignment horizontal="center" vertical="center"/>
    </xf>
    <xf numFmtId="0" fontId="10" fillId="0" borderId="0" xfId="0" applyFont="1"/>
    <xf numFmtId="0" fontId="10" fillId="0" borderId="0" xfId="5" applyFont="1" applyProtection="1">
      <protection locked="0"/>
    </xf>
    <xf numFmtId="0" fontId="10" fillId="0" borderId="0" xfId="5" applyFont="1"/>
    <xf numFmtId="0" fontId="7" fillId="3" borderId="1" xfId="5" applyFont="1" applyFill="1" applyBorder="1" applyAlignment="1" applyProtection="1">
      <alignment horizontal="left" vertical="top"/>
      <protection locked="0"/>
    </xf>
    <xf numFmtId="0" fontId="7" fillId="3" borderId="1" xfId="5" applyFont="1" applyFill="1" applyBorder="1" applyAlignment="1" applyProtection="1">
      <alignment vertical="top"/>
      <protection locked="0"/>
    </xf>
    <xf numFmtId="0" fontId="14" fillId="3" borderId="1" xfId="5" applyFont="1" applyFill="1" applyBorder="1" applyAlignment="1" applyProtection="1">
      <alignment horizontal="left" vertical="top"/>
      <protection locked="0"/>
    </xf>
    <xf numFmtId="0" fontId="7" fillId="0" borderId="6" xfId="5" applyFont="1" applyFill="1" applyBorder="1" applyAlignment="1" applyProtection="1">
      <alignment horizontal="center" vertical="top"/>
      <protection locked="0"/>
    </xf>
    <xf numFmtId="0" fontId="7" fillId="0" borderId="7" xfId="5" applyFont="1" applyFill="1" applyBorder="1" applyAlignment="1" applyProtection="1">
      <alignment horizontal="center" vertical="top"/>
      <protection locked="0"/>
    </xf>
    <xf numFmtId="0" fontId="7" fillId="0" borderId="1" xfId="5" applyFont="1" applyBorder="1" applyAlignment="1" applyProtection="1">
      <alignment horizontal="center" vertical="top" wrapText="1"/>
      <protection locked="0"/>
    </xf>
    <xf numFmtId="0" fontId="7" fillId="0" borderId="1" xfId="5" applyFont="1" applyBorder="1" applyAlignment="1" applyProtection="1">
      <alignment horizontal="center" wrapText="1"/>
      <protection locked="0"/>
    </xf>
    <xf numFmtId="1" fontId="7" fillId="0" borderId="1" xfId="5" applyNumberFormat="1" applyFont="1" applyBorder="1" applyAlignment="1" applyProtection="1">
      <alignment horizontal="center" wrapText="1"/>
      <protection locked="0"/>
    </xf>
    <xf numFmtId="0" fontId="10" fillId="0" borderId="0" xfId="5" applyFont="1" applyProtection="1">
      <protection hidden="1"/>
    </xf>
    <xf numFmtId="0" fontId="10" fillId="0" borderId="8" xfId="5" applyFont="1" applyFill="1" applyBorder="1" applyProtection="1">
      <protection hidden="1"/>
    </xf>
    <xf numFmtId="0" fontId="10" fillId="0" borderId="9" xfId="5" applyFont="1" applyBorder="1" applyProtection="1">
      <protection hidden="1"/>
    </xf>
    <xf numFmtId="0" fontId="10" fillId="0" borderId="10" xfId="5" applyFont="1" applyBorder="1" applyProtection="1">
      <protection hidden="1"/>
    </xf>
    <xf numFmtId="0" fontId="10" fillId="0" borderId="10" xfId="5" applyFont="1" applyBorder="1"/>
    <xf numFmtId="0" fontId="7" fillId="0" borderId="12" xfId="5" applyFont="1" applyBorder="1" applyAlignment="1" applyProtection="1">
      <alignment horizontal="center" wrapText="1"/>
      <protection locked="0"/>
    </xf>
    <xf numFmtId="0" fontId="11"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9" fillId="0" borderId="1" xfId="0" applyNumberFormat="1" applyFont="1" applyFill="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1" fontId="13" fillId="0" borderId="1" xfId="5" applyNumberFormat="1" applyFont="1" applyFill="1" applyBorder="1" applyAlignment="1" applyProtection="1">
      <alignment horizontal="center" vertical="top" wrapText="1"/>
      <protection locked="0"/>
    </xf>
    <xf numFmtId="1" fontId="17" fillId="0" borderId="1" xfId="5" applyNumberFormat="1" applyFont="1" applyFill="1" applyBorder="1" applyAlignment="1" applyProtection="1">
      <alignment horizontal="center" vertical="top" wrapText="1"/>
      <protection locked="0"/>
    </xf>
    <xf numFmtId="1" fontId="9" fillId="0" borderId="1" xfId="5" applyNumberFormat="1" applyFont="1" applyFill="1" applyBorder="1" applyAlignment="1" applyProtection="1">
      <alignment horizontal="center" vertical="center" wrapText="1"/>
      <protection locked="0"/>
    </xf>
    <xf numFmtId="0" fontId="13" fillId="0" borderId="0" xfId="5" applyFont="1" applyBorder="1" applyAlignment="1" applyProtection="1">
      <alignment vertical="top"/>
      <protection locked="0"/>
    </xf>
    <xf numFmtId="0" fontId="13" fillId="0" borderId="0" xfId="5" applyFont="1" applyBorder="1" applyAlignment="1" applyProtection="1">
      <alignment vertical="top" wrapText="1"/>
      <protection locked="0"/>
    </xf>
    <xf numFmtId="0" fontId="11" fillId="0" borderId="0" xfId="5" applyFont="1" applyProtection="1">
      <protection locked="0"/>
    </xf>
    <xf numFmtId="0" fontId="15" fillId="0" borderId="0" xfId="0" applyFont="1" applyFill="1" applyBorder="1" applyProtection="1">
      <protection hidden="1"/>
    </xf>
    <xf numFmtId="0" fontId="10" fillId="0" borderId="0" xfId="5" applyFont="1" applyFill="1" applyBorder="1" applyProtection="1">
      <protection hidden="1"/>
    </xf>
    <xf numFmtId="0" fontId="15" fillId="0" borderId="10" xfId="0" applyNumberFormat="1" applyFont="1" applyBorder="1" applyProtection="1">
      <protection hidden="1"/>
    </xf>
    <xf numFmtId="1" fontId="0" fillId="0" borderId="10" xfId="0" applyNumberFormat="1" applyBorder="1"/>
    <xf numFmtId="2" fontId="0" fillId="0" borderId="0" xfId="0" applyNumberFormat="1"/>
    <xf numFmtId="0" fontId="0" fillId="0" borderId="0" xfId="0" applyBorder="1"/>
    <xf numFmtId="165" fontId="0" fillId="0" borderId="0" xfId="0" applyNumberFormat="1"/>
    <xf numFmtId="2" fontId="15" fillId="0" borderId="0" xfId="0" applyNumberFormat="1" applyFont="1" applyBorder="1" applyProtection="1">
      <protection hidden="1"/>
    </xf>
    <xf numFmtId="1" fontId="0" fillId="0" borderId="10" xfId="0" applyNumberFormat="1" applyBorder="1" applyAlignment="1">
      <alignment horizontal="right"/>
    </xf>
    <xf numFmtId="2" fontId="0" fillId="0" borderId="0" xfId="0" applyNumberFormat="1" applyBorder="1"/>
    <xf numFmtId="0" fontId="15" fillId="0" borderId="15" xfId="0" applyFont="1" applyFill="1" applyBorder="1" applyProtection="1">
      <protection hidden="1"/>
    </xf>
    <xf numFmtId="1" fontId="0" fillId="0" borderId="16" xfId="0" applyNumberFormat="1" applyBorder="1"/>
    <xf numFmtId="0" fontId="7" fillId="0" borderId="1" xfId="5" applyFont="1" applyFill="1" applyBorder="1" applyAlignment="1" applyProtection="1">
      <alignment horizontal="center" vertical="top"/>
      <protection locked="0"/>
    </xf>
    <xf numFmtId="9" fontId="7" fillId="3" borderId="1" xfId="5" applyNumberFormat="1" applyFont="1" applyFill="1" applyBorder="1" applyAlignment="1" applyProtection="1">
      <alignment horizontal="center" vertical="center" wrapText="1"/>
      <protection hidden="1"/>
    </xf>
    <xf numFmtId="9" fontId="7" fillId="3" borderId="12" xfId="5" applyNumberFormat="1" applyFont="1" applyFill="1" applyBorder="1" applyAlignment="1" applyProtection="1">
      <alignment horizontal="center" vertical="center" wrapText="1"/>
      <protection hidden="1"/>
    </xf>
    <xf numFmtId="0" fontId="7" fillId="0" borderId="1" xfId="5" applyFont="1" applyFill="1" applyBorder="1" applyAlignment="1" applyProtection="1">
      <alignment horizontal="center" vertical="top" wrapText="1"/>
      <protection locked="0"/>
    </xf>
    <xf numFmtId="0" fontId="7" fillId="0" borderId="1" xfId="5" applyFont="1" applyFill="1" applyBorder="1" applyAlignment="1" applyProtection="1">
      <alignment horizontal="center" vertical="top" wrapText="1"/>
      <protection locked="0"/>
    </xf>
    <xf numFmtId="9" fontId="7" fillId="3" borderId="1" xfId="5" applyNumberFormat="1" applyFont="1" applyFill="1" applyBorder="1" applyAlignment="1" applyProtection="1">
      <alignment horizontal="center" vertical="center" wrapText="1"/>
      <protection hidden="1"/>
    </xf>
    <xf numFmtId="1" fontId="9" fillId="0" borderId="1" xfId="5" applyNumberFormat="1" applyFont="1" applyFill="1" applyBorder="1" applyAlignment="1" applyProtection="1">
      <alignment horizontal="center" vertical="center" wrapText="1"/>
      <protection locked="0"/>
    </xf>
    <xf numFmtId="0" fontId="7" fillId="0" borderId="1" xfId="5" applyFont="1" applyFill="1" applyBorder="1" applyAlignment="1" applyProtection="1">
      <alignment horizontal="center" vertical="top"/>
      <protection locked="0"/>
    </xf>
    <xf numFmtId="1" fontId="9" fillId="0" borderId="1" xfId="0" applyNumberFormat="1" applyFont="1" applyFill="1" applyBorder="1" applyAlignment="1" applyProtection="1">
      <alignment horizontal="center" vertical="top" wrapText="1"/>
      <protection locked="0"/>
    </xf>
    <xf numFmtId="0" fontId="7" fillId="0" borderId="1" xfId="5" applyFont="1" applyFill="1" applyBorder="1" applyAlignment="1" applyProtection="1">
      <alignment horizontal="center" vertical="top"/>
      <protection locked="0"/>
    </xf>
    <xf numFmtId="0" fontId="12" fillId="0" borderId="1" xfId="5" applyFont="1" applyBorder="1" applyAlignment="1" applyProtection="1">
      <alignment horizontal="center" vertical="top" wrapText="1"/>
      <protection locked="0"/>
    </xf>
    <xf numFmtId="0" fontId="13" fillId="0" borderId="1" xfId="5" applyFont="1" applyBorder="1" applyAlignment="1" applyProtection="1">
      <alignment horizontal="center" vertical="top"/>
      <protection locked="0"/>
    </xf>
    <xf numFmtId="0" fontId="9" fillId="0" borderId="1" xfId="5" applyFont="1" applyBorder="1" applyAlignment="1" applyProtection="1">
      <alignment horizontal="left" vertical="top"/>
      <protection locked="0"/>
    </xf>
    <xf numFmtId="14" fontId="9" fillId="0" borderId="1" xfId="5" applyNumberFormat="1" applyFont="1" applyBorder="1" applyAlignment="1" applyProtection="1">
      <alignment horizontal="left" vertical="top"/>
      <protection locked="0"/>
    </xf>
    <xf numFmtId="0" fontId="7" fillId="0" borderId="1" xfId="5" applyFont="1" applyFill="1" applyBorder="1" applyAlignment="1" applyProtection="1">
      <alignment horizontal="left" vertical="center" wrapText="1"/>
      <protection locked="0"/>
    </xf>
    <xf numFmtId="14" fontId="7" fillId="0" borderId="1" xfId="5" applyNumberFormat="1" applyFont="1" applyBorder="1" applyAlignment="1" applyProtection="1">
      <alignment horizontal="left" vertical="top"/>
      <protection locked="0"/>
    </xf>
    <xf numFmtId="0" fontId="9" fillId="0" borderId="1" xfId="5" applyFont="1" applyBorder="1" applyAlignment="1" applyProtection="1">
      <alignment horizontal="left" vertical="top" wrapText="1"/>
      <protection locked="0"/>
    </xf>
    <xf numFmtId="0" fontId="13" fillId="0" borderId="1" xfId="5" applyFont="1" applyBorder="1" applyAlignment="1" applyProtection="1">
      <alignment horizontal="left" vertical="top"/>
      <protection locked="0"/>
    </xf>
    <xf numFmtId="0" fontId="7" fillId="0" borderId="1" xfId="5" applyFont="1" applyBorder="1" applyAlignment="1" applyProtection="1">
      <alignment horizontal="left" vertical="top"/>
      <protection locked="0"/>
    </xf>
    <xf numFmtId="0" fontId="7" fillId="0" borderId="1" xfId="5" applyFont="1" applyBorder="1" applyAlignment="1" applyProtection="1">
      <alignment horizontal="left" vertical="top" wrapText="1"/>
      <protection locked="0"/>
    </xf>
    <xf numFmtId="0" fontId="9" fillId="0" borderId="1" xfId="5" applyFont="1" applyFill="1" applyBorder="1" applyAlignment="1" applyProtection="1">
      <alignment horizontal="left" vertical="top" wrapText="1"/>
      <protection locked="0"/>
    </xf>
    <xf numFmtId="0" fontId="7" fillId="0" borderId="1" xfId="5" applyFont="1" applyFill="1" applyBorder="1" applyAlignment="1" applyProtection="1">
      <alignment horizontal="left" vertical="top" wrapText="1"/>
      <protection locked="0"/>
    </xf>
    <xf numFmtId="0" fontId="7" fillId="0" borderId="1" xfId="5" applyFont="1" applyFill="1" applyBorder="1" applyAlignment="1" applyProtection="1">
      <alignment horizontal="left" vertical="top"/>
      <protection locked="0"/>
    </xf>
    <xf numFmtId="0" fontId="9" fillId="0" borderId="1" xfId="5" applyFont="1" applyFill="1" applyBorder="1" applyAlignment="1" applyProtection="1">
      <alignment horizontal="left" vertical="top"/>
      <protection locked="0"/>
    </xf>
    <xf numFmtId="0" fontId="7" fillId="0" borderId="1" xfId="5" applyFont="1" applyBorder="1" applyAlignment="1" applyProtection="1">
      <alignment horizontal="left"/>
      <protection locked="0"/>
    </xf>
    <xf numFmtId="0" fontId="9" fillId="3" borderId="1" xfId="5" applyFont="1" applyFill="1" applyBorder="1" applyAlignment="1" applyProtection="1">
      <alignment horizontal="left" vertical="top" wrapText="1"/>
      <protection locked="0"/>
    </xf>
    <xf numFmtId="0" fontId="14" fillId="0" borderId="1" xfId="5" applyFont="1" applyBorder="1" applyAlignment="1" applyProtection="1">
      <alignment horizontal="center"/>
      <protection locked="0"/>
    </xf>
    <xf numFmtId="0" fontId="14" fillId="0" borderId="1" xfId="5" applyFont="1" applyFill="1" applyBorder="1" applyAlignment="1" applyProtection="1">
      <alignment horizontal="center" vertical="top"/>
      <protection locked="0"/>
    </xf>
    <xf numFmtId="0" fontId="7" fillId="0" borderId="1" xfId="5" applyFont="1" applyBorder="1" applyAlignment="1" applyProtection="1">
      <alignment horizontal="center"/>
      <protection locked="0"/>
    </xf>
    <xf numFmtId="0" fontId="7" fillId="0" borderId="1" xfId="5" applyFont="1" applyFill="1" applyBorder="1" applyAlignment="1" applyProtection="1">
      <alignment horizontal="center" vertical="top"/>
      <protection locked="0"/>
    </xf>
    <xf numFmtId="0" fontId="13" fillId="0" borderId="1" xfId="5" applyFont="1" applyFill="1" applyBorder="1" applyAlignment="1" applyProtection="1">
      <alignment horizontal="center" vertical="top"/>
      <protection locked="0"/>
    </xf>
    <xf numFmtId="0" fontId="10" fillId="0" borderId="1" xfId="5" applyFont="1" applyBorder="1" applyAlignment="1" applyProtection="1">
      <alignment horizontal="center"/>
      <protection locked="0"/>
    </xf>
    <xf numFmtId="0" fontId="9" fillId="0" borderId="1" xfId="5" applyFont="1" applyFill="1" applyBorder="1" applyAlignment="1" applyProtection="1">
      <alignment horizontal="center" vertical="top"/>
      <protection locked="0"/>
    </xf>
    <xf numFmtId="0" fontId="13" fillId="0" borderId="1" xfId="5" applyFont="1" applyFill="1" applyBorder="1" applyAlignment="1" applyProtection="1">
      <alignment horizontal="left" vertical="top"/>
      <protection locked="0"/>
    </xf>
    <xf numFmtId="0" fontId="19" fillId="0" borderId="3" xfId="8" applyBorder="1" applyAlignment="1" applyProtection="1">
      <alignment horizontal="center"/>
      <protection locked="0"/>
    </xf>
    <xf numFmtId="0" fontId="10" fillId="0" borderId="4" xfId="5" applyFont="1" applyBorder="1" applyAlignment="1" applyProtection="1">
      <alignment horizontal="center"/>
      <protection locked="0"/>
    </xf>
    <xf numFmtId="0" fontId="10" fillId="0" borderId="5" xfId="5" applyFont="1" applyBorder="1" applyAlignment="1" applyProtection="1">
      <alignment horizontal="center"/>
      <protection locked="0"/>
    </xf>
    <xf numFmtId="2" fontId="9" fillId="0" borderId="1" xfId="5" applyNumberFormat="1" applyFont="1" applyFill="1" applyBorder="1" applyAlignment="1" applyProtection="1">
      <alignment horizontal="left" vertical="top" wrapText="1"/>
      <protection locked="0"/>
    </xf>
    <xf numFmtId="165" fontId="9" fillId="0" borderId="1" xfId="5" applyNumberFormat="1" applyFont="1" applyFill="1" applyBorder="1" applyAlignment="1" applyProtection="1">
      <alignment horizontal="left" vertical="top"/>
      <protection locked="0"/>
    </xf>
    <xf numFmtId="2" fontId="9" fillId="0" borderId="1" xfId="5" applyNumberFormat="1" applyFont="1" applyFill="1" applyBorder="1" applyAlignment="1" applyProtection="1">
      <alignment horizontal="left" vertical="top"/>
      <protection locked="0"/>
    </xf>
    <xf numFmtId="0" fontId="7" fillId="3" borderId="1" xfId="5" applyFont="1" applyFill="1" applyBorder="1" applyAlignment="1" applyProtection="1">
      <alignment horizontal="left" vertical="top" wrapText="1"/>
      <protection locked="0"/>
    </xf>
    <xf numFmtId="0" fontId="7" fillId="3" borderId="1" xfId="5" applyFont="1" applyFill="1" applyBorder="1" applyAlignment="1" applyProtection="1">
      <alignment horizontal="left" vertical="top"/>
      <protection locked="0"/>
    </xf>
    <xf numFmtId="0" fontId="7" fillId="3" borderId="1" xfId="5" applyNumberFormat="1" applyFont="1" applyFill="1" applyBorder="1" applyAlignment="1" applyProtection="1">
      <alignment horizontal="left" vertical="top"/>
      <protection locked="0"/>
    </xf>
    <xf numFmtId="0" fontId="7" fillId="3" borderId="3" xfId="5" applyFont="1" applyFill="1" applyBorder="1" applyAlignment="1" applyProtection="1">
      <alignment horizontal="left" vertical="top" wrapText="1"/>
      <protection locked="0"/>
    </xf>
    <xf numFmtId="0" fontId="7" fillId="3" borderId="4" xfId="5" applyFont="1" applyFill="1" applyBorder="1" applyAlignment="1" applyProtection="1">
      <alignment horizontal="left" vertical="top" wrapText="1"/>
      <protection locked="0"/>
    </xf>
    <xf numFmtId="0" fontId="7" fillId="3" borderId="5" xfId="5" applyFont="1" applyFill="1" applyBorder="1" applyAlignment="1" applyProtection="1">
      <alignment horizontal="left" vertical="top" wrapText="1"/>
      <protection locked="0"/>
    </xf>
    <xf numFmtId="0" fontId="13" fillId="0" borderId="1" xfId="5" applyFont="1" applyFill="1" applyBorder="1" applyAlignment="1" applyProtection="1">
      <alignment horizontal="left" vertical="top" wrapText="1"/>
      <protection locked="0"/>
    </xf>
    <xf numFmtId="0" fontId="14" fillId="3" borderId="1" xfId="5" applyFont="1" applyFill="1" applyBorder="1" applyAlignment="1" applyProtection="1">
      <alignment horizontal="left" vertical="top" wrapText="1"/>
      <protection locked="0"/>
    </xf>
    <xf numFmtId="0" fontId="14" fillId="3" borderId="1" xfId="5" applyFont="1" applyFill="1" applyBorder="1" applyAlignment="1" applyProtection="1">
      <alignment horizontal="left" vertical="top"/>
      <protection locked="0"/>
    </xf>
    <xf numFmtId="0" fontId="14" fillId="0" borderId="3" xfId="5" applyFont="1" applyFill="1" applyBorder="1" applyAlignment="1" applyProtection="1">
      <alignment horizontal="left" vertical="top" wrapText="1"/>
      <protection locked="0"/>
    </xf>
    <xf numFmtId="0" fontId="14" fillId="0" borderId="5" xfId="5" applyFont="1" applyFill="1" applyBorder="1" applyAlignment="1" applyProtection="1">
      <alignment horizontal="left" vertical="top" wrapText="1"/>
      <protection locked="0"/>
    </xf>
    <xf numFmtId="0" fontId="13" fillId="0" borderId="1" xfId="5" applyFont="1" applyFill="1" applyBorder="1" applyAlignment="1" applyProtection="1">
      <alignment vertical="top"/>
      <protection locked="0"/>
    </xf>
    <xf numFmtId="9" fontId="7" fillId="3" borderId="1" xfId="5" applyNumberFormat="1" applyFont="1" applyFill="1" applyBorder="1" applyAlignment="1" applyProtection="1">
      <alignment horizontal="center" vertical="center" wrapText="1"/>
      <protection hidden="1"/>
    </xf>
    <xf numFmtId="9" fontId="7" fillId="3" borderId="12" xfId="5" applyNumberFormat="1" applyFont="1" applyFill="1" applyBorder="1" applyAlignment="1" applyProtection="1">
      <alignment horizontal="center" vertical="center" wrapText="1"/>
      <protection hidden="1"/>
    </xf>
    <xf numFmtId="9" fontId="7" fillId="3" borderId="7" xfId="5" applyNumberFormat="1" applyFont="1" applyFill="1" applyBorder="1" applyAlignment="1" applyProtection="1">
      <alignment horizontal="center" vertical="center" wrapText="1"/>
      <protection hidden="1"/>
    </xf>
    <xf numFmtId="9" fontId="7" fillId="3" borderId="13" xfId="5" applyNumberFormat="1" applyFont="1" applyFill="1" applyBorder="1" applyAlignment="1" applyProtection="1">
      <alignment horizontal="center" vertical="center" wrapText="1"/>
      <protection hidden="1"/>
    </xf>
    <xf numFmtId="0" fontId="7" fillId="0" borderId="6" xfId="5" applyFont="1" applyFill="1" applyBorder="1" applyAlignment="1" applyProtection="1">
      <alignment horizontal="center" vertical="top" wrapText="1"/>
      <protection locked="0"/>
    </xf>
    <xf numFmtId="0" fontId="7" fillId="0" borderId="1" xfId="5" applyFont="1" applyFill="1" applyBorder="1" applyAlignment="1" applyProtection="1">
      <alignment horizontal="center" vertical="top" wrapText="1"/>
      <protection locked="0"/>
    </xf>
    <xf numFmtId="0" fontId="14" fillId="0" borderId="25" xfId="5" applyFont="1" applyFill="1" applyBorder="1" applyAlignment="1" applyProtection="1">
      <alignment horizontal="left" vertical="top" wrapText="1"/>
      <protection locked="0"/>
    </xf>
    <xf numFmtId="0" fontId="14" fillId="0" borderId="26" xfId="5" applyFont="1" applyFill="1" applyBorder="1" applyAlignment="1" applyProtection="1">
      <alignment horizontal="left" vertical="top" wrapText="1"/>
      <protection locked="0"/>
    </xf>
    <xf numFmtId="0" fontId="14" fillId="0" borderId="6" xfId="5" applyFont="1" applyFill="1" applyBorder="1" applyAlignment="1" applyProtection="1">
      <alignment horizontal="left" vertical="top"/>
      <protection locked="0"/>
    </xf>
    <xf numFmtId="0" fontId="14" fillId="0" borderId="1" xfId="5" applyFont="1" applyFill="1" applyBorder="1" applyAlignment="1" applyProtection="1">
      <alignment horizontal="left" vertical="top"/>
      <protection locked="0"/>
    </xf>
    <xf numFmtId="0" fontId="14" fillId="0" borderId="27" xfId="5" applyFont="1" applyFill="1" applyBorder="1" applyAlignment="1" applyProtection="1">
      <alignment horizontal="left" vertical="top" wrapText="1"/>
      <protection locked="0"/>
    </xf>
    <xf numFmtId="0" fontId="14" fillId="0" borderId="28" xfId="5" applyFont="1" applyFill="1" applyBorder="1" applyAlignment="1" applyProtection="1">
      <alignment horizontal="left" vertical="top" wrapText="1"/>
      <protection locked="0"/>
    </xf>
    <xf numFmtId="0" fontId="14" fillId="0" borderId="29" xfId="5" applyFont="1" applyFill="1" applyBorder="1" applyAlignment="1" applyProtection="1">
      <alignment horizontal="left" vertical="top" wrapText="1"/>
      <protection locked="0"/>
    </xf>
    <xf numFmtId="0" fontId="14" fillId="0" borderId="1" xfId="5" applyFont="1" applyFill="1" applyBorder="1" applyAlignment="1" applyProtection="1">
      <alignment horizontal="left" vertical="top" wrapText="1"/>
      <protection locked="0"/>
    </xf>
    <xf numFmtId="0" fontId="14" fillId="0" borderId="7" xfId="5" applyFont="1" applyFill="1" applyBorder="1" applyAlignment="1" applyProtection="1">
      <alignment horizontal="left" vertical="top" wrapText="1"/>
      <protection locked="0"/>
    </xf>
    <xf numFmtId="0" fontId="7" fillId="0" borderId="7" xfId="5" applyFont="1" applyFill="1" applyBorder="1" applyAlignment="1" applyProtection="1">
      <alignment horizontal="center" vertical="top" wrapText="1"/>
      <protection locked="0"/>
    </xf>
    <xf numFmtId="0" fontId="7" fillId="0" borderId="14" xfId="5" applyFont="1" applyFill="1" applyBorder="1" applyAlignment="1" applyProtection="1">
      <alignment horizontal="left" vertical="top"/>
      <protection locked="0"/>
    </xf>
    <xf numFmtId="0" fontId="7" fillId="0" borderId="11" xfId="5" applyFont="1" applyFill="1" applyBorder="1" applyAlignment="1" applyProtection="1">
      <alignment horizontal="center" vertical="top" wrapText="1"/>
      <protection locked="0"/>
    </xf>
    <xf numFmtId="0" fontId="7" fillId="0" borderId="12" xfId="5" applyFont="1" applyFill="1" applyBorder="1" applyAlignment="1" applyProtection="1">
      <alignment horizontal="center" vertical="top" wrapText="1"/>
      <protection locked="0"/>
    </xf>
    <xf numFmtId="1" fontId="13" fillId="0" borderId="1" xfId="0" applyNumberFormat="1" applyFont="1" applyFill="1" applyBorder="1" applyAlignment="1" applyProtection="1">
      <alignment horizontal="center" vertical="center" wrapText="1"/>
      <protection locked="0"/>
    </xf>
    <xf numFmtId="1" fontId="13" fillId="0" borderId="1" xfId="0" applyNumberFormat="1" applyFont="1" applyFill="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1" fontId="9" fillId="0" borderId="1" xfId="0" applyNumberFormat="1" applyFont="1" applyFill="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1" fontId="9" fillId="0" borderId="1" xfId="0" applyNumberFormat="1" applyFont="1" applyFill="1" applyBorder="1" applyAlignment="1" applyProtection="1">
      <alignment horizontal="center" vertical="top" wrapText="1"/>
      <protection locked="0"/>
    </xf>
    <xf numFmtId="1" fontId="11" fillId="0" borderId="1" xfId="0" applyNumberFormat="1" applyFont="1" applyBorder="1" applyAlignment="1" applyProtection="1">
      <alignment horizontal="center" vertical="top" wrapText="1"/>
      <protection locked="0"/>
    </xf>
    <xf numFmtId="1" fontId="13" fillId="0" borderId="1" xfId="5" applyNumberFormat="1" applyFont="1" applyFill="1" applyBorder="1" applyAlignment="1" applyProtection="1">
      <alignment horizontal="center" vertical="top" wrapText="1"/>
      <protection locked="0"/>
    </xf>
    <xf numFmtId="1" fontId="13" fillId="0" borderId="1" xfId="5" applyNumberFormat="1" applyFont="1" applyFill="1" applyBorder="1" applyAlignment="1" applyProtection="1">
      <alignment horizontal="center" vertical="center" wrapText="1"/>
      <protection locked="0"/>
    </xf>
    <xf numFmtId="1" fontId="13" fillId="0" borderId="3" xfId="5" applyNumberFormat="1" applyFont="1" applyFill="1" applyBorder="1" applyAlignment="1" applyProtection="1">
      <alignment horizontal="center" vertical="center" wrapText="1"/>
      <protection locked="0"/>
    </xf>
    <xf numFmtId="1" fontId="13" fillId="0" borderId="4" xfId="5" applyNumberFormat="1" applyFont="1" applyFill="1" applyBorder="1" applyAlignment="1" applyProtection="1">
      <alignment horizontal="center" vertical="center" wrapText="1"/>
      <protection locked="0"/>
    </xf>
    <xf numFmtId="1" fontId="13" fillId="0" borderId="5" xfId="5" applyNumberFormat="1" applyFont="1" applyFill="1" applyBorder="1" applyAlignment="1" applyProtection="1">
      <alignment horizontal="center" vertical="center" wrapText="1"/>
      <protection locked="0"/>
    </xf>
    <xf numFmtId="1" fontId="9" fillId="0" borderId="3" xfId="5" applyNumberFormat="1" applyFont="1" applyFill="1" applyBorder="1" applyAlignment="1" applyProtection="1">
      <alignment horizontal="center" vertical="center" wrapText="1"/>
      <protection locked="0"/>
    </xf>
    <xf numFmtId="1" fontId="9" fillId="0" borderId="5" xfId="5" applyNumberFormat="1" applyFont="1" applyFill="1" applyBorder="1" applyAlignment="1" applyProtection="1">
      <alignment horizontal="center" vertical="center" wrapText="1"/>
      <protection locked="0"/>
    </xf>
    <xf numFmtId="1" fontId="9" fillId="0" borderId="1" xfId="5" applyNumberFormat="1" applyFont="1" applyFill="1" applyBorder="1" applyAlignment="1" applyProtection="1">
      <alignment horizontal="center" vertical="center" wrapText="1"/>
      <protection locked="0"/>
    </xf>
    <xf numFmtId="1" fontId="9" fillId="0" borderId="19" xfId="5" applyNumberFormat="1" applyFont="1" applyFill="1" applyBorder="1" applyAlignment="1" applyProtection="1">
      <alignment horizontal="center" vertical="center" wrapText="1"/>
      <protection locked="0"/>
    </xf>
    <xf numFmtId="1" fontId="9" fillId="0" borderId="20" xfId="5" applyNumberFormat="1" applyFont="1" applyFill="1" applyBorder="1" applyAlignment="1" applyProtection="1">
      <alignment horizontal="center" vertical="center" wrapText="1"/>
      <protection locked="0"/>
    </xf>
    <xf numFmtId="1" fontId="9" fillId="0" borderId="23" xfId="5" applyNumberFormat="1" applyFont="1" applyFill="1" applyBorder="1" applyAlignment="1" applyProtection="1">
      <alignment horizontal="center" vertical="center" wrapText="1"/>
      <protection locked="0"/>
    </xf>
    <xf numFmtId="1" fontId="9" fillId="0" borderId="24" xfId="5" applyNumberFormat="1" applyFont="1" applyFill="1" applyBorder="1" applyAlignment="1" applyProtection="1">
      <alignment horizontal="center" vertical="center" wrapText="1"/>
      <protection locked="0"/>
    </xf>
    <xf numFmtId="1" fontId="9" fillId="0" borderId="21" xfId="5" applyNumberFormat="1" applyFont="1" applyFill="1" applyBorder="1" applyAlignment="1" applyProtection="1">
      <alignment horizontal="center" vertical="center" wrapText="1"/>
      <protection locked="0"/>
    </xf>
    <xf numFmtId="1" fontId="9" fillId="0" borderId="22" xfId="5" applyNumberFormat="1" applyFont="1" applyFill="1" applyBorder="1" applyAlignment="1" applyProtection="1">
      <alignment horizontal="center" vertical="center" wrapText="1"/>
      <protection locked="0"/>
    </xf>
    <xf numFmtId="1" fontId="13" fillId="0" borderId="1" xfId="0" applyNumberFormat="1" applyFont="1" applyFill="1" applyBorder="1" applyAlignment="1" applyProtection="1">
      <alignment horizontal="left" vertical="top" wrapText="1"/>
      <protection locked="0"/>
    </xf>
    <xf numFmtId="0" fontId="14" fillId="0" borderId="1" xfId="7" applyFont="1" applyBorder="1" applyAlignment="1" applyProtection="1">
      <alignment horizontal="left" vertical="top" wrapText="1"/>
      <protection locked="0"/>
    </xf>
    <xf numFmtId="0" fontId="9" fillId="0" borderId="1" xfId="5" applyFont="1" applyBorder="1" applyAlignment="1" applyProtection="1">
      <alignment vertical="top"/>
      <protection locked="0"/>
    </xf>
    <xf numFmtId="0" fontId="16" fillId="0" borderId="1" xfId="5" applyFont="1" applyBorder="1" applyAlignment="1" applyProtection="1">
      <alignment horizontal="center" vertical="top" wrapText="1"/>
      <protection locked="0"/>
    </xf>
    <xf numFmtId="0" fontId="14" fillId="0" borderId="1" xfId="5" applyFont="1" applyBorder="1" applyAlignment="1" applyProtection="1">
      <alignment horizontal="center" vertical="top" wrapText="1"/>
      <protection locked="0"/>
    </xf>
    <xf numFmtId="1" fontId="9" fillId="0" borderId="17" xfId="0" applyNumberFormat="1" applyFont="1" applyFill="1" applyBorder="1" applyAlignment="1" applyProtection="1">
      <alignment horizontal="center" vertical="center" wrapText="1"/>
      <protection locked="0"/>
    </xf>
    <xf numFmtId="1" fontId="9" fillId="0" borderId="18" xfId="0" applyNumberFormat="1" applyFont="1" applyFill="1" applyBorder="1" applyAlignment="1" applyProtection="1">
      <alignment horizontal="center" vertical="center" wrapText="1"/>
      <protection locked="0"/>
    </xf>
    <xf numFmtId="1" fontId="9" fillId="0" borderId="14" xfId="0" applyNumberFormat="1" applyFont="1" applyFill="1" applyBorder="1" applyAlignment="1" applyProtection="1">
      <alignment horizontal="center" vertical="center" wrapText="1"/>
      <protection locked="0"/>
    </xf>
    <xf numFmtId="0" fontId="0" fillId="2" borderId="1" xfId="0" applyFill="1" applyBorder="1" applyAlignment="1">
      <alignment horizontal="center" wrapText="1"/>
    </xf>
    <xf numFmtId="0" fontId="3" fillId="0" borderId="1" xfId="0" applyFont="1" applyBorder="1" applyAlignment="1">
      <alignment horizontal="center"/>
    </xf>
    <xf numFmtId="0" fontId="3" fillId="0" borderId="1" xfId="2" applyFont="1" applyBorder="1" applyAlignment="1">
      <alignment horizontal="left"/>
    </xf>
  </cellXfs>
  <cellStyles count="9">
    <cellStyle name="Comma 2" xfId="6"/>
    <cellStyle name="Excel Built-in Normal" xfId="7"/>
    <cellStyle name="Excel Built-in Normal 2" xfId="1"/>
    <cellStyle name="Hyperlink" xfId="8" builtinId="8"/>
    <cellStyle name="Normal" xfId="0" builtinId="0"/>
    <cellStyle name="Normal 2" xfId="4"/>
    <cellStyle name="Normal 3" xfId="5"/>
    <cellStyle name="Normal 3 3" xfId="3"/>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6.png"/><Relationship Id="rId7" Type="http://schemas.openxmlformats.org/officeDocument/2006/relationships/image" Target="../media/image30.png"/><Relationship Id="rId2" Type="http://schemas.openxmlformats.org/officeDocument/2006/relationships/image" Target="../media/image25.png"/><Relationship Id="rId1" Type="http://schemas.openxmlformats.org/officeDocument/2006/relationships/image" Target="../media/image24.png"/><Relationship Id="rId6" Type="http://schemas.openxmlformats.org/officeDocument/2006/relationships/image" Target="../media/image29.png"/><Relationship Id="rId5" Type="http://schemas.openxmlformats.org/officeDocument/2006/relationships/image" Target="../media/image28.png"/><Relationship Id="rId4" Type="http://schemas.openxmlformats.org/officeDocument/2006/relationships/image" Target="../media/image2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308087</xdr:colOff>
      <xdr:row>504</xdr:row>
      <xdr:rowOff>82101</xdr:rowOff>
    </xdr:from>
    <xdr:to>
      <xdr:col>5</xdr:col>
      <xdr:colOff>754692</xdr:colOff>
      <xdr:row>518</xdr:row>
      <xdr:rowOff>138219</xdr:rowOff>
    </xdr:to>
    <xdr:pic>
      <xdr:nvPicPr>
        <xdr:cNvPr id="46" name="Picture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226969" y="108947248"/>
          <a:ext cx="4110929" cy="2880000"/>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296881</xdr:colOff>
      <xdr:row>488</xdr:row>
      <xdr:rowOff>200062</xdr:rowOff>
    </xdr:from>
    <xdr:to>
      <xdr:col>5</xdr:col>
      <xdr:colOff>743485</xdr:colOff>
      <xdr:row>503</xdr:row>
      <xdr:rowOff>54473</xdr:rowOff>
    </xdr:to>
    <xdr:pic>
      <xdr:nvPicPr>
        <xdr:cNvPr id="47" name="Picture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 cstate="print"/>
        <a:srcRect/>
        <a:stretch>
          <a:fillRect/>
        </a:stretch>
      </xdr:blipFill>
      <xdr:spPr>
        <a:xfrm>
          <a:off x="1215763" y="105837915"/>
          <a:ext cx="4110928" cy="2880000"/>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0</xdr:col>
      <xdr:colOff>414777</xdr:colOff>
      <xdr:row>401</xdr:row>
      <xdr:rowOff>120650</xdr:rowOff>
    </xdr:from>
    <xdr:to>
      <xdr:col>3</xdr:col>
      <xdr:colOff>542560</xdr:colOff>
      <xdr:row>412</xdr:row>
      <xdr:rowOff>121650</xdr:rowOff>
    </xdr:to>
    <xdr:pic>
      <xdr:nvPicPr>
        <xdr:cNvPr id="13" name="Picture 1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14777" y="73615550"/>
          <a:ext cx="2877333" cy="2160000"/>
        </a:xfrm>
        <a:prstGeom prst="rect">
          <a:avLst/>
        </a:prstGeom>
        <a:ln>
          <a:solidFill>
            <a:schemeClr val="tx1"/>
          </a:solidFill>
        </a:ln>
      </xdr:spPr>
    </xdr:pic>
    <xdr:clientData/>
  </xdr:twoCellAnchor>
  <xdr:twoCellAnchor>
    <xdr:from>
      <xdr:col>3</xdr:col>
      <xdr:colOff>695653</xdr:colOff>
      <xdr:row>401</xdr:row>
      <xdr:rowOff>120650</xdr:rowOff>
    </xdr:from>
    <xdr:to>
      <xdr:col>7</xdr:col>
      <xdr:colOff>330803</xdr:colOff>
      <xdr:row>412</xdr:row>
      <xdr:rowOff>121650</xdr:rowOff>
    </xdr:to>
    <xdr:pic>
      <xdr:nvPicPr>
        <xdr:cNvPr id="22" name="Picture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445203" y="73615550"/>
          <a:ext cx="2880000" cy="2160000"/>
        </a:xfrm>
        <a:prstGeom prst="rect">
          <a:avLst/>
        </a:prstGeom>
        <a:ln>
          <a:solidFill>
            <a:schemeClr val="tx1"/>
          </a:solidFill>
        </a:ln>
      </xdr:spPr>
    </xdr:pic>
    <xdr:clientData/>
  </xdr:twoCellAnchor>
  <xdr:twoCellAnchor>
    <xdr:from>
      <xdr:col>3</xdr:col>
      <xdr:colOff>695653</xdr:colOff>
      <xdr:row>413</xdr:row>
      <xdr:rowOff>42689</xdr:rowOff>
    </xdr:from>
    <xdr:to>
      <xdr:col>7</xdr:col>
      <xdr:colOff>330803</xdr:colOff>
      <xdr:row>424</xdr:row>
      <xdr:rowOff>37339</xdr:rowOff>
    </xdr:to>
    <xdr:pic>
      <xdr:nvPicPr>
        <xdr:cNvPr id="23" name="Picture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445203" y="75893439"/>
          <a:ext cx="2880000" cy="2160000"/>
        </a:xfrm>
        <a:prstGeom prst="rect">
          <a:avLst/>
        </a:prstGeom>
        <a:ln>
          <a:solidFill>
            <a:schemeClr val="tx1"/>
          </a:solidFill>
        </a:ln>
      </xdr:spPr>
    </xdr:pic>
    <xdr:clientData/>
  </xdr:twoCellAnchor>
  <xdr:twoCellAnchor>
    <xdr:from>
      <xdr:col>0</xdr:col>
      <xdr:colOff>412110</xdr:colOff>
      <xdr:row>413</xdr:row>
      <xdr:rowOff>42689</xdr:rowOff>
    </xdr:from>
    <xdr:to>
      <xdr:col>3</xdr:col>
      <xdr:colOff>542560</xdr:colOff>
      <xdr:row>424</xdr:row>
      <xdr:rowOff>37339</xdr:rowOff>
    </xdr:to>
    <xdr:pic>
      <xdr:nvPicPr>
        <xdr:cNvPr id="24" name="Picture 2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12110" y="75893439"/>
          <a:ext cx="2880000" cy="2160000"/>
        </a:xfrm>
        <a:prstGeom prst="rect">
          <a:avLst/>
        </a:prstGeom>
        <a:ln>
          <a:solidFill>
            <a:schemeClr val="tx1"/>
          </a:solidFill>
        </a:ln>
      </xdr:spPr>
    </xdr:pic>
    <xdr:clientData/>
  </xdr:twoCellAnchor>
  <xdr:twoCellAnchor>
    <xdr:from>
      <xdr:col>2</xdr:col>
      <xdr:colOff>394608</xdr:colOff>
      <xdr:row>434</xdr:row>
      <xdr:rowOff>88115</xdr:rowOff>
    </xdr:from>
    <xdr:to>
      <xdr:col>3</xdr:col>
      <xdr:colOff>804808</xdr:colOff>
      <xdr:row>441</xdr:row>
      <xdr:rowOff>158750</xdr:rowOff>
    </xdr:to>
    <xdr:pic>
      <xdr:nvPicPr>
        <xdr:cNvPr id="25" name="Picture 2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204358" y="80072715"/>
          <a:ext cx="1350000" cy="1448585"/>
        </a:xfrm>
        <a:prstGeom prst="rect">
          <a:avLst/>
        </a:prstGeom>
        <a:ln>
          <a:solidFill>
            <a:schemeClr val="tx1"/>
          </a:solidFill>
        </a:ln>
      </xdr:spPr>
    </xdr:pic>
    <xdr:clientData/>
  </xdr:twoCellAnchor>
  <xdr:twoCellAnchor>
    <xdr:from>
      <xdr:col>0</xdr:col>
      <xdr:colOff>741064</xdr:colOff>
      <xdr:row>434</xdr:row>
      <xdr:rowOff>81765</xdr:rowOff>
    </xdr:from>
    <xdr:to>
      <xdr:col>2</xdr:col>
      <xdr:colOff>281314</xdr:colOff>
      <xdr:row>441</xdr:row>
      <xdr:rowOff>152400</xdr:rowOff>
    </xdr:to>
    <xdr:pic>
      <xdr:nvPicPr>
        <xdr:cNvPr id="26" name="Picture 2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741064" y="80066365"/>
          <a:ext cx="1350000" cy="1448585"/>
        </a:xfrm>
        <a:prstGeom prst="rect">
          <a:avLst/>
        </a:prstGeom>
        <a:ln>
          <a:solidFill>
            <a:schemeClr val="tx1"/>
          </a:solidFill>
        </a:ln>
      </xdr:spPr>
    </xdr:pic>
    <xdr:clientData/>
  </xdr:twoCellAnchor>
  <xdr:twoCellAnchor>
    <xdr:from>
      <xdr:col>5</xdr:col>
      <xdr:colOff>465582</xdr:colOff>
      <xdr:row>424</xdr:row>
      <xdr:rowOff>142702</xdr:rowOff>
    </xdr:from>
    <xdr:to>
      <xdr:col>7</xdr:col>
      <xdr:colOff>285232</xdr:colOff>
      <xdr:row>433</xdr:row>
      <xdr:rowOff>171052</xdr:rowOff>
    </xdr:to>
    <xdr:pic>
      <xdr:nvPicPr>
        <xdr:cNvPr id="27" name="Picture 2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929632" y="78158802"/>
          <a:ext cx="1350000" cy="1800000"/>
        </a:xfrm>
        <a:prstGeom prst="rect">
          <a:avLst/>
        </a:prstGeom>
        <a:ln>
          <a:solidFill>
            <a:schemeClr val="tx1"/>
          </a:solidFill>
        </a:ln>
      </xdr:spPr>
    </xdr:pic>
    <xdr:clientData/>
  </xdr:twoCellAnchor>
  <xdr:twoCellAnchor>
    <xdr:from>
      <xdr:col>4</xdr:col>
      <xdr:colOff>16402</xdr:colOff>
      <xdr:row>434</xdr:row>
      <xdr:rowOff>88115</xdr:rowOff>
    </xdr:from>
    <xdr:to>
      <xdr:col>7</xdr:col>
      <xdr:colOff>66902</xdr:colOff>
      <xdr:row>441</xdr:row>
      <xdr:rowOff>158750</xdr:rowOff>
    </xdr:to>
    <xdr:pic>
      <xdr:nvPicPr>
        <xdr:cNvPr id="28" name="Picture 2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661302" y="80072715"/>
          <a:ext cx="2400000" cy="1448585"/>
        </a:xfrm>
        <a:prstGeom prst="rect">
          <a:avLst/>
        </a:prstGeom>
        <a:ln>
          <a:solidFill>
            <a:schemeClr val="tx1"/>
          </a:solidFill>
        </a:ln>
      </xdr:spPr>
    </xdr:pic>
    <xdr:clientData/>
  </xdr:twoCellAnchor>
  <xdr:twoCellAnchor>
    <xdr:from>
      <xdr:col>3</xdr:col>
      <xdr:colOff>716788</xdr:colOff>
      <xdr:row>424</xdr:row>
      <xdr:rowOff>142702</xdr:rowOff>
    </xdr:from>
    <xdr:to>
      <xdr:col>5</xdr:col>
      <xdr:colOff>352288</xdr:colOff>
      <xdr:row>433</xdr:row>
      <xdr:rowOff>171052</xdr:rowOff>
    </xdr:to>
    <xdr:pic>
      <xdr:nvPicPr>
        <xdr:cNvPr id="29" name="Picture 2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466338" y="78158802"/>
          <a:ext cx="1350000" cy="1800000"/>
        </a:xfrm>
        <a:prstGeom prst="rect">
          <a:avLst/>
        </a:prstGeom>
        <a:ln>
          <a:solidFill>
            <a:schemeClr val="tx1"/>
          </a:solidFill>
        </a:ln>
      </xdr:spPr>
    </xdr:pic>
    <xdr:clientData/>
  </xdr:twoCellAnchor>
  <xdr:twoCellAnchor>
    <xdr:from>
      <xdr:col>2</xdr:col>
      <xdr:colOff>180594</xdr:colOff>
      <xdr:row>424</xdr:row>
      <xdr:rowOff>142702</xdr:rowOff>
    </xdr:from>
    <xdr:to>
      <xdr:col>3</xdr:col>
      <xdr:colOff>590794</xdr:colOff>
      <xdr:row>433</xdr:row>
      <xdr:rowOff>171052</xdr:rowOff>
    </xdr:to>
    <xdr:pic>
      <xdr:nvPicPr>
        <xdr:cNvPr id="30" name="Picture 2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990344" y="78158802"/>
          <a:ext cx="1350000" cy="1800000"/>
        </a:xfrm>
        <a:prstGeom prst="rect">
          <a:avLst/>
        </a:prstGeom>
        <a:ln>
          <a:solidFill>
            <a:schemeClr val="tx1"/>
          </a:solidFill>
        </a:ln>
      </xdr:spPr>
    </xdr:pic>
    <xdr:clientData/>
  </xdr:twoCellAnchor>
  <xdr:twoCellAnchor>
    <xdr:from>
      <xdr:col>0</xdr:col>
      <xdr:colOff>508000</xdr:colOff>
      <xdr:row>424</xdr:row>
      <xdr:rowOff>142702</xdr:rowOff>
    </xdr:from>
    <xdr:to>
      <xdr:col>2</xdr:col>
      <xdr:colOff>48250</xdr:colOff>
      <xdr:row>433</xdr:row>
      <xdr:rowOff>171052</xdr:rowOff>
    </xdr:to>
    <xdr:pic>
      <xdr:nvPicPr>
        <xdr:cNvPr id="31" name="Picture 3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08000" y="78158802"/>
          <a:ext cx="1350000" cy="1800000"/>
        </a:xfrm>
        <a:prstGeom prst="rect">
          <a:avLst/>
        </a:prstGeom>
        <a:ln>
          <a:solidFill>
            <a:schemeClr val="tx1"/>
          </a:solidFill>
        </a:ln>
      </xdr:spPr>
    </xdr:pic>
    <xdr:clientData/>
  </xdr:twoCellAnchor>
  <xdr:twoCellAnchor>
    <xdr:from>
      <xdr:col>2</xdr:col>
      <xdr:colOff>680823</xdr:colOff>
      <xdr:row>477</xdr:row>
      <xdr:rowOff>20934</xdr:rowOff>
    </xdr:from>
    <xdr:to>
      <xdr:col>4</xdr:col>
      <xdr:colOff>763895</xdr:colOff>
      <xdr:row>484</xdr:row>
      <xdr:rowOff>82984</xdr:rowOff>
    </xdr:to>
    <xdr:pic>
      <xdr:nvPicPr>
        <xdr:cNvPr id="32" name="Picture 31"/>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490573" y="89060634"/>
          <a:ext cx="1918222" cy="1440000"/>
        </a:xfrm>
        <a:prstGeom prst="rect">
          <a:avLst/>
        </a:prstGeom>
        <a:ln>
          <a:solidFill>
            <a:schemeClr val="tx1"/>
          </a:solidFill>
        </a:ln>
      </xdr:spPr>
    </xdr:pic>
    <xdr:clientData/>
  </xdr:twoCellAnchor>
  <xdr:twoCellAnchor>
    <xdr:from>
      <xdr:col>0</xdr:col>
      <xdr:colOff>441196</xdr:colOff>
      <xdr:row>444</xdr:row>
      <xdr:rowOff>69850</xdr:rowOff>
    </xdr:from>
    <xdr:to>
      <xdr:col>3</xdr:col>
      <xdr:colOff>568979</xdr:colOff>
      <xdr:row>455</xdr:row>
      <xdr:rowOff>64500</xdr:rowOff>
    </xdr:to>
    <xdr:pic>
      <xdr:nvPicPr>
        <xdr:cNvPr id="33" name="Picture 32"/>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41196" y="82613500"/>
          <a:ext cx="2877333" cy="2160000"/>
        </a:xfrm>
        <a:prstGeom prst="rect">
          <a:avLst/>
        </a:prstGeom>
        <a:ln>
          <a:solidFill>
            <a:schemeClr val="tx1"/>
          </a:solidFill>
        </a:ln>
      </xdr:spPr>
    </xdr:pic>
    <xdr:clientData/>
  </xdr:twoCellAnchor>
  <xdr:twoCellAnchor>
    <xdr:from>
      <xdr:col>3</xdr:col>
      <xdr:colOff>81465</xdr:colOff>
      <xdr:row>467</xdr:row>
      <xdr:rowOff>88856</xdr:rowOff>
    </xdr:from>
    <xdr:to>
      <xdr:col>4</xdr:col>
      <xdr:colOff>534709</xdr:colOff>
      <xdr:row>476</xdr:row>
      <xdr:rowOff>117206</xdr:rowOff>
    </xdr:to>
    <xdr:pic>
      <xdr:nvPicPr>
        <xdr:cNvPr id="34" name="Picture 3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831015" y="87160056"/>
          <a:ext cx="1348594" cy="1800000"/>
        </a:xfrm>
        <a:prstGeom prst="rect">
          <a:avLst/>
        </a:prstGeom>
        <a:ln>
          <a:solidFill>
            <a:schemeClr val="tx1"/>
          </a:solidFill>
        </a:ln>
      </xdr:spPr>
    </xdr:pic>
    <xdr:clientData/>
  </xdr:twoCellAnchor>
  <xdr:twoCellAnchor>
    <xdr:from>
      <xdr:col>3</xdr:col>
      <xdr:colOff>693132</xdr:colOff>
      <xdr:row>444</xdr:row>
      <xdr:rowOff>69850</xdr:rowOff>
    </xdr:from>
    <xdr:to>
      <xdr:col>7</xdr:col>
      <xdr:colOff>325615</xdr:colOff>
      <xdr:row>455</xdr:row>
      <xdr:rowOff>64500</xdr:rowOff>
    </xdr:to>
    <xdr:pic>
      <xdr:nvPicPr>
        <xdr:cNvPr id="35" name="Picture 3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442682" y="82613500"/>
          <a:ext cx="2877333" cy="2160000"/>
        </a:xfrm>
        <a:prstGeom prst="rect">
          <a:avLst/>
        </a:prstGeom>
        <a:ln>
          <a:solidFill>
            <a:schemeClr val="tx1"/>
          </a:solidFill>
        </a:ln>
      </xdr:spPr>
    </xdr:pic>
    <xdr:clientData/>
  </xdr:twoCellAnchor>
  <xdr:twoCellAnchor>
    <xdr:from>
      <xdr:col>0</xdr:col>
      <xdr:colOff>441195</xdr:colOff>
      <xdr:row>455</xdr:row>
      <xdr:rowOff>177778</xdr:rowOff>
    </xdr:from>
    <xdr:to>
      <xdr:col>3</xdr:col>
      <xdr:colOff>568978</xdr:colOff>
      <xdr:row>466</xdr:row>
      <xdr:rowOff>172428</xdr:rowOff>
    </xdr:to>
    <xdr:pic>
      <xdr:nvPicPr>
        <xdr:cNvPr id="36" name="Picture 35"/>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41195" y="84886778"/>
          <a:ext cx="2877333" cy="2160000"/>
        </a:xfrm>
        <a:prstGeom prst="rect">
          <a:avLst/>
        </a:prstGeom>
        <a:ln>
          <a:solidFill>
            <a:schemeClr val="tx1"/>
          </a:solidFill>
        </a:ln>
      </xdr:spPr>
    </xdr:pic>
    <xdr:clientData/>
  </xdr:twoCellAnchor>
  <xdr:twoCellAnchor>
    <xdr:from>
      <xdr:col>3</xdr:col>
      <xdr:colOff>693132</xdr:colOff>
      <xdr:row>455</xdr:row>
      <xdr:rowOff>177778</xdr:rowOff>
    </xdr:from>
    <xdr:to>
      <xdr:col>7</xdr:col>
      <xdr:colOff>325615</xdr:colOff>
      <xdr:row>466</xdr:row>
      <xdr:rowOff>172428</xdr:rowOff>
    </xdr:to>
    <xdr:pic>
      <xdr:nvPicPr>
        <xdr:cNvPr id="37" name="Picture 36"/>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442682" y="84886778"/>
          <a:ext cx="2877333" cy="2160000"/>
        </a:xfrm>
        <a:prstGeom prst="rect">
          <a:avLst/>
        </a:prstGeom>
        <a:ln>
          <a:solidFill>
            <a:schemeClr val="tx1"/>
          </a:solidFill>
        </a:ln>
      </xdr:spPr>
    </xdr:pic>
    <xdr:clientData/>
  </xdr:twoCellAnchor>
  <xdr:twoCellAnchor>
    <xdr:from>
      <xdr:col>0</xdr:col>
      <xdr:colOff>317500</xdr:colOff>
      <xdr:row>467</xdr:row>
      <xdr:rowOff>88856</xdr:rowOff>
    </xdr:from>
    <xdr:to>
      <xdr:col>2</xdr:col>
      <xdr:colOff>905528</xdr:colOff>
      <xdr:row>476</xdr:row>
      <xdr:rowOff>117206</xdr:rowOff>
    </xdr:to>
    <xdr:pic>
      <xdr:nvPicPr>
        <xdr:cNvPr id="38" name="Picture 37"/>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317500" y="87160056"/>
          <a:ext cx="2397778" cy="1800000"/>
        </a:xfrm>
        <a:prstGeom prst="rect">
          <a:avLst/>
        </a:prstGeom>
        <a:ln>
          <a:solidFill>
            <a:schemeClr val="tx1"/>
          </a:solidFill>
        </a:ln>
      </xdr:spPr>
    </xdr:pic>
    <xdr:clientData/>
  </xdr:twoCellAnchor>
  <xdr:twoCellAnchor>
    <xdr:from>
      <xdr:col>4</xdr:col>
      <xdr:colOff>650446</xdr:colOff>
      <xdr:row>467</xdr:row>
      <xdr:rowOff>88856</xdr:rowOff>
    </xdr:from>
    <xdr:to>
      <xdr:col>7</xdr:col>
      <xdr:colOff>698724</xdr:colOff>
      <xdr:row>476</xdr:row>
      <xdr:rowOff>117206</xdr:rowOff>
    </xdr:to>
    <xdr:pic>
      <xdr:nvPicPr>
        <xdr:cNvPr id="39" name="Picture 38"/>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4295346" y="87160056"/>
          <a:ext cx="2397778" cy="1800000"/>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561975</xdr:colOff>
      <xdr:row>13</xdr:row>
      <xdr:rowOff>180975</xdr:rowOff>
    </xdr:from>
    <xdr:to>
      <xdr:col>7</xdr:col>
      <xdr:colOff>340659</xdr:colOff>
      <xdr:row>32</xdr:row>
      <xdr:rowOff>161925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790" t="9114" r="6999" b="20760"/>
        <a:stretch>
          <a:fillRect/>
        </a:stretch>
      </xdr:blipFill>
      <xdr:spPr>
        <a:xfrm>
          <a:off x="561975" y="2667000"/>
          <a:ext cx="809371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495300</xdr:colOff>
      <xdr:row>33</xdr:row>
      <xdr:rowOff>142875</xdr:rowOff>
    </xdr:from>
    <xdr:to>
      <xdr:col>7</xdr:col>
      <xdr:colOff>350184</xdr:colOff>
      <xdr:row>52</xdr:row>
      <xdr:rowOff>123825</xdr:rowOff>
    </xdr:to>
    <xdr:pic>
      <xdr:nvPicPr>
        <xdr:cNvPr id="3" name="Picture 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375" t="9486" r="6375" b="20201"/>
        <a:stretch>
          <a:fillRect/>
        </a:stretch>
      </xdr:blipFill>
      <xdr:spPr>
        <a:xfrm>
          <a:off x="495300" y="6438900"/>
          <a:ext cx="816991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466725</xdr:colOff>
      <xdr:row>53</xdr:row>
      <xdr:rowOff>85725</xdr:rowOff>
    </xdr:from>
    <xdr:to>
      <xdr:col>7</xdr:col>
      <xdr:colOff>321609</xdr:colOff>
      <xdr:row>72</xdr:row>
      <xdr:rowOff>66675</xdr:rowOff>
    </xdr:to>
    <xdr:pic>
      <xdr:nvPicPr>
        <xdr:cNvPr id="4" name="Picture 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6354" t="9300" r="6477" b="19829"/>
        <a:stretch>
          <a:fillRect/>
        </a:stretch>
      </xdr:blipFill>
      <xdr:spPr>
        <a:xfrm>
          <a:off x="466725" y="10191750"/>
          <a:ext cx="816991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428625</xdr:colOff>
      <xdr:row>73</xdr:row>
      <xdr:rowOff>57150</xdr:rowOff>
    </xdr:from>
    <xdr:to>
      <xdr:col>7</xdr:col>
      <xdr:colOff>264459</xdr:colOff>
      <xdr:row>92</xdr:row>
      <xdr:rowOff>38100</xdr:rowOff>
    </xdr:to>
    <xdr:pic>
      <xdr:nvPicPr>
        <xdr:cNvPr id="5" name="Picture 5">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4999" t="9486" r="7312" b="18713"/>
        <a:stretch>
          <a:fillRect/>
        </a:stretch>
      </xdr:blipFill>
      <xdr:spPr>
        <a:xfrm>
          <a:off x="428625" y="13973175"/>
          <a:ext cx="815086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419100</xdr:colOff>
      <xdr:row>93</xdr:row>
      <xdr:rowOff>38100</xdr:rowOff>
    </xdr:from>
    <xdr:to>
      <xdr:col>7</xdr:col>
      <xdr:colOff>197784</xdr:colOff>
      <xdr:row>112</xdr:row>
      <xdr:rowOff>19050</xdr:rowOff>
    </xdr:to>
    <xdr:pic>
      <xdr:nvPicPr>
        <xdr:cNvPr id="6" name="Picture 6">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4659" t="9200" r="6323" b="20015"/>
        <a:stretch>
          <a:fillRect/>
        </a:stretch>
      </xdr:blipFill>
      <xdr:spPr>
        <a:xfrm>
          <a:off x="419100" y="17764125"/>
          <a:ext cx="809371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400050</xdr:colOff>
      <xdr:row>113</xdr:row>
      <xdr:rowOff>38100</xdr:rowOff>
    </xdr:from>
    <xdr:to>
      <xdr:col>7</xdr:col>
      <xdr:colOff>178734</xdr:colOff>
      <xdr:row>132</xdr:row>
      <xdr:rowOff>19050</xdr:rowOff>
    </xdr:to>
    <xdr:pic>
      <xdr:nvPicPr>
        <xdr:cNvPr id="7" name="Picture 7">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l="793" t="9233" r="8308" b="11932"/>
        <a:stretch>
          <a:fillRect/>
        </a:stretch>
      </xdr:blipFill>
      <xdr:spPr>
        <a:xfrm>
          <a:off x="400050" y="21574125"/>
          <a:ext cx="809371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400050</xdr:colOff>
      <xdr:row>132</xdr:row>
      <xdr:rowOff>171450</xdr:rowOff>
    </xdr:from>
    <xdr:to>
      <xdr:col>7</xdr:col>
      <xdr:colOff>112059</xdr:colOff>
      <xdr:row>155</xdr:row>
      <xdr:rowOff>85725</xdr:rowOff>
    </xdr:to>
    <xdr:pic>
      <xdr:nvPicPr>
        <xdr:cNvPr id="8" name="Picture 8">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l="793" t="9470" r="11882" b="6960"/>
        <a:stretch>
          <a:fillRect/>
        </a:stretch>
      </xdr:blipFill>
      <xdr:spPr>
        <a:xfrm>
          <a:off x="400050" y="25326975"/>
          <a:ext cx="8027035" cy="4295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AsN6Stt55Tzarv4K8"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8"/>
  <sheetViews>
    <sheetView tabSelected="1" view="pageBreakPreview" topLeftCell="A396" zoomScaleNormal="100" zoomScaleSheetLayoutView="100" zoomScalePageLayoutView="85" workbookViewId="0">
      <selection activeCell="D402" sqref="D402"/>
    </sheetView>
  </sheetViews>
  <sheetFormatPr defaultColWidth="9.1796875" defaultRowHeight="15.5"/>
  <cols>
    <col min="1" max="1" width="12.7265625" style="28" customWidth="1"/>
    <col min="2" max="2" width="13.1796875" style="28" customWidth="1"/>
    <col min="3" max="3" width="13.453125" style="28" customWidth="1"/>
    <col min="4" max="4" width="12.81640625" style="28" customWidth="1"/>
    <col min="5" max="6" width="11.7265625" style="28" customWidth="1"/>
    <col min="7" max="7" width="10.1796875" style="28" customWidth="1"/>
    <col min="8" max="8" width="12.453125" style="28" customWidth="1"/>
    <col min="9" max="9" width="20.453125" style="29" customWidth="1"/>
    <col min="10" max="10" width="9.81640625" style="29" customWidth="1"/>
    <col min="11" max="252" width="9.1796875" style="29"/>
    <col min="253" max="253" width="8.7265625" style="29" customWidth="1"/>
    <col min="254" max="254" width="9.81640625" style="29" customWidth="1"/>
    <col min="255" max="255" width="14.453125" style="29" customWidth="1"/>
    <col min="256" max="256" width="7.26953125" style="29" customWidth="1"/>
    <col min="257" max="257" width="5.54296875" style="29" customWidth="1"/>
    <col min="258" max="258" width="9" style="29" customWidth="1"/>
    <col min="259" max="260" width="9.81640625" style="29" customWidth="1"/>
    <col min="261" max="261" width="11.1796875" style="29" customWidth="1"/>
    <col min="262" max="262" width="2.81640625" style="29" customWidth="1"/>
    <col min="263" max="263" width="3.54296875" style="29" customWidth="1"/>
    <col min="264" max="508" width="9.1796875" style="29"/>
    <col min="509" max="509" width="8.7265625" style="29" customWidth="1"/>
    <col min="510" max="510" width="9.81640625" style="29" customWidth="1"/>
    <col min="511" max="511" width="14.453125" style="29" customWidth="1"/>
    <col min="512" max="512" width="7.26953125" style="29" customWidth="1"/>
    <col min="513" max="513" width="5.54296875" style="29" customWidth="1"/>
    <col min="514" max="514" width="9" style="29" customWidth="1"/>
    <col min="515" max="516" width="9.81640625" style="29" customWidth="1"/>
    <col min="517" max="517" width="11.1796875" style="29" customWidth="1"/>
    <col min="518" max="518" width="2.81640625" style="29" customWidth="1"/>
    <col min="519" max="519" width="3.54296875" style="29" customWidth="1"/>
    <col min="520" max="764" width="9.1796875" style="29"/>
    <col min="765" max="765" width="8.7265625" style="29" customWidth="1"/>
    <col min="766" max="766" width="9.81640625" style="29" customWidth="1"/>
    <col min="767" max="767" width="14.453125" style="29" customWidth="1"/>
    <col min="768" max="768" width="7.26953125" style="29" customWidth="1"/>
    <col min="769" max="769" width="5.54296875" style="29" customWidth="1"/>
    <col min="770" max="770" width="9" style="29" customWidth="1"/>
    <col min="771" max="772" width="9.81640625" style="29" customWidth="1"/>
    <col min="773" max="773" width="11.1796875" style="29" customWidth="1"/>
    <col min="774" max="774" width="2.81640625" style="29" customWidth="1"/>
    <col min="775" max="775" width="3.54296875" style="29" customWidth="1"/>
    <col min="776" max="1020" width="9.1796875" style="29"/>
    <col min="1021" max="1021" width="8.7265625" style="29" customWidth="1"/>
    <col min="1022" max="1022" width="9.81640625" style="29" customWidth="1"/>
    <col min="1023" max="1023" width="14.453125" style="29" customWidth="1"/>
    <col min="1024" max="1024" width="7.26953125" style="29" customWidth="1"/>
    <col min="1025" max="1025" width="5.54296875" style="29" customWidth="1"/>
    <col min="1026" max="1026" width="9" style="29" customWidth="1"/>
    <col min="1027" max="1028" width="9.81640625" style="29" customWidth="1"/>
    <col min="1029" max="1029" width="11.1796875" style="29" customWidth="1"/>
    <col min="1030" max="1030" width="2.81640625" style="29" customWidth="1"/>
    <col min="1031" max="1031" width="3.54296875" style="29" customWidth="1"/>
    <col min="1032" max="1276" width="9.1796875" style="29"/>
    <col min="1277" max="1277" width="8.7265625" style="29" customWidth="1"/>
    <col min="1278" max="1278" width="9.81640625" style="29" customWidth="1"/>
    <col min="1279" max="1279" width="14.453125" style="29" customWidth="1"/>
    <col min="1280" max="1280" width="7.26953125" style="29" customWidth="1"/>
    <col min="1281" max="1281" width="5.54296875" style="29" customWidth="1"/>
    <col min="1282" max="1282" width="9" style="29" customWidth="1"/>
    <col min="1283" max="1284" width="9.81640625" style="29" customWidth="1"/>
    <col min="1285" max="1285" width="11.1796875" style="29" customWidth="1"/>
    <col min="1286" max="1286" width="2.81640625" style="29" customWidth="1"/>
    <col min="1287" max="1287" width="3.54296875" style="29" customWidth="1"/>
    <col min="1288" max="1532" width="9.1796875" style="29"/>
    <col min="1533" max="1533" width="8.7265625" style="29" customWidth="1"/>
    <col min="1534" max="1534" width="9.81640625" style="29" customWidth="1"/>
    <col min="1535" max="1535" width="14.453125" style="29" customWidth="1"/>
    <col min="1536" max="1536" width="7.26953125" style="29" customWidth="1"/>
    <col min="1537" max="1537" width="5.54296875" style="29" customWidth="1"/>
    <col min="1538" max="1538" width="9" style="29" customWidth="1"/>
    <col min="1539" max="1540" width="9.81640625" style="29" customWidth="1"/>
    <col min="1541" max="1541" width="11.1796875" style="29" customWidth="1"/>
    <col min="1542" max="1542" width="2.81640625" style="29" customWidth="1"/>
    <col min="1543" max="1543" width="3.54296875" style="29" customWidth="1"/>
    <col min="1544" max="1788" width="9.1796875" style="29"/>
    <col min="1789" max="1789" width="8.7265625" style="29" customWidth="1"/>
    <col min="1790" max="1790" width="9.81640625" style="29" customWidth="1"/>
    <col min="1791" max="1791" width="14.453125" style="29" customWidth="1"/>
    <col min="1792" max="1792" width="7.26953125" style="29" customWidth="1"/>
    <col min="1793" max="1793" width="5.54296875" style="29" customWidth="1"/>
    <col min="1794" max="1794" width="9" style="29" customWidth="1"/>
    <col min="1795" max="1796" width="9.81640625" style="29" customWidth="1"/>
    <col min="1797" max="1797" width="11.1796875" style="29" customWidth="1"/>
    <col min="1798" max="1798" width="2.81640625" style="29" customWidth="1"/>
    <col min="1799" max="1799" width="3.54296875" style="29" customWidth="1"/>
    <col min="1800" max="2044" width="9.1796875" style="29"/>
    <col min="2045" max="2045" width="8.7265625" style="29" customWidth="1"/>
    <col min="2046" max="2046" width="9.81640625" style="29" customWidth="1"/>
    <col min="2047" max="2047" width="14.453125" style="29" customWidth="1"/>
    <col min="2048" max="2048" width="7.26953125" style="29" customWidth="1"/>
    <col min="2049" max="2049" width="5.54296875" style="29" customWidth="1"/>
    <col min="2050" max="2050" width="9" style="29" customWidth="1"/>
    <col min="2051" max="2052" width="9.81640625" style="29" customWidth="1"/>
    <col min="2053" max="2053" width="11.1796875" style="29" customWidth="1"/>
    <col min="2054" max="2054" width="2.81640625" style="29" customWidth="1"/>
    <col min="2055" max="2055" width="3.54296875" style="29" customWidth="1"/>
    <col min="2056" max="2300" width="9.1796875" style="29"/>
    <col min="2301" max="2301" width="8.7265625" style="29" customWidth="1"/>
    <col min="2302" max="2302" width="9.81640625" style="29" customWidth="1"/>
    <col min="2303" max="2303" width="14.453125" style="29" customWidth="1"/>
    <col min="2304" max="2304" width="7.26953125" style="29" customWidth="1"/>
    <col min="2305" max="2305" width="5.54296875" style="29" customWidth="1"/>
    <col min="2306" max="2306" width="9" style="29" customWidth="1"/>
    <col min="2307" max="2308" width="9.81640625" style="29" customWidth="1"/>
    <col min="2309" max="2309" width="11.1796875" style="29" customWidth="1"/>
    <col min="2310" max="2310" width="2.81640625" style="29" customWidth="1"/>
    <col min="2311" max="2311" width="3.54296875" style="29" customWidth="1"/>
    <col min="2312" max="2556" width="9.1796875" style="29"/>
    <col min="2557" max="2557" width="8.7265625" style="29" customWidth="1"/>
    <col min="2558" max="2558" width="9.81640625" style="29" customWidth="1"/>
    <col min="2559" max="2559" width="14.453125" style="29" customWidth="1"/>
    <col min="2560" max="2560" width="7.26953125" style="29" customWidth="1"/>
    <col min="2561" max="2561" width="5.54296875" style="29" customWidth="1"/>
    <col min="2562" max="2562" width="9" style="29" customWidth="1"/>
    <col min="2563" max="2564" width="9.81640625" style="29" customWidth="1"/>
    <col min="2565" max="2565" width="11.1796875" style="29" customWidth="1"/>
    <col min="2566" max="2566" width="2.81640625" style="29" customWidth="1"/>
    <col min="2567" max="2567" width="3.54296875" style="29" customWidth="1"/>
    <col min="2568" max="2812" width="9.1796875" style="29"/>
    <col min="2813" max="2813" width="8.7265625" style="29" customWidth="1"/>
    <col min="2814" max="2814" width="9.81640625" style="29" customWidth="1"/>
    <col min="2815" max="2815" width="14.453125" style="29" customWidth="1"/>
    <col min="2816" max="2816" width="7.26953125" style="29" customWidth="1"/>
    <col min="2817" max="2817" width="5.54296875" style="29" customWidth="1"/>
    <col min="2818" max="2818" width="9" style="29" customWidth="1"/>
    <col min="2819" max="2820" width="9.81640625" style="29" customWidth="1"/>
    <col min="2821" max="2821" width="11.1796875" style="29" customWidth="1"/>
    <col min="2822" max="2822" width="2.81640625" style="29" customWidth="1"/>
    <col min="2823" max="2823" width="3.54296875" style="29" customWidth="1"/>
    <col min="2824" max="3068" width="9.1796875" style="29"/>
    <col min="3069" max="3069" width="8.7265625" style="29" customWidth="1"/>
    <col min="3070" max="3070" width="9.81640625" style="29" customWidth="1"/>
    <col min="3071" max="3071" width="14.453125" style="29" customWidth="1"/>
    <col min="3072" max="3072" width="7.26953125" style="29" customWidth="1"/>
    <col min="3073" max="3073" width="5.54296875" style="29" customWidth="1"/>
    <col min="3074" max="3074" width="9" style="29" customWidth="1"/>
    <col min="3075" max="3076" width="9.81640625" style="29" customWidth="1"/>
    <col min="3077" max="3077" width="11.1796875" style="29" customWidth="1"/>
    <col min="3078" max="3078" width="2.81640625" style="29" customWidth="1"/>
    <col min="3079" max="3079" width="3.54296875" style="29" customWidth="1"/>
    <col min="3080" max="3324" width="9.1796875" style="29"/>
    <col min="3325" max="3325" width="8.7265625" style="29" customWidth="1"/>
    <col min="3326" max="3326" width="9.81640625" style="29" customWidth="1"/>
    <col min="3327" max="3327" width="14.453125" style="29" customWidth="1"/>
    <col min="3328" max="3328" width="7.26953125" style="29" customWidth="1"/>
    <col min="3329" max="3329" width="5.54296875" style="29" customWidth="1"/>
    <col min="3330" max="3330" width="9" style="29" customWidth="1"/>
    <col min="3331" max="3332" width="9.81640625" style="29" customWidth="1"/>
    <col min="3333" max="3333" width="11.1796875" style="29" customWidth="1"/>
    <col min="3334" max="3334" width="2.81640625" style="29" customWidth="1"/>
    <col min="3335" max="3335" width="3.54296875" style="29" customWidth="1"/>
    <col min="3336" max="3580" width="9.1796875" style="29"/>
    <col min="3581" max="3581" width="8.7265625" style="29" customWidth="1"/>
    <col min="3582" max="3582" width="9.81640625" style="29" customWidth="1"/>
    <col min="3583" max="3583" width="14.453125" style="29" customWidth="1"/>
    <col min="3584" max="3584" width="7.26953125" style="29" customWidth="1"/>
    <col min="3585" max="3585" width="5.54296875" style="29" customWidth="1"/>
    <col min="3586" max="3586" width="9" style="29" customWidth="1"/>
    <col min="3587" max="3588" width="9.81640625" style="29" customWidth="1"/>
    <col min="3589" max="3589" width="11.1796875" style="29" customWidth="1"/>
    <col min="3590" max="3590" width="2.81640625" style="29" customWidth="1"/>
    <col min="3591" max="3591" width="3.54296875" style="29" customWidth="1"/>
    <col min="3592" max="3836" width="9.1796875" style="29"/>
    <col min="3837" max="3837" width="8.7265625" style="29" customWidth="1"/>
    <col min="3838" max="3838" width="9.81640625" style="29" customWidth="1"/>
    <col min="3839" max="3839" width="14.453125" style="29" customWidth="1"/>
    <col min="3840" max="3840" width="7.26953125" style="29" customWidth="1"/>
    <col min="3841" max="3841" width="5.54296875" style="29" customWidth="1"/>
    <col min="3842" max="3842" width="9" style="29" customWidth="1"/>
    <col min="3843" max="3844" width="9.81640625" style="29" customWidth="1"/>
    <col min="3845" max="3845" width="11.1796875" style="29" customWidth="1"/>
    <col min="3846" max="3846" width="2.81640625" style="29" customWidth="1"/>
    <col min="3847" max="3847" width="3.54296875" style="29" customWidth="1"/>
    <col min="3848" max="4092" width="9.1796875" style="29"/>
    <col min="4093" max="4093" width="8.7265625" style="29" customWidth="1"/>
    <col min="4094" max="4094" width="9.81640625" style="29" customWidth="1"/>
    <col min="4095" max="4095" width="14.453125" style="29" customWidth="1"/>
    <col min="4096" max="4096" width="7.26953125" style="29" customWidth="1"/>
    <col min="4097" max="4097" width="5.54296875" style="29" customWidth="1"/>
    <col min="4098" max="4098" width="9" style="29" customWidth="1"/>
    <col min="4099" max="4100" width="9.81640625" style="29" customWidth="1"/>
    <col min="4101" max="4101" width="11.1796875" style="29" customWidth="1"/>
    <col min="4102" max="4102" width="2.81640625" style="29" customWidth="1"/>
    <col min="4103" max="4103" width="3.54296875" style="29" customWidth="1"/>
    <col min="4104" max="4348" width="9.1796875" style="29"/>
    <col min="4349" max="4349" width="8.7265625" style="29" customWidth="1"/>
    <col min="4350" max="4350" width="9.81640625" style="29" customWidth="1"/>
    <col min="4351" max="4351" width="14.453125" style="29" customWidth="1"/>
    <col min="4352" max="4352" width="7.26953125" style="29" customWidth="1"/>
    <col min="4353" max="4353" width="5.54296875" style="29" customWidth="1"/>
    <col min="4354" max="4354" width="9" style="29" customWidth="1"/>
    <col min="4355" max="4356" width="9.81640625" style="29" customWidth="1"/>
    <col min="4357" max="4357" width="11.1796875" style="29" customWidth="1"/>
    <col min="4358" max="4358" width="2.81640625" style="29" customWidth="1"/>
    <col min="4359" max="4359" width="3.54296875" style="29" customWidth="1"/>
    <col min="4360" max="4604" width="9.1796875" style="29"/>
    <col min="4605" max="4605" width="8.7265625" style="29" customWidth="1"/>
    <col min="4606" max="4606" width="9.81640625" style="29" customWidth="1"/>
    <col min="4607" max="4607" width="14.453125" style="29" customWidth="1"/>
    <col min="4608" max="4608" width="7.26953125" style="29" customWidth="1"/>
    <col min="4609" max="4609" width="5.54296875" style="29" customWidth="1"/>
    <col min="4610" max="4610" width="9" style="29" customWidth="1"/>
    <col min="4611" max="4612" width="9.81640625" style="29" customWidth="1"/>
    <col min="4613" max="4613" width="11.1796875" style="29" customWidth="1"/>
    <col min="4614" max="4614" width="2.81640625" style="29" customWidth="1"/>
    <col min="4615" max="4615" width="3.54296875" style="29" customWidth="1"/>
    <col min="4616" max="4860" width="9.1796875" style="29"/>
    <col min="4861" max="4861" width="8.7265625" style="29" customWidth="1"/>
    <col min="4862" max="4862" width="9.81640625" style="29" customWidth="1"/>
    <col min="4863" max="4863" width="14.453125" style="29" customWidth="1"/>
    <col min="4864" max="4864" width="7.26953125" style="29" customWidth="1"/>
    <col min="4865" max="4865" width="5.54296875" style="29" customWidth="1"/>
    <col min="4866" max="4866" width="9" style="29" customWidth="1"/>
    <col min="4867" max="4868" width="9.81640625" style="29" customWidth="1"/>
    <col min="4869" max="4869" width="11.1796875" style="29" customWidth="1"/>
    <col min="4870" max="4870" width="2.81640625" style="29" customWidth="1"/>
    <col min="4871" max="4871" width="3.54296875" style="29" customWidth="1"/>
    <col min="4872" max="5116" width="9.1796875" style="29"/>
    <col min="5117" max="5117" width="8.7265625" style="29" customWidth="1"/>
    <col min="5118" max="5118" width="9.81640625" style="29" customWidth="1"/>
    <col min="5119" max="5119" width="14.453125" style="29" customWidth="1"/>
    <col min="5120" max="5120" width="7.26953125" style="29" customWidth="1"/>
    <col min="5121" max="5121" width="5.54296875" style="29" customWidth="1"/>
    <col min="5122" max="5122" width="9" style="29" customWidth="1"/>
    <col min="5123" max="5124" width="9.81640625" style="29" customWidth="1"/>
    <col min="5125" max="5125" width="11.1796875" style="29" customWidth="1"/>
    <col min="5126" max="5126" width="2.81640625" style="29" customWidth="1"/>
    <col min="5127" max="5127" width="3.54296875" style="29" customWidth="1"/>
    <col min="5128" max="5372" width="9.1796875" style="29"/>
    <col min="5373" max="5373" width="8.7265625" style="29" customWidth="1"/>
    <col min="5374" max="5374" width="9.81640625" style="29" customWidth="1"/>
    <col min="5375" max="5375" width="14.453125" style="29" customWidth="1"/>
    <col min="5376" max="5376" width="7.26953125" style="29" customWidth="1"/>
    <col min="5377" max="5377" width="5.54296875" style="29" customWidth="1"/>
    <col min="5378" max="5378" width="9" style="29" customWidth="1"/>
    <col min="5379" max="5380" width="9.81640625" style="29" customWidth="1"/>
    <col min="5381" max="5381" width="11.1796875" style="29" customWidth="1"/>
    <col min="5382" max="5382" width="2.81640625" style="29" customWidth="1"/>
    <col min="5383" max="5383" width="3.54296875" style="29" customWidth="1"/>
    <col min="5384" max="5628" width="9.1796875" style="29"/>
    <col min="5629" max="5629" width="8.7265625" style="29" customWidth="1"/>
    <col min="5630" max="5630" width="9.81640625" style="29" customWidth="1"/>
    <col min="5631" max="5631" width="14.453125" style="29" customWidth="1"/>
    <col min="5632" max="5632" width="7.26953125" style="29" customWidth="1"/>
    <col min="5633" max="5633" width="5.54296875" style="29" customWidth="1"/>
    <col min="5634" max="5634" width="9" style="29" customWidth="1"/>
    <col min="5635" max="5636" width="9.81640625" style="29" customWidth="1"/>
    <col min="5637" max="5637" width="11.1796875" style="29" customWidth="1"/>
    <col min="5638" max="5638" width="2.81640625" style="29" customWidth="1"/>
    <col min="5639" max="5639" width="3.54296875" style="29" customWidth="1"/>
    <col min="5640" max="5884" width="9.1796875" style="29"/>
    <col min="5885" max="5885" width="8.7265625" style="29" customWidth="1"/>
    <col min="5886" max="5886" width="9.81640625" style="29" customWidth="1"/>
    <col min="5887" max="5887" width="14.453125" style="29" customWidth="1"/>
    <col min="5888" max="5888" width="7.26953125" style="29" customWidth="1"/>
    <col min="5889" max="5889" width="5.54296875" style="29" customWidth="1"/>
    <col min="5890" max="5890" width="9" style="29" customWidth="1"/>
    <col min="5891" max="5892" width="9.81640625" style="29" customWidth="1"/>
    <col min="5893" max="5893" width="11.1796875" style="29" customWidth="1"/>
    <col min="5894" max="5894" width="2.81640625" style="29" customWidth="1"/>
    <col min="5895" max="5895" width="3.54296875" style="29" customWidth="1"/>
    <col min="5896" max="6140" width="9.1796875" style="29"/>
    <col min="6141" max="6141" width="8.7265625" style="29" customWidth="1"/>
    <col min="6142" max="6142" width="9.81640625" style="29" customWidth="1"/>
    <col min="6143" max="6143" width="14.453125" style="29" customWidth="1"/>
    <col min="6144" max="6144" width="7.26953125" style="29" customWidth="1"/>
    <col min="6145" max="6145" width="5.54296875" style="29" customWidth="1"/>
    <col min="6146" max="6146" width="9" style="29" customWidth="1"/>
    <col min="6147" max="6148" width="9.81640625" style="29" customWidth="1"/>
    <col min="6149" max="6149" width="11.1796875" style="29" customWidth="1"/>
    <col min="6150" max="6150" width="2.81640625" style="29" customWidth="1"/>
    <col min="6151" max="6151" width="3.54296875" style="29" customWidth="1"/>
    <col min="6152" max="6396" width="9.1796875" style="29"/>
    <col min="6397" max="6397" width="8.7265625" style="29" customWidth="1"/>
    <col min="6398" max="6398" width="9.81640625" style="29" customWidth="1"/>
    <col min="6399" max="6399" width="14.453125" style="29" customWidth="1"/>
    <col min="6400" max="6400" width="7.26953125" style="29" customWidth="1"/>
    <col min="6401" max="6401" width="5.54296875" style="29" customWidth="1"/>
    <col min="6402" max="6402" width="9" style="29" customWidth="1"/>
    <col min="6403" max="6404" width="9.81640625" style="29" customWidth="1"/>
    <col min="6405" max="6405" width="11.1796875" style="29" customWidth="1"/>
    <col min="6406" max="6406" width="2.81640625" style="29" customWidth="1"/>
    <col min="6407" max="6407" width="3.54296875" style="29" customWidth="1"/>
    <col min="6408" max="6652" width="9.1796875" style="29"/>
    <col min="6653" max="6653" width="8.7265625" style="29" customWidth="1"/>
    <col min="6654" max="6654" width="9.81640625" style="29" customWidth="1"/>
    <col min="6655" max="6655" width="14.453125" style="29" customWidth="1"/>
    <col min="6656" max="6656" width="7.26953125" style="29" customWidth="1"/>
    <col min="6657" max="6657" width="5.54296875" style="29" customWidth="1"/>
    <col min="6658" max="6658" width="9" style="29" customWidth="1"/>
    <col min="6659" max="6660" width="9.81640625" style="29" customWidth="1"/>
    <col min="6661" max="6661" width="11.1796875" style="29" customWidth="1"/>
    <col min="6662" max="6662" width="2.81640625" style="29" customWidth="1"/>
    <col min="6663" max="6663" width="3.54296875" style="29" customWidth="1"/>
    <col min="6664" max="6908" width="9.1796875" style="29"/>
    <col min="6909" max="6909" width="8.7265625" style="29" customWidth="1"/>
    <col min="6910" max="6910" width="9.81640625" style="29" customWidth="1"/>
    <col min="6911" max="6911" width="14.453125" style="29" customWidth="1"/>
    <col min="6912" max="6912" width="7.26953125" style="29" customWidth="1"/>
    <col min="6913" max="6913" width="5.54296875" style="29" customWidth="1"/>
    <col min="6914" max="6914" width="9" style="29" customWidth="1"/>
    <col min="6915" max="6916" width="9.81640625" style="29" customWidth="1"/>
    <col min="6917" max="6917" width="11.1796875" style="29" customWidth="1"/>
    <col min="6918" max="6918" width="2.81640625" style="29" customWidth="1"/>
    <col min="6919" max="6919" width="3.54296875" style="29" customWidth="1"/>
    <col min="6920" max="7164" width="9.1796875" style="29"/>
    <col min="7165" max="7165" width="8.7265625" style="29" customWidth="1"/>
    <col min="7166" max="7166" width="9.81640625" style="29" customWidth="1"/>
    <col min="7167" max="7167" width="14.453125" style="29" customWidth="1"/>
    <col min="7168" max="7168" width="7.26953125" style="29" customWidth="1"/>
    <col min="7169" max="7169" width="5.54296875" style="29" customWidth="1"/>
    <col min="7170" max="7170" width="9" style="29" customWidth="1"/>
    <col min="7171" max="7172" width="9.81640625" style="29" customWidth="1"/>
    <col min="7173" max="7173" width="11.1796875" style="29" customWidth="1"/>
    <col min="7174" max="7174" width="2.81640625" style="29" customWidth="1"/>
    <col min="7175" max="7175" width="3.54296875" style="29" customWidth="1"/>
    <col min="7176" max="7420" width="9.1796875" style="29"/>
    <col min="7421" max="7421" width="8.7265625" style="29" customWidth="1"/>
    <col min="7422" max="7422" width="9.81640625" style="29" customWidth="1"/>
    <col min="7423" max="7423" width="14.453125" style="29" customWidth="1"/>
    <col min="7424" max="7424" width="7.26953125" style="29" customWidth="1"/>
    <col min="7425" max="7425" width="5.54296875" style="29" customWidth="1"/>
    <col min="7426" max="7426" width="9" style="29" customWidth="1"/>
    <col min="7427" max="7428" width="9.81640625" style="29" customWidth="1"/>
    <col min="7429" max="7429" width="11.1796875" style="29" customWidth="1"/>
    <col min="7430" max="7430" width="2.81640625" style="29" customWidth="1"/>
    <col min="7431" max="7431" width="3.54296875" style="29" customWidth="1"/>
    <col min="7432" max="7676" width="9.1796875" style="29"/>
    <col min="7677" max="7677" width="8.7265625" style="29" customWidth="1"/>
    <col min="7678" max="7678" width="9.81640625" style="29" customWidth="1"/>
    <col min="7679" max="7679" width="14.453125" style="29" customWidth="1"/>
    <col min="7680" max="7680" width="7.26953125" style="29" customWidth="1"/>
    <col min="7681" max="7681" width="5.54296875" style="29" customWidth="1"/>
    <col min="7682" max="7682" width="9" style="29" customWidth="1"/>
    <col min="7683" max="7684" width="9.81640625" style="29" customWidth="1"/>
    <col min="7685" max="7685" width="11.1796875" style="29" customWidth="1"/>
    <col min="7686" max="7686" width="2.81640625" style="29" customWidth="1"/>
    <col min="7687" max="7687" width="3.54296875" style="29" customWidth="1"/>
    <col min="7688" max="7932" width="9.1796875" style="29"/>
    <col min="7933" max="7933" width="8.7265625" style="29" customWidth="1"/>
    <col min="7934" max="7934" width="9.81640625" style="29" customWidth="1"/>
    <col min="7935" max="7935" width="14.453125" style="29" customWidth="1"/>
    <col min="7936" max="7936" width="7.26953125" style="29" customWidth="1"/>
    <col min="7937" max="7937" width="5.54296875" style="29" customWidth="1"/>
    <col min="7938" max="7938" width="9" style="29" customWidth="1"/>
    <col min="7939" max="7940" width="9.81640625" style="29" customWidth="1"/>
    <col min="7941" max="7941" width="11.1796875" style="29" customWidth="1"/>
    <col min="7942" max="7942" width="2.81640625" style="29" customWidth="1"/>
    <col min="7943" max="7943" width="3.54296875" style="29" customWidth="1"/>
    <col min="7944" max="8188" width="9.1796875" style="29"/>
    <col min="8189" max="8189" width="8.7265625" style="29" customWidth="1"/>
    <col min="8190" max="8190" width="9.81640625" style="29" customWidth="1"/>
    <col min="8191" max="8191" width="14.453125" style="29" customWidth="1"/>
    <col min="8192" max="8192" width="7.26953125" style="29" customWidth="1"/>
    <col min="8193" max="8193" width="5.54296875" style="29" customWidth="1"/>
    <col min="8194" max="8194" width="9" style="29" customWidth="1"/>
    <col min="8195" max="8196" width="9.81640625" style="29" customWidth="1"/>
    <col min="8197" max="8197" width="11.1796875" style="29" customWidth="1"/>
    <col min="8198" max="8198" width="2.81640625" style="29" customWidth="1"/>
    <col min="8199" max="8199" width="3.54296875" style="29" customWidth="1"/>
    <col min="8200" max="8444" width="9.1796875" style="29"/>
    <col min="8445" max="8445" width="8.7265625" style="29" customWidth="1"/>
    <col min="8446" max="8446" width="9.81640625" style="29" customWidth="1"/>
    <col min="8447" max="8447" width="14.453125" style="29" customWidth="1"/>
    <col min="8448" max="8448" width="7.26953125" style="29" customWidth="1"/>
    <col min="8449" max="8449" width="5.54296875" style="29" customWidth="1"/>
    <col min="8450" max="8450" width="9" style="29" customWidth="1"/>
    <col min="8451" max="8452" width="9.81640625" style="29" customWidth="1"/>
    <col min="8453" max="8453" width="11.1796875" style="29" customWidth="1"/>
    <col min="8454" max="8454" width="2.81640625" style="29" customWidth="1"/>
    <col min="8455" max="8455" width="3.54296875" style="29" customWidth="1"/>
    <col min="8456" max="8700" width="9.1796875" style="29"/>
    <col min="8701" max="8701" width="8.7265625" style="29" customWidth="1"/>
    <col min="8702" max="8702" width="9.81640625" style="29" customWidth="1"/>
    <col min="8703" max="8703" width="14.453125" style="29" customWidth="1"/>
    <col min="8704" max="8704" width="7.26953125" style="29" customWidth="1"/>
    <col min="8705" max="8705" width="5.54296875" style="29" customWidth="1"/>
    <col min="8706" max="8706" width="9" style="29" customWidth="1"/>
    <col min="8707" max="8708" width="9.81640625" style="29" customWidth="1"/>
    <col min="8709" max="8709" width="11.1796875" style="29" customWidth="1"/>
    <col min="8710" max="8710" width="2.81640625" style="29" customWidth="1"/>
    <col min="8711" max="8711" width="3.54296875" style="29" customWidth="1"/>
    <col min="8712" max="8956" width="9.1796875" style="29"/>
    <col min="8957" max="8957" width="8.7265625" style="29" customWidth="1"/>
    <col min="8958" max="8958" width="9.81640625" style="29" customWidth="1"/>
    <col min="8959" max="8959" width="14.453125" style="29" customWidth="1"/>
    <col min="8960" max="8960" width="7.26953125" style="29" customWidth="1"/>
    <col min="8961" max="8961" width="5.54296875" style="29" customWidth="1"/>
    <col min="8962" max="8962" width="9" style="29" customWidth="1"/>
    <col min="8963" max="8964" width="9.81640625" style="29" customWidth="1"/>
    <col min="8965" max="8965" width="11.1796875" style="29" customWidth="1"/>
    <col min="8966" max="8966" width="2.81640625" style="29" customWidth="1"/>
    <col min="8967" max="8967" width="3.54296875" style="29" customWidth="1"/>
    <col min="8968" max="9212" width="9.1796875" style="29"/>
    <col min="9213" max="9213" width="8.7265625" style="29" customWidth="1"/>
    <col min="9214" max="9214" width="9.81640625" style="29" customWidth="1"/>
    <col min="9215" max="9215" width="14.453125" style="29" customWidth="1"/>
    <col min="9216" max="9216" width="7.26953125" style="29" customWidth="1"/>
    <col min="9217" max="9217" width="5.54296875" style="29" customWidth="1"/>
    <col min="9218" max="9218" width="9" style="29" customWidth="1"/>
    <col min="9219" max="9220" width="9.81640625" style="29" customWidth="1"/>
    <col min="9221" max="9221" width="11.1796875" style="29" customWidth="1"/>
    <col min="9222" max="9222" width="2.81640625" style="29" customWidth="1"/>
    <col min="9223" max="9223" width="3.54296875" style="29" customWidth="1"/>
    <col min="9224" max="9468" width="9.1796875" style="29"/>
    <col min="9469" max="9469" width="8.7265625" style="29" customWidth="1"/>
    <col min="9470" max="9470" width="9.81640625" style="29" customWidth="1"/>
    <col min="9471" max="9471" width="14.453125" style="29" customWidth="1"/>
    <col min="9472" max="9472" width="7.26953125" style="29" customWidth="1"/>
    <col min="9473" max="9473" width="5.54296875" style="29" customWidth="1"/>
    <col min="9474" max="9474" width="9" style="29" customWidth="1"/>
    <col min="9475" max="9476" width="9.81640625" style="29" customWidth="1"/>
    <col min="9477" max="9477" width="11.1796875" style="29" customWidth="1"/>
    <col min="9478" max="9478" width="2.81640625" style="29" customWidth="1"/>
    <col min="9479" max="9479" width="3.54296875" style="29" customWidth="1"/>
    <col min="9480" max="9724" width="9.1796875" style="29"/>
    <col min="9725" max="9725" width="8.7265625" style="29" customWidth="1"/>
    <col min="9726" max="9726" width="9.81640625" style="29" customWidth="1"/>
    <col min="9727" max="9727" width="14.453125" style="29" customWidth="1"/>
    <col min="9728" max="9728" width="7.26953125" style="29" customWidth="1"/>
    <col min="9729" max="9729" width="5.54296875" style="29" customWidth="1"/>
    <col min="9730" max="9730" width="9" style="29" customWidth="1"/>
    <col min="9731" max="9732" width="9.81640625" style="29" customWidth="1"/>
    <col min="9733" max="9733" width="11.1796875" style="29" customWidth="1"/>
    <col min="9734" max="9734" width="2.81640625" style="29" customWidth="1"/>
    <col min="9735" max="9735" width="3.54296875" style="29" customWidth="1"/>
    <col min="9736" max="9980" width="9.1796875" style="29"/>
    <col min="9981" max="9981" width="8.7265625" style="29" customWidth="1"/>
    <col min="9982" max="9982" width="9.81640625" style="29" customWidth="1"/>
    <col min="9983" max="9983" width="14.453125" style="29" customWidth="1"/>
    <col min="9984" max="9984" width="7.26953125" style="29" customWidth="1"/>
    <col min="9985" max="9985" width="5.54296875" style="29" customWidth="1"/>
    <col min="9986" max="9986" width="9" style="29" customWidth="1"/>
    <col min="9987" max="9988" width="9.81640625" style="29" customWidth="1"/>
    <col min="9989" max="9989" width="11.1796875" style="29" customWidth="1"/>
    <col min="9990" max="9990" width="2.81640625" style="29" customWidth="1"/>
    <col min="9991" max="9991" width="3.54296875" style="29" customWidth="1"/>
    <col min="9992" max="10236" width="9.1796875" style="29"/>
    <col min="10237" max="10237" width="8.7265625" style="29" customWidth="1"/>
    <col min="10238" max="10238" width="9.81640625" style="29" customWidth="1"/>
    <col min="10239" max="10239" width="14.453125" style="29" customWidth="1"/>
    <col min="10240" max="10240" width="7.26953125" style="29" customWidth="1"/>
    <col min="10241" max="10241" width="5.54296875" style="29" customWidth="1"/>
    <col min="10242" max="10242" width="9" style="29" customWidth="1"/>
    <col min="10243" max="10244" width="9.81640625" style="29" customWidth="1"/>
    <col min="10245" max="10245" width="11.1796875" style="29" customWidth="1"/>
    <col min="10246" max="10246" width="2.81640625" style="29" customWidth="1"/>
    <col min="10247" max="10247" width="3.54296875" style="29" customWidth="1"/>
    <col min="10248" max="10492" width="9.1796875" style="29"/>
    <col min="10493" max="10493" width="8.7265625" style="29" customWidth="1"/>
    <col min="10494" max="10494" width="9.81640625" style="29" customWidth="1"/>
    <col min="10495" max="10495" width="14.453125" style="29" customWidth="1"/>
    <col min="10496" max="10496" width="7.26953125" style="29" customWidth="1"/>
    <col min="10497" max="10497" width="5.54296875" style="29" customWidth="1"/>
    <col min="10498" max="10498" width="9" style="29" customWidth="1"/>
    <col min="10499" max="10500" width="9.81640625" style="29" customWidth="1"/>
    <col min="10501" max="10501" width="11.1796875" style="29" customWidth="1"/>
    <col min="10502" max="10502" width="2.81640625" style="29" customWidth="1"/>
    <col min="10503" max="10503" width="3.54296875" style="29" customWidth="1"/>
    <col min="10504" max="10748" width="9.1796875" style="29"/>
    <col min="10749" max="10749" width="8.7265625" style="29" customWidth="1"/>
    <col min="10750" max="10750" width="9.81640625" style="29" customWidth="1"/>
    <col min="10751" max="10751" width="14.453125" style="29" customWidth="1"/>
    <col min="10752" max="10752" width="7.26953125" style="29" customWidth="1"/>
    <col min="10753" max="10753" width="5.54296875" style="29" customWidth="1"/>
    <col min="10754" max="10754" width="9" style="29" customWidth="1"/>
    <col min="10755" max="10756" width="9.81640625" style="29" customWidth="1"/>
    <col min="10757" max="10757" width="11.1796875" style="29" customWidth="1"/>
    <col min="10758" max="10758" width="2.81640625" style="29" customWidth="1"/>
    <col min="10759" max="10759" width="3.54296875" style="29" customWidth="1"/>
    <col min="10760" max="11004" width="9.1796875" style="29"/>
    <col min="11005" max="11005" width="8.7265625" style="29" customWidth="1"/>
    <col min="11006" max="11006" width="9.81640625" style="29" customWidth="1"/>
    <col min="11007" max="11007" width="14.453125" style="29" customWidth="1"/>
    <col min="11008" max="11008" width="7.26953125" style="29" customWidth="1"/>
    <col min="11009" max="11009" width="5.54296875" style="29" customWidth="1"/>
    <col min="11010" max="11010" width="9" style="29" customWidth="1"/>
    <col min="11011" max="11012" width="9.81640625" style="29" customWidth="1"/>
    <col min="11013" max="11013" width="11.1796875" style="29" customWidth="1"/>
    <col min="11014" max="11014" width="2.81640625" style="29" customWidth="1"/>
    <col min="11015" max="11015" width="3.54296875" style="29" customWidth="1"/>
    <col min="11016" max="11260" width="9.1796875" style="29"/>
    <col min="11261" max="11261" width="8.7265625" style="29" customWidth="1"/>
    <col min="11262" max="11262" width="9.81640625" style="29" customWidth="1"/>
    <col min="11263" max="11263" width="14.453125" style="29" customWidth="1"/>
    <col min="11264" max="11264" width="7.26953125" style="29" customWidth="1"/>
    <col min="11265" max="11265" width="5.54296875" style="29" customWidth="1"/>
    <col min="11266" max="11266" width="9" style="29" customWidth="1"/>
    <col min="11267" max="11268" width="9.81640625" style="29" customWidth="1"/>
    <col min="11269" max="11269" width="11.1796875" style="29" customWidth="1"/>
    <col min="11270" max="11270" width="2.81640625" style="29" customWidth="1"/>
    <col min="11271" max="11271" width="3.54296875" style="29" customWidth="1"/>
    <col min="11272" max="11516" width="9.1796875" style="29"/>
    <col min="11517" max="11517" width="8.7265625" style="29" customWidth="1"/>
    <col min="11518" max="11518" width="9.81640625" style="29" customWidth="1"/>
    <col min="11519" max="11519" width="14.453125" style="29" customWidth="1"/>
    <col min="11520" max="11520" width="7.26953125" style="29" customWidth="1"/>
    <col min="11521" max="11521" width="5.54296875" style="29" customWidth="1"/>
    <col min="11522" max="11522" width="9" style="29" customWidth="1"/>
    <col min="11523" max="11524" width="9.81640625" style="29" customWidth="1"/>
    <col min="11525" max="11525" width="11.1796875" style="29" customWidth="1"/>
    <col min="11526" max="11526" width="2.81640625" style="29" customWidth="1"/>
    <col min="11527" max="11527" width="3.54296875" style="29" customWidth="1"/>
    <col min="11528" max="11772" width="9.1796875" style="29"/>
    <col min="11773" max="11773" width="8.7265625" style="29" customWidth="1"/>
    <col min="11774" max="11774" width="9.81640625" style="29" customWidth="1"/>
    <col min="11775" max="11775" width="14.453125" style="29" customWidth="1"/>
    <col min="11776" max="11776" width="7.26953125" style="29" customWidth="1"/>
    <col min="11777" max="11777" width="5.54296875" style="29" customWidth="1"/>
    <col min="11778" max="11778" width="9" style="29" customWidth="1"/>
    <col min="11779" max="11780" width="9.81640625" style="29" customWidth="1"/>
    <col min="11781" max="11781" width="11.1796875" style="29" customWidth="1"/>
    <col min="11782" max="11782" width="2.81640625" style="29" customWidth="1"/>
    <col min="11783" max="11783" width="3.54296875" style="29" customWidth="1"/>
    <col min="11784" max="12028" width="9.1796875" style="29"/>
    <col min="12029" max="12029" width="8.7265625" style="29" customWidth="1"/>
    <col min="12030" max="12030" width="9.81640625" style="29" customWidth="1"/>
    <col min="12031" max="12031" width="14.453125" style="29" customWidth="1"/>
    <col min="12032" max="12032" width="7.26953125" style="29" customWidth="1"/>
    <col min="12033" max="12033" width="5.54296875" style="29" customWidth="1"/>
    <col min="12034" max="12034" width="9" style="29" customWidth="1"/>
    <col min="12035" max="12036" width="9.81640625" style="29" customWidth="1"/>
    <col min="12037" max="12037" width="11.1796875" style="29" customWidth="1"/>
    <col min="12038" max="12038" width="2.81640625" style="29" customWidth="1"/>
    <col min="12039" max="12039" width="3.54296875" style="29" customWidth="1"/>
    <col min="12040" max="12284" width="9.1796875" style="29"/>
    <col min="12285" max="12285" width="8.7265625" style="29" customWidth="1"/>
    <col min="12286" max="12286" width="9.81640625" style="29" customWidth="1"/>
    <col min="12287" max="12287" width="14.453125" style="29" customWidth="1"/>
    <col min="12288" max="12288" width="7.26953125" style="29" customWidth="1"/>
    <col min="12289" max="12289" width="5.54296875" style="29" customWidth="1"/>
    <col min="12290" max="12290" width="9" style="29" customWidth="1"/>
    <col min="12291" max="12292" width="9.81640625" style="29" customWidth="1"/>
    <col min="12293" max="12293" width="11.1796875" style="29" customWidth="1"/>
    <col min="12294" max="12294" width="2.81640625" style="29" customWidth="1"/>
    <col min="12295" max="12295" width="3.54296875" style="29" customWidth="1"/>
    <col min="12296" max="12540" width="9.1796875" style="29"/>
    <col min="12541" max="12541" width="8.7265625" style="29" customWidth="1"/>
    <col min="12542" max="12542" width="9.81640625" style="29" customWidth="1"/>
    <col min="12543" max="12543" width="14.453125" style="29" customWidth="1"/>
    <col min="12544" max="12544" width="7.26953125" style="29" customWidth="1"/>
    <col min="12545" max="12545" width="5.54296875" style="29" customWidth="1"/>
    <col min="12546" max="12546" width="9" style="29" customWidth="1"/>
    <col min="12547" max="12548" width="9.81640625" style="29" customWidth="1"/>
    <col min="12549" max="12549" width="11.1796875" style="29" customWidth="1"/>
    <col min="12550" max="12550" width="2.81640625" style="29" customWidth="1"/>
    <col min="12551" max="12551" width="3.54296875" style="29" customWidth="1"/>
    <col min="12552" max="12796" width="9.1796875" style="29"/>
    <col min="12797" max="12797" width="8.7265625" style="29" customWidth="1"/>
    <col min="12798" max="12798" width="9.81640625" style="29" customWidth="1"/>
    <col min="12799" max="12799" width="14.453125" style="29" customWidth="1"/>
    <col min="12800" max="12800" width="7.26953125" style="29" customWidth="1"/>
    <col min="12801" max="12801" width="5.54296875" style="29" customWidth="1"/>
    <col min="12802" max="12802" width="9" style="29" customWidth="1"/>
    <col min="12803" max="12804" width="9.81640625" style="29" customWidth="1"/>
    <col min="12805" max="12805" width="11.1796875" style="29" customWidth="1"/>
    <col min="12806" max="12806" width="2.81640625" style="29" customWidth="1"/>
    <col min="12807" max="12807" width="3.54296875" style="29" customWidth="1"/>
    <col min="12808" max="13052" width="9.1796875" style="29"/>
    <col min="13053" max="13053" width="8.7265625" style="29" customWidth="1"/>
    <col min="13054" max="13054" width="9.81640625" style="29" customWidth="1"/>
    <col min="13055" max="13055" width="14.453125" style="29" customWidth="1"/>
    <col min="13056" max="13056" width="7.26953125" style="29" customWidth="1"/>
    <col min="13057" max="13057" width="5.54296875" style="29" customWidth="1"/>
    <col min="13058" max="13058" width="9" style="29" customWidth="1"/>
    <col min="13059" max="13060" width="9.81640625" style="29" customWidth="1"/>
    <col min="13061" max="13061" width="11.1796875" style="29" customWidth="1"/>
    <col min="13062" max="13062" width="2.81640625" style="29" customWidth="1"/>
    <col min="13063" max="13063" width="3.54296875" style="29" customWidth="1"/>
    <col min="13064" max="13308" width="9.1796875" style="29"/>
    <col min="13309" max="13309" width="8.7265625" style="29" customWidth="1"/>
    <col min="13310" max="13310" width="9.81640625" style="29" customWidth="1"/>
    <col min="13311" max="13311" width="14.453125" style="29" customWidth="1"/>
    <col min="13312" max="13312" width="7.26953125" style="29" customWidth="1"/>
    <col min="13313" max="13313" width="5.54296875" style="29" customWidth="1"/>
    <col min="13314" max="13314" width="9" style="29" customWidth="1"/>
    <col min="13315" max="13316" width="9.81640625" style="29" customWidth="1"/>
    <col min="13317" max="13317" width="11.1796875" style="29" customWidth="1"/>
    <col min="13318" max="13318" width="2.81640625" style="29" customWidth="1"/>
    <col min="13319" max="13319" width="3.54296875" style="29" customWidth="1"/>
    <col min="13320" max="13564" width="9.1796875" style="29"/>
    <col min="13565" max="13565" width="8.7265625" style="29" customWidth="1"/>
    <col min="13566" max="13566" width="9.81640625" style="29" customWidth="1"/>
    <col min="13567" max="13567" width="14.453125" style="29" customWidth="1"/>
    <col min="13568" max="13568" width="7.26953125" style="29" customWidth="1"/>
    <col min="13569" max="13569" width="5.54296875" style="29" customWidth="1"/>
    <col min="13570" max="13570" width="9" style="29" customWidth="1"/>
    <col min="13571" max="13572" width="9.81640625" style="29" customWidth="1"/>
    <col min="13573" max="13573" width="11.1796875" style="29" customWidth="1"/>
    <col min="13574" max="13574" width="2.81640625" style="29" customWidth="1"/>
    <col min="13575" max="13575" width="3.54296875" style="29" customWidth="1"/>
    <col min="13576" max="13820" width="9.1796875" style="29"/>
    <col min="13821" max="13821" width="8.7265625" style="29" customWidth="1"/>
    <col min="13822" max="13822" width="9.81640625" style="29" customWidth="1"/>
    <col min="13823" max="13823" width="14.453125" style="29" customWidth="1"/>
    <col min="13824" max="13824" width="7.26953125" style="29" customWidth="1"/>
    <col min="13825" max="13825" width="5.54296875" style="29" customWidth="1"/>
    <col min="13826" max="13826" width="9" style="29" customWidth="1"/>
    <col min="13827" max="13828" width="9.81640625" style="29" customWidth="1"/>
    <col min="13829" max="13829" width="11.1796875" style="29" customWidth="1"/>
    <col min="13830" max="13830" width="2.81640625" style="29" customWidth="1"/>
    <col min="13831" max="13831" width="3.54296875" style="29" customWidth="1"/>
    <col min="13832" max="14076" width="9.1796875" style="29"/>
    <col min="14077" max="14077" width="8.7265625" style="29" customWidth="1"/>
    <col min="14078" max="14078" width="9.81640625" style="29" customWidth="1"/>
    <col min="14079" max="14079" width="14.453125" style="29" customWidth="1"/>
    <col min="14080" max="14080" width="7.26953125" style="29" customWidth="1"/>
    <col min="14081" max="14081" width="5.54296875" style="29" customWidth="1"/>
    <col min="14082" max="14082" width="9" style="29" customWidth="1"/>
    <col min="14083" max="14084" width="9.81640625" style="29" customWidth="1"/>
    <col min="14085" max="14085" width="11.1796875" style="29" customWidth="1"/>
    <col min="14086" max="14086" width="2.81640625" style="29" customWidth="1"/>
    <col min="14087" max="14087" width="3.54296875" style="29" customWidth="1"/>
    <col min="14088" max="14332" width="9.1796875" style="29"/>
    <col min="14333" max="14333" width="8.7265625" style="29" customWidth="1"/>
    <col min="14334" max="14334" width="9.81640625" style="29" customWidth="1"/>
    <col min="14335" max="14335" width="14.453125" style="29" customWidth="1"/>
    <col min="14336" max="14336" width="7.26953125" style="29" customWidth="1"/>
    <col min="14337" max="14337" width="5.54296875" style="29" customWidth="1"/>
    <col min="14338" max="14338" width="9" style="29" customWidth="1"/>
    <col min="14339" max="14340" width="9.81640625" style="29" customWidth="1"/>
    <col min="14341" max="14341" width="11.1796875" style="29" customWidth="1"/>
    <col min="14342" max="14342" width="2.81640625" style="29" customWidth="1"/>
    <col min="14343" max="14343" width="3.54296875" style="29" customWidth="1"/>
    <col min="14344" max="14588" width="9.1796875" style="29"/>
    <col min="14589" max="14589" width="8.7265625" style="29" customWidth="1"/>
    <col min="14590" max="14590" width="9.81640625" style="29" customWidth="1"/>
    <col min="14591" max="14591" width="14.453125" style="29" customWidth="1"/>
    <col min="14592" max="14592" width="7.26953125" style="29" customWidth="1"/>
    <col min="14593" max="14593" width="5.54296875" style="29" customWidth="1"/>
    <col min="14594" max="14594" width="9" style="29" customWidth="1"/>
    <col min="14595" max="14596" width="9.81640625" style="29" customWidth="1"/>
    <col min="14597" max="14597" width="11.1796875" style="29" customWidth="1"/>
    <col min="14598" max="14598" width="2.81640625" style="29" customWidth="1"/>
    <col min="14599" max="14599" width="3.54296875" style="29" customWidth="1"/>
    <col min="14600" max="14844" width="9.1796875" style="29"/>
    <col min="14845" max="14845" width="8.7265625" style="29" customWidth="1"/>
    <col min="14846" max="14846" width="9.81640625" style="29" customWidth="1"/>
    <col min="14847" max="14847" width="14.453125" style="29" customWidth="1"/>
    <col min="14848" max="14848" width="7.26953125" style="29" customWidth="1"/>
    <col min="14849" max="14849" width="5.54296875" style="29" customWidth="1"/>
    <col min="14850" max="14850" width="9" style="29" customWidth="1"/>
    <col min="14851" max="14852" width="9.81640625" style="29" customWidth="1"/>
    <col min="14853" max="14853" width="11.1796875" style="29" customWidth="1"/>
    <col min="14854" max="14854" width="2.81640625" style="29" customWidth="1"/>
    <col min="14855" max="14855" width="3.54296875" style="29" customWidth="1"/>
    <col min="14856" max="15100" width="9.1796875" style="29"/>
    <col min="15101" max="15101" width="8.7265625" style="29" customWidth="1"/>
    <col min="15102" max="15102" width="9.81640625" style="29" customWidth="1"/>
    <col min="15103" max="15103" width="14.453125" style="29" customWidth="1"/>
    <col min="15104" max="15104" width="7.26953125" style="29" customWidth="1"/>
    <col min="15105" max="15105" width="5.54296875" style="29" customWidth="1"/>
    <col min="15106" max="15106" width="9" style="29" customWidth="1"/>
    <col min="15107" max="15108" width="9.81640625" style="29" customWidth="1"/>
    <col min="15109" max="15109" width="11.1796875" style="29" customWidth="1"/>
    <col min="15110" max="15110" width="2.81640625" style="29" customWidth="1"/>
    <col min="15111" max="15111" width="3.54296875" style="29" customWidth="1"/>
    <col min="15112" max="15356" width="9.1796875" style="29"/>
    <col min="15357" max="15357" width="8.7265625" style="29" customWidth="1"/>
    <col min="15358" max="15358" width="9.81640625" style="29" customWidth="1"/>
    <col min="15359" max="15359" width="14.453125" style="29" customWidth="1"/>
    <col min="15360" max="15360" width="7.26953125" style="29" customWidth="1"/>
    <col min="15361" max="15361" width="5.54296875" style="29" customWidth="1"/>
    <col min="15362" max="15362" width="9" style="29" customWidth="1"/>
    <col min="15363" max="15364" width="9.81640625" style="29" customWidth="1"/>
    <col min="15365" max="15365" width="11.1796875" style="29" customWidth="1"/>
    <col min="15366" max="15366" width="2.81640625" style="29" customWidth="1"/>
    <col min="15367" max="15367" width="3.54296875" style="29" customWidth="1"/>
    <col min="15368" max="15612" width="9.1796875" style="29"/>
    <col min="15613" max="15613" width="8.7265625" style="29" customWidth="1"/>
    <col min="15614" max="15614" width="9.81640625" style="29" customWidth="1"/>
    <col min="15615" max="15615" width="14.453125" style="29" customWidth="1"/>
    <col min="15616" max="15616" width="7.26953125" style="29" customWidth="1"/>
    <col min="15617" max="15617" width="5.54296875" style="29" customWidth="1"/>
    <col min="15618" max="15618" width="9" style="29" customWidth="1"/>
    <col min="15619" max="15620" width="9.81640625" style="29" customWidth="1"/>
    <col min="15621" max="15621" width="11.1796875" style="29" customWidth="1"/>
    <col min="15622" max="15622" width="2.81640625" style="29" customWidth="1"/>
    <col min="15623" max="15623" width="3.54296875" style="29" customWidth="1"/>
    <col min="15624" max="15868" width="9.1796875" style="29"/>
    <col min="15869" max="15869" width="8.7265625" style="29" customWidth="1"/>
    <col min="15870" max="15870" width="9.81640625" style="29" customWidth="1"/>
    <col min="15871" max="15871" width="14.453125" style="29" customWidth="1"/>
    <col min="15872" max="15872" width="7.26953125" style="29" customWidth="1"/>
    <col min="15873" max="15873" width="5.54296875" style="29" customWidth="1"/>
    <col min="15874" max="15874" width="9" style="29" customWidth="1"/>
    <col min="15875" max="15876" width="9.81640625" style="29" customWidth="1"/>
    <col min="15877" max="15877" width="11.1796875" style="29" customWidth="1"/>
    <col min="15878" max="15878" width="2.81640625" style="29" customWidth="1"/>
    <col min="15879" max="15879" width="3.54296875" style="29" customWidth="1"/>
    <col min="15880" max="16124" width="9.1796875" style="29"/>
    <col min="16125" max="16125" width="8.7265625" style="29" customWidth="1"/>
    <col min="16126" max="16126" width="9.81640625" style="29" customWidth="1"/>
    <col min="16127" max="16127" width="14.453125" style="29" customWidth="1"/>
    <col min="16128" max="16128" width="7.26953125" style="29" customWidth="1"/>
    <col min="16129" max="16129" width="5.54296875" style="29" customWidth="1"/>
    <col min="16130" max="16130" width="9" style="29" customWidth="1"/>
    <col min="16131" max="16132" width="9.81640625" style="29" customWidth="1"/>
    <col min="16133" max="16133" width="11.1796875" style="29" customWidth="1"/>
    <col min="16134" max="16134" width="2.81640625" style="29" customWidth="1"/>
    <col min="16135" max="16135" width="3.54296875" style="29" customWidth="1"/>
    <col min="16136" max="16384" width="9.1796875" style="29"/>
  </cols>
  <sheetData>
    <row r="1" spans="1:8" ht="46.5" customHeight="1">
      <c r="A1" s="77" t="s">
        <v>261</v>
      </c>
      <c r="B1" s="77"/>
      <c r="C1" s="77"/>
      <c r="D1" s="77"/>
      <c r="E1" s="77"/>
      <c r="F1" s="77"/>
      <c r="G1" s="77"/>
      <c r="H1" s="77"/>
    </row>
    <row r="2" spans="1:8" ht="16.5" customHeight="1">
      <c r="A2" s="78" t="s">
        <v>0</v>
      </c>
      <c r="B2" s="78"/>
      <c r="C2" s="78"/>
      <c r="D2" s="78"/>
      <c r="E2" s="78"/>
      <c r="F2" s="78"/>
      <c r="G2" s="78"/>
      <c r="H2" s="78"/>
    </row>
    <row r="3" spans="1:8">
      <c r="A3" s="79" t="s">
        <v>1</v>
      </c>
      <c r="B3" s="79"/>
      <c r="C3" s="79"/>
      <c r="D3" s="79"/>
      <c r="E3" s="80" t="str">
        <f ca="1">TEXT(TODAY(),"DD/MM/YYYY")</f>
        <v>18/09/2025</v>
      </c>
      <c r="F3" s="80"/>
      <c r="G3" s="80"/>
      <c r="H3" s="80"/>
    </row>
    <row r="4" spans="1:8" ht="15" customHeight="1">
      <c r="A4" s="79" t="s">
        <v>2</v>
      </c>
      <c r="B4" s="79"/>
      <c r="C4" s="79"/>
      <c r="D4" s="79"/>
      <c r="E4" s="81" t="s">
        <v>3</v>
      </c>
      <c r="F4" s="81"/>
      <c r="G4" s="81"/>
      <c r="H4" s="81"/>
    </row>
    <row r="5" spans="1:8">
      <c r="A5" s="79" t="s">
        <v>4</v>
      </c>
      <c r="B5" s="79"/>
      <c r="C5" s="79"/>
      <c r="D5" s="79"/>
      <c r="E5" s="82">
        <v>45918</v>
      </c>
      <c r="F5" s="82"/>
      <c r="G5" s="82"/>
      <c r="H5" s="82"/>
    </row>
    <row r="6" spans="1:8" ht="16.5" customHeight="1">
      <c r="A6" s="79" t="s">
        <v>5</v>
      </c>
      <c r="B6" s="79"/>
      <c r="C6" s="79"/>
      <c r="D6" s="79"/>
      <c r="E6" s="83" t="s">
        <v>6</v>
      </c>
      <c r="F6" s="83"/>
      <c r="G6" s="83"/>
      <c r="H6" s="83"/>
    </row>
    <row r="7" spans="1:8" ht="15" customHeight="1">
      <c r="A7" s="79" t="s">
        <v>7</v>
      </c>
      <c r="B7" s="79"/>
      <c r="C7" s="79"/>
      <c r="D7" s="79"/>
      <c r="E7" s="83" t="str">
        <f>E6</f>
        <v xml:space="preserve">M/s. Swaraj Mega Structure Private Limited
</v>
      </c>
      <c r="F7" s="83"/>
      <c r="G7" s="83"/>
      <c r="H7" s="83"/>
    </row>
    <row r="8" spans="1:8">
      <c r="A8" s="79" t="s">
        <v>8</v>
      </c>
      <c r="B8" s="79"/>
      <c r="C8" s="79"/>
      <c r="D8" s="79"/>
      <c r="E8" s="84" t="s">
        <v>9</v>
      </c>
      <c r="F8" s="84"/>
      <c r="G8" s="84"/>
      <c r="H8" s="84"/>
    </row>
    <row r="9" spans="1:8">
      <c r="A9" s="79" t="s">
        <v>10</v>
      </c>
      <c r="B9" s="79"/>
      <c r="C9" s="79"/>
      <c r="D9" s="79"/>
      <c r="E9" s="79">
        <v>9594131144</v>
      </c>
      <c r="F9" s="79"/>
      <c r="G9" s="79"/>
      <c r="H9" s="79"/>
    </row>
    <row r="10" spans="1:8" ht="62.5" customHeight="1">
      <c r="A10" s="85" t="s">
        <v>11</v>
      </c>
      <c r="B10" s="85"/>
      <c r="C10" s="85"/>
      <c r="D10" s="85"/>
      <c r="E10" s="86" t="s">
        <v>12</v>
      </c>
      <c r="F10" s="85"/>
      <c r="G10" s="85"/>
      <c r="H10" s="85"/>
    </row>
    <row r="11" spans="1:8">
      <c r="A11" s="79" t="s">
        <v>13</v>
      </c>
      <c r="B11" s="79"/>
      <c r="C11" s="79"/>
      <c r="D11" s="79"/>
      <c r="E11" s="86" t="s">
        <v>14</v>
      </c>
      <c r="F11" s="86"/>
      <c r="G11" s="86"/>
      <c r="H11" s="86"/>
    </row>
    <row r="12" spans="1:8">
      <c r="A12" s="79" t="s">
        <v>15</v>
      </c>
      <c r="B12" s="79"/>
      <c r="C12" s="79"/>
      <c r="D12" s="79"/>
      <c r="E12" s="86" t="s">
        <v>16</v>
      </c>
      <c r="F12" s="85"/>
      <c r="G12" s="85"/>
      <c r="H12" s="85"/>
    </row>
    <row r="13" spans="1:8" ht="34.5" customHeight="1">
      <c r="A13" s="83" t="s">
        <v>17</v>
      </c>
      <c r="B13" s="83"/>
      <c r="C13" s="83" t="str">
        <f>CONCATENATE((IF(OR(E8="",E8="NA"),"",E8)),", ",(IF(OR(A14="",A14="NA"),"",A14)),".",(IF(OR(C14="",C14="NA"),"",C14)),", ",(IF(OR(C15="",C15="NA"),"",C15)),", ",(IF(OR(G15="",G15="NA"),"",G15)),", ",(IF(OR(C16="",C16="NA"),"",C16)),", ",(IF(OR(C17="",C17="NA"),"",C17)),", ",(IF(OR(G16="",G16="NA"),"",G16)),".")</f>
        <v>Avante, Gut No.139/3, 139/6, 139/7, 139/10, 139/12, 139/14A, 139/14B, 140/1(2), 140/1(4), 140/2, 141, 142, 143 &amp; 146/2, Swapna Nagari Road, Wakdi, Panvel, Panvel, Raigad.</v>
      </c>
      <c r="D13" s="83"/>
      <c r="E13" s="83"/>
      <c r="F13" s="83"/>
      <c r="G13" s="83"/>
      <c r="H13" s="83"/>
    </row>
    <row r="14" spans="1:8" ht="31" customHeight="1">
      <c r="A14" s="87" t="s">
        <v>18</v>
      </c>
      <c r="B14" s="87"/>
      <c r="C14" s="88" t="s">
        <v>19</v>
      </c>
      <c r="D14" s="88"/>
      <c r="E14" s="88"/>
      <c r="F14" s="88"/>
      <c r="G14" s="88"/>
      <c r="H14" s="88"/>
    </row>
    <row r="15" spans="1:8" ht="15.75" customHeight="1">
      <c r="A15" s="87" t="s">
        <v>20</v>
      </c>
      <c r="B15" s="87"/>
      <c r="C15" s="89" t="s">
        <v>21</v>
      </c>
      <c r="D15" s="89"/>
      <c r="E15" s="87" t="s">
        <v>22</v>
      </c>
      <c r="F15" s="87"/>
      <c r="G15" s="88" t="s">
        <v>23</v>
      </c>
      <c r="H15" s="88"/>
    </row>
    <row r="16" spans="1:8">
      <c r="A16" s="90" t="s">
        <v>24</v>
      </c>
      <c r="B16" s="90"/>
      <c r="C16" s="88" t="s">
        <v>25</v>
      </c>
      <c r="D16" s="88"/>
      <c r="E16" s="87" t="s">
        <v>26</v>
      </c>
      <c r="F16" s="87"/>
      <c r="G16" s="91" t="s">
        <v>27</v>
      </c>
      <c r="H16" s="91"/>
    </row>
    <row r="17" spans="1:8">
      <c r="A17" s="90" t="s">
        <v>28</v>
      </c>
      <c r="B17" s="90"/>
      <c r="C17" s="88" t="s">
        <v>25</v>
      </c>
      <c r="D17" s="88"/>
      <c r="E17" s="87" t="s">
        <v>29</v>
      </c>
      <c r="F17" s="87"/>
      <c r="G17" s="88">
        <v>410206</v>
      </c>
      <c r="H17" s="88"/>
    </row>
    <row r="18" spans="1:8" ht="32.25" customHeight="1">
      <c r="A18" s="90" t="s">
        <v>30</v>
      </c>
      <c r="B18" s="90"/>
      <c r="C18" s="92" t="s">
        <v>31</v>
      </c>
      <c r="D18" s="92"/>
      <c r="E18" s="87" t="s">
        <v>32</v>
      </c>
      <c r="F18" s="87"/>
      <c r="G18" s="88" t="s">
        <v>33</v>
      </c>
      <c r="H18" s="88"/>
    </row>
    <row r="19" spans="1:8" ht="15" customHeight="1">
      <c r="A19" s="87" t="s">
        <v>34</v>
      </c>
      <c r="B19" s="87"/>
      <c r="C19" s="87"/>
      <c r="D19" s="87"/>
      <c r="E19" s="89" t="s">
        <v>35</v>
      </c>
      <c r="F19" s="89"/>
      <c r="G19" s="89"/>
      <c r="H19" s="89"/>
    </row>
    <row r="20" spans="1:8" ht="18.75" customHeight="1">
      <c r="A20" s="87"/>
      <c r="B20" s="87"/>
      <c r="C20" s="87"/>
      <c r="D20" s="87"/>
      <c r="E20" s="89"/>
      <c r="F20" s="89"/>
      <c r="G20" s="89"/>
      <c r="H20" s="89"/>
    </row>
    <row r="21" spans="1:8" ht="15" customHeight="1">
      <c r="A21" s="87" t="s">
        <v>36</v>
      </c>
      <c r="B21" s="87"/>
      <c r="C21" s="87"/>
      <c r="D21" s="87"/>
      <c r="E21" s="88" t="s">
        <v>37</v>
      </c>
      <c r="F21" s="88"/>
      <c r="G21" s="88"/>
      <c r="H21" s="88"/>
    </row>
    <row r="22" spans="1:8" ht="15" customHeight="1">
      <c r="A22" s="90" t="s">
        <v>38</v>
      </c>
      <c r="B22" s="90"/>
      <c r="C22" s="90"/>
      <c r="D22" s="90"/>
      <c r="E22" s="88" t="s">
        <v>39</v>
      </c>
      <c r="F22" s="88"/>
      <c r="G22" s="88"/>
      <c r="H22" s="88"/>
    </row>
    <row r="23" spans="1:8">
      <c r="A23" s="90" t="s">
        <v>40</v>
      </c>
      <c r="B23" s="90"/>
      <c r="C23" s="90"/>
      <c r="D23" s="90"/>
      <c r="E23" s="88" t="s">
        <v>41</v>
      </c>
      <c r="F23" s="88"/>
      <c r="G23" s="88"/>
      <c r="H23" s="88"/>
    </row>
    <row r="24" spans="1:8">
      <c r="A24" s="90" t="s">
        <v>42</v>
      </c>
      <c r="B24" s="90"/>
      <c r="C24" s="90"/>
      <c r="D24" s="90"/>
      <c r="E24" s="88" t="s">
        <v>43</v>
      </c>
      <c r="F24" s="88"/>
      <c r="G24" s="88"/>
      <c r="H24" s="88"/>
    </row>
    <row r="25" spans="1:8">
      <c r="A25" s="90" t="s">
        <v>44</v>
      </c>
      <c r="B25" s="90"/>
      <c r="C25" s="90"/>
      <c r="D25" s="90"/>
      <c r="E25" s="88" t="s">
        <v>45</v>
      </c>
      <c r="F25" s="88"/>
      <c r="G25" s="88"/>
      <c r="H25" s="88"/>
    </row>
    <row r="26" spans="1:8">
      <c r="A26" s="90" t="s">
        <v>46</v>
      </c>
      <c r="B26" s="90"/>
      <c r="C26" s="90"/>
      <c r="D26" s="90"/>
      <c r="E26" s="88" t="s">
        <v>47</v>
      </c>
      <c r="F26" s="88"/>
      <c r="G26" s="88"/>
      <c r="H26" s="88"/>
    </row>
    <row r="27" spans="1:8" ht="15" customHeight="1">
      <c r="A27" s="87" t="s">
        <v>48</v>
      </c>
      <c r="B27" s="87"/>
      <c r="C27" s="87"/>
      <c r="D27" s="87"/>
      <c r="E27" s="81" t="s">
        <v>49</v>
      </c>
      <c r="F27" s="81"/>
      <c r="G27" s="81"/>
      <c r="H27" s="81"/>
    </row>
    <row r="28" spans="1:8">
      <c r="A28" s="87" t="s">
        <v>50</v>
      </c>
      <c r="B28" s="87"/>
      <c r="C28" s="87"/>
      <c r="D28" s="87"/>
      <c r="E28" s="87" t="s">
        <v>51</v>
      </c>
      <c r="F28" s="87"/>
      <c r="G28" s="87"/>
      <c r="H28" s="87"/>
    </row>
    <row r="29" spans="1:8" s="20" customFormat="1">
      <c r="A29" s="93" t="s">
        <v>52</v>
      </c>
      <c r="B29" s="93"/>
      <c r="C29" s="94" t="s">
        <v>53</v>
      </c>
      <c r="D29" s="94"/>
      <c r="E29" s="94"/>
      <c r="F29" s="94" t="s">
        <v>54</v>
      </c>
      <c r="G29" s="94"/>
      <c r="H29" s="94"/>
    </row>
    <row r="30" spans="1:8" s="20" customFormat="1">
      <c r="A30" s="95" t="s">
        <v>55</v>
      </c>
      <c r="B30" s="95" t="s">
        <v>56</v>
      </c>
      <c r="C30" s="96" t="s">
        <v>56</v>
      </c>
      <c r="D30" s="96"/>
      <c r="E30" s="96"/>
      <c r="F30" s="96" t="s">
        <v>20</v>
      </c>
      <c r="G30" s="96"/>
      <c r="H30" s="96"/>
    </row>
    <row r="31" spans="1:8">
      <c r="A31" s="95" t="s">
        <v>57</v>
      </c>
      <c r="B31" s="95" t="s">
        <v>56</v>
      </c>
      <c r="C31" s="96" t="s">
        <v>56</v>
      </c>
      <c r="D31" s="96"/>
      <c r="E31" s="96"/>
      <c r="F31" s="96" t="s">
        <v>58</v>
      </c>
      <c r="G31" s="96"/>
      <c r="H31" s="96"/>
    </row>
    <row r="32" spans="1:8" s="20" customFormat="1">
      <c r="A32" s="95" t="s">
        <v>59</v>
      </c>
      <c r="B32" s="95" t="s">
        <v>56</v>
      </c>
      <c r="C32" s="96" t="s">
        <v>56</v>
      </c>
      <c r="D32" s="96"/>
      <c r="E32" s="96"/>
      <c r="F32" s="96" t="s">
        <v>58</v>
      </c>
      <c r="G32" s="96"/>
      <c r="H32" s="96"/>
    </row>
    <row r="33" spans="1:8">
      <c r="A33" s="95" t="s">
        <v>60</v>
      </c>
      <c r="B33" s="95" t="s">
        <v>56</v>
      </c>
      <c r="C33" s="96" t="s">
        <v>56</v>
      </c>
      <c r="D33" s="96"/>
      <c r="E33" s="96"/>
      <c r="F33" s="96" t="s">
        <v>20</v>
      </c>
      <c r="G33" s="96"/>
      <c r="H33" s="96"/>
    </row>
    <row r="34" spans="1:8">
      <c r="A34" s="90" t="s">
        <v>61</v>
      </c>
      <c r="B34" s="90"/>
      <c r="C34" s="90"/>
      <c r="D34" s="90"/>
      <c r="E34" s="90"/>
      <c r="F34" s="90"/>
      <c r="G34" s="90"/>
      <c r="H34" s="90"/>
    </row>
    <row r="35" spans="1:8" ht="15.75" customHeight="1">
      <c r="A35" s="97" t="s">
        <v>62</v>
      </c>
      <c r="B35" s="97"/>
      <c r="C35" s="98">
        <v>19.026864799999998</v>
      </c>
      <c r="D35" s="98"/>
      <c r="E35" s="97" t="s">
        <v>63</v>
      </c>
      <c r="F35" s="97"/>
      <c r="G35" s="99">
        <v>73.165874799999997</v>
      </c>
      <c r="H35" s="99"/>
    </row>
    <row r="36" spans="1:8" ht="15.75" customHeight="1">
      <c r="A36" s="97" t="s">
        <v>262</v>
      </c>
      <c r="B36" s="97"/>
      <c r="C36" s="101" t="s">
        <v>263</v>
      </c>
      <c r="D36" s="102"/>
      <c r="E36" s="102"/>
      <c r="F36" s="102"/>
      <c r="G36" s="102"/>
      <c r="H36" s="103"/>
    </row>
    <row r="37" spans="1:8">
      <c r="A37" s="100" t="s">
        <v>64</v>
      </c>
      <c r="B37" s="100"/>
      <c r="C37" s="100"/>
      <c r="D37" s="100"/>
      <c r="E37" s="100"/>
      <c r="F37" s="100"/>
      <c r="G37" s="100"/>
      <c r="H37" s="100"/>
    </row>
    <row r="38" spans="1:8">
      <c r="A38" s="90" t="s">
        <v>65</v>
      </c>
      <c r="B38" s="90"/>
      <c r="C38" s="90"/>
      <c r="D38" s="90"/>
      <c r="E38" s="104">
        <v>31895.35</v>
      </c>
      <c r="F38" s="104"/>
      <c r="G38" s="104"/>
      <c r="H38" s="104"/>
    </row>
    <row r="39" spans="1:8">
      <c r="A39" s="90" t="s">
        <v>66</v>
      </c>
      <c r="B39" s="90"/>
      <c r="C39" s="90"/>
      <c r="D39" s="90"/>
      <c r="E39" s="105">
        <v>1</v>
      </c>
      <c r="F39" s="105"/>
      <c r="G39" s="105"/>
      <c r="H39" s="105"/>
    </row>
    <row r="40" spans="1:8">
      <c r="A40" s="90" t="s">
        <v>67</v>
      </c>
      <c r="B40" s="90"/>
      <c r="C40" s="90"/>
      <c r="D40" s="90"/>
      <c r="E40" s="105">
        <f>E42/E38-E39</f>
        <v>0</v>
      </c>
      <c r="F40" s="105"/>
      <c r="G40" s="105"/>
      <c r="H40" s="105"/>
    </row>
    <row r="41" spans="1:8">
      <c r="A41" s="90" t="s">
        <v>68</v>
      </c>
      <c r="B41" s="90"/>
      <c r="C41" s="90"/>
      <c r="D41" s="90"/>
      <c r="E41" s="105">
        <f>E39+E40</f>
        <v>1</v>
      </c>
      <c r="F41" s="105"/>
      <c r="G41" s="105"/>
      <c r="H41" s="105"/>
    </row>
    <row r="42" spans="1:8">
      <c r="A42" s="90" t="s">
        <v>69</v>
      </c>
      <c r="B42" s="90"/>
      <c r="C42" s="90"/>
      <c r="D42" s="90"/>
      <c r="E42" s="106">
        <v>31895.35</v>
      </c>
      <c r="F42" s="106"/>
      <c r="G42" s="106"/>
      <c r="H42" s="106"/>
    </row>
    <row r="43" spans="1:8">
      <c r="A43" s="89" t="s">
        <v>70</v>
      </c>
      <c r="B43" s="89"/>
      <c r="C43" s="89"/>
      <c r="D43" s="89"/>
      <c r="E43" s="89" t="s">
        <v>71</v>
      </c>
      <c r="F43" s="89"/>
      <c r="G43" s="89"/>
      <c r="H43" s="89"/>
    </row>
    <row r="44" spans="1:8">
      <c r="A44" s="100" t="s">
        <v>72</v>
      </c>
      <c r="B44" s="100"/>
      <c r="C44" s="100"/>
      <c r="D44" s="100"/>
      <c r="E44" s="100"/>
      <c r="F44" s="100"/>
      <c r="G44" s="100"/>
      <c r="H44" s="100"/>
    </row>
    <row r="45" spans="1:8" ht="31.5" customHeight="1">
      <c r="A45" s="87" t="s">
        <v>73</v>
      </c>
      <c r="B45" s="87"/>
      <c r="C45" s="107" t="s">
        <v>74</v>
      </c>
      <c r="D45" s="107"/>
      <c r="E45" s="107"/>
      <c r="F45" s="30" t="s">
        <v>75</v>
      </c>
      <c r="G45" s="88" t="s">
        <v>76</v>
      </c>
      <c r="H45" s="88"/>
    </row>
    <row r="46" spans="1:8" ht="31.5" customHeight="1">
      <c r="A46" s="87" t="s">
        <v>77</v>
      </c>
      <c r="B46" s="87"/>
      <c r="C46" s="107" t="str">
        <f>C45</f>
        <v>CIDCO/NAINA/Panvel/Wakadi/BP-223/CC/2018/1228</v>
      </c>
      <c r="D46" s="107"/>
      <c r="E46" s="107"/>
      <c r="F46" s="30" t="s">
        <v>75</v>
      </c>
      <c r="G46" s="88" t="str">
        <f>G45</f>
        <v>09/02/2018.</v>
      </c>
      <c r="H46" s="88"/>
    </row>
    <row r="47" spans="1:8" s="21" customFormat="1" ht="32.5" customHeight="1">
      <c r="A47" s="88" t="s">
        <v>78</v>
      </c>
      <c r="B47" s="88"/>
      <c r="C47" s="107" t="str">
        <f>C46</f>
        <v>CIDCO/NAINA/Panvel/Wakadi/BP-223/CC/2018/1228</v>
      </c>
      <c r="D47" s="108"/>
      <c r="E47" s="108"/>
      <c r="F47" s="31" t="s">
        <v>75</v>
      </c>
      <c r="G47" s="109" t="str">
        <f>G46</f>
        <v>09/02/2018.</v>
      </c>
      <c r="H47" s="109"/>
    </row>
    <row r="48" spans="1:8" s="21" customFormat="1" ht="82.5" customHeight="1">
      <c r="A48" s="88"/>
      <c r="B48" s="88"/>
      <c r="C48" s="110" t="s">
        <v>233</v>
      </c>
      <c r="D48" s="111"/>
      <c r="E48" s="111"/>
      <c r="F48" s="111"/>
      <c r="G48" s="111"/>
      <c r="H48" s="112"/>
    </row>
    <row r="49" spans="1:11">
      <c r="A49" s="113" t="s">
        <v>79</v>
      </c>
      <c r="B49" s="113"/>
      <c r="C49" s="114" t="s">
        <v>80</v>
      </c>
      <c r="D49" s="115"/>
      <c r="E49" s="115" t="s">
        <v>81</v>
      </c>
      <c r="F49" s="32" t="s">
        <v>75</v>
      </c>
      <c r="G49" s="116" t="s">
        <v>56</v>
      </c>
      <c r="H49" s="117"/>
    </row>
    <row r="50" spans="1:11">
      <c r="A50" s="118" t="s">
        <v>82</v>
      </c>
      <c r="B50" s="118"/>
      <c r="C50" s="118"/>
      <c r="D50" s="118"/>
      <c r="E50" s="118"/>
      <c r="F50" s="118"/>
      <c r="G50" s="118"/>
      <c r="H50" s="118"/>
    </row>
    <row r="51" spans="1:11">
      <c r="A51" s="87" t="s">
        <v>83</v>
      </c>
      <c r="B51" s="87"/>
      <c r="C51" s="87"/>
      <c r="D51" s="90">
        <f>E42</f>
        <v>31895.35</v>
      </c>
      <c r="E51" s="90"/>
      <c r="F51" s="90"/>
      <c r="G51" s="90"/>
      <c r="H51" s="90"/>
    </row>
    <row r="52" spans="1:11">
      <c r="A52" s="88" t="s">
        <v>84</v>
      </c>
      <c r="B52" s="89"/>
      <c r="C52" s="89"/>
      <c r="D52" s="89" t="s">
        <v>85</v>
      </c>
      <c r="E52" s="89"/>
      <c r="F52" s="89"/>
      <c r="G52" s="89"/>
      <c r="H52" s="89"/>
    </row>
    <row r="53" spans="1:11" ht="65.25" customHeight="1">
      <c r="A53" s="88" t="s">
        <v>86</v>
      </c>
      <c r="B53" s="89"/>
      <c r="C53" s="89"/>
      <c r="D53" s="88" t="s">
        <v>234</v>
      </c>
      <c r="E53" s="89"/>
      <c r="F53" s="89"/>
      <c r="G53" s="89"/>
      <c r="H53" s="89"/>
    </row>
    <row r="54" spans="1:11" ht="64.5" customHeight="1">
      <c r="A54" s="88" t="s">
        <v>87</v>
      </c>
      <c r="B54" s="89"/>
      <c r="C54" s="89"/>
      <c r="D54" s="88" t="s">
        <v>234</v>
      </c>
      <c r="E54" s="88"/>
      <c r="F54" s="88"/>
      <c r="G54" s="88"/>
      <c r="H54" s="88"/>
    </row>
    <row r="55" spans="1:11" ht="15.75" customHeight="1">
      <c r="A55" s="90" t="s">
        <v>88</v>
      </c>
      <c r="B55" s="90"/>
      <c r="C55" s="90"/>
      <c r="D55" s="87" t="s">
        <v>264</v>
      </c>
      <c r="E55" s="87"/>
      <c r="F55" s="87"/>
      <c r="G55" s="87"/>
      <c r="H55" s="87"/>
    </row>
    <row r="56" spans="1:11" ht="15.75" customHeight="1">
      <c r="A56" s="90" t="s">
        <v>89</v>
      </c>
      <c r="B56" s="90"/>
      <c r="C56" s="90"/>
      <c r="D56" s="87" t="s">
        <v>90</v>
      </c>
      <c r="E56" s="87"/>
      <c r="F56" s="87"/>
      <c r="G56" s="87"/>
      <c r="H56" s="87"/>
    </row>
    <row r="57" spans="1:11" ht="15.75" customHeight="1">
      <c r="A57" s="90" t="s">
        <v>91</v>
      </c>
      <c r="B57" s="90"/>
      <c r="C57" s="90"/>
      <c r="D57" s="87" t="s">
        <v>45</v>
      </c>
      <c r="E57" s="87"/>
      <c r="F57" s="87"/>
      <c r="G57" s="87"/>
      <c r="H57" s="87"/>
      <c r="J57" s="38"/>
      <c r="K57" s="38"/>
    </row>
    <row r="58" spans="1:11" ht="15.75" customHeight="1" thickBot="1">
      <c r="A58" s="90" t="s">
        <v>92</v>
      </c>
      <c r="B58" s="90"/>
      <c r="C58" s="90"/>
      <c r="D58" s="88" t="s">
        <v>93</v>
      </c>
      <c r="E58" s="88"/>
      <c r="F58" s="88"/>
      <c r="G58" s="88"/>
      <c r="H58" s="88"/>
      <c r="J58" s="38"/>
      <c r="K58" s="38"/>
    </row>
    <row r="59" spans="1:11" customFormat="1" ht="15.75" customHeight="1">
      <c r="A59" s="132" t="s">
        <v>235</v>
      </c>
      <c r="B59" s="132"/>
      <c r="C59" s="132" t="s">
        <v>265</v>
      </c>
      <c r="D59" s="132"/>
      <c r="E59" s="132"/>
      <c r="F59" s="132"/>
      <c r="G59" s="132"/>
      <c r="H59" s="132"/>
      <c r="I59" s="39" t="str">
        <f ca="1">(IF(E63&gt;99%,"All work completed. Please provide OC.",IF(E63&gt;89.8%,"Plinth, RCC, Brick, Plaster, Flooring, Painting work Completed. Finishing work is in process.",IF(E63&lt;94%,(IF(C63=0,"Work not yet Started.",IF(D63=25%,"Piling work in process",IF(D63=50%,"Excavation work in process",IF(D63=100%,"Excavation work Completed. ","0")))&amp;(IF(C64=0%,"",IF(C64=J65,"Footing work is process",IF(C64=J66,"Footing work Completed",IF(C64=J67,"1st Basement Completed",IF(C64=J68,"1st &amp; 2nd Basement Completed",IF(C64=J69,"1st to 3rd Basement Completed",IF(C64=J70,"1st to 4th Basement Completed",IF(C64=J71,"Plinth work is process",IF(C64=J72,"Plinth work completed","0")))))))))))&amp;(IF(C65=(D60+F60+H60),", RCC Slab",IF(C65&gt;0,", RCC upto "&amp;C65&amp;" Slab",""))&amp;(IF(C66=H60,", Brickwork",IF(C66&gt;0,", Brickwork upto "&amp;C66&amp;" Floor",""))&amp;(IF(C67=H60,", Internal Plaster",IF(C67&gt;0,", Internal Plaster upto "&amp;C67&amp;" Floor",""))&amp;(IF(C68=H60,", External Plaster",IF(C68&gt;0,", External Plaster upto "&amp;C68&amp;" Floor",""))&amp;(IF(C69=H60,", Flooring",IF(C69&gt;0,", Flooring upto "&amp;C69&amp;" Floor",""))&amp;(IF(C70=H60,", Painting",IF(C70&gt;0,", Painting upto "&amp;C70&amp;" Floor",""))&amp;(IF(C71&gt;0,", Finishing upto "&amp;C71&amp;" Floor","")&amp;(IF(C65&gt;0.5," Completed",""))))))))))))))</f>
        <v>Plinth, RCC, Brick, Plaster, Flooring, Painting work Completed. Finishing work is in process.</v>
      </c>
      <c r="J59" s="40"/>
    </row>
    <row r="60" spans="1:11" customFormat="1">
      <c r="A60" s="76" t="s">
        <v>94</v>
      </c>
      <c r="B60" s="76">
        <v>0</v>
      </c>
      <c r="C60" s="76" t="s">
        <v>95</v>
      </c>
      <c r="D60" s="76">
        <v>1</v>
      </c>
      <c r="E60" s="76" t="s">
        <v>96</v>
      </c>
      <c r="F60" s="76">
        <v>0</v>
      </c>
      <c r="G60" s="76" t="s">
        <v>97</v>
      </c>
      <c r="H60" s="76">
        <f ca="1">--TRIM(RIGHT(SUBSTITUTE(LEFT(C59,_xlfn.AGGREGATE(16,6,FIND({0,1,2,3,4,5,6,7,8,9},C59,ROW(INDIRECT("1:"&amp;LEN(C59)))),1))," ",REPT(" ",LEN(C59))),LEN(C59)))</f>
        <v>4</v>
      </c>
      <c r="I60" s="56"/>
      <c r="J60" s="41"/>
    </row>
    <row r="61" spans="1:11" customFormat="1" ht="35" customHeight="1">
      <c r="A61" s="128" t="s">
        <v>98</v>
      </c>
      <c r="B61" s="128"/>
      <c r="C61" s="132" t="str">
        <f ca="1">I59</f>
        <v>Plinth, RCC, Brick, Plaster, Flooring, Painting work Completed. Finishing work is in process.</v>
      </c>
      <c r="D61" s="132"/>
      <c r="E61" s="132"/>
      <c r="F61" s="132"/>
      <c r="G61" s="132"/>
      <c r="H61" s="132"/>
      <c r="I61" s="56" t="s">
        <v>103</v>
      </c>
      <c r="J61" s="41"/>
    </row>
    <row r="62" spans="1:11" customFormat="1" ht="31">
      <c r="A62" s="123" t="s">
        <v>99</v>
      </c>
      <c r="B62" s="124"/>
      <c r="C62" s="35" t="s">
        <v>236</v>
      </c>
      <c r="D62" s="70" t="s">
        <v>100</v>
      </c>
      <c r="E62" s="124" t="s">
        <v>101</v>
      </c>
      <c r="F62" s="124"/>
      <c r="G62" s="124" t="s">
        <v>102</v>
      </c>
      <c r="H62" s="134"/>
      <c r="I62" s="55" t="s">
        <v>237</v>
      </c>
      <c r="J62" s="42">
        <f ca="1">H60*25%</f>
        <v>1</v>
      </c>
    </row>
    <row r="63" spans="1:11" customFormat="1">
      <c r="A63" s="123" t="s">
        <v>238</v>
      </c>
      <c r="B63" s="124"/>
      <c r="C63" s="36">
        <f ca="1">J64</f>
        <v>4</v>
      </c>
      <c r="D63" s="68">
        <f ca="1">((100/H60)*C63)/100</f>
        <v>1</v>
      </c>
      <c r="E63" s="119">
        <f ca="1">(((C64/H60*10)+(40/(D60+F60+H60)*C65)+(7.5/(H60)*C66)+(7.5/(H60)*C67)+(10/H60*C68)+(10/H60*C69)+(5/H60*C70)+(5/H60*C71)+(5/H60*C72))/100)</f>
        <v>0.9</v>
      </c>
      <c r="F63" s="119"/>
      <c r="G63" s="119">
        <f ca="1">((((C63/H60)*20)+((C64/H60)*25)+(30/(H60+F60+D60)*C65)+(5/H60*C66)+(5/H60*C67)+(5/H60*C68)+(5/H60*C69)+(0/H60*C70)+(0/H60*C71)+(5/H60*C72))/100)</f>
        <v>0.95</v>
      </c>
      <c r="H63" s="121"/>
      <c r="I63" s="55" t="s">
        <v>105</v>
      </c>
      <c r="J63" s="57">
        <f ca="1">H60*50%</f>
        <v>2</v>
      </c>
    </row>
    <row r="64" spans="1:11" customFormat="1">
      <c r="A64" s="123" t="s">
        <v>104</v>
      </c>
      <c r="B64" s="124"/>
      <c r="C64" s="37">
        <f ca="1">J72</f>
        <v>4</v>
      </c>
      <c r="D64" s="68">
        <f ca="1">((100/H60)*C64)/100</f>
        <v>1</v>
      </c>
      <c r="E64" s="119"/>
      <c r="F64" s="119"/>
      <c r="G64" s="119"/>
      <c r="H64" s="121"/>
      <c r="I64" s="55" t="s">
        <v>106</v>
      </c>
      <c r="J64" s="57">
        <f ca="1">H60</f>
        <v>4</v>
      </c>
    </row>
    <row r="65" spans="1:14" customFormat="1">
      <c r="A65" s="123" t="s">
        <v>239</v>
      </c>
      <c r="B65" s="124"/>
      <c r="C65" s="37">
        <v>5</v>
      </c>
      <c r="D65" s="68">
        <f ca="1">((100/(D60+F60+H60))*C65)/100</f>
        <v>1</v>
      </c>
      <c r="E65" s="119"/>
      <c r="F65" s="119"/>
      <c r="G65" s="119"/>
      <c r="H65" s="121"/>
      <c r="I65" s="55" t="s">
        <v>107</v>
      </c>
      <c r="J65" s="58">
        <f ca="1">(IF(B60&gt;1,(H60/(B60+2)),H60/4))</f>
        <v>1</v>
      </c>
      <c r="L65" s="59"/>
    </row>
    <row r="66" spans="1:14" customFormat="1" ht="15.75" customHeight="1">
      <c r="A66" s="123" t="s">
        <v>240</v>
      </c>
      <c r="B66" s="124" t="s">
        <v>241</v>
      </c>
      <c r="C66" s="36">
        <v>4</v>
      </c>
      <c r="D66" s="68">
        <f ca="1">((100/H60)*C66)/100</f>
        <v>1</v>
      </c>
      <c r="E66" s="119"/>
      <c r="F66" s="119"/>
      <c r="G66" s="119"/>
      <c r="H66" s="121"/>
      <c r="I66" s="55" t="s">
        <v>108</v>
      </c>
      <c r="J66" s="58">
        <f ca="1">(IF(B60&gt;1,(H60/(B60+2)+J65),H60/4+J65))</f>
        <v>2</v>
      </c>
      <c r="L66" s="59"/>
    </row>
    <row r="67" spans="1:14" customFormat="1" ht="15.75" customHeight="1">
      <c r="A67" s="123" t="s">
        <v>242</v>
      </c>
      <c r="B67" s="124" t="s">
        <v>241</v>
      </c>
      <c r="C67" s="36">
        <v>4</v>
      </c>
      <c r="D67" s="68">
        <f ca="1">((100/H60)*C67)/100</f>
        <v>1</v>
      </c>
      <c r="E67" s="119"/>
      <c r="F67" s="119"/>
      <c r="G67" s="119"/>
      <c r="H67" s="121"/>
      <c r="I67" s="55" t="s">
        <v>243</v>
      </c>
      <c r="J67" s="58">
        <f>(IF(B60&gt;1,(H60/(B60+2)+J66),0))</f>
        <v>0</v>
      </c>
      <c r="K67" s="60"/>
      <c r="L67" s="61"/>
      <c r="N67" s="59"/>
    </row>
    <row r="68" spans="1:14" customFormat="1" ht="15.75" customHeight="1">
      <c r="A68" s="123" t="s">
        <v>244</v>
      </c>
      <c r="B68" s="124" t="s">
        <v>245</v>
      </c>
      <c r="C68" s="36">
        <v>4</v>
      </c>
      <c r="D68" s="68">
        <f ca="1">((100/(H60))*C68)/100</f>
        <v>1</v>
      </c>
      <c r="E68" s="119"/>
      <c r="F68" s="119"/>
      <c r="G68" s="119"/>
      <c r="H68" s="121"/>
      <c r="I68" s="55" t="s">
        <v>246</v>
      </c>
      <c r="J68" s="58">
        <f>(IF(B60&gt;2,(H60/(B60+2)+J67),0))</f>
        <v>0</v>
      </c>
      <c r="K68" s="62"/>
      <c r="L68" s="61"/>
    </row>
    <row r="69" spans="1:14" customFormat="1" ht="15.75" customHeight="1">
      <c r="A69" s="123" t="s">
        <v>247</v>
      </c>
      <c r="B69" s="124" t="s">
        <v>247</v>
      </c>
      <c r="C69" s="36">
        <v>4</v>
      </c>
      <c r="D69" s="68">
        <f ca="1">((100/H60)*C69)/100</f>
        <v>1</v>
      </c>
      <c r="E69" s="119"/>
      <c r="F69" s="119"/>
      <c r="G69" s="119"/>
      <c r="H69" s="121"/>
      <c r="I69" s="55" t="s">
        <v>248</v>
      </c>
      <c r="J69" s="63">
        <f>(IF(B60&gt;3,(H60/(B60+2)+J68),0))</f>
        <v>0</v>
      </c>
      <c r="K69" s="62"/>
      <c r="L69" s="61"/>
    </row>
    <row r="70" spans="1:14" customFormat="1" ht="15.75" customHeight="1">
      <c r="A70" s="123" t="s">
        <v>249</v>
      </c>
      <c r="B70" s="124"/>
      <c r="C70" s="36">
        <v>4</v>
      </c>
      <c r="D70" s="68">
        <f ca="1">((100/H60)*C70)/100</f>
        <v>1</v>
      </c>
      <c r="E70" s="119"/>
      <c r="F70" s="119"/>
      <c r="G70" s="119"/>
      <c r="H70" s="121"/>
      <c r="I70" s="55" t="s">
        <v>250</v>
      </c>
      <c r="J70" s="58">
        <f>(IF(B60&gt;4,(H60/(B60+2)+J69),0))</f>
        <v>0</v>
      </c>
      <c r="K70" s="64"/>
      <c r="L70" s="61"/>
    </row>
    <row r="71" spans="1:14" customFormat="1" ht="15.75" customHeight="1">
      <c r="A71" s="123" t="s">
        <v>251</v>
      </c>
      <c r="B71" s="124" t="s">
        <v>251</v>
      </c>
      <c r="C71" s="36">
        <v>0</v>
      </c>
      <c r="D71" s="68">
        <f ca="1">((100/(H60))*C71)/100</f>
        <v>0</v>
      </c>
      <c r="E71" s="119"/>
      <c r="F71" s="119"/>
      <c r="G71" s="119"/>
      <c r="H71" s="121"/>
      <c r="I71" s="55" t="s">
        <v>109</v>
      </c>
      <c r="J71" s="58">
        <f ca="1">(IF(B60=1,(H60/(B60+3)+J66),IF(B60=0,(H60/4+J66),IF(B60&gt;1,0))))</f>
        <v>3</v>
      </c>
      <c r="K71" s="62"/>
      <c r="L71" s="61"/>
    </row>
    <row r="72" spans="1:14" customFormat="1" ht="16" thickBot="1">
      <c r="A72" s="136" t="s">
        <v>252</v>
      </c>
      <c r="B72" s="137"/>
      <c r="C72" s="43">
        <v>0</v>
      </c>
      <c r="D72" s="69">
        <f ca="1">((100/(H60))*C72)/100</f>
        <v>0</v>
      </c>
      <c r="E72" s="120"/>
      <c r="F72" s="120"/>
      <c r="G72" s="120"/>
      <c r="H72" s="122"/>
      <c r="I72" s="65" t="s">
        <v>110</v>
      </c>
      <c r="J72" s="66">
        <f ca="1">(IF(B60&gt;1.5,(H60/(B60+2)+J66+MAX(0,J67-J66)+MAX(0,J68-J67)+MAX(0,J69-J68)+MAX(0,J70-J69)+MAX(0,J71-J70)),IF(B60=1,(H60/(B60+3)+J71),IF(B60=0,H60/4+J71))))</f>
        <v>4</v>
      </c>
      <c r="K72" s="62"/>
      <c r="L72" s="61"/>
    </row>
    <row r="73" spans="1:14" customFormat="1" ht="15.75" hidden="1" customHeight="1">
      <c r="A73" s="125" t="s">
        <v>235</v>
      </c>
      <c r="B73" s="126"/>
      <c r="C73" s="129" t="s">
        <v>258</v>
      </c>
      <c r="D73" s="130"/>
      <c r="E73" s="130"/>
      <c r="F73" s="130"/>
      <c r="G73" s="130"/>
      <c r="H73" s="131"/>
      <c r="I73" s="39" t="str">
        <f ca="1">(IF(E77&gt;99%,"All work completed. Please provide OC.",IF(E77&gt;89.8%,"Plinth, RCC, Brick, Plaster, Flooring, Painting work Completed. Finishing work is in process.",IF(E77&lt;94%,(IF(C77=0,"Work not yet Started.",IF(D77=25%,"Piling work in process",IF(D77=50%,"Excavation work in process",IF(D77=100%,"Excavation work Completed. ","0")))&amp;(IF(C78=0%,"",IF(C78=J79,"Footing work is process",IF(C78=J80,"Footing work Completed",IF(C78=J81,"1st Basement Completed",IF(C78=J82,"1st &amp; 2nd Basement Completed",IF(C78=J83,"1st to 3rd Basement Completed",IF(C78=J84,"1st to 4th Basement Completed",IF(C78=J85,"Plinth work is process",IF(C78=J86,"Plinth work completed","0")))))))))))&amp;(IF(C79=(D74+F74+H74),", RCC Slab",IF(C79&gt;0,", RCC upto "&amp;C79&amp;" Slab",""))&amp;(IF(C80=H74,", Brickwork",IF(C80&gt;0,", Brickwork upto "&amp;C80&amp;" Floor",""))&amp;(IF(C81=H74,", Internal Plaster",IF(C81&gt;0,", Internal Plaster upto "&amp;C81&amp;" Floor",""))&amp;(IF(C82=H74,", External Plaster",IF(C82&gt;0,", External Plaster upto "&amp;C82&amp;" Floor",""))&amp;(IF(C83=H74,", Flooring",IF(C83&gt;0,", Flooring upto "&amp;C83&amp;" Floor",""))&amp;(IF(C84=H74,", Painting",IF(C84&gt;0,", Painting upto "&amp;C84&amp;" Floor",""))&amp;(IF(C85&gt;0,", Finishing upto "&amp;C85&amp;" Floor","")&amp;(IF(C79&gt;0.5," Completed",""))))))))))))))</f>
        <v>Excavation work Completed. Plinth work completed, RCC Slab, Brickwork, Internal Plaster upto 3 Floor, External Plaster upto 3 Floor Completed</v>
      </c>
      <c r="J73" s="40"/>
    </row>
    <row r="74" spans="1:14" customFormat="1" hidden="1">
      <c r="A74" s="33" t="s">
        <v>94</v>
      </c>
      <c r="B74" s="67">
        <v>0</v>
      </c>
      <c r="C74" s="67" t="s">
        <v>95</v>
      </c>
      <c r="D74" s="67">
        <v>1</v>
      </c>
      <c r="E74" s="67" t="s">
        <v>96</v>
      </c>
      <c r="F74" s="67">
        <v>0</v>
      </c>
      <c r="G74" s="67" t="s">
        <v>97</v>
      </c>
      <c r="H74" s="34">
        <f ca="1">--TRIM(RIGHT(SUBSTITUTE(LEFT(C73,_xlfn.AGGREGATE(16,6,FIND({0,1,2,3,4,5,6,7,8,9},C73,ROW(INDIRECT("1:"&amp;LEN(C73)))),1))," ",REPT(" ",LEN(C73))),LEN(C73)))</f>
        <v>4</v>
      </c>
      <c r="I74" s="56"/>
      <c r="J74" s="41"/>
    </row>
    <row r="75" spans="1:14" customFormat="1" ht="51.75" hidden="1" customHeight="1">
      <c r="A75" s="127" t="s">
        <v>98</v>
      </c>
      <c r="B75" s="128"/>
      <c r="C75" s="132" t="str">
        <f ca="1">I73</f>
        <v>Excavation work Completed. Plinth work completed, RCC Slab, Brickwork, Internal Plaster upto 3 Floor, External Plaster upto 3 Floor Completed</v>
      </c>
      <c r="D75" s="132"/>
      <c r="E75" s="132"/>
      <c r="F75" s="132"/>
      <c r="G75" s="132"/>
      <c r="H75" s="133"/>
      <c r="I75" s="56" t="s">
        <v>103</v>
      </c>
      <c r="J75" s="41"/>
    </row>
    <row r="76" spans="1:14" customFormat="1" ht="31" hidden="1">
      <c r="A76" s="123" t="s">
        <v>99</v>
      </c>
      <c r="B76" s="124"/>
      <c r="C76" s="35" t="s">
        <v>236</v>
      </c>
      <c r="D76" s="70" t="s">
        <v>100</v>
      </c>
      <c r="E76" s="124" t="s">
        <v>101</v>
      </c>
      <c r="F76" s="124"/>
      <c r="G76" s="124" t="s">
        <v>102</v>
      </c>
      <c r="H76" s="134"/>
      <c r="I76" s="55" t="s">
        <v>237</v>
      </c>
      <c r="J76" s="42">
        <f ca="1">H74*25%</f>
        <v>1</v>
      </c>
    </row>
    <row r="77" spans="1:14" customFormat="1" hidden="1">
      <c r="A77" s="123" t="s">
        <v>238</v>
      </c>
      <c r="B77" s="124"/>
      <c r="C77" s="36">
        <f ca="1">J78</f>
        <v>4</v>
      </c>
      <c r="D77" s="68">
        <f ca="1">((100/H74)*C77)/100</f>
        <v>1</v>
      </c>
      <c r="E77" s="119">
        <f ca="1">(((C78/H74*10)+(40/(D74+F74+H74)*C79)+(7.5/(H74)*C80)+(7.5/(H74)*C81)+(10/H74*C82)+(10/H74*C83)+(5/H74*C84)+(5/H74*C85)+(5/H74*C86))/100)</f>
        <v>0.70625000000000004</v>
      </c>
      <c r="F77" s="119"/>
      <c r="G77" s="119">
        <f ca="1">((((C77/H74)*20)+((C78/H74)*25)+(30/(H74+F74+D74)*C79)+(5/H74*C80)+(5/H74*C81)+(5/H74*C82)+(5/H74*C83)+(0/H74*C84)+(0/H74*C85)+(5/H74*C86))/100)</f>
        <v>0.875</v>
      </c>
      <c r="H77" s="121"/>
      <c r="I77" s="55" t="s">
        <v>105</v>
      </c>
      <c r="J77" s="57">
        <f ca="1">H74*50%</f>
        <v>2</v>
      </c>
    </row>
    <row r="78" spans="1:14" customFormat="1" hidden="1">
      <c r="A78" s="123" t="s">
        <v>104</v>
      </c>
      <c r="B78" s="124"/>
      <c r="C78" s="37">
        <f ca="1">J86</f>
        <v>4</v>
      </c>
      <c r="D78" s="68">
        <f ca="1">((100/H74)*C78)/100</f>
        <v>1</v>
      </c>
      <c r="E78" s="119"/>
      <c r="F78" s="119"/>
      <c r="G78" s="119"/>
      <c r="H78" s="121"/>
      <c r="I78" s="55" t="s">
        <v>106</v>
      </c>
      <c r="J78" s="57">
        <f ca="1">H74</f>
        <v>4</v>
      </c>
    </row>
    <row r="79" spans="1:14" customFormat="1" hidden="1">
      <c r="A79" s="123" t="s">
        <v>239</v>
      </c>
      <c r="B79" s="124"/>
      <c r="C79" s="37">
        <f ca="1">D74+H74</f>
        <v>5</v>
      </c>
      <c r="D79" s="68">
        <f ca="1">((100/(D74+F74+H74))*C79)/100</f>
        <v>1</v>
      </c>
      <c r="E79" s="119"/>
      <c r="F79" s="119"/>
      <c r="G79" s="119"/>
      <c r="H79" s="121"/>
      <c r="I79" s="55" t="s">
        <v>107</v>
      </c>
      <c r="J79" s="58">
        <f ca="1">(IF(B74&gt;1,(H74/(B74+2)),H74/4))</f>
        <v>1</v>
      </c>
      <c r="L79" s="59"/>
    </row>
    <row r="80" spans="1:14" customFormat="1" ht="15.75" hidden="1" customHeight="1">
      <c r="A80" s="123" t="s">
        <v>240</v>
      </c>
      <c r="B80" s="124" t="s">
        <v>241</v>
      </c>
      <c r="C80" s="36">
        <v>4</v>
      </c>
      <c r="D80" s="68">
        <f ca="1">((100/H74)*C80)/100</f>
        <v>1</v>
      </c>
      <c r="E80" s="119"/>
      <c r="F80" s="119"/>
      <c r="G80" s="119"/>
      <c r="H80" s="121"/>
      <c r="I80" s="55" t="s">
        <v>108</v>
      </c>
      <c r="J80" s="58">
        <f ca="1">(IF(B74&gt;1,(H74/(B74+2)+J79),H74/4+J79))</f>
        <v>2</v>
      </c>
      <c r="L80" s="59"/>
    </row>
    <row r="81" spans="1:14" customFormat="1" ht="15.75" hidden="1" customHeight="1">
      <c r="A81" s="123" t="s">
        <v>242</v>
      </c>
      <c r="B81" s="124" t="s">
        <v>241</v>
      </c>
      <c r="C81" s="36">
        <v>3</v>
      </c>
      <c r="D81" s="68">
        <f ca="1">((100/H74)*C81)/100</f>
        <v>0.75</v>
      </c>
      <c r="E81" s="119"/>
      <c r="F81" s="119"/>
      <c r="G81" s="119"/>
      <c r="H81" s="121"/>
      <c r="I81" s="55" t="s">
        <v>243</v>
      </c>
      <c r="J81" s="58">
        <f>(IF(B74&gt;1,(H74/(B74+2)+J80),0))</f>
        <v>0</v>
      </c>
      <c r="K81" s="60"/>
      <c r="L81" s="61"/>
      <c r="N81" s="59"/>
    </row>
    <row r="82" spans="1:14" customFormat="1" ht="15.75" hidden="1" customHeight="1">
      <c r="A82" s="123" t="s">
        <v>244</v>
      </c>
      <c r="B82" s="124" t="s">
        <v>245</v>
      </c>
      <c r="C82" s="36">
        <v>3</v>
      </c>
      <c r="D82" s="68">
        <f ca="1">((100/(H74))*C82)/100</f>
        <v>0.75</v>
      </c>
      <c r="E82" s="119"/>
      <c r="F82" s="119"/>
      <c r="G82" s="119"/>
      <c r="H82" s="121"/>
      <c r="I82" s="55" t="s">
        <v>246</v>
      </c>
      <c r="J82" s="58">
        <f>(IF(B74&gt;2,(H74/(B74+2)+J81),0))</f>
        <v>0</v>
      </c>
      <c r="K82" s="62"/>
      <c r="L82" s="61"/>
    </row>
    <row r="83" spans="1:14" customFormat="1" ht="15.75" hidden="1" customHeight="1">
      <c r="A83" s="123" t="s">
        <v>247</v>
      </c>
      <c r="B83" s="124" t="s">
        <v>247</v>
      </c>
      <c r="C83" s="36">
        <v>0</v>
      </c>
      <c r="D83" s="68">
        <f ca="1">((100/H74)*C83)/100</f>
        <v>0</v>
      </c>
      <c r="E83" s="119"/>
      <c r="F83" s="119"/>
      <c r="G83" s="119"/>
      <c r="H83" s="121"/>
      <c r="I83" s="55" t="s">
        <v>248</v>
      </c>
      <c r="J83" s="63">
        <f>(IF(B74&gt;3,(H74/(B74+2)+J82),0))</f>
        <v>0</v>
      </c>
      <c r="K83" s="62"/>
      <c r="L83" s="61"/>
    </row>
    <row r="84" spans="1:14" customFormat="1" ht="15.75" hidden="1" customHeight="1">
      <c r="A84" s="123" t="s">
        <v>249</v>
      </c>
      <c r="B84" s="124"/>
      <c r="C84" s="36">
        <v>0</v>
      </c>
      <c r="D84" s="68">
        <f ca="1">((100/H74)*C84)/100</f>
        <v>0</v>
      </c>
      <c r="E84" s="119"/>
      <c r="F84" s="119"/>
      <c r="G84" s="119"/>
      <c r="H84" s="121"/>
      <c r="I84" s="55" t="s">
        <v>250</v>
      </c>
      <c r="J84" s="58">
        <f>(IF(B74&gt;4,(H74/(B74+2)+J83),0))</f>
        <v>0</v>
      </c>
      <c r="K84" s="64"/>
      <c r="L84" s="61"/>
    </row>
    <row r="85" spans="1:14" customFormat="1" ht="15.75" hidden="1" customHeight="1">
      <c r="A85" s="123" t="s">
        <v>251</v>
      </c>
      <c r="B85" s="124" t="s">
        <v>251</v>
      </c>
      <c r="C85" s="36">
        <v>0</v>
      </c>
      <c r="D85" s="68">
        <f ca="1">((100/(H74))*C85)/100</f>
        <v>0</v>
      </c>
      <c r="E85" s="119"/>
      <c r="F85" s="119"/>
      <c r="G85" s="119"/>
      <c r="H85" s="121"/>
      <c r="I85" s="55" t="s">
        <v>109</v>
      </c>
      <c r="J85" s="58">
        <f ca="1">(IF(B74=1,(H74/(B74+3)+J80),IF(B74=0,(H74/4+J80),IF(B74&gt;1,0))))</f>
        <v>3</v>
      </c>
      <c r="K85" s="62"/>
      <c r="L85" s="61"/>
    </row>
    <row r="86" spans="1:14" customFormat="1" ht="16" hidden="1" thickBot="1">
      <c r="A86" s="136" t="s">
        <v>252</v>
      </c>
      <c r="B86" s="137"/>
      <c r="C86" s="43">
        <v>0</v>
      </c>
      <c r="D86" s="69">
        <f ca="1">((100/(H74))*C86)/100</f>
        <v>0</v>
      </c>
      <c r="E86" s="120"/>
      <c r="F86" s="120"/>
      <c r="G86" s="120"/>
      <c r="H86" s="122"/>
      <c r="I86" s="65" t="s">
        <v>110</v>
      </c>
      <c r="J86" s="66">
        <f ca="1">(IF(B74&gt;1.5,(H74/(B74+2)+J80+MAX(0,J81-J80)+MAX(0,J82-J81)+MAX(0,J83-J82)+MAX(0,J84-J83)+MAX(0,J85-J84)),IF(B74=1,(H74/(B74+3)+J85),IF(B74=0,H74/4+J85))))</f>
        <v>4</v>
      </c>
      <c r="K86" s="62"/>
      <c r="L86" s="61"/>
    </row>
    <row r="87" spans="1:14" customFormat="1" ht="15.75" hidden="1" customHeight="1">
      <c r="A87" s="125" t="s">
        <v>235</v>
      </c>
      <c r="B87" s="126"/>
      <c r="C87" s="129" t="s">
        <v>256</v>
      </c>
      <c r="D87" s="130"/>
      <c r="E87" s="130"/>
      <c r="F87" s="130"/>
      <c r="G87" s="130"/>
      <c r="H87" s="131"/>
      <c r="I87" s="39" t="str">
        <f ca="1">(IF(E91&gt;99%,"All work completed. Please provide OC.",IF(E91&gt;89.8%,"Plinth, RCC, Brick, Plaster, Flooring, Painting work Completed. Finishing work is in process.",IF(E91&lt;94%,(IF(C91=0,"Work not yet Started.",IF(D91=25%,"Piling work in process",IF(D91=50%,"Excavation work in process",IF(D91=100%,"Excavation work Completed. ","0")))&amp;(IF(C92=0%,"",IF(C92=J93,"Footing work is process",IF(C92=J94,"Footing work Completed",IF(C92=J95,"1st Basement Completed",IF(C92=J96,"1st &amp; 2nd Basement Completed",IF(C92=J97,"1st to 3rd Basement Completed",IF(C92=J98,"1st to 4th Basement Completed",IF(C92=J99,"Plinth work is process",IF(C92=J100,"Plinth work completed","0")))))))))))&amp;(IF(C93=(D88+F88+H88),", RCC Slab",IF(C93&gt;0,", RCC upto "&amp;C93&amp;" Slab",""))&amp;(IF(C94=H88,", Brickwork",IF(C94&gt;0,", Brickwork upto "&amp;C94&amp;" Floor",""))&amp;(IF(C95=H88,", Internal Plaster",IF(C95&gt;0,", Internal Plaster upto "&amp;C95&amp;" Floor",""))&amp;(IF(C96=H88,", External Plaster",IF(C96&gt;0,", External Plaster upto "&amp;C96&amp;" Floor",""))&amp;(IF(C97=H88,", Flooring",IF(C97&gt;0,", Flooring upto "&amp;C97&amp;" Floor",""))&amp;(IF(C98=H88,", Painting",IF(C98&gt;0,", Painting upto "&amp;C98&amp;" Floor",""))&amp;(IF(C99&gt;0,", Finishing upto "&amp;C99&amp;" Floor","")&amp;(IF(C93&gt;0.5," Completed",""))))))))))))))</f>
        <v>Excavation work Completed. Plinth work completed, RCC Slab, Brickwork, Internal Plaster upto 2 Floor, External Plaster upto 2 Floor Completed</v>
      </c>
      <c r="J87" s="40"/>
    </row>
    <row r="88" spans="1:14" customFormat="1" hidden="1">
      <c r="A88" s="33" t="s">
        <v>94</v>
      </c>
      <c r="B88" s="67">
        <v>0</v>
      </c>
      <c r="C88" s="67" t="s">
        <v>95</v>
      </c>
      <c r="D88" s="67">
        <v>1</v>
      </c>
      <c r="E88" s="67" t="s">
        <v>96</v>
      </c>
      <c r="F88" s="67">
        <v>0</v>
      </c>
      <c r="G88" s="67" t="s">
        <v>97</v>
      </c>
      <c r="H88" s="34">
        <f ca="1">--TRIM(RIGHT(SUBSTITUTE(LEFT(C87,_xlfn.AGGREGATE(16,6,FIND({0,1,2,3,4,5,6,7,8,9},C87,ROW(INDIRECT("1:"&amp;LEN(C87)))),1))," ",REPT(" ",LEN(C87))),LEN(C87)))</f>
        <v>4</v>
      </c>
      <c r="I88" s="56"/>
      <c r="J88" s="41"/>
    </row>
    <row r="89" spans="1:14" customFormat="1" ht="51" hidden="1" customHeight="1">
      <c r="A89" s="127" t="s">
        <v>98</v>
      </c>
      <c r="B89" s="128"/>
      <c r="C89" s="132" t="str">
        <f ca="1">I87</f>
        <v>Excavation work Completed. Plinth work completed, RCC Slab, Brickwork, Internal Plaster upto 2 Floor, External Plaster upto 2 Floor Completed</v>
      </c>
      <c r="D89" s="132"/>
      <c r="E89" s="132"/>
      <c r="F89" s="132"/>
      <c r="G89" s="132"/>
      <c r="H89" s="133"/>
      <c r="I89" s="56" t="s">
        <v>103</v>
      </c>
      <c r="J89" s="41"/>
    </row>
    <row r="90" spans="1:14" customFormat="1" ht="31" hidden="1">
      <c r="A90" s="123" t="s">
        <v>99</v>
      </c>
      <c r="B90" s="124"/>
      <c r="C90" s="35" t="s">
        <v>236</v>
      </c>
      <c r="D90" s="70" t="s">
        <v>100</v>
      </c>
      <c r="E90" s="124" t="s">
        <v>101</v>
      </c>
      <c r="F90" s="124"/>
      <c r="G90" s="124" t="s">
        <v>102</v>
      </c>
      <c r="H90" s="134"/>
      <c r="I90" s="55" t="s">
        <v>237</v>
      </c>
      <c r="J90" s="42">
        <f ca="1">H88*25%</f>
        <v>1</v>
      </c>
    </row>
    <row r="91" spans="1:14" customFormat="1" hidden="1">
      <c r="A91" s="123" t="s">
        <v>238</v>
      </c>
      <c r="B91" s="124"/>
      <c r="C91" s="36">
        <f ca="1">J92</f>
        <v>4</v>
      </c>
      <c r="D91" s="68">
        <f ca="1">((100/H88)*C91)/100</f>
        <v>1</v>
      </c>
      <c r="E91" s="119">
        <f ca="1">(((C92/H88*10)+(40/(D88+F88+H88)*C93)+(7.5/(H88)*C94)+(7.5/(H88)*C95)+(10/H88*C96)+(10/H88*C97)+(5/H88*C98)+(5/H88*C99)+(5/H88*C100))/100)</f>
        <v>0.66249999999999998</v>
      </c>
      <c r="F91" s="119"/>
      <c r="G91" s="119">
        <f ca="1">((((C91/H88)*20)+((C92/H88)*25)+(30/(H88+F88+D88)*C93)+(5/H88*C94)+(5/H88*C95)+(5/H88*C96)+(5/H88*C97)+(0/H88*C98)+(0/H88*C99)+(5/H88*C100))/100)</f>
        <v>0.85</v>
      </c>
      <c r="H91" s="121"/>
      <c r="I91" s="55" t="s">
        <v>105</v>
      </c>
      <c r="J91" s="57">
        <f ca="1">H88*50%</f>
        <v>2</v>
      </c>
    </row>
    <row r="92" spans="1:14" customFormat="1" hidden="1">
      <c r="A92" s="123" t="s">
        <v>104</v>
      </c>
      <c r="B92" s="124"/>
      <c r="C92" s="37">
        <f ca="1">J100</f>
        <v>4</v>
      </c>
      <c r="D92" s="68">
        <f ca="1">((100/H88)*C92)/100</f>
        <v>1</v>
      </c>
      <c r="E92" s="119"/>
      <c r="F92" s="119"/>
      <c r="G92" s="119"/>
      <c r="H92" s="121"/>
      <c r="I92" s="55" t="s">
        <v>106</v>
      </c>
      <c r="J92" s="57">
        <f ca="1">H88</f>
        <v>4</v>
      </c>
    </row>
    <row r="93" spans="1:14" customFormat="1" hidden="1">
      <c r="A93" s="123" t="s">
        <v>239</v>
      </c>
      <c r="B93" s="124"/>
      <c r="C93" s="37">
        <f ca="1">D88+H88</f>
        <v>5</v>
      </c>
      <c r="D93" s="68">
        <f ca="1">((100/(D88+F88+H88))*C93)/100</f>
        <v>1</v>
      </c>
      <c r="E93" s="119"/>
      <c r="F93" s="119"/>
      <c r="G93" s="119"/>
      <c r="H93" s="121"/>
      <c r="I93" s="55" t="s">
        <v>107</v>
      </c>
      <c r="J93" s="58">
        <f ca="1">(IF(B88&gt;1,(H88/(B88+2)),H88/4))</f>
        <v>1</v>
      </c>
      <c r="L93" s="59"/>
    </row>
    <row r="94" spans="1:14" customFormat="1" ht="15.75" hidden="1" customHeight="1">
      <c r="A94" s="123" t="s">
        <v>240</v>
      </c>
      <c r="B94" s="124" t="s">
        <v>241</v>
      </c>
      <c r="C94" s="36">
        <v>4</v>
      </c>
      <c r="D94" s="68">
        <f ca="1">((100/H88)*C94)/100</f>
        <v>1</v>
      </c>
      <c r="E94" s="119"/>
      <c r="F94" s="119"/>
      <c r="G94" s="119"/>
      <c r="H94" s="121"/>
      <c r="I94" s="55" t="s">
        <v>108</v>
      </c>
      <c r="J94" s="58">
        <f ca="1">(IF(B88&gt;1,(H88/(B88+2)+J93),H88/4+J93))</f>
        <v>2</v>
      </c>
      <c r="L94" s="59"/>
    </row>
    <row r="95" spans="1:14" customFormat="1" ht="15.75" hidden="1" customHeight="1">
      <c r="A95" s="123" t="s">
        <v>242</v>
      </c>
      <c r="B95" s="124" t="s">
        <v>241</v>
      </c>
      <c r="C95" s="36">
        <v>2</v>
      </c>
      <c r="D95" s="68">
        <f ca="1">((100/H88)*C95)/100</f>
        <v>0.5</v>
      </c>
      <c r="E95" s="119"/>
      <c r="F95" s="119"/>
      <c r="G95" s="119"/>
      <c r="H95" s="121"/>
      <c r="I95" s="55" t="s">
        <v>243</v>
      </c>
      <c r="J95" s="58">
        <f>(IF(B88&gt;1,(H88/(B88+2)+J94),0))</f>
        <v>0</v>
      </c>
      <c r="K95" s="60"/>
      <c r="L95" s="61"/>
      <c r="N95" s="59"/>
    </row>
    <row r="96" spans="1:14" customFormat="1" ht="15.75" hidden="1" customHeight="1">
      <c r="A96" s="123" t="s">
        <v>244</v>
      </c>
      <c r="B96" s="124" t="s">
        <v>245</v>
      </c>
      <c r="C96" s="36">
        <v>2</v>
      </c>
      <c r="D96" s="68">
        <f ca="1">((100/(H88))*C96)/100</f>
        <v>0.5</v>
      </c>
      <c r="E96" s="119"/>
      <c r="F96" s="119"/>
      <c r="G96" s="119"/>
      <c r="H96" s="121"/>
      <c r="I96" s="55" t="s">
        <v>246</v>
      </c>
      <c r="J96" s="58">
        <f>(IF(B88&gt;2,(H88/(B88+2)+J95),0))</f>
        <v>0</v>
      </c>
      <c r="K96" s="62"/>
      <c r="L96" s="61"/>
    </row>
    <row r="97" spans="1:14" customFormat="1" ht="15.75" hidden="1" customHeight="1">
      <c r="A97" s="123" t="s">
        <v>247</v>
      </c>
      <c r="B97" s="124" t="s">
        <v>247</v>
      </c>
      <c r="C97" s="36">
        <v>0</v>
      </c>
      <c r="D97" s="68">
        <f ca="1">((100/H88)*C97)/100</f>
        <v>0</v>
      </c>
      <c r="E97" s="119"/>
      <c r="F97" s="119"/>
      <c r="G97" s="119"/>
      <c r="H97" s="121"/>
      <c r="I97" s="55" t="s">
        <v>248</v>
      </c>
      <c r="J97" s="63">
        <f>(IF(B88&gt;3,(H88/(B88+2)+J96),0))</f>
        <v>0</v>
      </c>
      <c r="K97" s="62"/>
      <c r="L97" s="61"/>
    </row>
    <row r="98" spans="1:14" customFormat="1" ht="15.75" hidden="1" customHeight="1">
      <c r="A98" s="123" t="s">
        <v>249</v>
      </c>
      <c r="B98" s="124"/>
      <c r="C98" s="36">
        <v>0</v>
      </c>
      <c r="D98" s="68">
        <f ca="1">((100/H88)*C98)/100</f>
        <v>0</v>
      </c>
      <c r="E98" s="119"/>
      <c r="F98" s="119"/>
      <c r="G98" s="119"/>
      <c r="H98" s="121"/>
      <c r="I98" s="55" t="s">
        <v>250</v>
      </c>
      <c r="J98" s="58">
        <f>(IF(B88&gt;4,(H88/(B88+2)+J97),0))</f>
        <v>0</v>
      </c>
      <c r="K98" s="64"/>
      <c r="L98" s="61"/>
    </row>
    <row r="99" spans="1:14" customFormat="1" ht="15.75" hidden="1" customHeight="1">
      <c r="A99" s="123" t="s">
        <v>251</v>
      </c>
      <c r="B99" s="124" t="s">
        <v>251</v>
      </c>
      <c r="C99" s="36">
        <v>0</v>
      </c>
      <c r="D99" s="68">
        <f ca="1">((100/(H88))*C99)/100</f>
        <v>0</v>
      </c>
      <c r="E99" s="119"/>
      <c r="F99" s="119"/>
      <c r="G99" s="119"/>
      <c r="H99" s="121"/>
      <c r="I99" s="55" t="s">
        <v>109</v>
      </c>
      <c r="J99" s="58">
        <f ca="1">(IF(B88=1,(H88/(B88+3)+J94),IF(B88=0,(H88/4+J94),IF(B88&gt;1,0))))</f>
        <v>3</v>
      </c>
      <c r="K99" s="62"/>
      <c r="L99" s="61"/>
    </row>
    <row r="100" spans="1:14" customFormat="1" ht="16" hidden="1" thickBot="1">
      <c r="A100" s="136" t="s">
        <v>252</v>
      </c>
      <c r="B100" s="137"/>
      <c r="C100" s="43">
        <v>0</v>
      </c>
      <c r="D100" s="69">
        <f ca="1">((100/(H88))*C100)/100</f>
        <v>0</v>
      </c>
      <c r="E100" s="120"/>
      <c r="F100" s="120"/>
      <c r="G100" s="120"/>
      <c r="H100" s="122"/>
      <c r="I100" s="65" t="s">
        <v>110</v>
      </c>
      <c r="J100" s="66">
        <f ca="1">(IF(B88&gt;1.5,(H88/(B88+2)+J94+MAX(0,J95-J94)+MAX(0,J96-J95)+MAX(0,J97-J96)+MAX(0,J98-J97)+MAX(0,J99-J98)),IF(B88=1,(H88/(B88+3)+J99),IF(B88=0,H88/4+J99))))</f>
        <v>4</v>
      </c>
      <c r="K100" s="62"/>
      <c r="L100" s="61"/>
    </row>
    <row r="101" spans="1:14" customFormat="1" ht="15.75" customHeight="1">
      <c r="A101" s="125" t="s">
        <v>235</v>
      </c>
      <c r="B101" s="126"/>
      <c r="C101" s="129" t="s">
        <v>253</v>
      </c>
      <c r="D101" s="130"/>
      <c r="E101" s="130"/>
      <c r="F101" s="130"/>
      <c r="G101" s="130"/>
      <c r="H101" s="131"/>
      <c r="I101" s="39" t="str">
        <f ca="1">(IF(E105&gt;99%,"All work completed. Please provide OC.",IF(E105&gt;89.8%,"Plinth, RCC, Brick, Plaster, Flooring, Painting work Completed. Finishing work is in process.",IF(E105&lt;94%,(IF(C105=0,"Work not yet Started.",IF(D105=25%,"Piling work in process",IF(D105=50%,"Excavation work in process",IF(D105=100%,"Excavation work Completed. ","0")))&amp;(IF(C106=0%,"",IF(C106=J107,"Footing work is process",IF(C106=J108,"Footing work Completed",IF(C106=J109,"1st Basement Completed",IF(C106=J110,"1st &amp; 2nd Basement Completed",IF(C106=J111,"1st to 3rd Basement Completed",IF(C106=J112,"1st to 4th Basement Completed",IF(C106=J113,"Plinth work is process",IF(C106=J114,"Plinth work completed","0")))))))))))&amp;(IF(C107=(D102+F102+H102),", RCC Slab",IF(C107&gt;0,", RCC upto "&amp;C107&amp;" Slab",""))&amp;(IF(C108=H102,", Brickwork",IF(C108&gt;0,", Brickwork upto "&amp;C108&amp;" Floor",""))&amp;(IF(C109=H102,", Internal Plaster",IF(C109&gt;0,", Internal Plaster upto "&amp;C109&amp;" Floor",""))&amp;(IF(C110=H102,", External Plaster",IF(C110&gt;0,", External Plaster upto "&amp;C110&amp;" Floor",""))&amp;(IF(C111=H102,", Flooring",IF(C111&gt;0,", Flooring upto "&amp;C111&amp;" Floor",""))&amp;(IF(C112=H102,", Painting",IF(C112&gt;0,", Painting upto "&amp;C112&amp;" Floor",""))&amp;(IF(C113&gt;0,", Finishing upto "&amp;C113&amp;" Floor","")&amp;(IF(C107&gt;0.5," Completed",""))))))))))))))</f>
        <v>Excavation work Completed. Plinth work completed, RCC Slab, Brickwork, Internal Plaster, External Plaster, Flooring upto 3 Floor, Painting upto 3 Floor Completed</v>
      </c>
      <c r="J101" s="40"/>
    </row>
    <row r="102" spans="1:14" customFormat="1">
      <c r="A102" s="33" t="s">
        <v>94</v>
      </c>
      <c r="B102" s="67">
        <v>0</v>
      </c>
      <c r="C102" s="67" t="s">
        <v>95</v>
      </c>
      <c r="D102" s="67">
        <v>1</v>
      </c>
      <c r="E102" s="67" t="s">
        <v>96</v>
      </c>
      <c r="F102" s="67">
        <v>0</v>
      </c>
      <c r="G102" s="67" t="s">
        <v>97</v>
      </c>
      <c r="H102" s="34">
        <f ca="1">--TRIM(RIGHT(SUBSTITUTE(LEFT(C101,_xlfn.AGGREGATE(16,6,FIND({0,1,2,3,4,5,6,7,8,9},C101,ROW(INDIRECT("1:"&amp;LEN(C101)))),1))," ",REPT(" ",LEN(C101))),LEN(C101)))</f>
        <v>4</v>
      </c>
      <c r="I102" s="56"/>
      <c r="J102" s="41"/>
    </row>
    <row r="103" spans="1:14" customFormat="1" ht="50.25" customHeight="1">
      <c r="A103" s="127" t="s">
        <v>98</v>
      </c>
      <c r="B103" s="128"/>
      <c r="C103" s="132" t="str">
        <f ca="1">I101</f>
        <v>Excavation work Completed. Plinth work completed, RCC Slab, Brickwork, Internal Plaster, External Plaster, Flooring upto 3 Floor, Painting upto 3 Floor Completed</v>
      </c>
      <c r="D103" s="132"/>
      <c r="E103" s="132"/>
      <c r="F103" s="132"/>
      <c r="G103" s="132"/>
      <c r="H103" s="133"/>
      <c r="I103" s="56" t="s">
        <v>103</v>
      </c>
      <c r="J103" s="41"/>
    </row>
    <row r="104" spans="1:14" customFormat="1" ht="31">
      <c r="A104" s="123" t="s">
        <v>99</v>
      </c>
      <c r="B104" s="124"/>
      <c r="C104" s="35" t="s">
        <v>236</v>
      </c>
      <c r="D104" s="70" t="s">
        <v>100</v>
      </c>
      <c r="E104" s="124" t="s">
        <v>101</v>
      </c>
      <c r="F104" s="124"/>
      <c r="G104" s="124" t="s">
        <v>102</v>
      </c>
      <c r="H104" s="134"/>
      <c r="I104" s="55" t="s">
        <v>237</v>
      </c>
      <c r="J104" s="42">
        <f ca="1">H102*25%</f>
        <v>1</v>
      </c>
    </row>
    <row r="105" spans="1:14" customFormat="1">
      <c r="A105" s="124" t="s">
        <v>238</v>
      </c>
      <c r="B105" s="124"/>
      <c r="C105" s="36">
        <f ca="1">J106</f>
        <v>4</v>
      </c>
      <c r="D105" s="72">
        <f ca="1">((100/H102)*C105)/100</f>
        <v>1</v>
      </c>
      <c r="E105" s="119">
        <f ca="1">(((C106/H102*10)+(40/(D102+F102+H102)*C107)+(7.5/(H102)*C108)+(7.5/(H102)*C109)+(10/H102*C110)+(10/H102*C111)+(5/H102*C112)+(5/H102*C113)+(5/H102*C114))/100)</f>
        <v>0.86250000000000004</v>
      </c>
      <c r="F105" s="119"/>
      <c r="G105" s="119">
        <f ca="1">((((C105/H102)*20)+((C106/H102)*25)+(30/(H102+F102+D102)*C107)+(5/H102*C108)+(5/H102*C109)+(5/H102*C110)+(5/H102*C111)+(0/H102*C112)+(0/H102*C113)+(5/H102*C114))/100)</f>
        <v>0.9375</v>
      </c>
      <c r="H105" s="119"/>
      <c r="I105" s="55" t="s">
        <v>105</v>
      </c>
      <c r="J105" s="57">
        <f ca="1">H102*50%</f>
        <v>2</v>
      </c>
    </row>
    <row r="106" spans="1:14" customFormat="1">
      <c r="A106" s="124" t="s">
        <v>104</v>
      </c>
      <c r="B106" s="124"/>
      <c r="C106" s="37">
        <f ca="1">J114</f>
        <v>4</v>
      </c>
      <c r="D106" s="72">
        <f ca="1">((100/H102)*C106)/100</f>
        <v>1</v>
      </c>
      <c r="E106" s="119"/>
      <c r="F106" s="119"/>
      <c r="G106" s="119"/>
      <c r="H106" s="119"/>
      <c r="I106" s="55" t="s">
        <v>106</v>
      </c>
      <c r="J106" s="57">
        <f ca="1">H102</f>
        <v>4</v>
      </c>
    </row>
    <row r="107" spans="1:14" customFormat="1">
      <c r="A107" s="124" t="s">
        <v>239</v>
      </c>
      <c r="B107" s="124"/>
      <c r="C107" s="37">
        <f ca="1">D102+H102</f>
        <v>5</v>
      </c>
      <c r="D107" s="72">
        <f ca="1">((100/(D102+F102+H102))*C107)/100</f>
        <v>1</v>
      </c>
      <c r="E107" s="119"/>
      <c r="F107" s="119"/>
      <c r="G107" s="119"/>
      <c r="H107" s="119"/>
      <c r="I107" s="55" t="s">
        <v>107</v>
      </c>
      <c r="J107" s="58">
        <f ca="1">(IF(B102&gt;1,(H102/(B102+2)),H102/4))</f>
        <v>1</v>
      </c>
      <c r="L107" s="59"/>
    </row>
    <row r="108" spans="1:14" customFormat="1" ht="15.75" customHeight="1">
      <c r="A108" s="124" t="s">
        <v>240</v>
      </c>
      <c r="B108" s="124" t="s">
        <v>241</v>
      </c>
      <c r="C108" s="36">
        <v>4</v>
      </c>
      <c r="D108" s="72">
        <f ca="1">((100/H102)*C108)/100</f>
        <v>1</v>
      </c>
      <c r="E108" s="119"/>
      <c r="F108" s="119"/>
      <c r="G108" s="119"/>
      <c r="H108" s="119"/>
      <c r="I108" s="55" t="s">
        <v>108</v>
      </c>
      <c r="J108" s="58">
        <f ca="1">(IF(B102&gt;1,(H102/(B102+2)+J107),H102/4+J107))</f>
        <v>2</v>
      </c>
      <c r="L108" s="59"/>
    </row>
    <row r="109" spans="1:14" customFormat="1" ht="15.75" customHeight="1">
      <c r="A109" s="124" t="s">
        <v>242</v>
      </c>
      <c r="B109" s="124" t="s">
        <v>241</v>
      </c>
      <c r="C109" s="36">
        <v>4</v>
      </c>
      <c r="D109" s="72">
        <f ca="1">((100/H102)*C109)/100</f>
        <v>1</v>
      </c>
      <c r="E109" s="119"/>
      <c r="F109" s="119"/>
      <c r="G109" s="119"/>
      <c r="H109" s="119"/>
      <c r="I109" s="55" t="s">
        <v>243</v>
      </c>
      <c r="J109" s="58">
        <f>(IF(B102&gt;1,(H102/(B102+2)+J108),0))</f>
        <v>0</v>
      </c>
      <c r="K109" s="60"/>
      <c r="L109" s="61"/>
      <c r="N109" s="59"/>
    </row>
    <row r="110" spans="1:14" customFormat="1" ht="15.75" customHeight="1">
      <c r="A110" s="124" t="s">
        <v>244</v>
      </c>
      <c r="B110" s="124" t="s">
        <v>245</v>
      </c>
      <c r="C110" s="36">
        <v>4</v>
      </c>
      <c r="D110" s="72">
        <f ca="1">((100/(H102))*C110)/100</f>
        <v>1</v>
      </c>
      <c r="E110" s="119"/>
      <c r="F110" s="119"/>
      <c r="G110" s="119"/>
      <c r="H110" s="119"/>
      <c r="I110" s="55" t="s">
        <v>246</v>
      </c>
      <c r="J110" s="58">
        <f>(IF(B102&gt;2,(H102/(B102+2)+J109),0))</f>
        <v>0</v>
      </c>
      <c r="K110" s="62"/>
      <c r="L110" s="61"/>
    </row>
    <row r="111" spans="1:14" customFormat="1" ht="15.75" customHeight="1">
      <c r="A111" s="124" t="s">
        <v>247</v>
      </c>
      <c r="B111" s="124" t="s">
        <v>247</v>
      </c>
      <c r="C111" s="36">
        <v>3</v>
      </c>
      <c r="D111" s="72">
        <f ca="1">((100/H102)*C111)/100</f>
        <v>0.75</v>
      </c>
      <c r="E111" s="119"/>
      <c r="F111" s="119"/>
      <c r="G111" s="119"/>
      <c r="H111" s="119"/>
      <c r="I111" s="55" t="s">
        <v>248</v>
      </c>
      <c r="J111" s="63">
        <f>(IF(B102&gt;3,(H102/(B102+2)+J110),0))</f>
        <v>0</v>
      </c>
      <c r="K111" s="62"/>
      <c r="L111" s="61"/>
    </row>
    <row r="112" spans="1:14" customFormat="1" ht="15.75" customHeight="1">
      <c r="A112" s="124" t="s">
        <v>249</v>
      </c>
      <c r="B112" s="124"/>
      <c r="C112" s="36">
        <v>3</v>
      </c>
      <c r="D112" s="72">
        <f ca="1">((100/H102)*C112)/100</f>
        <v>0.75</v>
      </c>
      <c r="E112" s="119"/>
      <c r="F112" s="119"/>
      <c r="G112" s="119"/>
      <c r="H112" s="119"/>
      <c r="I112" s="55" t="s">
        <v>250</v>
      </c>
      <c r="J112" s="58">
        <f>(IF(B102&gt;4,(H102/(B102+2)+J111),0))</f>
        <v>0</v>
      </c>
      <c r="K112" s="64"/>
      <c r="L112" s="61"/>
    </row>
    <row r="113" spans="1:14" customFormat="1" ht="15.75" customHeight="1">
      <c r="A113" s="124" t="s">
        <v>251</v>
      </c>
      <c r="B113" s="124" t="s">
        <v>251</v>
      </c>
      <c r="C113" s="36">
        <v>0</v>
      </c>
      <c r="D113" s="72">
        <f ca="1">((100/(H102))*C113)/100</f>
        <v>0</v>
      </c>
      <c r="E113" s="119"/>
      <c r="F113" s="119"/>
      <c r="G113" s="119"/>
      <c r="H113" s="119"/>
      <c r="I113" s="55" t="s">
        <v>109</v>
      </c>
      <c r="J113" s="58">
        <f ca="1">(IF(B102=1,(H102/(B102+3)+J108),IF(B102=0,(H102/4+J108),IF(B102&gt;1,0))))</f>
        <v>3</v>
      </c>
      <c r="K113" s="62"/>
      <c r="L113" s="61"/>
    </row>
    <row r="114" spans="1:14" customFormat="1" ht="16" thickBot="1">
      <c r="A114" s="124" t="s">
        <v>252</v>
      </c>
      <c r="B114" s="124"/>
      <c r="C114" s="36">
        <v>0</v>
      </c>
      <c r="D114" s="72">
        <f ca="1">((100/(H102))*C114)/100</f>
        <v>0</v>
      </c>
      <c r="E114" s="119"/>
      <c r="F114" s="119"/>
      <c r="G114" s="119"/>
      <c r="H114" s="119"/>
      <c r="I114" s="65" t="s">
        <v>110</v>
      </c>
      <c r="J114" s="66">
        <f ca="1">(IF(B102&gt;1.5,(H102/(B102+2)+J108+MAX(0,J109-J108)+MAX(0,J110-J109)+MAX(0,J111-J110)+MAX(0,J112-J111)+MAX(0,J113-J112)),IF(B102=1,(H102/(B102+3)+J113),IF(B102=0,H102/4+J113))))</f>
        <v>4</v>
      </c>
      <c r="K114" s="62"/>
      <c r="L114" s="61"/>
    </row>
    <row r="115" spans="1:14" customFormat="1" ht="15.75" customHeight="1">
      <c r="A115" s="132" t="s">
        <v>235</v>
      </c>
      <c r="B115" s="132"/>
      <c r="C115" s="132" t="s">
        <v>259</v>
      </c>
      <c r="D115" s="132"/>
      <c r="E115" s="132"/>
      <c r="F115" s="132"/>
      <c r="G115" s="132"/>
      <c r="H115" s="132"/>
      <c r="I115" s="39" t="str">
        <f ca="1">(IF(E119&gt;99%,"All work completed. Please provide OC.",IF(E119&gt;89.8%,"Plinth, RCC, Brick, Plaster, Flooring, Painting work Completed. Finishing work is in process.",IF(E119&lt;94%,(IF(C119=0,"Work not yet Started.",IF(D119=25%,"Piling work in process",IF(D119=50%,"Excavation work in process",IF(D119=100%,"Excavation work Completed. ","0")))&amp;(IF(C120=0%,"",IF(C120=J121,"Footing work is process",IF(C120=J122,"Footing work Completed",IF(C120=J123,"1st Basement Completed",IF(C120=J124,"1st &amp; 2nd Basement Completed",IF(C120=J125,"1st to 3rd Basement Completed",IF(C120=J126,"1st to 4th Basement Completed",IF(C120=J127,"Plinth work is process",IF(C120=J128,"Plinth work completed","0")))))))))))&amp;(IF(C121=(D116+F116+H116),", RCC Slab",IF(C121&gt;0,", RCC upto "&amp;C121&amp;" Slab",""))&amp;(IF(C122=H116,", Brickwork",IF(C122&gt;0,", Brickwork upto "&amp;C122&amp;" Floor",""))&amp;(IF(C123=H116,", Internal Plaster",IF(C123&gt;0,", Internal Plaster upto "&amp;C123&amp;" Floor",""))&amp;(IF(C124=H116,", External Plaster",IF(C124&gt;0,", External Plaster upto "&amp;C124&amp;" Floor",""))&amp;(IF(C125=H116,", Flooring",IF(C125&gt;0,", Flooring upto "&amp;C125&amp;" Floor",""))&amp;(IF(C126=H116,", Painting",IF(C126&gt;0,", Painting upto "&amp;C126&amp;" Floor",""))&amp;(IF(C127&gt;0,", Finishing upto "&amp;C127&amp;" Floor","")&amp;(IF(C121&gt;0.5," Completed",""))))))))))))))</f>
        <v>Plinth, RCC, Brick, Plaster, Flooring, Painting work Completed. Finishing work is in process.</v>
      </c>
      <c r="J115" s="40"/>
    </row>
    <row r="116" spans="1:14" customFormat="1">
      <c r="A116" s="74" t="s">
        <v>94</v>
      </c>
      <c r="B116" s="74">
        <v>0</v>
      </c>
      <c r="C116" s="74" t="s">
        <v>95</v>
      </c>
      <c r="D116" s="74">
        <v>1</v>
      </c>
      <c r="E116" s="74" t="s">
        <v>96</v>
      </c>
      <c r="F116" s="74">
        <v>0</v>
      </c>
      <c r="G116" s="74" t="s">
        <v>97</v>
      </c>
      <c r="H116" s="74">
        <f ca="1">--TRIM(RIGHT(SUBSTITUTE(LEFT(C115,_xlfn.AGGREGATE(16,6,FIND({0,1,2,3,4,5,6,7,8,9},C115,ROW(INDIRECT("1:"&amp;LEN(C115)))),1))," ",REPT(" ",LEN(C115))),LEN(C115)))</f>
        <v>4</v>
      </c>
      <c r="I116" s="56"/>
      <c r="J116" s="41"/>
    </row>
    <row r="117" spans="1:14" customFormat="1" ht="36.65" customHeight="1">
      <c r="A117" s="128" t="s">
        <v>98</v>
      </c>
      <c r="B117" s="128"/>
      <c r="C117" s="132" t="str">
        <f ca="1">I115</f>
        <v>Plinth, RCC, Brick, Plaster, Flooring, Painting work Completed. Finishing work is in process.</v>
      </c>
      <c r="D117" s="132"/>
      <c r="E117" s="132"/>
      <c r="F117" s="132"/>
      <c r="G117" s="132"/>
      <c r="H117" s="132"/>
      <c r="I117" s="56" t="s">
        <v>103</v>
      </c>
      <c r="J117" s="41"/>
    </row>
    <row r="118" spans="1:14" customFormat="1" ht="31">
      <c r="A118" s="124" t="s">
        <v>99</v>
      </c>
      <c r="B118" s="124"/>
      <c r="C118" s="35" t="s">
        <v>236</v>
      </c>
      <c r="D118" s="71" t="s">
        <v>100</v>
      </c>
      <c r="E118" s="124" t="s">
        <v>101</v>
      </c>
      <c r="F118" s="124"/>
      <c r="G118" s="124" t="s">
        <v>102</v>
      </c>
      <c r="H118" s="124"/>
      <c r="I118" s="55" t="s">
        <v>237</v>
      </c>
      <c r="J118" s="42">
        <f ca="1">H116*25%</f>
        <v>1</v>
      </c>
    </row>
    <row r="119" spans="1:14" customFormat="1">
      <c r="A119" s="123" t="s">
        <v>238</v>
      </c>
      <c r="B119" s="124"/>
      <c r="C119" s="36">
        <f ca="1">J120</f>
        <v>4</v>
      </c>
      <c r="D119" s="68">
        <f ca="1">((100/H116)*C119)/100</f>
        <v>1</v>
      </c>
      <c r="E119" s="119">
        <f ca="1">(((C120/H116*10)+(40/(D116+F116+H116)*C121)+(7.5/(H116)*C122)+(7.5/(H116)*C123)+(10/H116*C124)+(10/H116*C125)+(5/H116*C126)+(5/H116*C127)+(5/H116*C128))/100)</f>
        <v>0.91249999999999998</v>
      </c>
      <c r="F119" s="119"/>
      <c r="G119" s="119">
        <f ca="1">((((C119/H116)*20)+((C120/H116)*25)+(30/(H116+F116+D116)*C121)+(5/H116*C122)+(5/H116*C123)+(5/H116*C124)+(5/H116*C125)+(0/H116*C126)+(0/H116*C127)+(5/H116*C128))/100)</f>
        <v>0.95</v>
      </c>
      <c r="H119" s="121"/>
      <c r="I119" s="55" t="s">
        <v>105</v>
      </c>
      <c r="J119" s="57">
        <f ca="1">H116*50%</f>
        <v>2</v>
      </c>
    </row>
    <row r="120" spans="1:14" customFormat="1">
      <c r="A120" s="123" t="s">
        <v>104</v>
      </c>
      <c r="B120" s="124"/>
      <c r="C120" s="37">
        <f ca="1">J128</f>
        <v>4</v>
      </c>
      <c r="D120" s="68">
        <f ca="1">((100/H116)*C120)/100</f>
        <v>1</v>
      </c>
      <c r="E120" s="119"/>
      <c r="F120" s="119"/>
      <c r="G120" s="119"/>
      <c r="H120" s="121"/>
      <c r="I120" s="55" t="s">
        <v>106</v>
      </c>
      <c r="J120" s="57">
        <f ca="1">H116</f>
        <v>4</v>
      </c>
    </row>
    <row r="121" spans="1:14" customFormat="1">
      <c r="A121" s="123" t="s">
        <v>239</v>
      </c>
      <c r="B121" s="124"/>
      <c r="C121" s="37">
        <f ca="1">D116+H116</f>
        <v>5</v>
      </c>
      <c r="D121" s="68">
        <f ca="1">((100/(D116+F116+H116))*C121)/100</f>
        <v>1</v>
      </c>
      <c r="E121" s="119"/>
      <c r="F121" s="119"/>
      <c r="G121" s="119"/>
      <c r="H121" s="121"/>
      <c r="I121" s="55" t="s">
        <v>107</v>
      </c>
      <c r="J121" s="58">
        <f ca="1">(IF(B116&gt;1,(H116/(B116+2)),H116/4))</f>
        <v>1</v>
      </c>
      <c r="L121" s="59"/>
    </row>
    <row r="122" spans="1:14" customFormat="1" ht="15.75" customHeight="1">
      <c r="A122" s="123" t="s">
        <v>240</v>
      </c>
      <c r="B122" s="124" t="s">
        <v>241</v>
      </c>
      <c r="C122" s="36">
        <v>4</v>
      </c>
      <c r="D122" s="68">
        <f ca="1">((100/H116)*C122)/100</f>
        <v>1</v>
      </c>
      <c r="E122" s="119"/>
      <c r="F122" s="119"/>
      <c r="G122" s="119"/>
      <c r="H122" s="121"/>
      <c r="I122" s="55" t="s">
        <v>108</v>
      </c>
      <c r="J122" s="58">
        <f ca="1">(IF(B116&gt;1,(H116/(B116+2)+J121),H116/4+J121))</f>
        <v>2</v>
      </c>
      <c r="L122" s="59"/>
    </row>
    <row r="123" spans="1:14" customFormat="1" ht="15.75" customHeight="1">
      <c r="A123" s="123" t="s">
        <v>242</v>
      </c>
      <c r="B123" s="124" t="s">
        <v>241</v>
      </c>
      <c r="C123" s="36">
        <v>4</v>
      </c>
      <c r="D123" s="68">
        <f ca="1">((100/H116)*C123)/100</f>
        <v>1</v>
      </c>
      <c r="E123" s="119"/>
      <c r="F123" s="119"/>
      <c r="G123" s="119"/>
      <c r="H123" s="121"/>
      <c r="I123" s="55" t="s">
        <v>243</v>
      </c>
      <c r="J123" s="58">
        <f>(IF(B116&gt;1,(H116/(B116+2)+J122),0))</f>
        <v>0</v>
      </c>
      <c r="K123" s="60"/>
      <c r="L123" s="61"/>
      <c r="N123" s="59"/>
    </row>
    <row r="124" spans="1:14" customFormat="1" ht="15.75" customHeight="1">
      <c r="A124" s="123" t="s">
        <v>244</v>
      </c>
      <c r="B124" s="124" t="s">
        <v>245</v>
      </c>
      <c r="C124" s="36">
        <v>4</v>
      </c>
      <c r="D124" s="68">
        <f ca="1">((100/(H116))*C124)/100</f>
        <v>1</v>
      </c>
      <c r="E124" s="119"/>
      <c r="F124" s="119"/>
      <c r="G124" s="119"/>
      <c r="H124" s="121"/>
      <c r="I124" s="55" t="s">
        <v>246</v>
      </c>
      <c r="J124" s="58">
        <f>(IF(B116&gt;2,(H116/(B116+2)+J123),0))</f>
        <v>0</v>
      </c>
      <c r="K124" s="62"/>
      <c r="L124" s="61"/>
    </row>
    <row r="125" spans="1:14" customFormat="1" ht="15.75" customHeight="1">
      <c r="A125" s="123" t="s">
        <v>247</v>
      </c>
      <c r="B125" s="124" t="s">
        <v>247</v>
      </c>
      <c r="C125" s="36">
        <v>4</v>
      </c>
      <c r="D125" s="68">
        <f ca="1">((100/H116)*C125)/100</f>
        <v>1</v>
      </c>
      <c r="E125" s="119"/>
      <c r="F125" s="119"/>
      <c r="G125" s="119"/>
      <c r="H125" s="121"/>
      <c r="I125" s="55" t="s">
        <v>248</v>
      </c>
      <c r="J125" s="63">
        <f>(IF(B116&gt;3,(H116/(B116+2)+J124),0))</f>
        <v>0</v>
      </c>
      <c r="K125" s="62"/>
      <c r="L125" s="61"/>
    </row>
    <row r="126" spans="1:14" customFormat="1" ht="15.75" customHeight="1">
      <c r="A126" s="123" t="s">
        <v>249</v>
      </c>
      <c r="B126" s="124"/>
      <c r="C126" s="36">
        <v>4</v>
      </c>
      <c r="D126" s="68">
        <f ca="1">((100/H116)*C126)/100</f>
        <v>1</v>
      </c>
      <c r="E126" s="119"/>
      <c r="F126" s="119"/>
      <c r="G126" s="119"/>
      <c r="H126" s="121"/>
      <c r="I126" s="55" t="s">
        <v>250</v>
      </c>
      <c r="J126" s="58">
        <f>(IF(B116&gt;4,(H116/(B116+2)+J125),0))</f>
        <v>0</v>
      </c>
      <c r="K126" s="64"/>
      <c r="L126" s="61"/>
    </row>
    <row r="127" spans="1:14" customFormat="1" ht="15.75" customHeight="1">
      <c r="A127" s="123" t="s">
        <v>251</v>
      </c>
      <c r="B127" s="124" t="s">
        <v>251</v>
      </c>
      <c r="C127" s="36">
        <v>1</v>
      </c>
      <c r="D127" s="68">
        <f ca="1">((100/(H116))*C127)/100</f>
        <v>0.25</v>
      </c>
      <c r="E127" s="119"/>
      <c r="F127" s="119"/>
      <c r="G127" s="119"/>
      <c r="H127" s="121"/>
      <c r="I127" s="55" t="s">
        <v>109</v>
      </c>
      <c r="J127" s="58">
        <f ca="1">(IF(B116=1,(H116/(B116+3)+J122),IF(B116=0,(H116/4+J122),IF(B116&gt;1,0))))</f>
        <v>3</v>
      </c>
      <c r="K127" s="62"/>
      <c r="L127" s="61"/>
    </row>
    <row r="128" spans="1:14" customFormat="1" ht="16" thickBot="1">
      <c r="A128" s="136" t="s">
        <v>252</v>
      </c>
      <c r="B128" s="137"/>
      <c r="C128" s="43">
        <v>0</v>
      </c>
      <c r="D128" s="69">
        <f ca="1">((100/(H116))*C128)/100</f>
        <v>0</v>
      </c>
      <c r="E128" s="120"/>
      <c r="F128" s="120"/>
      <c r="G128" s="120"/>
      <c r="H128" s="122"/>
      <c r="I128" s="65" t="s">
        <v>110</v>
      </c>
      <c r="J128" s="66">
        <f ca="1">(IF(B116&gt;1.5,(H116/(B116+2)+J122+MAX(0,J123-J122)+MAX(0,J124-J123)+MAX(0,J125-J124)+MAX(0,J126-J125)+MAX(0,J127-J126)),IF(B116=1,(H116/(B116+3)+J127),IF(B116=0,H116/4+J127))))</f>
        <v>4</v>
      </c>
      <c r="K128" s="62"/>
      <c r="L128" s="61"/>
    </row>
    <row r="129" spans="1:14" customFormat="1" ht="15.75" hidden="1" customHeight="1">
      <c r="A129" s="125" t="s">
        <v>235</v>
      </c>
      <c r="B129" s="126"/>
      <c r="C129" s="129" t="s">
        <v>254</v>
      </c>
      <c r="D129" s="130"/>
      <c r="E129" s="130"/>
      <c r="F129" s="130"/>
      <c r="G129" s="130"/>
      <c r="H129" s="131"/>
      <c r="I129" s="39" t="str">
        <f ca="1">(IF(E133&gt;99%,"All work completed. Please provide OC.",IF(E133&gt;89.8%,"Plinth, RCC, Brick, Plaster, Flooring, Painting work Completed. Finishing work is in process.",IF(E133&lt;94%,(IF(C133=0,"Work not yet Started.",IF(D133=25%,"Piling work in process",IF(D133=50%,"Excavation work in process",IF(D133=100%,"Excavation work Completed. ","0")))&amp;(IF(C134=0%,"",IF(C134=J135,"Footing work is process",IF(C134=J136,"Footing work Completed",IF(C134=J137,"1st Basement Completed",IF(C134=J138,"1st &amp; 2nd Basement Completed",IF(C134=J139,"1st to 3rd Basement Completed",IF(C134=J140,"1st to 4th Basement Completed",IF(C134=J141,"Plinth work is process",IF(C134=J142,"Plinth work completed","0")))))))))))&amp;(IF(C135=(D130+F130+H130),", RCC Slab",IF(C135&gt;0,", RCC upto "&amp;C135&amp;" Slab",""))&amp;(IF(C136=H130,", Brickwork",IF(C136&gt;0,", Brickwork upto "&amp;C136&amp;" Floor",""))&amp;(IF(C137=H130,", Internal Plaster",IF(C137&gt;0,", Internal Plaster upto "&amp;C137&amp;" Floor",""))&amp;(IF(C138=H130,", External Plaster",IF(C138&gt;0,", External Plaster upto "&amp;C138&amp;" Floor",""))&amp;(IF(C139=H130,", Flooring",IF(C139&gt;0,", Flooring upto "&amp;C139&amp;" Floor",""))&amp;(IF(C140=H130,", Painting",IF(C140&gt;0,", Painting upto "&amp;C140&amp;" Floor",""))&amp;(IF(C141&gt;0,", Finishing upto "&amp;C141&amp;" Floor","")&amp;(IF(C135&gt;0.5," Completed",""))))))))))))))</f>
        <v>Excavation work Completed. Plinth work completed, RCC Slab, Brickwork, Internal Plaster, External Plaster, Painting upto 1.5 Floor Completed</v>
      </c>
      <c r="J129" s="40"/>
    </row>
    <row r="130" spans="1:14" customFormat="1" hidden="1">
      <c r="A130" s="33" t="s">
        <v>94</v>
      </c>
      <c r="B130" s="67">
        <v>0</v>
      </c>
      <c r="C130" s="67" t="s">
        <v>95</v>
      </c>
      <c r="D130" s="67">
        <v>1</v>
      </c>
      <c r="E130" s="67" t="s">
        <v>96</v>
      </c>
      <c r="F130" s="67">
        <v>0</v>
      </c>
      <c r="G130" s="67" t="s">
        <v>97</v>
      </c>
      <c r="H130" s="34">
        <f ca="1">--TRIM(RIGHT(SUBSTITUTE(LEFT(C129,_xlfn.AGGREGATE(16,6,FIND({0,1,2,3,4,5,6,7,8,9},C129,ROW(INDIRECT("1:"&amp;LEN(C129)))),1))," ",REPT(" ",LEN(C129))),LEN(C129)))</f>
        <v>4</v>
      </c>
      <c r="I130" s="56"/>
      <c r="J130" s="41"/>
    </row>
    <row r="131" spans="1:14" customFormat="1" ht="51" hidden="1" customHeight="1">
      <c r="A131" s="127" t="s">
        <v>98</v>
      </c>
      <c r="B131" s="128"/>
      <c r="C131" s="132" t="str">
        <f ca="1">I129</f>
        <v>Excavation work Completed. Plinth work completed, RCC Slab, Brickwork, Internal Plaster, External Plaster, Painting upto 1.5 Floor Completed</v>
      </c>
      <c r="D131" s="132"/>
      <c r="E131" s="132"/>
      <c r="F131" s="132"/>
      <c r="G131" s="132"/>
      <c r="H131" s="133"/>
      <c r="I131" s="56" t="s">
        <v>103</v>
      </c>
      <c r="J131" s="41"/>
    </row>
    <row r="132" spans="1:14" customFormat="1" ht="31" hidden="1">
      <c r="A132" s="123" t="s">
        <v>99</v>
      </c>
      <c r="B132" s="124"/>
      <c r="C132" s="35" t="s">
        <v>236</v>
      </c>
      <c r="D132" s="70" t="s">
        <v>100</v>
      </c>
      <c r="E132" s="124" t="s">
        <v>101</v>
      </c>
      <c r="F132" s="124"/>
      <c r="G132" s="124" t="s">
        <v>102</v>
      </c>
      <c r="H132" s="134"/>
      <c r="I132" s="55" t="s">
        <v>237</v>
      </c>
      <c r="J132" s="42">
        <f ca="1">H130*25%</f>
        <v>1</v>
      </c>
    </row>
    <row r="133" spans="1:14" customFormat="1" hidden="1">
      <c r="A133" s="123" t="s">
        <v>238</v>
      </c>
      <c r="B133" s="124"/>
      <c r="C133" s="36">
        <f ca="1">J134</f>
        <v>4</v>
      </c>
      <c r="D133" s="68">
        <f ca="1">((100/H130)*C133)/100</f>
        <v>1</v>
      </c>
      <c r="E133" s="119">
        <f ca="1">(((C134/H130*10)+(40/(D130+F130+H130)*C135)+(7.5/(H130)*C136)+(7.5/(H130)*C137)+(10/H130*C138)+(10/H130*C139)+(5/H130*C140)+(5/H130*C141)+(5/H130*C142))/100)</f>
        <v>0.76875000000000004</v>
      </c>
      <c r="F133" s="119"/>
      <c r="G133" s="119">
        <f ca="1">((((C133/H130)*20)+((C134/H130)*25)+(30/(H130+F130+D130)*C135)+(5/H130*C136)+(5/H130*C137)+(5/H130*C138)+(5/H130*C139)+(0/H130*C140)+(0/H130*C141)+(5/H130*C142))/100)</f>
        <v>0.9</v>
      </c>
      <c r="H133" s="121"/>
      <c r="I133" s="55" t="s">
        <v>105</v>
      </c>
      <c r="J133" s="57">
        <f ca="1">H130*50%</f>
        <v>2</v>
      </c>
    </row>
    <row r="134" spans="1:14" customFormat="1" hidden="1">
      <c r="A134" s="123" t="s">
        <v>104</v>
      </c>
      <c r="B134" s="124"/>
      <c r="C134" s="37">
        <f ca="1">J142</f>
        <v>4</v>
      </c>
      <c r="D134" s="68">
        <f ca="1">((100/H130)*C134)/100</f>
        <v>1</v>
      </c>
      <c r="E134" s="119"/>
      <c r="F134" s="119"/>
      <c r="G134" s="119"/>
      <c r="H134" s="121"/>
      <c r="I134" s="55" t="s">
        <v>106</v>
      </c>
      <c r="J134" s="57">
        <f ca="1">H130</f>
        <v>4</v>
      </c>
    </row>
    <row r="135" spans="1:14" customFormat="1" hidden="1">
      <c r="A135" s="123" t="s">
        <v>239</v>
      </c>
      <c r="B135" s="124"/>
      <c r="C135" s="37">
        <f ca="1">D130+H130</f>
        <v>5</v>
      </c>
      <c r="D135" s="68">
        <f ca="1">((100/(D130+F130+H130))*C135)/100</f>
        <v>1</v>
      </c>
      <c r="E135" s="119"/>
      <c r="F135" s="119"/>
      <c r="G135" s="119"/>
      <c r="H135" s="121"/>
      <c r="I135" s="55" t="s">
        <v>107</v>
      </c>
      <c r="J135" s="58">
        <f ca="1">(IF(B130&gt;1,(H130/(B130+2)),H130/4))</f>
        <v>1</v>
      </c>
      <c r="L135" s="59"/>
    </row>
    <row r="136" spans="1:14" customFormat="1" ht="15.75" hidden="1" customHeight="1">
      <c r="A136" s="123" t="s">
        <v>240</v>
      </c>
      <c r="B136" s="124" t="s">
        <v>241</v>
      </c>
      <c r="C136" s="36">
        <v>4</v>
      </c>
      <c r="D136" s="68">
        <f ca="1">((100/H130)*C136)/100</f>
        <v>1</v>
      </c>
      <c r="E136" s="119"/>
      <c r="F136" s="119"/>
      <c r="G136" s="119"/>
      <c r="H136" s="121"/>
      <c r="I136" s="55" t="s">
        <v>108</v>
      </c>
      <c r="J136" s="58">
        <f ca="1">(IF(B130&gt;1,(H130/(B130+2)+J135),H130/4+J135))</f>
        <v>2</v>
      </c>
      <c r="L136" s="59"/>
    </row>
    <row r="137" spans="1:14" customFormat="1" ht="15.75" hidden="1" customHeight="1">
      <c r="A137" s="123" t="s">
        <v>242</v>
      </c>
      <c r="B137" s="124" t="s">
        <v>241</v>
      </c>
      <c r="C137" s="36">
        <v>4</v>
      </c>
      <c r="D137" s="68">
        <f ca="1">((100/H130)*C137)/100</f>
        <v>1</v>
      </c>
      <c r="E137" s="119"/>
      <c r="F137" s="119"/>
      <c r="G137" s="119"/>
      <c r="H137" s="121"/>
      <c r="I137" s="55" t="s">
        <v>243</v>
      </c>
      <c r="J137" s="58">
        <f>(IF(B130&gt;1,(H130/(B130+2)+J136),0))</f>
        <v>0</v>
      </c>
      <c r="K137" s="60"/>
      <c r="L137" s="61"/>
      <c r="N137" s="59"/>
    </row>
    <row r="138" spans="1:14" customFormat="1" ht="15.75" hidden="1" customHeight="1">
      <c r="A138" s="123" t="s">
        <v>244</v>
      </c>
      <c r="B138" s="124" t="s">
        <v>245</v>
      </c>
      <c r="C138" s="36">
        <v>4</v>
      </c>
      <c r="D138" s="68">
        <f ca="1">((100/(H130))*C138)/100</f>
        <v>1</v>
      </c>
      <c r="E138" s="119"/>
      <c r="F138" s="119"/>
      <c r="G138" s="119"/>
      <c r="H138" s="121"/>
      <c r="I138" s="55" t="s">
        <v>246</v>
      </c>
      <c r="J138" s="58">
        <f>(IF(B130&gt;2,(H130/(B130+2)+J137),0))</f>
        <v>0</v>
      </c>
      <c r="K138" s="62"/>
      <c r="L138" s="61"/>
    </row>
    <row r="139" spans="1:14" customFormat="1" ht="15.75" hidden="1" customHeight="1">
      <c r="A139" s="123" t="s">
        <v>247</v>
      </c>
      <c r="B139" s="124" t="s">
        <v>247</v>
      </c>
      <c r="C139" s="36">
        <v>0</v>
      </c>
      <c r="D139" s="68">
        <f ca="1">((100/H130)*C139)/100</f>
        <v>0</v>
      </c>
      <c r="E139" s="119"/>
      <c r="F139" s="119"/>
      <c r="G139" s="119"/>
      <c r="H139" s="121"/>
      <c r="I139" s="55" t="s">
        <v>248</v>
      </c>
      <c r="J139" s="63">
        <f>(IF(B130&gt;3,(H130/(B130+2)+J138),0))</f>
        <v>0</v>
      </c>
      <c r="K139" s="62"/>
      <c r="L139" s="61"/>
    </row>
    <row r="140" spans="1:14" customFormat="1" ht="15.75" hidden="1" customHeight="1">
      <c r="A140" s="123" t="s">
        <v>249</v>
      </c>
      <c r="B140" s="124"/>
      <c r="C140" s="36">
        <v>1.5</v>
      </c>
      <c r="D140" s="68">
        <f ca="1">((100/H130)*C140)/100</f>
        <v>0.375</v>
      </c>
      <c r="E140" s="119"/>
      <c r="F140" s="119"/>
      <c r="G140" s="119"/>
      <c r="H140" s="121"/>
      <c r="I140" s="55" t="s">
        <v>250</v>
      </c>
      <c r="J140" s="58">
        <f>(IF(B130&gt;4,(H130/(B130+2)+J139),0))</f>
        <v>0</v>
      </c>
      <c r="K140" s="64"/>
      <c r="L140" s="61"/>
    </row>
    <row r="141" spans="1:14" customFormat="1" ht="15.75" hidden="1" customHeight="1">
      <c r="A141" s="123" t="s">
        <v>251</v>
      </c>
      <c r="B141" s="124" t="s">
        <v>251</v>
      </c>
      <c r="C141" s="36">
        <v>0</v>
      </c>
      <c r="D141" s="68">
        <f ca="1">((100/(H130))*C141)/100</f>
        <v>0</v>
      </c>
      <c r="E141" s="119"/>
      <c r="F141" s="119"/>
      <c r="G141" s="119"/>
      <c r="H141" s="121"/>
      <c r="I141" s="55" t="s">
        <v>109</v>
      </c>
      <c r="J141" s="58">
        <f ca="1">(IF(B130=1,(H130/(B130+3)+J136),IF(B130=0,(H130/4+J136),IF(B130&gt;1,0))))</f>
        <v>3</v>
      </c>
      <c r="K141" s="62"/>
      <c r="L141" s="61"/>
    </row>
    <row r="142" spans="1:14" customFormat="1" ht="16" hidden="1" thickBot="1">
      <c r="A142" s="136" t="s">
        <v>252</v>
      </c>
      <c r="B142" s="137"/>
      <c r="C142" s="43">
        <v>0</v>
      </c>
      <c r="D142" s="69">
        <f ca="1">((100/(H130))*C142)/100</f>
        <v>0</v>
      </c>
      <c r="E142" s="120"/>
      <c r="F142" s="120"/>
      <c r="G142" s="120"/>
      <c r="H142" s="122"/>
      <c r="I142" s="65" t="s">
        <v>110</v>
      </c>
      <c r="J142" s="66">
        <f ca="1">(IF(B130&gt;1.5,(H130/(B130+2)+J136+MAX(0,J137-J136)+MAX(0,J138-J137)+MAX(0,J139-J138)+MAX(0,J140-J139)+MAX(0,J141-J140)),IF(B130=1,(H130/(B130+3)+J141),IF(B130=0,H130/4+J141))))</f>
        <v>4</v>
      </c>
      <c r="K142" s="62"/>
      <c r="L142" s="61"/>
    </row>
    <row r="143" spans="1:14" customFormat="1" ht="15.75" customHeight="1">
      <c r="A143" s="125" t="s">
        <v>235</v>
      </c>
      <c r="B143" s="126"/>
      <c r="C143" s="129" t="s">
        <v>260</v>
      </c>
      <c r="D143" s="130"/>
      <c r="E143" s="130"/>
      <c r="F143" s="130"/>
      <c r="G143" s="130"/>
      <c r="H143" s="131"/>
      <c r="I143" s="39" t="str">
        <f ca="1">(IF(E147&gt;99%,"All work completed. Please provide OC.",IF(E147&gt;89.8%,"Plinth, RCC, Brick, Plaster, Flooring, Painting work Completed. Finishing work is in process.",IF(E147&lt;94%,(IF(C147=0,"Work not yet Started.",IF(D147=25%,"Piling work in process",IF(D147=50%,"Excavation work in process",IF(D147=100%,"Excavation work Completed. ","0")))&amp;(IF(C148=0%,"",IF(C148=J149,"Footing work is process",IF(C148=J150,"Footing work Completed",IF(C148=J151,"1st Basement Completed",IF(C148=J152,"1st &amp; 2nd Basement Completed",IF(C148=J153,"1st to 3rd Basement Completed",IF(C148=J154,"1st to 4th Basement Completed",IF(C148=J155,"Plinth work is process",IF(C148=J156,"Plinth work completed","0")))))))))))&amp;(IF(C149=(D144+F144+H144),", RCC Slab",IF(C149&gt;0,", RCC upto "&amp;C149&amp;" Slab",""))&amp;(IF(C150=H144,", Brickwork",IF(C150&gt;0,", Brickwork upto "&amp;C150&amp;" Floor",""))&amp;(IF(C151=H144,", Internal Plaster",IF(C151&gt;0,", Internal Plaster upto "&amp;C151&amp;" Floor",""))&amp;(IF(C152=H144,", External Plaster",IF(C152&gt;0,", External Plaster upto "&amp;C152&amp;" Floor",""))&amp;(IF(C153=H144,", Flooring",IF(C153&gt;0,", Flooring upto "&amp;C153&amp;" Floor",""))&amp;(IF(C154=H144,", Painting",IF(C154&gt;0,", Painting upto "&amp;C154&amp;" Floor",""))&amp;(IF(C155&gt;0,", Finishing upto "&amp;C155&amp;" Floor","")&amp;(IF(C149&gt;0.5," Completed",""))))))))))))))</f>
        <v>Plinth, RCC, Brick, Plaster, Flooring, Painting work Completed. Finishing work is in process.</v>
      </c>
      <c r="J143" s="40"/>
    </row>
    <row r="144" spans="1:14" customFormat="1">
      <c r="A144" s="33" t="s">
        <v>94</v>
      </c>
      <c r="B144" s="67">
        <v>0</v>
      </c>
      <c r="C144" s="67" t="s">
        <v>95</v>
      </c>
      <c r="D144" s="67">
        <v>1</v>
      </c>
      <c r="E144" s="67" t="s">
        <v>96</v>
      </c>
      <c r="F144" s="67">
        <v>0</v>
      </c>
      <c r="G144" s="67" t="s">
        <v>97</v>
      </c>
      <c r="H144" s="34">
        <f ca="1">--TRIM(RIGHT(SUBSTITUTE(LEFT(C143,_xlfn.AGGREGATE(16,6,FIND({0,1,2,3,4,5,6,7,8,9},C143,ROW(INDIRECT("1:"&amp;LEN(C143)))),1))," ",REPT(" ",LEN(C143))),LEN(C143)))</f>
        <v>4</v>
      </c>
      <c r="I144" s="56"/>
      <c r="J144" s="41"/>
    </row>
    <row r="145" spans="1:14" customFormat="1" ht="34" customHeight="1">
      <c r="A145" s="127" t="s">
        <v>98</v>
      </c>
      <c r="B145" s="128"/>
      <c r="C145" s="132" t="str">
        <f ca="1">I143</f>
        <v>Plinth, RCC, Brick, Plaster, Flooring, Painting work Completed. Finishing work is in process.</v>
      </c>
      <c r="D145" s="132"/>
      <c r="E145" s="132"/>
      <c r="F145" s="132"/>
      <c r="G145" s="132"/>
      <c r="H145" s="133"/>
      <c r="I145" s="56" t="s">
        <v>103</v>
      </c>
      <c r="J145" s="41"/>
    </row>
    <row r="146" spans="1:14" customFormat="1" ht="31">
      <c r="A146" s="123" t="s">
        <v>99</v>
      </c>
      <c r="B146" s="124"/>
      <c r="C146" s="35" t="s">
        <v>236</v>
      </c>
      <c r="D146" s="70" t="s">
        <v>100</v>
      </c>
      <c r="E146" s="124" t="s">
        <v>101</v>
      </c>
      <c r="F146" s="124"/>
      <c r="G146" s="124" t="s">
        <v>102</v>
      </c>
      <c r="H146" s="134"/>
      <c r="I146" s="55" t="s">
        <v>237</v>
      </c>
      <c r="J146" s="42">
        <f ca="1">H144*25%</f>
        <v>1</v>
      </c>
    </row>
    <row r="147" spans="1:14" customFormat="1">
      <c r="A147" s="123" t="s">
        <v>238</v>
      </c>
      <c r="B147" s="124"/>
      <c r="C147" s="36">
        <f ca="1">J148</f>
        <v>4</v>
      </c>
      <c r="D147" s="68">
        <f ca="1">((100/H144)*C147)/100</f>
        <v>1</v>
      </c>
      <c r="E147" s="119">
        <f ca="1">(((C148/H144*10)+(40/(D144+F144+H144)*C149)+(7.5/(H144)*C150)+(7.5/(H144)*C151)+(10/H144*C152)+(10/H144*C153)+(5/H144*C154)+(5/H144*C155)+(5/H144*C156))/100)</f>
        <v>0.91249999999999998</v>
      </c>
      <c r="F147" s="119"/>
      <c r="G147" s="119">
        <f ca="1">((((C147/H144)*20)+((C148/H144)*25)+(30/(H144+F144+D144)*C149)+(5/H144*C150)+(5/H144*C151)+(5/H144*C152)+(5/H144*C153)+(0/H144*C154)+(0/H144*C155)+(5/H144*C156))/100)</f>
        <v>0.95</v>
      </c>
      <c r="H147" s="121"/>
      <c r="I147" s="55" t="s">
        <v>105</v>
      </c>
      <c r="J147" s="57">
        <f ca="1">H144*50%</f>
        <v>2</v>
      </c>
    </row>
    <row r="148" spans="1:14" customFormat="1">
      <c r="A148" s="123" t="s">
        <v>104</v>
      </c>
      <c r="B148" s="124"/>
      <c r="C148" s="37">
        <f ca="1">J156</f>
        <v>4</v>
      </c>
      <c r="D148" s="68">
        <f ca="1">((100/H144)*C148)/100</f>
        <v>1</v>
      </c>
      <c r="E148" s="119"/>
      <c r="F148" s="119"/>
      <c r="G148" s="119"/>
      <c r="H148" s="121"/>
      <c r="I148" s="55" t="s">
        <v>106</v>
      </c>
      <c r="J148" s="57">
        <f ca="1">H144</f>
        <v>4</v>
      </c>
    </row>
    <row r="149" spans="1:14" customFormat="1">
      <c r="A149" s="123" t="s">
        <v>239</v>
      </c>
      <c r="B149" s="124"/>
      <c r="C149" s="37">
        <f ca="1">D144+H144</f>
        <v>5</v>
      </c>
      <c r="D149" s="68">
        <f ca="1">((100/(D144+F144+H144))*C149)/100</f>
        <v>1</v>
      </c>
      <c r="E149" s="119"/>
      <c r="F149" s="119"/>
      <c r="G149" s="119"/>
      <c r="H149" s="121"/>
      <c r="I149" s="55" t="s">
        <v>107</v>
      </c>
      <c r="J149" s="58">
        <f ca="1">(IF(B144&gt;1,(H144/(B144+2)),H144/4))</f>
        <v>1</v>
      </c>
      <c r="L149" s="59"/>
    </row>
    <row r="150" spans="1:14" customFormat="1" ht="15.75" customHeight="1">
      <c r="A150" s="123" t="s">
        <v>240</v>
      </c>
      <c r="B150" s="124" t="s">
        <v>241</v>
      </c>
      <c r="C150" s="36">
        <v>4</v>
      </c>
      <c r="D150" s="68">
        <f ca="1">((100/H144)*C150)/100</f>
        <v>1</v>
      </c>
      <c r="E150" s="119"/>
      <c r="F150" s="119"/>
      <c r="G150" s="119"/>
      <c r="H150" s="121"/>
      <c r="I150" s="55" t="s">
        <v>108</v>
      </c>
      <c r="J150" s="58">
        <f ca="1">(IF(B144&gt;1,(H144/(B144+2)+J149),H144/4+J149))</f>
        <v>2</v>
      </c>
      <c r="L150" s="59"/>
    </row>
    <row r="151" spans="1:14" customFormat="1" ht="15.75" customHeight="1">
      <c r="A151" s="123" t="s">
        <v>242</v>
      </c>
      <c r="B151" s="124" t="s">
        <v>241</v>
      </c>
      <c r="C151" s="36">
        <v>4</v>
      </c>
      <c r="D151" s="68">
        <f ca="1">((100/H144)*C151)/100</f>
        <v>1</v>
      </c>
      <c r="E151" s="119"/>
      <c r="F151" s="119"/>
      <c r="G151" s="119"/>
      <c r="H151" s="121"/>
      <c r="I151" s="55" t="s">
        <v>243</v>
      </c>
      <c r="J151" s="58">
        <f>(IF(B144&gt;1,(H144/(B144+2)+J150),0))</f>
        <v>0</v>
      </c>
      <c r="K151" s="60"/>
      <c r="L151" s="61"/>
      <c r="N151" s="59"/>
    </row>
    <row r="152" spans="1:14" customFormat="1" ht="15.75" customHeight="1">
      <c r="A152" s="123" t="s">
        <v>244</v>
      </c>
      <c r="B152" s="124" t="s">
        <v>245</v>
      </c>
      <c r="C152" s="36">
        <v>4</v>
      </c>
      <c r="D152" s="68">
        <f ca="1">((100/(H144))*C152)/100</f>
        <v>1</v>
      </c>
      <c r="E152" s="119"/>
      <c r="F152" s="119"/>
      <c r="G152" s="119"/>
      <c r="H152" s="121"/>
      <c r="I152" s="55" t="s">
        <v>246</v>
      </c>
      <c r="J152" s="58">
        <f>(IF(B144&gt;2,(H144/(B144+2)+J151),0))</f>
        <v>0</v>
      </c>
      <c r="K152" s="62"/>
      <c r="L152" s="61"/>
    </row>
    <row r="153" spans="1:14" customFormat="1" ht="15.75" customHeight="1">
      <c r="A153" s="123" t="s">
        <v>247</v>
      </c>
      <c r="B153" s="124" t="s">
        <v>247</v>
      </c>
      <c r="C153" s="36">
        <v>4</v>
      </c>
      <c r="D153" s="68">
        <f ca="1">((100/H144)*C153)/100</f>
        <v>1</v>
      </c>
      <c r="E153" s="119"/>
      <c r="F153" s="119"/>
      <c r="G153" s="119"/>
      <c r="H153" s="121"/>
      <c r="I153" s="55" t="s">
        <v>248</v>
      </c>
      <c r="J153" s="63">
        <f>(IF(B144&gt;3,(H144/(B144+2)+J152),0))</f>
        <v>0</v>
      </c>
      <c r="K153" s="62"/>
      <c r="L153" s="61"/>
    </row>
    <row r="154" spans="1:14" customFormat="1" ht="15.75" customHeight="1">
      <c r="A154" s="123" t="s">
        <v>249</v>
      </c>
      <c r="B154" s="124"/>
      <c r="C154" s="36">
        <v>4</v>
      </c>
      <c r="D154" s="68">
        <f ca="1">((100/H144)*C154)/100</f>
        <v>1</v>
      </c>
      <c r="E154" s="119"/>
      <c r="F154" s="119"/>
      <c r="G154" s="119"/>
      <c r="H154" s="121"/>
      <c r="I154" s="55" t="s">
        <v>250</v>
      </c>
      <c r="J154" s="58">
        <f>(IF(B144&gt;4,(H144/(B144+2)+J153),0))</f>
        <v>0</v>
      </c>
      <c r="K154" s="64"/>
      <c r="L154" s="61"/>
    </row>
    <row r="155" spans="1:14" customFormat="1" ht="15.75" customHeight="1">
      <c r="A155" s="123" t="s">
        <v>251</v>
      </c>
      <c r="B155" s="124" t="s">
        <v>251</v>
      </c>
      <c r="C155" s="36">
        <v>1</v>
      </c>
      <c r="D155" s="68">
        <f ca="1">((100/(H144))*C155)/100</f>
        <v>0.25</v>
      </c>
      <c r="E155" s="119"/>
      <c r="F155" s="119"/>
      <c r="G155" s="119"/>
      <c r="H155" s="121"/>
      <c r="I155" s="55" t="s">
        <v>109</v>
      </c>
      <c r="J155" s="58">
        <f ca="1">(IF(B144=1,(H144/(B144+3)+J150),IF(B144=0,(H144/4+J150),IF(B144&gt;1,0))))</f>
        <v>3</v>
      </c>
      <c r="K155" s="62"/>
      <c r="L155" s="61"/>
    </row>
    <row r="156" spans="1:14" customFormat="1" ht="16" thickBot="1">
      <c r="A156" s="136" t="s">
        <v>252</v>
      </c>
      <c r="B156" s="137"/>
      <c r="C156" s="43">
        <v>0</v>
      </c>
      <c r="D156" s="69">
        <f ca="1">((100/(H144))*C156)/100</f>
        <v>0</v>
      </c>
      <c r="E156" s="120"/>
      <c r="F156" s="120"/>
      <c r="G156" s="120"/>
      <c r="H156" s="122"/>
      <c r="I156" s="65" t="s">
        <v>110</v>
      </c>
      <c r="J156" s="66">
        <f ca="1">(IF(B144&gt;1.5,(H144/(B144+2)+J150+MAX(0,J151-J150)+MAX(0,J152-J151)+MAX(0,J153-J152)+MAX(0,J154-J153)+MAX(0,J155-J154)),IF(B144=1,(H144/(B144+3)+J155),IF(B144=0,H144/4+J155))))</f>
        <v>4</v>
      </c>
      <c r="K156" s="62"/>
      <c r="L156" s="61"/>
    </row>
    <row r="157" spans="1:14" customFormat="1" ht="15.75" hidden="1" customHeight="1">
      <c r="A157" s="125" t="s">
        <v>235</v>
      </c>
      <c r="B157" s="126"/>
      <c r="C157" s="129" t="s">
        <v>257</v>
      </c>
      <c r="D157" s="130"/>
      <c r="E157" s="130"/>
      <c r="F157" s="130"/>
      <c r="G157" s="130"/>
      <c r="H157" s="131"/>
      <c r="I157" s="39" t="str">
        <f ca="1">(IF(E161&gt;99%,"All work completed. Please provide OC.",IF(E161&gt;89.8%,"Plinth, RCC, Brick, Plaster, Flooring, Painting work Completed. Finishing work is in process.",IF(E161&lt;94%,(IF(C161=0,"Work not yet Started.",IF(D161=25%,"Piling work in process",IF(D161=50%,"Excavation work in process",IF(D161=100%,"Excavation work Completed. ","0")))&amp;(IF(C162=0%,"",IF(C162=J163,"Footing work is process",IF(C162=J164,"Footing work Completed",IF(C162=J165,"1st Basement Completed",IF(C162=J166,"1st &amp; 2nd Basement Completed",IF(C162=J167,"1st to 3rd Basement Completed",IF(C162=J168,"1st to 4th Basement Completed",IF(C162=J169,"Plinth work is process",IF(C162=J170,"Plinth work completed","0")))))))))))&amp;(IF(C163=(D158+F158+H158),", RCC Slab",IF(C163&gt;0,", RCC upto "&amp;C163&amp;" Slab",""))&amp;(IF(C164=H158,", Brickwork",IF(C164&gt;0,", Brickwork upto "&amp;C164&amp;" Floor",""))&amp;(IF(C165=H158,", Internal Plaster",IF(C165&gt;0,", Internal Plaster upto "&amp;C165&amp;" Floor",""))&amp;(IF(C166=H158,", External Plaster",IF(C166&gt;0,", External Plaster upto "&amp;C166&amp;" Floor",""))&amp;(IF(C167=H158,", Flooring",IF(C167&gt;0,", Flooring upto "&amp;C167&amp;" Floor",""))&amp;(IF(C168=H158,", Painting",IF(C168&gt;0,", Painting upto "&amp;C168&amp;" Floor",""))&amp;(IF(C169&gt;0,", Finishing upto "&amp;C169&amp;" Floor","")&amp;(IF(C163&gt;0.5," Completed",""))))))))))))))</f>
        <v>Excavation work Completed. Plinth work completed, RCC Slab, Brickwork, Internal Plaster upto 3.5 Floor, External Plaster upto 3 Floor Completed</v>
      </c>
      <c r="J157" s="40"/>
    </row>
    <row r="158" spans="1:14" customFormat="1" hidden="1">
      <c r="A158" s="33" t="s">
        <v>94</v>
      </c>
      <c r="B158" s="67">
        <v>0</v>
      </c>
      <c r="C158" s="67" t="s">
        <v>95</v>
      </c>
      <c r="D158" s="67">
        <v>1</v>
      </c>
      <c r="E158" s="67" t="s">
        <v>96</v>
      </c>
      <c r="F158" s="67">
        <v>0</v>
      </c>
      <c r="G158" s="67" t="s">
        <v>97</v>
      </c>
      <c r="H158" s="34">
        <f ca="1">--TRIM(RIGHT(SUBSTITUTE(LEFT(C157,_xlfn.AGGREGATE(16,6,FIND({0,1,2,3,4,5,6,7,8,9},C157,ROW(INDIRECT("1:"&amp;LEN(C157)))),1))," ",REPT(" ",LEN(C157))),LEN(C157)))</f>
        <v>4</v>
      </c>
      <c r="I158" s="56"/>
      <c r="J158" s="41"/>
    </row>
    <row r="159" spans="1:14" customFormat="1" ht="49.5" hidden="1" customHeight="1">
      <c r="A159" s="127" t="s">
        <v>98</v>
      </c>
      <c r="B159" s="128"/>
      <c r="C159" s="132" t="str">
        <f ca="1">I157</f>
        <v>Excavation work Completed. Plinth work completed, RCC Slab, Brickwork, Internal Plaster upto 3.5 Floor, External Plaster upto 3 Floor Completed</v>
      </c>
      <c r="D159" s="132"/>
      <c r="E159" s="132"/>
      <c r="F159" s="132"/>
      <c r="G159" s="132"/>
      <c r="H159" s="133"/>
      <c r="I159" s="56" t="s">
        <v>103</v>
      </c>
      <c r="J159" s="41"/>
    </row>
    <row r="160" spans="1:14" customFormat="1" ht="31" hidden="1">
      <c r="A160" s="123" t="s">
        <v>99</v>
      </c>
      <c r="B160" s="124"/>
      <c r="C160" s="35" t="s">
        <v>236</v>
      </c>
      <c r="D160" s="70" t="s">
        <v>100</v>
      </c>
      <c r="E160" s="124" t="s">
        <v>101</v>
      </c>
      <c r="F160" s="124"/>
      <c r="G160" s="124" t="s">
        <v>102</v>
      </c>
      <c r="H160" s="134"/>
      <c r="I160" s="55" t="s">
        <v>237</v>
      </c>
      <c r="J160" s="42">
        <f ca="1">H158*25%</f>
        <v>1</v>
      </c>
    </row>
    <row r="161" spans="1:14" customFormat="1" hidden="1">
      <c r="A161" s="123" t="s">
        <v>238</v>
      </c>
      <c r="B161" s="124"/>
      <c r="C161" s="36">
        <f ca="1">J162</f>
        <v>4</v>
      </c>
      <c r="D161" s="68">
        <f ca="1">((100/H158)*C161)/100</f>
        <v>1</v>
      </c>
      <c r="E161" s="119">
        <f ca="1">(((C162/H158*10)+(40/(D158+F158+H158)*C163)+(7.5/(H158)*C164)+(7.5/(H158)*C165)+(10/H158*C166)+(10/H158*C167)+(5/H158*C168)+(5/H158*C169)+(5/H158*C170))/100)</f>
        <v>0.71562499999999996</v>
      </c>
      <c r="F161" s="119"/>
      <c r="G161" s="119">
        <f ca="1">((((C161/H158)*20)+((C162/H158)*25)+(30/(H158+F158+D158)*C163)+(5/H158*C164)+(5/H158*C165)+(5/H158*C166)+(5/H158*C167)+(0/H158*C168)+(0/H158*C169)+(5/H158*C170))/100)</f>
        <v>0.88124999999999998</v>
      </c>
      <c r="H161" s="121"/>
      <c r="I161" s="55" t="s">
        <v>105</v>
      </c>
      <c r="J161" s="57">
        <f ca="1">H158*50%</f>
        <v>2</v>
      </c>
    </row>
    <row r="162" spans="1:14" customFormat="1" hidden="1">
      <c r="A162" s="123" t="s">
        <v>104</v>
      </c>
      <c r="B162" s="124"/>
      <c r="C162" s="37">
        <f ca="1">J170</f>
        <v>4</v>
      </c>
      <c r="D162" s="68">
        <f ca="1">((100/H158)*C162)/100</f>
        <v>1</v>
      </c>
      <c r="E162" s="119"/>
      <c r="F162" s="119"/>
      <c r="G162" s="119"/>
      <c r="H162" s="121"/>
      <c r="I162" s="55" t="s">
        <v>106</v>
      </c>
      <c r="J162" s="57">
        <f ca="1">H158</f>
        <v>4</v>
      </c>
    </row>
    <row r="163" spans="1:14" customFormat="1" hidden="1">
      <c r="A163" s="123" t="s">
        <v>239</v>
      </c>
      <c r="B163" s="124"/>
      <c r="C163" s="37">
        <f ca="1">D158+H158</f>
        <v>5</v>
      </c>
      <c r="D163" s="68">
        <f ca="1">((100/(D158+F158+H158))*C163)/100</f>
        <v>1</v>
      </c>
      <c r="E163" s="119"/>
      <c r="F163" s="119"/>
      <c r="G163" s="119"/>
      <c r="H163" s="121"/>
      <c r="I163" s="55" t="s">
        <v>107</v>
      </c>
      <c r="J163" s="58">
        <f ca="1">(IF(B158&gt;1,(H158/(B158+2)),H158/4))</f>
        <v>1</v>
      </c>
      <c r="L163" s="59"/>
    </row>
    <row r="164" spans="1:14" customFormat="1" ht="15.75" hidden="1" customHeight="1">
      <c r="A164" s="123" t="s">
        <v>240</v>
      </c>
      <c r="B164" s="124" t="s">
        <v>241</v>
      </c>
      <c r="C164" s="36">
        <v>4</v>
      </c>
      <c r="D164" s="68">
        <f ca="1">((100/H158)*C164)/100</f>
        <v>1</v>
      </c>
      <c r="E164" s="119"/>
      <c r="F164" s="119"/>
      <c r="G164" s="119"/>
      <c r="H164" s="121"/>
      <c r="I164" s="55" t="s">
        <v>108</v>
      </c>
      <c r="J164" s="58">
        <f ca="1">(IF(B158&gt;1,(H158/(B158+2)+J163),H158/4+J163))</f>
        <v>2</v>
      </c>
      <c r="L164" s="59"/>
    </row>
    <row r="165" spans="1:14" customFormat="1" ht="15.75" hidden="1" customHeight="1">
      <c r="A165" s="123" t="s">
        <v>242</v>
      </c>
      <c r="B165" s="124" t="s">
        <v>241</v>
      </c>
      <c r="C165" s="36">
        <v>3.5</v>
      </c>
      <c r="D165" s="68">
        <f ca="1">((100/H158)*C165)/100</f>
        <v>0.875</v>
      </c>
      <c r="E165" s="119"/>
      <c r="F165" s="119"/>
      <c r="G165" s="119"/>
      <c r="H165" s="121"/>
      <c r="I165" s="55" t="s">
        <v>243</v>
      </c>
      <c r="J165" s="58">
        <f>(IF(B158&gt;1,(H158/(B158+2)+J164),0))</f>
        <v>0</v>
      </c>
      <c r="K165" s="60"/>
      <c r="L165" s="61"/>
      <c r="N165" s="59"/>
    </row>
    <row r="166" spans="1:14" customFormat="1" ht="15.75" hidden="1" customHeight="1">
      <c r="A166" s="123" t="s">
        <v>244</v>
      </c>
      <c r="B166" s="124" t="s">
        <v>245</v>
      </c>
      <c r="C166" s="36">
        <v>3</v>
      </c>
      <c r="D166" s="68">
        <f ca="1">((100/(H158))*C166)/100</f>
        <v>0.75</v>
      </c>
      <c r="E166" s="119"/>
      <c r="F166" s="119"/>
      <c r="G166" s="119"/>
      <c r="H166" s="121"/>
      <c r="I166" s="55" t="s">
        <v>246</v>
      </c>
      <c r="J166" s="58">
        <f>(IF(B158&gt;2,(H158/(B158+2)+J165),0))</f>
        <v>0</v>
      </c>
      <c r="K166" s="62"/>
      <c r="L166" s="61"/>
    </row>
    <row r="167" spans="1:14" customFormat="1" ht="15.75" hidden="1" customHeight="1">
      <c r="A167" s="123" t="s">
        <v>247</v>
      </c>
      <c r="B167" s="124" t="s">
        <v>247</v>
      </c>
      <c r="C167" s="36">
        <v>0</v>
      </c>
      <c r="D167" s="68">
        <f ca="1">((100/H158)*C167)/100</f>
        <v>0</v>
      </c>
      <c r="E167" s="119"/>
      <c r="F167" s="119"/>
      <c r="G167" s="119"/>
      <c r="H167" s="121"/>
      <c r="I167" s="55" t="s">
        <v>248</v>
      </c>
      <c r="J167" s="63">
        <f>(IF(B158&gt;3,(H158/(B158+2)+J166),0))</f>
        <v>0</v>
      </c>
      <c r="K167" s="62"/>
      <c r="L167" s="61"/>
    </row>
    <row r="168" spans="1:14" customFormat="1" ht="15.75" hidden="1" customHeight="1">
      <c r="A168" s="123" t="s">
        <v>249</v>
      </c>
      <c r="B168" s="124"/>
      <c r="C168" s="36">
        <v>0</v>
      </c>
      <c r="D168" s="68">
        <f ca="1">((100/H158)*C168)/100</f>
        <v>0</v>
      </c>
      <c r="E168" s="119"/>
      <c r="F168" s="119"/>
      <c r="G168" s="119"/>
      <c r="H168" s="121"/>
      <c r="I168" s="55" t="s">
        <v>250</v>
      </c>
      <c r="J168" s="58">
        <f>(IF(B158&gt;4,(H158/(B158+2)+J167),0))</f>
        <v>0</v>
      </c>
      <c r="K168" s="64"/>
      <c r="L168" s="61"/>
    </row>
    <row r="169" spans="1:14" customFormat="1" ht="15.75" hidden="1" customHeight="1">
      <c r="A169" s="123" t="s">
        <v>251</v>
      </c>
      <c r="B169" s="124" t="s">
        <v>251</v>
      </c>
      <c r="C169" s="36">
        <v>0</v>
      </c>
      <c r="D169" s="68">
        <f ca="1">((100/(H158))*C169)/100</f>
        <v>0</v>
      </c>
      <c r="E169" s="119"/>
      <c r="F169" s="119"/>
      <c r="G169" s="119"/>
      <c r="H169" s="121"/>
      <c r="I169" s="55" t="s">
        <v>109</v>
      </c>
      <c r="J169" s="58">
        <f ca="1">(IF(B158=1,(H158/(B158+3)+J164),IF(B158=0,(H158/4+J164),IF(B158&gt;1,0))))</f>
        <v>3</v>
      </c>
      <c r="K169" s="62"/>
      <c r="L169" s="61"/>
    </row>
    <row r="170" spans="1:14" customFormat="1" ht="16" hidden="1" thickBot="1">
      <c r="A170" s="136" t="s">
        <v>252</v>
      </c>
      <c r="B170" s="137"/>
      <c r="C170" s="43">
        <v>0</v>
      </c>
      <c r="D170" s="69">
        <f ca="1">((100/(H158))*C170)/100</f>
        <v>0</v>
      </c>
      <c r="E170" s="120"/>
      <c r="F170" s="120"/>
      <c r="G170" s="120"/>
      <c r="H170" s="122"/>
      <c r="I170" s="65" t="s">
        <v>110</v>
      </c>
      <c r="J170" s="66">
        <f ca="1">(IF(B158&gt;1.5,(H158/(B158+2)+J164+MAX(0,J165-J164)+MAX(0,J166-J165)+MAX(0,J167-J166)+MAX(0,J168-J167)+MAX(0,J169-J168)),IF(B158=1,(H158/(B158+3)+J169),IF(B158=0,H158/4+J169))))</f>
        <v>4</v>
      </c>
      <c r="K170" s="62"/>
      <c r="L170" s="61"/>
    </row>
    <row r="171" spans="1:14">
      <c r="A171" s="135" t="s">
        <v>111</v>
      </c>
      <c r="B171" s="135"/>
      <c r="C171" s="135"/>
      <c r="D171" s="135"/>
      <c r="E171" s="135"/>
      <c r="F171" s="135"/>
      <c r="G171" s="135"/>
      <c r="H171" s="135"/>
    </row>
    <row r="172" spans="1:14">
      <c r="A172" s="89" t="s">
        <v>112</v>
      </c>
      <c r="B172" s="89"/>
      <c r="C172" s="89"/>
      <c r="D172" s="89"/>
      <c r="E172" s="89"/>
      <c r="F172" s="89"/>
      <c r="G172" s="89"/>
      <c r="H172" s="89"/>
    </row>
    <row r="173" spans="1:14" ht="15" customHeight="1">
      <c r="A173" s="128" t="s">
        <v>255</v>
      </c>
      <c r="B173" s="128"/>
      <c r="C173" s="132" t="s">
        <v>113</v>
      </c>
      <c r="D173" s="132"/>
      <c r="E173" s="132"/>
      <c r="F173" s="132"/>
      <c r="G173" s="132"/>
      <c r="H173" s="132"/>
    </row>
    <row r="174" spans="1:14">
      <c r="A174" s="128" t="s">
        <v>114</v>
      </c>
      <c r="B174" s="128"/>
      <c r="C174" s="128"/>
      <c r="D174" s="128"/>
      <c r="E174" s="128"/>
      <c r="F174" s="128"/>
      <c r="G174" s="128"/>
      <c r="H174" s="128"/>
    </row>
    <row r="175" spans="1:14">
      <c r="A175" s="89" t="s">
        <v>115</v>
      </c>
      <c r="B175" s="89"/>
      <c r="C175" s="89"/>
      <c r="D175" s="89"/>
      <c r="E175" s="89"/>
      <c r="F175" s="108">
        <v>4200</v>
      </c>
      <c r="G175" s="108"/>
      <c r="H175" s="108"/>
    </row>
    <row r="176" spans="1:14" hidden="1">
      <c r="A176" s="89" t="s">
        <v>116</v>
      </c>
      <c r="B176" s="89"/>
      <c r="C176" s="89"/>
      <c r="D176" s="89"/>
      <c r="E176" s="89"/>
      <c r="F176" s="108"/>
      <c r="G176" s="108"/>
      <c r="H176" s="108"/>
    </row>
    <row r="177" spans="1:8" hidden="1">
      <c r="A177" s="89" t="s">
        <v>117</v>
      </c>
      <c r="B177" s="89"/>
      <c r="C177" s="89"/>
      <c r="D177" s="89"/>
      <c r="E177" s="89"/>
      <c r="F177" s="108"/>
      <c r="G177" s="108"/>
      <c r="H177" s="108"/>
    </row>
    <row r="178" spans="1:8" s="22" customFormat="1" hidden="1">
      <c r="A178" s="89" t="s">
        <v>118</v>
      </c>
      <c r="B178" s="89"/>
      <c r="C178" s="89"/>
      <c r="D178" s="89"/>
      <c r="E178" s="89"/>
      <c r="F178" s="108" t="s">
        <v>56</v>
      </c>
      <c r="G178" s="108"/>
      <c r="H178" s="108"/>
    </row>
    <row r="179" spans="1:8" s="22" customFormat="1" hidden="1">
      <c r="A179" s="89" t="s">
        <v>119</v>
      </c>
      <c r="B179" s="89"/>
      <c r="C179" s="89"/>
      <c r="D179" s="89"/>
      <c r="E179" s="89"/>
      <c r="F179" s="108" t="s">
        <v>56</v>
      </c>
      <c r="G179" s="108"/>
      <c r="H179" s="108"/>
    </row>
    <row r="180" spans="1:8" s="22" customFormat="1" hidden="1">
      <c r="A180" s="89" t="s">
        <v>120</v>
      </c>
      <c r="B180" s="89"/>
      <c r="C180" s="89"/>
      <c r="D180" s="89"/>
      <c r="E180" s="89"/>
      <c r="F180" s="108" t="s">
        <v>56</v>
      </c>
      <c r="G180" s="108"/>
      <c r="H180" s="108"/>
    </row>
    <row r="181" spans="1:8" s="22" customFormat="1" hidden="1">
      <c r="A181" s="89" t="s">
        <v>121</v>
      </c>
      <c r="B181" s="89"/>
      <c r="C181" s="89"/>
      <c r="D181" s="89"/>
      <c r="E181" s="89"/>
      <c r="F181" s="108" t="s">
        <v>56</v>
      </c>
      <c r="G181" s="108"/>
      <c r="H181" s="108"/>
    </row>
    <row r="182" spans="1:8" s="22" customFormat="1" hidden="1">
      <c r="A182" s="89" t="s">
        <v>122</v>
      </c>
      <c r="B182" s="89"/>
      <c r="C182" s="89"/>
      <c r="D182" s="89"/>
      <c r="E182" s="89"/>
      <c r="F182" s="108" t="s">
        <v>56</v>
      </c>
      <c r="G182" s="108"/>
      <c r="H182" s="108"/>
    </row>
    <row r="183" spans="1:8" s="22" customFormat="1" hidden="1">
      <c r="A183" s="89" t="s">
        <v>123</v>
      </c>
      <c r="B183" s="89"/>
      <c r="C183" s="89"/>
      <c r="D183" s="89"/>
      <c r="E183" s="89"/>
      <c r="F183" s="108" t="s">
        <v>56</v>
      </c>
      <c r="G183" s="108"/>
      <c r="H183" s="108"/>
    </row>
    <row r="184" spans="1:8" s="22" customFormat="1" hidden="1">
      <c r="A184" s="89" t="s">
        <v>124</v>
      </c>
      <c r="B184" s="89"/>
      <c r="C184" s="89"/>
      <c r="D184" s="89"/>
      <c r="E184" s="89"/>
      <c r="F184" s="108" t="s">
        <v>56</v>
      </c>
      <c r="G184" s="108"/>
      <c r="H184" s="108"/>
    </row>
    <row r="185" spans="1:8" s="22" customFormat="1" hidden="1">
      <c r="A185" s="89" t="s">
        <v>125</v>
      </c>
      <c r="B185" s="89"/>
      <c r="C185" s="89"/>
      <c r="D185" s="89"/>
      <c r="E185" s="89"/>
      <c r="F185" s="108" t="s">
        <v>56</v>
      </c>
      <c r="G185" s="108"/>
      <c r="H185" s="108"/>
    </row>
    <row r="186" spans="1:8">
      <c r="A186" s="89" t="s">
        <v>126</v>
      </c>
      <c r="B186" s="89"/>
      <c r="C186" s="89"/>
      <c r="D186" s="89"/>
      <c r="E186" s="89"/>
      <c r="F186" s="107" t="s">
        <v>127</v>
      </c>
      <c r="G186" s="107"/>
      <c r="H186" s="107"/>
    </row>
    <row r="187" spans="1:8" s="23" customFormat="1">
      <c r="A187" s="128" t="s">
        <v>128</v>
      </c>
      <c r="B187" s="128"/>
      <c r="C187" s="128"/>
      <c r="D187" s="128"/>
      <c r="E187" s="128"/>
      <c r="F187" s="108">
        <f>F175*0.8</f>
        <v>3360</v>
      </c>
      <c r="G187" s="108"/>
      <c r="H187" s="108"/>
    </row>
    <row r="188" spans="1:8" s="24" customFormat="1" ht="15.75" hidden="1" customHeight="1">
      <c r="A188" s="138" t="s">
        <v>129</v>
      </c>
      <c r="B188" s="138"/>
      <c r="C188" s="138"/>
      <c r="D188" s="138"/>
      <c r="E188" s="138"/>
      <c r="F188" s="138"/>
      <c r="G188" s="138"/>
      <c r="H188" s="138"/>
    </row>
    <row r="189" spans="1:8" s="24" customFormat="1" ht="15.75" hidden="1" customHeight="1">
      <c r="A189" s="139" t="s">
        <v>130</v>
      </c>
      <c r="B189" s="139"/>
      <c r="C189" s="44" t="s">
        <v>131</v>
      </c>
      <c r="D189" s="140" t="s">
        <v>132</v>
      </c>
      <c r="E189" s="140"/>
      <c r="F189" s="139" t="s">
        <v>133</v>
      </c>
      <c r="G189" s="139"/>
      <c r="H189" s="139"/>
    </row>
    <row r="190" spans="1:8" s="24" customFormat="1" hidden="1">
      <c r="A190" s="141"/>
      <c r="B190" s="141"/>
      <c r="C190" s="45"/>
      <c r="D190" s="142"/>
      <c r="E190" s="142"/>
      <c r="F190" s="143"/>
      <c r="G190" s="143"/>
      <c r="H190" s="143"/>
    </row>
    <row r="191" spans="1:8" s="24" customFormat="1">
      <c r="A191" s="138" t="s">
        <v>134</v>
      </c>
      <c r="B191" s="138"/>
      <c r="C191" s="138"/>
      <c r="D191" s="138"/>
      <c r="E191" s="138"/>
      <c r="F191" s="138"/>
      <c r="G191" s="138"/>
      <c r="H191" s="138"/>
    </row>
    <row r="192" spans="1:8" s="24" customFormat="1">
      <c r="A192" s="139" t="s">
        <v>130</v>
      </c>
      <c r="B192" s="139"/>
      <c r="C192" s="44" t="s">
        <v>131</v>
      </c>
      <c r="D192" s="140" t="s">
        <v>132</v>
      </c>
      <c r="E192" s="140"/>
      <c r="F192" s="139" t="s">
        <v>133</v>
      </c>
      <c r="G192" s="139"/>
      <c r="H192" s="139"/>
    </row>
    <row r="193" spans="1:8" s="24" customFormat="1">
      <c r="A193" s="141" t="s">
        <v>135</v>
      </c>
      <c r="B193" s="75" t="s">
        <v>136</v>
      </c>
      <c r="C193" s="47">
        <f>COUNT(D222:D223)*4</f>
        <v>8</v>
      </c>
      <c r="D193" s="142">
        <f>SUM(D222:D223)*4</f>
        <v>5288.1379200000001</v>
      </c>
      <c r="E193" s="142"/>
      <c r="F193" s="143">
        <f>SUM(F222:F223)*4</f>
        <v>7667.7999840000002</v>
      </c>
      <c r="G193" s="143"/>
      <c r="H193" s="143"/>
    </row>
    <row r="194" spans="1:8" s="24" customFormat="1">
      <c r="A194" s="141"/>
      <c r="B194" s="75" t="s">
        <v>137</v>
      </c>
      <c r="C194" s="47">
        <f>COUNT(D227:D228)*4</f>
        <v>8</v>
      </c>
      <c r="D194" s="142">
        <f>SUM(D227:D228)*4</f>
        <v>5248.5263999999997</v>
      </c>
      <c r="E194" s="142"/>
      <c r="F194" s="143">
        <f>SUM(F227:F228)*4</f>
        <v>7610.3632799999996</v>
      </c>
      <c r="G194" s="143"/>
      <c r="H194" s="143"/>
    </row>
    <row r="195" spans="1:8" s="24" customFormat="1">
      <c r="A195" s="141"/>
      <c r="B195" s="75" t="s">
        <v>138</v>
      </c>
      <c r="C195" s="47">
        <f>COUNT(D232:D235)*4</f>
        <v>16</v>
      </c>
      <c r="D195" s="142">
        <f>SUM(D232:D235)*4</f>
        <v>7211.0188799999996</v>
      </c>
      <c r="E195" s="142"/>
      <c r="F195" s="143">
        <f>SUM(F232:F235)*4</f>
        <v>10455.977375999999</v>
      </c>
      <c r="G195" s="143"/>
      <c r="H195" s="143"/>
    </row>
    <row r="196" spans="1:8" s="24" customFormat="1">
      <c r="A196" s="141"/>
      <c r="B196" s="75" t="s">
        <v>139</v>
      </c>
      <c r="C196" s="47">
        <v>16</v>
      </c>
      <c r="D196" s="142">
        <f>SUM(D239:D242)*4</f>
        <v>7211.0188799999996</v>
      </c>
      <c r="E196" s="142"/>
      <c r="F196" s="143">
        <f>SUM(F239:F242)*4</f>
        <v>10455.977375999999</v>
      </c>
      <c r="G196" s="143"/>
      <c r="H196" s="143"/>
    </row>
    <row r="197" spans="1:8" s="24" customFormat="1">
      <c r="A197" s="141"/>
      <c r="B197" s="75" t="s">
        <v>140</v>
      </c>
      <c r="C197" s="47">
        <v>16</v>
      </c>
      <c r="D197" s="142">
        <f>SUM(D246:D249)*4</f>
        <v>7211.0188799999996</v>
      </c>
      <c r="E197" s="142"/>
      <c r="F197" s="143">
        <f>SUM(F246:F249)*4</f>
        <v>10455.977375999999</v>
      </c>
      <c r="G197" s="143"/>
      <c r="H197" s="143"/>
    </row>
    <row r="198" spans="1:8" s="24" customFormat="1">
      <c r="A198" s="141"/>
      <c r="B198" s="75" t="s">
        <v>141</v>
      </c>
      <c r="C198" s="47">
        <v>16</v>
      </c>
      <c r="D198" s="142">
        <f>SUM(D253:D256)*4</f>
        <v>7211.0188799999996</v>
      </c>
      <c r="E198" s="142"/>
      <c r="F198" s="143">
        <f>SUM(F253:F256)*4</f>
        <v>10455.977375999999</v>
      </c>
      <c r="G198" s="143"/>
      <c r="H198" s="143"/>
    </row>
    <row r="199" spans="1:8" s="24" customFormat="1">
      <c r="A199" s="141" t="s">
        <v>142</v>
      </c>
      <c r="B199" s="75" t="s">
        <v>143</v>
      </c>
      <c r="C199" s="47">
        <f>COUNT(D261:D262)*4</f>
        <v>8</v>
      </c>
      <c r="D199" s="142">
        <f>SUM(D261:D262)*4</f>
        <v>5288.1379200000001</v>
      </c>
      <c r="E199" s="142"/>
      <c r="F199" s="143">
        <f>SUM(F261:F262)*4</f>
        <v>7667.7999840000002</v>
      </c>
      <c r="G199" s="143"/>
      <c r="H199" s="143"/>
    </row>
    <row r="200" spans="1:8" s="24" customFormat="1">
      <c r="A200" s="141"/>
      <c r="B200" s="75" t="s">
        <v>144</v>
      </c>
      <c r="C200" s="47">
        <f>COUNT(D266:D267)*4</f>
        <v>8</v>
      </c>
      <c r="D200" s="142">
        <f>SUM(D266:D267)*4</f>
        <v>5245.0819199999996</v>
      </c>
      <c r="E200" s="142"/>
      <c r="F200" s="143">
        <f>SUM(F266:F267)*4</f>
        <v>7605.3687839999993</v>
      </c>
      <c r="G200" s="143"/>
      <c r="H200" s="143"/>
    </row>
    <row r="201" spans="1:8" s="24" customFormat="1">
      <c r="A201" s="141"/>
      <c r="B201" s="75" t="s">
        <v>145</v>
      </c>
      <c r="C201" s="47">
        <v>8</v>
      </c>
      <c r="D201" s="142">
        <f>SUM(D271:D272)*4</f>
        <v>5245.0819199999996</v>
      </c>
      <c r="E201" s="142"/>
      <c r="F201" s="143">
        <f>SUM(F271:F272)*4</f>
        <v>7605.3687839999993</v>
      </c>
      <c r="G201" s="143"/>
      <c r="H201" s="143"/>
    </row>
    <row r="202" spans="1:8" s="24" customFormat="1">
      <c r="A202" s="141" t="s">
        <v>146</v>
      </c>
      <c r="B202" s="75" t="s">
        <v>147</v>
      </c>
      <c r="C202" s="47">
        <f>COUNT(D277:D279)+COUNT(D281:D283)*3</f>
        <v>12</v>
      </c>
      <c r="D202" s="142">
        <f>SUM(D277:D279)+SUM(D281:D283)*3</f>
        <v>6188.6111039999996</v>
      </c>
      <c r="E202" s="142"/>
      <c r="F202" s="143">
        <f>SUM(F277:F279)+SUM(F281:F283)*3</f>
        <v>8973.4861008000007</v>
      </c>
      <c r="G202" s="143"/>
      <c r="H202" s="143"/>
    </row>
    <row r="203" spans="1:8" s="24" customFormat="1">
      <c r="A203" s="141"/>
      <c r="B203" s="75" t="s">
        <v>148</v>
      </c>
      <c r="C203" s="47">
        <f>COUNT(D287:D288)+COUNT(D290:D291)*3</f>
        <v>8</v>
      </c>
      <c r="D203" s="142">
        <f>SUM(D287:D288)+SUM(D290:D291)*3</f>
        <v>5309.6659200000004</v>
      </c>
      <c r="E203" s="142"/>
      <c r="F203" s="143">
        <f>SUM(F287:F288)+SUM(F290:F291)*3</f>
        <v>7699.0155840000007</v>
      </c>
      <c r="G203" s="143"/>
      <c r="H203" s="143"/>
    </row>
    <row r="204" spans="1:8" s="24" customFormat="1">
      <c r="A204" s="141"/>
      <c r="B204" s="75" t="s">
        <v>149</v>
      </c>
      <c r="C204" s="47">
        <f>COUNT(D295:D298)+COUNT(D300:D303)*3</f>
        <v>16</v>
      </c>
      <c r="D204" s="142">
        <f>SUM(D295:D298)+SUM(D300:D303)*3</f>
        <v>7144.28208</v>
      </c>
      <c r="E204" s="142"/>
      <c r="F204" s="143">
        <f>SUM(F295:F298)+SUM(F300:F303)*3</f>
        <v>10359.209015999997</v>
      </c>
      <c r="G204" s="143"/>
      <c r="H204" s="143"/>
    </row>
    <row r="205" spans="1:8" s="24" customFormat="1">
      <c r="A205" s="141"/>
      <c r="B205" s="75" t="s">
        <v>150</v>
      </c>
      <c r="C205" s="47">
        <v>16</v>
      </c>
      <c r="D205" s="142">
        <f>SUM(D307:D310)+SUM(D312:D315)*3</f>
        <v>7144.28208</v>
      </c>
      <c r="E205" s="142"/>
      <c r="F205" s="143">
        <f>SUM(F307:F310)+SUM(F312:F315)*3</f>
        <v>10359.209015999997</v>
      </c>
      <c r="G205" s="143"/>
      <c r="H205" s="143"/>
    </row>
    <row r="206" spans="1:8" s="24" customFormat="1">
      <c r="A206" s="141"/>
      <c r="B206" s="75" t="s">
        <v>151</v>
      </c>
      <c r="C206" s="47">
        <v>8</v>
      </c>
      <c r="D206" s="142">
        <f>SUM(D319:D320)+SUM(D322:D323)*3</f>
        <v>5309.6659200000004</v>
      </c>
      <c r="E206" s="142"/>
      <c r="F206" s="143">
        <f>SUM(F319:F320)+SUM(F322:F323)*3</f>
        <v>7699.0155840000007</v>
      </c>
      <c r="G206" s="143"/>
      <c r="H206" s="143"/>
    </row>
    <row r="207" spans="1:8" s="24" customFormat="1">
      <c r="A207" s="141"/>
      <c r="B207" s="75" t="s">
        <v>152</v>
      </c>
      <c r="C207" s="47">
        <v>12</v>
      </c>
      <c r="D207" s="142">
        <f>SUM(D327:D329)+SUM(D331:D333)*3</f>
        <v>6188.6111039999996</v>
      </c>
      <c r="E207" s="142"/>
      <c r="F207" s="143">
        <f>SUM(F327:F329)+SUM(F331:F333)*3</f>
        <v>8973.4861008000007</v>
      </c>
      <c r="G207" s="143"/>
      <c r="H207" s="143"/>
    </row>
    <row r="208" spans="1:8" s="24" customFormat="1" ht="15.65" customHeight="1">
      <c r="A208" s="164" t="s">
        <v>153</v>
      </c>
      <c r="B208" s="46" t="s">
        <v>154</v>
      </c>
      <c r="C208" s="47">
        <f>COUNT(D338:D340)+COUNT(D342:D344)*3</f>
        <v>12</v>
      </c>
      <c r="D208" s="142">
        <f>SUM(D338:D340)+SUM(D342:D344)*3</f>
        <v>5566.9255200000007</v>
      </c>
      <c r="E208" s="142"/>
      <c r="F208" s="143">
        <f>SUM(F338:F340)+SUM(F342:F344)*3</f>
        <v>8072.0420040000008</v>
      </c>
      <c r="G208" s="143"/>
      <c r="H208" s="143"/>
    </row>
    <row r="209" spans="1:8" s="24" customFormat="1">
      <c r="A209" s="165"/>
      <c r="B209" s="46" t="s">
        <v>155</v>
      </c>
      <c r="C209" s="47">
        <f>COUNT(D348:D349)+COUNT(D351:D352)*3</f>
        <v>8</v>
      </c>
      <c r="D209" s="142">
        <f>SUM(D348:D349)+SUM(D351:D352)*3</f>
        <v>5270.0544</v>
      </c>
      <c r="E209" s="142"/>
      <c r="F209" s="143">
        <f>SUM(F348:F349)+SUM(F351:F352)*3</f>
        <v>7641.57888</v>
      </c>
      <c r="G209" s="143"/>
      <c r="H209" s="143"/>
    </row>
    <row r="210" spans="1:8" s="24" customFormat="1">
      <c r="A210" s="165"/>
      <c r="B210" s="46" t="s">
        <v>156</v>
      </c>
      <c r="C210" s="47">
        <f>COUNT(D356:D357)+COUNT(D359:D360)*3</f>
        <v>8</v>
      </c>
      <c r="D210" s="142">
        <f>SUM(D356:D357)+SUM(D359:D360)*3</f>
        <v>5306.2214400000003</v>
      </c>
      <c r="E210" s="142"/>
      <c r="F210" s="143">
        <f>SUM(F356:F357)+SUM(F359:F360)*3</f>
        <v>7694.0210880000004</v>
      </c>
      <c r="G210" s="143"/>
      <c r="H210" s="143"/>
    </row>
    <row r="211" spans="1:8" s="24" customFormat="1">
      <c r="A211" s="165"/>
      <c r="B211" s="46" t="s">
        <v>157</v>
      </c>
      <c r="C211" s="47">
        <v>8</v>
      </c>
      <c r="D211" s="142">
        <f>SUM(D364:D365)+SUM(D367:D368)*3</f>
        <v>5306.2214400000003</v>
      </c>
      <c r="E211" s="142"/>
      <c r="F211" s="143">
        <f>SUM(F364:F365)+SUM(F367:F368)*3</f>
        <v>7694.0210880000004</v>
      </c>
      <c r="G211" s="143"/>
      <c r="H211" s="143"/>
    </row>
    <row r="212" spans="1:8" s="24" customFormat="1">
      <c r="A212" s="165"/>
      <c r="B212" s="46" t="s">
        <v>158</v>
      </c>
      <c r="C212" s="47">
        <v>8</v>
      </c>
      <c r="D212" s="142">
        <f>SUM(D372:D373)+SUM(D375:D376)*3</f>
        <v>5270.0544</v>
      </c>
      <c r="E212" s="142"/>
      <c r="F212" s="143">
        <f>SUM(F372:F373)+SUM(F375:F376)*3</f>
        <v>7641.57888</v>
      </c>
      <c r="G212" s="143"/>
      <c r="H212" s="143"/>
    </row>
    <row r="213" spans="1:8" s="24" customFormat="1">
      <c r="A213" s="166"/>
      <c r="B213" s="46" t="s">
        <v>159</v>
      </c>
      <c r="C213" s="47">
        <v>12</v>
      </c>
      <c r="D213" s="142">
        <f>SUM(D380:D382)+SUM(D384:D386)*3</f>
        <v>5566.9255200000007</v>
      </c>
      <c r="E213" s="142"/>
      <c r="F213" s="143">
        <f>SUM(F380:F382)+SUM(F384:F386)*3</f>
        <v>8072.0420040000008</v>
      </c>
      <c r="G213" s="143"/>
      <c r="H213" s="143"/>
    </row>
    <row r="214" spans="1:8" s="25" customFormat="1" ht="15">
      <c r="A214" s="138" t="s">
        <v>160</v>
      </c>
      <c r="B214" s="138"/>
      <c r="C214" s="48">
        <f>SUM(C193:C213)</f>
        <v>232</v>
      </c>
      <c r="D214" s="144">
        <f>SUM(D193:E213)</f>
        <v>124730.56252799998</v>
      </c>
      <c r="E214" s="144"/>
      <c r="F214" s="139">
        <f>SUM(F193:H213)</f>
        <v>180859.31566559995</v>
      </c>
      <c r="G214" s="139"/>
      <c r="H214" s="139"/>
    </row>
    <row r="215" spans="1:8" s="23" customFormat="1">
      <c r="A215" s="97" t="s">
        <v>161</v>
      </c>
      <c r="B215" s="97"/>
      <c r="C215" s="97"/>
      <c r="D215" s="97"/>
      <c r="E215" s="97"/>
      <c r="F215" s="97"/>
      <c r="G215" s="97"/>
      <c r="H215" s="97"/>
    </row>
    <row r="216" spans="1:8">
      <c r="A216" s="97" t="s">
        <v>162</v>
      </c>
      <c r="B216" s="97"/>
      <c r="C216" s="97"/>
      <c r="D216" s="97"/>
      <c r="E216" s="97"/>
      <c r="F216" s="97"/>
      <c r="G216" s="97"/>
      <c r="H216" s="97"/>
    </row>
    <row r="217" spans="1:8" ht="47.25" customHeight="1">
      <c r="A217" s="145" t="s">
        <v>163</v>
      </c>
      <c r="B217" s="145"/>
      <c r="C217" s="49" t="s">
        <v>164</v>
      </c>
      <c r="D217" s="49" t="s">
        <v>165</v>
      </c>
      <c r="E217" s="50" t="s">
        <v>166</v>
      </c>
      <c r="F217" s="49" t="s">
        <v>167</v>
      </c>
      <c r="G217" s="145" t="s">
        <v>168</v>
      </c>
      <c r="H217" s="145"/>
    </row>
    <row r="218" spans="1:8" s="26" customFormat="1">
      <c r="A218" s="146" t="s">
        <v>169</v>
      </c>
      <c r="B218" s="146"/>
      <c r="C218" s="146"/>
      <c r="D218" s="146"/>
      <c r="E218" s="146"/>
      <c r="F218" s="146"/>
      <c r="G218" s="146"/>
      <c r="H218" s="146"/>
    </row>
    <row r="219" spans="1:8" s="26" customFormat="1">
      <c r="A219" s="147" t="s">
        <v>136</v>
      </c>
      <c r="B219" s="148"/>
      <c r="C219" s="148"/>
      <c r="D219" s="148"/>
      <c r="E219" s="148"/>
      <c r="F219" s="148"/>
      <c r="G219" s="148"/>
      <c r="H219" s="149"/>
    </row>
    <row r="220" spans="1:8" s="26" customFormat="1" ht="15.65" customHeight="1">
      <c r="A220" s="147" t="s">
        <v>170</v>
      </c>
      <c r="B220" s="148"/>
      <c r="C220" s="148"/>
      <c r="D220" s="148"/>
      <c r="E220" s="148"/>
      <c r="F220" s="148"/>
      <c r="G220" s="148"/>
      <c r="H220" s="149"/>
    </row>
    <row r="221" spans="1:8" s="26" customFormat="1" ht="15.65" customHeight="1">
      <c r="A221" s="147" t="s">
        <v>171</v>
      </c>
      <c r="B221" s="148"/>
      <c r="C221" s="148"/>
      <c r="D221" s="148"/>
      <c r="E221" s="148"/>
      <c r="F221" s="148"/>
      <c r="G221" s="148"/>
      <c r="H221" s="149"/>
    </row>
    <row r="222" spans="1:8" s="26" customFormat="1" ht="15.65" customHeight="1">
      <c r="A222" s="150">
        <v>1</v>
      </c>
      <c r="B222" s="151"/>
      <c r="C222" s="51" t="s">
        <v>172</v>
      </c>
      <c r="D222" s="51">
        <f>(54.56+6.85)*10.764</f>
        <v>661.01724000000002</v>
      </c>
      <c r="E222" s="51">
        <v>0</v>
      </c>
      <c r="F222" s="51">
        <f>D222*1.45+E222</f>
        <v>958.47499800000003</v>
      </c>
      <c r="G222" s="153" t="str">
        <f>A221</f>
        <v>1st to 4th Floor for Residential</v>
      </c>
      <c r="H222" s="154"/>
    </row>
    <row r="223" spans="1:8" s="26" customFormat="1">
      <c r="A223" s="150">
        <v>2</v>
      </c>
      <c r="B223" s="151"/>
      <c r="C223" s="51" t="s">
        <v>172</v>
      </c>
      <c r="D223" s="51">
        <f>(54.56+6.85)*10.764</f>
        <v>661.01724000000002</v>
      </c>
      <c r="E223" s="51">
        <v>0</v>
      </c>
      <c r="F223" s="51">
        <f>D223*1.45+E223</f>
        <v>958.47499800000003</v>
      </c>
      <c r="G223" s="157"/>
      <c r="H223" s="158"/>
    </row>
    <row r="224" spans="1:8" s="26" customFormat="1">
      <c r="A224" s="147" t="s">
        <v>137</v>
      </c>
      <c r="B224" s="148"/>
      <c r="C224" s="148"/>
      <c r="D224" s="148"/>
      <c r="E224" s="148"/>
      <c r="F224" s="148"/>
      <c r="G224" s="148"/>
      <c r="H224" s="149"/>
    </row>
    <row r="225" spans="1:9" s="26" customFormat="1" ht="15.65" customHeight="1">
      <c r="A225" s="147" t="s">
        <v>170</v>
      </c>
      <c r="B225" s="148"/>
      <c r="C225" s="148"/>
      <c r="D225" s="148"/>
      <c r="E225" s="148"/>
      <c r="F225" s="148"/>
      <c r="G225" s="148"/>
      <c r="H225" s="149"/>
    </row>
    <row r="226" spans="1:9" s="26" customFormat="1">
      <c r="A226" s="147" t="s">
        <v>171</v>
      </c>
      <c r="B226" s="148"/>
      <c r="C226" s="148"/>
      <c r="D226" s="148"/>
      <c r="E226" s="148"/>
      <c r="F226" s="148"/>
      <c r="G226" s="148"/>
      <c r="H226" s="149"/>
    </row>
    <row r="227" spans="1:9" s="26" customFormat="1">
      <c r="A227" s="150">
        <v>1</v>
      </c>
      <c r="B227" s="151"/>
      <c r="C227" s="51" t="s">
        <v>172</v>
      </c>
      <c r="D227" s="51">
        <f>(54.1+6.85)*10.764</f>
        <v>656.06579999999997</v>
      </c>
      <c r="E227" s="51">
        <v>0</v>
      </c>
      <c r="F227" s="51">
        <f>D227*1.45+E227</f>
        <v>951.29540999999995</v>
      </c>
      <c r="G227" s="153" t="str">
        <f>A226</f>
        <v>1st to 4th Floor for Residential</v>
      </c>
      <c r="H227" s="154"/>
    </row>
    <row r="228" spans="1:9" s="26" customFormat="1">
      <c r="A228" s="150">
        <v>2</v>
      </c>
      <c r="B228" s="151"/>
      <c r="C228" s="51" t="s">
        <v>172</v>
      </c>
      <c r="D228" s="51">
        <f>(54.1+6.85)*10.764</f>
        <v>656.06579999999997</v>
      </c>
      <c r="E228" s="51">
        <v>0</v>
      </c>
      <c r="F228" s="51">
        <f>D228*1.45+E228</f>
        <v>951.29540999999995</v>
      </c>
      <c r="G228" s="157"/>
      <c r="H228" s="158"/>
    </row>
    <row r="229" spans="1:9" s="26" customFormat="1">
      <c r="A229" s="147" t="s">
        <v>138</v>
      </c>
      <c r="B229" s="148"/>
      <c r="C229" s="148"/>
      <c r="D229" s="148"/>
      <c r="E229" s="148"/>
      <c r="F229" s="148"/>
      <c r="G229" s="148"/>
      <c r="H229" s="149"/>
    </row>
    <row r="230" spans="1:9" s="26" customFormat="1" ht="15.65" customHeight="1">
      <c r="A230" s="146" t="s">
        <v>170</v>
      </c>
      <c r="B230" s="146"/>
      <c r="C230" s="146"/>
      <c r="D230" s="146"/>
      <c r="E230" s="146"/>
      <c r="F230" s="146"/>
      <c r="G230" s="146"/>
      <c r="H230" s="146"/>
    </row>
    <row r="231" spans="1:9" s="26" customFormat="1">
      <c r="A231" s="146" t="s">
        <v>171</v>
      </c>
      <c r="B231" s="146"/>
      <c r="C231" s="146"/>
      <c r="D231" s="146"/>
      <c r="E231" s="146"/>
      <c r="F231" s="146"/>
      <c r="G231" s="146"/>
      <c r="H231" s="146"/>
    </row>
    <row r="232" spans="1:9" s="26" customFormat="1" ht="15.65" customHeight="1">
      <c r="A232" s="152">
        <v>1</v>
      </c>
      <c r="B232" s="152"/>
      <c r="C232" s="73" t="s">
        <v>173</v>
      </c>
      <c r="D232" s="73">
        <f>(38.25+3.6)*10.764</f>
        <v>450.47339999999997</v>
      </c>
      <c r="E232" s="73">
        <v>0</v>
      </c>
      <c r="F232" s="73">
        <f>D232*1.45+E232</f>
        <v>653.18642999999997</v>
      </c>
      <c r="G232" s="152" t="str">
        <f>A231</f>
        <v>1st to 4th Floor for Residential</v>
      </c>
      <c r="H232" s="152"/>
      <c r="I232" s="26">
        <f>2768000/F232</f>
        <v>4237.6875465707399</v>
      </c>
    </row>
    <row r="233" spans="1:9" s="26" customFormat="1">
      <c r="A233" s="152">
        <v>2</v>
      </c>
      <c r="B233" s="152"/>
      <c r="C233" s="73" t="s">
        <v>173</v>
      </c>
      <c r="D233" s="73">
        <f>(38.29+3.6)*10.764</f>
        <v>450.90395999999998</v>
      </c>
      <c r="E233" s="73">
        <v>0</v>
      </c>
      <c r="F233" s="73">
        <f>D233*1.45+E233</f>
        <v>653.810742</v>
      </c>
      <c r="G233" s="152"/>
      <c r="H233" s="152"/>
    </row>
    <row r="234" spans="1:9" s="26" customFormat="1">
      <c r="A234" s="152">
        <v>3</v>
      </c>
      <c r="B234" s="152"/>
      <c r="C234" s="73" t="s">
        <v>173</v>
      </c>
      <c r="D234" s="73">
        <f t="shared" ref="D234" si="0">(38.25+3.6)*10.764</f>
        <v>450.47339999999997</v>
      </c>
      <c r="E234" s="73">
        <v>0</v>
      </c>
      <c r="F234" s="73">
        <f t="shared" ref="F234:F235" si="1">D234*1.45+E234</f>
        <v>653.18642999999997</v>
      </c>
      <c r="G234" s="152"/>
      <c r="H234" s="152"/>
    </row>
    <row r="235" spans="1:9" s="26" customFormat="1">
      <c r="A235" s="152">
        <v>4</v>
      </c>
      <c r="B235" s="152"/>
      <c r="C235" s="73" t="s">
        <v>173</v>
      </c>
      <c r="D235" s="73">
        <f>(38.29+3.6)*10.764</f>
        <v>450.90395999999998</v>
      </c>
      <c r="E235" s="73">
        <v>0</v>
      </c>
      <c r="F235" s="73">
        <f t="shared" si="1"/>
        <v>653.810742</v>
      </c>
      <c r="G235" s="152"/>
      <c r="H235" s="152"/>
    </row>
    <row r="236" spans="1:9" s="26" customFormat="1">
      <c r="A236" s="146" t="s">
        <v>139</v>
      </c>
      <c r="B236" s="146"/>
      <c r="C236" s="146"/>
      <c r="D236" s="146"/>
      <c r="E236" s="146"/>
      <c r="F236" s="146"/>
      <c r="G236" s="146"/>
      <c r="H236" s="146"/>
    </row>
    <row r="237" spans="1:9" s="26" customFormat="1" ht="15.65" customHeight="1">
      <c r="A237" s="146" t="s">
        <v>170</v>
      </c>
      <c r="B237" s="146"/>
      <c r="C237" s="146"/>
      <c r="D237" s="146"/>
      <c r="E237" s="146"/>
      <c r="F237" s="146"/>
      <c r="G237" s="146"/>
      <c r="H237" s="146"/>
    </row>
    <row r="238" spans="1:9" s="26" customFormat="1">
      <c r="A238" s="146" t="s">
        <v>171</v>
      </c>
      <c r="B238" s="146"/>
      <c r="C238" s="146"/>
      <c r="D238" s="146"/>
      <c r="E238" s="146"/>
      <c r="F238" s="146"/>
      <c r="G238" s="146"/>
      <c r="H238" s="146"/>
    </row>
    <row r="239" spans="1:9" s="26" customFormat="1" ht="15.65" customHeight="1">
      <c r="A239" s="152">
        <v>1</v>
      </c>
      <c r="B239" s="152"/>
      <c r="C239" s="73" t="s">
        <v>173</v>
      </c>
      <c r="D239" s="73">
        <f>(38.25+3.6)*10.764</f>
        <v>450.47339999999997</v>
      </c>
      <c r="E239" s="73">
        <v>0</v>
      </c>
      <c r="F239" s="73">
        <f>D239*1.45+E239</f>
        <v>653.18642999999997</v>
      </c>
      <c r="G239" s="152" t="str">
        <f>A238</f>
        <v>1st to 4th Floor for Residential</v>
      </c>
      <c r="H239" s="152"/>
    </row>
    <row r="240" spans="1:9" s="26" customFormat="1">
      <c r="A240" s="152">
        <v>2</v>
      </c>
      <c r="B240" s="152"/>
      <c r="C240" s="73" t="s">
        <v>173</v>
      </c>
      <c r="D240" s="73">
        <f>(38.29+3.6)*10.764</f>
        <v>450.90395999999998</v>
      </c>
      <c r="E240" s="73">
        <v>0</v>
      </c>
      <c r="F240" s="73">
        <f>D240*1.45+E240</f>
        <v>653.810742</v>
      </c>
      <c r="G240" s="152"/>
      <c r="H240" s="152"/>
    </row>
    <row r="241" spans="1:8" s="26" customFormat="1">
      <c r="A241" s="152">
        <v>3</v>
      </c>
      <c r="B241" s="152"/>
      <c r="C241" s="73" t="s">
        <v>173</v>
      </c>
      <c r="D241" s="73">
        <f t="shared" ref="D241" si="2">(38.25+3.6)*10.764</f>
        <v>450.47339999999997</v>
      </c>
      <c r="E241" s="73">
        <v>0</v>
      </c>
      <c r="F241" s="73">
        <f t="shared" ref="F241:F242" si="3">D241*1.45+E241</f>
        <v>653.18642999999997</v>
      </c>
      <c r="G241" s="152"/>
      <c r="H241" s="152"/>
    </row>
    <row r="242" spans="1:8" s="26" customFormat="1">
      <c r="A242" s="152">
        <v>4</v>
      </c>
      <c r="B242" s="152"/>
      <c r="C242" s="73" t="s">
        <v>173</v>
      </c>
      <c r="D242" s="73">
        <f>(38.29+3.6)*10.764</f>
        <v>450.90395999999998</v>
      </c>
      <c r="E242" s="73">
        <v>0</v>
      </c>
      <c r="F242" s="73">
        <f t="shared" si="3"/>
        <v>653.810742</v>
      </c>
      <c r="G242" s="152"/>
      <c r="H242" s="152"/>
    </row>
    <row r="243" spans="1:8" s="26" customFormat="1">
      <c r="A243" s="147" t="s">
        <v>140</v>
      </c>
      <c r="B243" s="148"/>
      <c r="C243" s="148"/>
      <c r="D243" s="148"/>
      <c r="E243" s="148"/>
      <c r="F243" s="148"/>
      <c r="G243" s="148"/>
      <c r="H243" s="149"/>
    </row>
    <row r="244" spans="1:8" s="26" customFormat="1" ht="15.65" customHeight="1">
      <c r="A244" s="147" t="s">
        <v>170</v>
      </c>
      <c r="B244" s="148"/>
      <c r="C244" s="148"/>
      <c r="D244" s="148"/>
      <c r="E244" s="148"/>
      <c r="F244" s="148"/>
      <c r="G244" s="148"/>
      <c r="H244" s="149"/>
    </row>
    <row r="245" spans="1:8" s="26" customFormat="1">
      <c r="A245" s="147" t="s">
        <v>171</v>
      </c>
      <c r="B245" s="148"/>
      <c r="C245" s="148"/>
      <c r="D245" s="148"/>
      <c r="E245" s="148"/>
      <c r="F245" s="148"/>
      <c r="G245" s="148"/>
      <c r="H245" s="149"/>
    </row>
    <row r="246" spans="1:8" s="26" customFormat="1" ht="15.65" customHeight="1">
      <c r="A246" s="150">
        <v>1</v>
      </c>
      <c r="B246" s="151"/>
      <c r="C246" s="51" t="s">
        <v>173</v>
      </c>
      <c r="D246" s="51">
        <f>(38.25+3.6)*10.764</f>
        <v>450.47339999999997</v>
      </c>
      <c r="E246" s="51">
        <v>0</v>
      </c>
      <c r="F246" s="51">
        <f>D246*1.45+E246</f>
        <v>653.18642999999997</v>
      </c>
      <c r="G246" s="153" t="str">
        <f>A245</f>
        <v>1st to 4th Floor for Residential</v>
      </c>
      <c r="H246" s="154"/>
    </row>
    <row r="247" spans="1:8" s="26" customFormat="1">
      <c r="A247" s="150">
        <v>2</v>
      </c>
      <c r="B247" s="151"/>
      <c r="C247" s="51" t="s">
        <v>173</v>
      </c>
      <c r="D247" s="51">
        <f>(38.29+3.6)*10.764</f>
        <v>450.90395999999998</v>
      </c>
      <c r="E247" s="51">
        <v>0</v>
      </c>
      <c r="F247" s="51">
        <f>D247*1.45+E247</f>
        <v>653.810742</v>
      </c>
      <c r="G247" s="155"/>
      <c r="H247" s="156"/>
    </row>
    <row r="248" spans="1:8" s="26" customFormat="1">
      <c r="A248" s="152">
        <v>3</v>
      </c>
      <c r="B248" s="152"/>
      <c r="C248" s="51" t="s">
        <v>173</v>
      </c>
      <c r="D248" s="51">
        <f t="shared" ref="D248" si="4">(38.25+3.6)*10.764</f>
        <v>450.47339999999997</v>
      </c>
      <c r="E248" s="51">
        <v>0</v>
      </c>
      <c r="F248" s="51">
        <f t="shared" ref="F248:F249" si="5">D248*1.45+E248</f>
        <v>653.18642999999997</v>
      </c>
      <c r="G248" s="155"/>
      <c r="H248" s="156"/>
    </row>
    <row r="249" spans="1:8" s="26" customFormat="1">
      <c r="A249" s="152">
        <v>4</v>
      </c>
      <c r="B249" s="152"/>
      <c r="C249" s="51" t="s">
        <v>173</v>
      </c>
      <c r="D249" s="51">
        <f>(38.29+3.6)*10.764</f>
        <v>450.90395999999998</v>
      </c>
      <c r="E249" s="51">
        <v>0</v>
      </c>
      <c r="F249" s="51">
        <f t="shared" si="5"/>
        <v>653.810742</v>
      </c>
      <c r="G249" s="157"/>
      <c r="H249" s="158"/>
    </row>
    <row r="250" spans="1:8" s="26" customFormat="1">
      <c r="A250" s="147" t="s">
        <v>141</v>
      </c>
      <c r="B250" s="148"/>
      <c r="C250" s="148"/>
      <c r="D250" s="148"/>
      <c r="E250" s="148"/>
      <c r="F250" s="148"/>
      <c r="G250" s="148"/>
      <c r="H250" s="149"/>
    </row>
    <row r="251" spans="1:8" s="26" customFormat="1" ht="15.65" customHeight="1">
      <c r="A251" s="147" t="s">
        <v>170</v>
      </c>
      <c r="B251" s="148"/>
      <c r="C251" s="148"/>
      <c r="D251" s="148"/>
      <c r="E251" s="148"/>
      <c r="F251" s="148"/>
      <c r="G251" s="148"/>
      <c r="H251" s="149"/>
    </row>
    <row r="252" spans="1:8" s="26" customFormat="1">
      <c r="A252" s="147" t="s">
        <v>171</v>
      </c>
      <c r="B252" s="148"/>
      <c r="C252" s="148"/>
      <c r="D252" s="148"/>
      <c r="E252" s="148"/>
      <c r="F252" s="148"/>
      <c r="G252" s="148"/>
      <c r="H252" s="149"/>
    </row>
    <row r="253" spans="1:8" s="26" customFormat="1" ht="15.65" customHeight="1">
      <c r="A253" s="150">
        <v>1</v>
      </c>
      <c r="B253" s="151"/>
      <c r="C253" s="51" t="s">
        <v>173</v>
      </c>
      <c r="D253" s="51">
        <f>(38.25+3.6)*10.764</f>
        <v>450.47339999999997</v>
      </c>
      <c r="E253" s="51">
        <v>0</v>
      </c>
      <c r="F253" s="51">
        <f>D253*1.45+E253</f>
        <v>653.18642999999997</v>
      </c>
      <c r="G253" s="153" t="str">
        <f>A252</f>
        <v>1st to 4th Floor for Residential</v>
      </c>
      <c r="H253" s="154"/>
    </row>
    <row r="254" spans="1:8" s="26" customFormat="1">
      <c r="A254" s="150">
        <v>2</v>
      </c>
      <c r="B254" s="151"/>
      <c r="C254" s="51" t="s">
        <v>173</v>
      </c>
      <c r="D254" s="51">
        <f>(38.29+3.6)*10.764</f>
        <v>450.90395999999998</v>
      </c>
      <c r="E254" s="51">
        <v>0</v>
      </c>
      <c r="F254" s="51">
        <f>D254*1.45+E254</f>
        <v>653.810742</v>
      </c>
      <c r="G254" s="155"/>
      <c r="H254" s="156"/>
    </row>
    <row r="255" spans="1:8" s="26" customFormat="1">
      <c r="A255" s="152">
        <v>3</v>
      </c>
      <c r="B255" s="152"/>
      <c r="C255" s="51" t="s">
        <v>173</v>
      </c>
      <c r="D255" s="51">
        <f t="shared" ref="D255" si="6">(38.25+3.6)*10.764</f>
        <v>450.47339999999997</v>
      </c>
      <c r="E255" s="51">
        <v>0</v>
      </c>
      <c r="F255" s="51">
        <f t="shared" ref="F255:F256" si="7">D255*1.45+E255</f>
        <v>653.18642999999997</v>
      </c>
      <c r="G255" s="155"/>
      <c r="H255" s="156"/>
    </row>
    <row r="256" spans="1:8" s="26" customFormat="1">
      <c r="A256" s="152">
        <v>4</v>
      </c>
      <c r="B256" s="152"/>
      <c r="C256" s="51" t="s">
        <v>173</v>
      </c>
      <c r="D256" s="51">
        <f>(38.29+3.6)*10.764</f>
        <v>450.90395999999998</v>
      </c>
      <c r="E256" s="51">
        <v>0</v>
      </c>
      <c r="F256" s="51">
        <f t="shared" si="7"/>
        <v>653.810742</v>
      </c>
      <c r="G256" s="157"/>
      <c r="H256" s="158"/>
    </row>
    <row r="257" spans="1:8" s="26" customFormat="1">
      <c r="A257" s="146" t="s">
        <v>174</v>
      </c>
      <c r="B257" s="146"/>
      <c r="C257" s="146"/>
      <c r="D257" s="146"/>
      <c r="E257" s="146"/>
      <c r="F257" s="146"/>
      <c r="G257" s="146"/>
      <c r="H257" s="146"/>
    </row>
    <row r="258" spans="1:8" s="26" customFormat="1">
      <c r="A258" s="147" t="s">
        <v>143</v>
      </c>
      <c r="B258" s="148"/>
      <c r="C258" s="148"/>
      <c r="D258" s="148"/>
      <c r="E258" s="148"/>
      <c r="F258" s="148"/>
      <c r="G258" s="148"/>
      <c r="H258" s="149"/>
    </row>
    <row r="259" spans="1:8" s="26" customFormat="1" ht="15.65" customHeight="1">
      <c r="A259" s="147" t="s">
        <v>170</v>
      </c>
      <c r="B259" s="148"/>
      <c r="C259" s="148"/>
      <c r="D259" s="148"/>
      <c r="E259" s="148"/>
      <c r="F259" s="148"/>
      <c r="G259" s="148"/>
      <c r="H259" s="149"/>
    </row>
    <row r="260" spans="1:8" s="26" customFormat="1" ht="15.65" customHeight="1">
      <c r="A260" s="147" t="s">
        <v>171</v>
      </c>
      <c r="B260" s="148"/>
      <c r="C260" s="148"/>
      <c r="D260" s="148"/>
      <c r="E260" s="148"/>
      <c r="F260" s="148"/>
      <c r="G260" s="148"/>
      <c r="H260" s="149"/>
    </row>
    <row r="261" spans="1:8" s="26" customFormat="1" ht="15.65" customHeight="1">
      <c r="A261" s="150">
        <v>1</v>
      </c>
      <c r="B261" s="151"/>
      <c r="C261" s="51" t="s">
        <v>172</v>
      </c>
      <c r="D261" s="51">
        <f>(54.56+6.85)*10.764</f>
        <v>661.01724000000002</v>
      </c>
      <c r="E261" s="51">
        <v>0</v>
      </c>
      <c r="F261" s="51">
        <f>D261*1.45+E261</f>
        <v>958.47499800000003</v>
      </c>
      <c r="G261" s="153" t="str">
        <f>A260</f>
        <v>1st to 4th Floor for Residential</v>
      </c>
      <c r="H261" s="154"/>
    </row>
    <row r="262" spans="1:8" s="26" customFormat="1">
      <c r="A262" s="150">
        <v>2</v>
      </c>
      <c r="B262" s="151"/>
      <c r="C262" s="51" t="s">
        <v>172</v>
      </c>
      <c r="D262" s="51">
        <f>(54.56+6.85)*10.764</f>
        <v>661.01724000000002</v>
      </c>
      <c r="E262" s="51">
        <v>0</v>
      </c>
      <c r="F262" s="51">
        <f>D262*1.45+E262</f>
        <v>958.47499800000003</v>
      </c>
      <c r="G262" s="157"/>
      <c r="H262" s="158"/>
    </row>
    <row r="263" spans="1:8" s="26" customFormat="1">
      <c r="A263" s="147" t="s">
        <v>144</v>
      </c>
      <c r="B263" s="148"/>
      <c r="C263" s="148"/>
      <c r="D263" s="148"/>
      <c r="E263" s="148"/>
      <c r="F263" s="148"/>
      <c r="G263" s="148"/>
      <c r="H263" s="149"/>
    </row>
    <row r="264" spans="1:8" s="26" customFormat="1" ht="15.65" customHeight="1">
      <c r="A264" s="147" t="s">
        <v>170</v>
      </c>
      <c r="B264" s="148"/>
      <c r="C264" s="148"/>
      <c r="D264" s="148"/>
      <c r="E264" s="148"/>
      <c r="F264" s="148"/>
      <c r="G264" s="148"/>
      <c r="H264" s="149"/>
    </row>
    <row r="265" spans="1:8" s="26" customFormat="1">
      <c r="A265" s="147" t="s">
        <v>171</v>
      </c>
      <c r="B265" s="148"/>
      <c r="C265" s="148"/>
      <c r="D265" s="148"/>
      <c r="E265" s="148"/>
      <c r="F265" s="148"/>
      <c r="G265" s="148"/>
      <c r="H265" s="149"/>
    </row>
    <row r="266" spans="1:8" s="26" customFormat="1">
      <c r="A266" s="150">
        <v>1</v>
      </c>
      <c r="B266" s="151"/>
      <c r="C266" s="51" t="s">
        <v>172</v>
      </c>
      <c r="D266" s="51">
        <f>(54.06+6.85)*10.764</f>
        <v>655.63523999999995</v>
      </c>
      <c r="E266" s="51">
        <v>0</v>
      </c>
      <c r="F266" s="51">
        <f>D266*1.45+E266</f>
        <v>950.67109799999992</v>
      </c>
      <c r="G266" s="153" t="str">
        <f>A265</f>
        <v>1st to 4th Floor for Residential</v>
      </c>
      <c r="H266" s="154"/>
    </row>
    <row r="267" spans="1:8" s="26" customFormat="1">
      <c r="A267" s="150">
        <v>2</v>
      </c>
      <c r="B267" s="151"/>
      <c r="C267" s="51" t="s">
        <v>172</v>
      </c>
      <c r="D267" s="51">
        <f>(54.06+6.85)*10.764</f>
        <v>655.63523999999995</v>
      </c>
      <c r="E267" s="51">
        <v>0</v>
      </c>
      <c r="F267" s="51">
        <f>D267*1.45+E267</f>
        <v>950.67109799999992</v>
      </c>
      <c r="G267" s="157"/>
      <c r="H267" s="158"/>
    </row>
    <row r="268" spans="1:8" s="26" customFormat="1">
      <c r="A268" s="147" t="s">
        <v>145</v>
      </c>
      <c r="B268" s="148"/>
      <c r="C268" s="148"/>
      <c r="D268" s="148"/>
      <c r="E268" s="148"/>
      <c r="F268" s="148"/>
      <c r="G268" s="148"/>
      <c r="H268" s="149"/>
    </row>
    <row r="269" spans="1:8" s="26" customFormat="1" ht="15.65" customHeight="1">
      <c r="A269" s="147" t="s">
        <v>170</v>
      </c>
      <c r="B269" s="148"/>
      <c r="C269" s="148"/>
      <c r="D269" s="148"/>
      <c r="E269" s="148"/>
      <c r="F269" s="148"/>
      <c r="G269" s="148"/>
      <c r="H269" s="149"/>
    </row>
    <row r="270" spans="1:8" s="26" customFormat="1">
      <c r="A270" s="147" t="s">
        <v>171</v>
      </c>
      <c r="B270" s="148"/>
      <c r="C270" s="148"/>
      <c r="D270" s="148"/>
      <c r="E270" s="148"/>
      <c r="F270" s="148"/>
      <c r="G270" s="148"/>
      <c r="H270" s="149"/>
    </row>
    <row r="271" spans="1:8" s="26" customFormat="1">
      <c r="A271" s="150">
        <v>1</v>
      </c>
      <c r="B271" s="151"/>
      <c r="C271" s="51" t="s">
        <v>172</v>
      </c>
      <c r="D271" s="51">
        <f>(54.06+6.85)*10.764</f>
        <v>655.63523999999995</v>
      </c>
      <c r="E271" s="51">
        <v>0</v>
      </c>
      <c r="F271" s="51">
        <f>D271*1.45+E271</f>
        <v>950.67109799999992</v>
      </c>
      <c r="G271" s="153" t="str">
        <f>A270</f>
        <v>1st to 4th Floor for Residential</v>
      </c>
      <c r="H271" s="154"/>
    </row>
    <row r="272" spans="1:8" s="26" customFormat="1">
      <c r="A272" s="150">
        <v>2</v>
      </c>
      <c r="B272" s="151"/>
      <c r="C272" s="51" t="s">
        <v>172</v>
      </c>
      <c r="D272" s="51">
        <f>(54.06+6.85)*10.764</f>
        <v>655.63523999999995</v>
      </c>
      <c r="E272" s="51">
        <v>0</v>
      </c>
      <c r="F272" s="51">
        <f>D272*1.45+E272</f>
        <v>950.67109799999992</v>
      </c>
      <c r="G272" s="157"/>
      <c r="H272" s="158"/>
    </row>
    <row r="273" spans="1:8" s="26" customFormat="1">
      <c r="A273" s="146" t="s">
        <v>175</v>
      </c>
      <c r="B273" s="146"/>
      <c r="C273" s="146"/>
      <c r="D273" s="146"/>
      <c r="E273" s="146"/>
      <c r="F273" s="146"/>
      <c r="G273" s="146"/>
      <c r="H273" s="146"/>
    </row>
    <row r="274" spans="1:8" s="26" customFormat="1">
      <c r="A274" s="146" t="s">
        <v>147</v>
      </c>
      <c r="B274" s="146"/>
      <c r="C274" s="146"/>
      <c r="D274" s="146"/>
      <c r="E274" s="146"/>
      <c r="F274" s="146"/>
      <c r="G274" s="146"/>
      <c r="H274" s="146"/>
    </row>
    <row r="275" spans="1:8" s="26" customFormat="1" ht="15.65" customHeight="1">
      <c r="A275" s="146" t="s">
        <v>170</v>
      </c>
      <c r="B275" s="146"/>
      <c r="C275" s="146"/>
      <c r="D275" s="146"/>
      <c r="E275" s="146"/>
      <c r="F275" s="146"/>
      <c r="G275" s="146"/>
      <c r="H275" s="146"/>
    </row>
    <row r="276" spans="1:8" s="26" customFormat="1" ht="15.65" customHeight="1">
      <c r="A276" s="146" t="s">
        <v>176</v>
      </c>
      <c r="B276" s="146"/>
      <c r="C276" s="146"/>
      <c r="D276" s="146"/>
      <c r="E276" s="146"/>
      <c r="F276" s="146"/>
      <c r="G276" s="146"/>
      <c r="H276" s="146"/>
    </row>
    <row r="277" spans="1:8" s="26" customFormat="1">
      <c r="A277" s="152">
        <v>1</v>
      </c>
      <c r="B277" s="152"/>
      <c r="C277" s="73" t="s">
        <v>177</v>
      </c>
      <c r="D277" s="73">
        <f>(24.94+3.08)*10.764</f>
        <v>301.60728</v>
      </c>
      <c r="E277" s="73">
        <v>0</v>
      </c>
      <c r="F277" s="73">
        <f>D277*1.45+E277</f>
        <v>437.330556</v>
      </c>
      <c r="G277" s="152" t="str">
        <f>A276</f>
        <v>1st Floor for Residential</v>
      </c>
      <c r="H277" s="152"/>
    </row>
    <row r="278" spans="1:8" s="26" customFormat="1">
      <c r="A278" s="152">
        <v>2</v>
      </c>
      <c r="B278" s="152"/>
      <c r="C278" s="73" t="s">
        <v>177</v>
      </c>
      <c r="D278" s="73">
        <f>(23.73+3.65)*10.764</f>
        <v>294.71831999999995</v>
      </c>
      <c r="E278" s="73">
        <v>0</v>
      </c>
      <c r="F278" s="73">
        <f>D278*1.45+E278</f>
        <v>427.34156399999989</v>
      </c>
      <c r="G278" s="152"/>
      <c r="H278" s="152"/>
    </row>
    <row r="279" spans="1:8" s="26" customFormat="1">
      <c r="A279" s="152">
        <v>3</v>
      </c>
      <c r="B279" s="152"/>
      <c r="C279" s="73" t="s">
        <v>172</v>
      </c>
      <c r="D279" s="73">
        <f>(54.58+6.85)*10.764</f>
        <v>661.23251999999991</v>
      </c>
      <c r="E279" s="73">
        <v>0</v>
      </c>
      <c r="F279" s="73">
        <f t="shared" ref="F279" si="8">D279*1.45+E279</f>
        <v>958.78715399999987</v>
      </c>
      <c r="G279" s="152"/>
      <c r="H279" s="152"/>
    </row>
    <row r="280" spans="1:8" s="26" customFormat="1" ht="15.65" customHeight="1">
      <c r="A280" s="146" t="s">
        <v>178</v>
      </c>
      <c r="B280" s="146"/>
      <c r="C280" s="146"/>
      <c r="D280" s="146"/>
      <c r="E280" s="146"/>
      <c r="F280" s="146"/>
      <c r="G280" s="146"/>
      <c r="H280" s="146"/>
    </row>
    <row r="281" spans="1:8" s="26" customFormat="1">
      <c r="A281" s="152">
        <v>1</v>
      </c>
      <c r="B281" s="152"/>
      <c r="C281" s="73" t="s">
        <v>172</v>
      </c>
      <c r="D281" s="73">
        <f>(54.77+9.122)*10.764</f>
        <v>687.73348799999997</v>
      </c>
      <c r="E281" s="73">
        <v>0</v>
      </c>
      <c r="F281" s="73">
        <f>D281*1.45+E281</f>
        <v>997.21355759999994</v>
      </c>
      <c r="G281" s="152" t="str">
        <f>A280</f>
        <v>2nd to 4th Floor</v>
      </c>
      <c r="H281" s="152"/>
    </row>
    <row r="282" spans="1:8" s="26" customFormat="1">
      <c r="A282" s="152">
        <v>2</v>
      </c>
      <c r="B282" s="152"/>
      <c r="C282" s="73" t="s">
        <v>177</v>
      </c>
      <c r="D282" s="73">
        <f>(23.73+3.65)*10.764</f>
        <v>294.71831999999995</v>
      </c>
      <c r="E282" s="73">
        <v>0</v>
      </c>
      <c r="F282" s="73">
        <f>D282*1.45+E282</f>
        <v>427.34156399999989</v>
      </c>
      <c r="G282" s="152"/>
      <c r="H282" s="152"/>
    </row>
    <row r="283" spans="1:8" s="26" customFormat="1">
      <c r="A283" s="152">
        <v>3</v>
      </c>
      <c r="B283" s="152"/>
      <c r="C283" s="73" t="s">
        <v>172</v>
      </c>
      <c r="D283" s="73">
        <f>(54.58+6.85)*10.764</f>
        <v>661.23251999999991</v>
      </c>
      <c r="E283" s="73">
        <v>0</v>
      </c>
      <c r="F283" s="73">
        <f t="shared" ref="F283" si="9">D283*1.45+E283</f>
        <v>958.78715399999987</v>
      </c>
      <c r="G283" s="152"/>
      <c r="H283" s="152"/>
    </row>
    <row r="284" spans="1:8" s="26" customFormat="1">
      <c r="A284" s="147" t="s">
        <v>148</v>
      </c>
      <c r="B284" s="148"/>
      <c r="C284" s="148"/>
      <c r="D284" s="148"/>
      <c r="E284" s="148"/>
      <c r="F284" s="148"/>
      <c r="G284" s="148"/>
      <c r="H284" s="149"/>
    </row>
    <row r="285" spans="1:8" s="26" customFormat="1" ht="15.65" customHeight="1">
      <c r="A285" s="147" t="s">
        <v>170</v>
      </c>
      <c r="B285" s="148"/>
      <c r="C285" s="148"/>
      <c r="D285" s="148"/>
      <c r="E285" s="148"/>
      <c r="F285" s="148"/>
      <c r="G285" s="148"/>
      <c r="H285" s="149"/>
    </row>
    <row r="286" spans="1:8" s="26" customFormat="1" ht="15.65" customHeight="1">
      <c r="A286" s="147" t="s">
        <v>176</v>
      </c>
      <c r="B286" s="148"/>
      <c r="C286" s="148"/>
      <c r="D286" s="148"/>
      <c r="E286" s="148"/>
      <c r="F286" s="148"/>
      <c r="G286" s="148"/>
      <c r="H286" s="149"/>
    </row>
    <row r="287" spans="1:8" s="26" customFormat="1">
      <c r="A287" s="152">
        <v>1</v>
      </c>
      <c r="B287" s="152"/>
      <c r="C287" s="51" t="s">
        <v>172</v>
      </c>
      <c r="D287" s="51">
        <f>(54.81+6.85)*10.764</f>
        <v>663.70824000000005</v>
      </c>
      <c r="E287" s="51">
        <v>0</v>
      </c>
      <c r="F287" s="51">
        <f>D287*1.45+E287</f>
        <v>962.37694800000008</v>
      </c>
      <c r="G287" s="153" t="str">
        <f>A286</f>
        <v>1st Floor for Residential</v>
      </c>
      <c r="H287" s="154"/>
    </row>
    <row r="288" spans="1:8" s="26" customFormat="1">
      <c r="A288" s="152">
        <v>2</v>
      </c>
      <c r="B288" s="152"/>
      <c r="C288" s="51" t="s">
        <v>172</v>
      </c>
      <c r="D288" s="51">
        <f>(54.81+6.85)*10.764</f>
        <v>663.70824000000005</v>
      </c>
      <c r="E288" s="51">
        <v>0</v>
      </c>
      <c r="F288" s="51">
        <f>D288*1.45+E288</f>
        <v>962.37694800000008</v>
      </c>
      <c r="G288" s="155"/>
      <c r="H288" s="156"/>
    </row>
    <row r="289" spans="1:8" s="26" customFormat="1" ht="15.65" customHeight="1">
      <c r="A289" s="147" t="s">
        <v>178</v>
      </c>
      <c r="B289" s="148"/>
      <c r="C289" s="148"/>
      <c r="D289" s="148"/>
      <c r="E289" s="148"/>
      <c r="F289" s="148"/>
      <c r="G289" s="148"/>
      <c r="H289" s="149"/>
    </row>
    <row r="290" spans="1:8" s="26" customFormat="1">
      <c r="A290" s="152">
        <v>1</v>
      </c>
      <c r="B290" s="152"/>
      <c r="C290" s="51" t="s">
        <v>172</v>
      </c>
      <c r="D290" s="51">
        <f>(54.81+6.85)*10.764</f>
        <v>663.70824000000005</v>
      </c>
      <c r="E290" s="51">
        <v>0</v>
      </c>
      <c r="F290" s="51">
        <f>D290*1.45+E290</f>
        <v>962.37694800000008</v>
      </c>
      <c r="G290" s="153" t="str">
        <f>A289</f>
        <v>2nd to 4th Floor</v>
      </c>
      <c r="H290" s="154"/>
    </row>
    <row r="291" spans="1:8" s="26" customFormat="1">
      <c r="A291" s="152">
        <v>2</v>
      </c>
      <c r="B291" s="152"/>
      <c r="C291" s="51" t="s">
        <v>172</v>
      </c>
      <c r="D291" s="51">
        <f>(54.81+6.85)*10.764</f>
        <v>663.70824000000005</v>
      </c>
      <c r="E291" s="51">
        <v>0</v>
      </c>
      <c r="F291" s="51">
        <f>D291*1.45+E291</f>
        <v>962.37694800000008</v>
      </c>
      <c r="G291" s="155"/>
      <c r="H291" s="156"/>
    </row>
    <row r="292" spans="1:8" s="26" customFormat="1">
      <c r="A292" s="147" t="s">
        <v>149</v>
      </c>
      <c r="B292" s="148"/>
      <c r="C292" s="148"/>
      <c r="D292" s="148"/>
      <c r="E292" s="148"/>
      <c r="F292" s="148"/>
      <c r="G292" s="148"/>
      <c r="H292" s="149"/>
    </row>
    <row r="293" spans="1:8" s="26" customFormat="1" ht="15.65" customHeight="1">
      <c r="A293" s="147" t="s">
        <v>170</v>
      </c>
      <c r="B293" s="148"/>
      <c r="C293" s="148"/>
      <c r="D293" s="148"/>
      <c r="E293" s="148"/>
      <c r="F293" s="148"/>
      <c r="G293" s="148"/>
      <c r="H293" s="149"/>
    </row>
    <row r="294" spans="1:8" s="26" customFormat="1" ht="15.65" customHeight="1">
      <c r="A294" s="147" t="s">
        <v>176</v>
      </c>
      <c r="B294" s="148"/>
      <c r="C294" s="148"/>
      <c r="D294" s="148"/>
      <c r="E294" s="148"/>
      <c r="F294" s="148"/>
      <c r="G294" s="148"/>
      <c r="H294" s="149"/>
    </row>
    <row r="295" spans="1:8" s="26" customFormat="1" ht="15.65" customHeight="1">
      <c r="A295" s="152">
        <v>1</v>
      </c>
      <c r="B295" s="152"/>
      <c r="C295" s="51" t="s">
        <v>173</v>
      </c>
      <c r="D295" s="51">
        <f>(37.84+3.83)*10.764</f>
        <v>448.53587999999996</v>
      </c>
      <c r="E295" s="51">
        <v>0</v>
      </c>
      <c r="F295" s="51">
        <f>D295*1.45+E295</f>
        <v>650.37702599999989</v>
      </c>
      <c r="G295" s="153" t="str">
        <f>A294</f>
        <v>1st Floor for Residential</v>
      </c>
      <c r="H295" s="154"/>
    </row>
    <row r="296" spans="1:8" s="26" customFormat="1">
      <c r="A296" s="152">
        <v>2</v>
      </c>
      <c r="B296" s="152"/>
      <c r="C296" s="51" t="s">
        <v>173</v>
      </c>
      <c r="D296" s="51">
        <f>(38.16+3.83)*10.764</f>
        <v>451.98035999999991</v>
      </c>
      <c r="E296" s="51">
        <v>0</v>
      </c>
      <c r="F296" s="51">
        <f>D296*1.45+E296</f>
        <v>655.3715219999998</v>
      </c>
      <c r="G296" s="155"/>
      <c r="H296" s="156"/>
    </row>
    <row r="297" spans="1:8" s="26" customFormat="1">
      <c r="A297" s="152">
        <v>3</v>
      </c>
      <c r="B297" s="152"/>
      <c r="C297" s="51" t="s">
        <v>173</v>
      </c>
      <c r="D297" s="51">
        <f>(36.41+3.83)*10.764</f>
        <v>433.14335999999992</v>
      </c>
      <c r="E297" s="51">
        <v>0</v>
      </c>
      <c r="F297" s="51">
        <f t="shared" ref="F297:F298" si="10">D297*1.45+E297</f>
        <v>628.05787199999986</v>
      </c>
      <c r="G297" s="155"/>
      <c r="H297" s="156"/>
    </row>
    <row r="298" spans="1:8" s="26" customFormat="1">
      <c r="A298" s="152">
        <v>4</v>
      </c>
      <c r="B298" s="152"/>
      <c r="C298" s="51" t="s">
        <v>173</v>
      </c>
      <c r="D298" s="51">
        <f>(38.2+3.83)*10.764</f>
        <v>452.41091999999998</v>
      </c>
      <c r="E298" s="51">
        <v>0</v>
      </c>
      <c r="F298" s="51">
        <f t="shared" si="10"/>
        <v>655.99583399999995</v>
      </c>
      <c r="G298" s="157"/>
      <c r="H298" s="158"/>
    </row>
    <row r="299" spans="1:8" s="26" customFormat="1" ht="15.65" customHeight="1">
      <c r="A299" s="147" t="s">
        <v>178</v>
      </c>
      <c r="B299" s="148"/>
      <c r="C299" s="148"/>
      <c r="D299" s="148"/>
      <c r="E299" s="148"/>
      <c r="F299" s="148"/>
      <c r="G299" s="148"/>
      <c r="H299" s="149"/>
    </row>
    <row r="300" spans="1:8" s="26" customFormat="1" ht="15.65" customHeight="1">
      <c r="A300" s="152">
        <v>1</v>
      </c>
      <c r="B300" s="152"/>
      <c r="C300" s="51" t="s">
        <v>173</v>
      </c>
      <c r="D300" s="51">
        <f>(37.84+3.83)*10.764</f>
        <v>448.53587999999996</v>
      </c>
      <c r="E300" s="51">
        <v>0</v>
      </c>
      <c r="F300" s="51">
        <f>D300*1.45+E300</f>
        <v>650.37702599999989</v>
      </c>
      <c r="G300" s="153" t="str">
        <f>A299</f>
        <v>2nd to 4th Floor</v>
      </c>
      <c r="H300" s="154"/>
    </row>
    <row r="301" spans="1:8" s="26" customFormat="1">
      <c r="A301" s="152">
        <v>2</v>
      </c>
      <c r="B301" s="152"/>
      <c r="C301" s="51" t="s">
        <v>173</v>
      </c>
      <c r="D301" s="51">
        <f>(38.16+3.83)*10.764</f>
        <v>451.98035999999991</v>
      </c>
      <c r="E301" s="51">
        <v>0</v>
      </c>
      <c r="F301" s="51">
        <f>D301*1.45+E301</f>
        <v>655.3715219999998</v>
      </c>
      <c r="G301" s="155"/>
      <c r="H301" s="156"/>
    </row>
    <row r="302" spans="1:8" s="26" customFormat="1">
      <c r="A302" s="152">
        <v>3</v>
      </c>
      <c r="B302" s="152"/>
      <c r="C302" s="51" t="s">
        <v>173</v>
      </c>
      <c r="D302" s="51">
        <f>(36.41+3.83)*10.764</f>
        <v>433.14335999999992</v>
      </c>
      <c r="E302" s="51">
        <v>0</v>
      </c>
      <c r="F302" s="51">
        <f t="shared" ref="F302:F303" si="11">D302*1.45+E302</f>
        <v>628.05787199999986</v>
      </c>
      <c r="G302" s="155"/>
      <c r="H302" s="156"/>
    </row>
    <row r="303" spans="1:8" s="26" customFormat="1">
      <c r="A303" s="152">
        <v>4</v>
      </c>
      <c r="B303" s="152"/>
      <c r="C303" s="51" t="s">
        <v>173</v>
      </c>
      <c r="D303" s="51">
        <f>(38.2+3.83)*10.764</f>
        <v>452.41091999999998</v>
      </c>
      <c r="E303" s="51">
        <v>0</v>
      </c>
      <c r="F303" s="51">
        <f t="shared" si="11"/>
        <v>655.99583399999995</v>
      </c>
      <c r="G303" s="157"/>
      <c r="H303" s="158"/>
    </row>
    <row r="304" spans="1:8" s="26" customFormat="1">
      <c r="A304" s="147" t="s">
        <v>150</v>
      </c>
      <c r="B304" s="148"/>
      <c r="C304" s="148"/>
      <c r="D304" s="148"/>
      <c r="E304" s="148"/>
      <c r="F304" s="148"/>
      <c r="G304" s="148"/>
      <c r="H304" s="149"/>
    </row>
    <row r="305" spans="1:8" s="26" customFormat="1" ht="15.65" customHeight="1">
      <c r="A305" s="147" t="s">
        <v>170</v>
      </c>
      <c r="B305" s="148"/>
      <c r="C305" s="148"/>
      <c r="D305" s="148"/>
      <c r="E305" s="148"/>
      <c r="F305" s="148"/>
      <c r="G305" s="148"/>
      <c r="H305" s="149"/>
    </row>
    <row r="306" spans="1:8" s="26" customFormat="1" ht="15.65" customHeight="1">
      <c r="A306" s="147" t="s">
        <v>176</v>
      </c>
      <c r="B306" s="148"/>
      <c r="C306" s="148"/>
      <c r="D306" s="148"/>
      <c r="E306" s="148"/>
      <c r="F306" s="148"/>
      <c r="G306" s="148"/>
      <c r="H306" s="149"/>
    </row>
    <row r="307" spans="1:8" s="26" customFormat="1" ht="15.65" customHeight="1">
      <c r="A307" s="152">
        <v>1</v>
      </c>
      <c r="B307" s="152"/>
      <c r="C307" s="51" t="s">
        <v>173</v>
      </c>
      <c r="D307" s="51">
        <f>(37.84+3.83)*10.764</f>
        <v>448.53587999999996</v>
      </c>
      <c r="E307" s="51">
        <v>0</v>
      </c>
      <c r="F307" s="51">
        <f>D307*1.45+E307</f>
        <v>650.37702599999989</v>
      </c>
      <c r="G307" s="153" t="str">
        <f>A306</f>
        <v>1st Floor for Residential</v>
      </c>
      <c r="H307" s="154"/>
    </row>
    <row r="308" spans="1:8" s="26" customFormat="1">
      <c r="A308" s="152">
        <v>2</v>
      </c>
      <c r="B308" s="152"/>
      <c r="C308" s="51" t="s">
        <v>173</v>
      </c>
      <c r="D308" s="51">
        <f>(38.16+3.83)*10.764</f>
        <v>451.98035999999991</v>
      </c>
      <c r="E308" s="51">
        <v>0</v>
      </c>
      <c r="F308" s="51">
        <f>D308*1.45+E308</f>
        <v>655.3715219999998</v>
      </c>
      <c r="G308" s="155"/>
      <c r="H308" s="156"/>
    </row>
    <row r="309" spans="1:8" s="26" customFormat="1">
      <c r="A309" s="152">
        <v>3</v>
      </c>
      <c r="B309" s="152"/>
      <c r="C309" s="51" t="s">
        <v>173</v>
      </c>
      <c r="D309" s="51">
        <f>(36.41+3.83)*10.764</f>
        <v>433.14335999999992</v>
      </c>
      <c r="E309" s="51">
        <v>0</v>
      </c>
      <c r="F309" s="51">
        <f t="shared" ref="F309:F310" si="12">D309*1.45+E309</f>
        <v>628.05787199999986</v>
      </c>
      <c r="G309" s="155"/>
      <c r="H309" s="156"/>
    </row>
    <row r="310" spans="1:8" s="26" customFormat="1">
      <c r="A310" s="152">
        <v>4</v>
      </c>
      <c r="B310" s="152"/>
      <c r="C310" s="51" t="s">
        <v>173</v>
      </c>
      <c r="D310" s="51">
        <f>(38.2+3.83)*10.764</f>
        <v>452.41091999999998</v>
      </c>
      <c r="E310" s="51">
        <v>0</v>
      </c>
      <c r="F310" s="51">
        <f t="shared" si="12"/>
        <v>655.99583399999995</v>
      </c>
      <c r="G310" s="157"/>
      <c r="H310" s="158"/>
    </row>
    <row r="311" spans="1:8" s="26" customFormat="1" ht="15.65" customHeight="1">
      <c r="A311" s="147" t="s">
        <v>178</v>
      </c>
      <c r="B311" s="148"/>
      <c r="C311" s="148"/>
      <c r="D311" s="148"/>
      <c r="E311" s="148"/>
      <c r="F311" s="148"/>
      <c r="G311" s="148"/>
      <c r="H311" s="149"/>
    </row>
    <row r="312" spans="1:8" s="26" customFormat="1" ht="15.65" customHeight="1">
      <c r="A312" s="152">
        <v>1</v>
      </c>
      <c r="B312" s="152"/>
      <c r="C312" s="51" t="s">
        <v>173</v>
      </c>
      <c r="D312" s="51">
        <f>(37.84+3.83)*10.764</f>
        <v>448.53587999999996</v>
      </c>
      <c r="E312" s="51">
        <v>0</v>
      </c>
      <c r="F312" s="51">
        <f>D312*1.45+E312</f>
        <v>650.37702599999989</v>
      </c>
      <c r="G312" s="153" t="str">
        <f>A311</f>
        <v>2nd to 4th Floor</v>
      </c>
      <c r="H312" s="154"/>
    </row>
    <row r="313" spans="1:8" s="26" customFormat="1">
      <c r="A313" s="152">
        <v>2</v>
      </c>
      <c r="B313" s="152"/>
      <c r="C313" s="51" t="s">
        <v>173</v>
      </c>
      <c r="D313" s="51">
        <f>(38.16+3.83)*10.764</f>
        <v>451.98035999999991</v>
      </c>
      <c r="E313" s="51">
        <v>0</v>
      </c>
      <c r="F313" s="51">
        <f>D313*1.45+E313</f>
        <v>655.3715219999998</v>
      </c>
      <c r="G313" s="155"/>
      <c r="H313" s="156"/>
    </row>
    <row r="314" spans="1:8" s="26" customFormat="1">
      <c r="A314" s="152">
        <v>3</v>
      </c>
      <c r="B314" s="152"/>
      <c r="C314" s="51" t="s">
        <v>173</v>
      </c>
      <c r="D314" s="51">
        <f>(36.44+3.83)*10.764</f>
        <v>433.46627999999993</v>
      </c>
      <c r="E314" s="51">
        <v>0</v>
      </c>
      <c r="F314" s="51">
        <f t="shared" ref="F314:F315" si="13">D314*1.45+E314</f>
        <v>628.52610599999991</v>
      </c>
      <c r="G314" s="155"/>
      <c r="H314" s="156"/>
    </row>
    <row r="315" spans="1:8" s="26" customFormat="1">
      <c r="A315" s="152">
        <v>4</v>
      </c>
      <c r="B315" s="152"/>
      <c r="C315" s="51" t="s">
        <v>173</v>
      </c>
      <c r="D315" s="51">
        <f>(38.17+3.83)*10.764</f>
        <v>452.08799999999997</v>
      </c>
      <c r="E315" s="51">
        <v>0</v>
      </c>
      <c r="F315" s="51">
        <f t="shared" si="13"/>
        <v>655.52759999999989</v>
      </c>
      <c r="G315" s="157"/>
      <c r="H315" s="158"/>
    </row>
    <row r="316" spans="1:8" s="26" customFormat="1">
      <c r="A316" s="146" t="s">
        <v>151</v>
      </c>
      <c r="B316" s="146"/>
      <c r="C316" s="146"/>
      <c r="D316" s="146"/>
      <c r="E316" s="146"/>
      <c r="F316" s="146"/>
      <c r="G316" s="146"/>
      <c r="H316" s="146"/>
    </row>
    <row r="317" spans="1:8" s="26" customFormat="1" ht="15.65" customHeight="1">
      <c r="A317" s="146" t="s">
        <v>170</v>
      </c>
      <c r="B317" s="146"/>
      <c r="C317" s="146"/>
      <c r="D317" s="146"/>
      <c r="E317" s="146"/>
      <c r="F317" s="146"/>
      <c r="G317" s="146"/>
      <c r="H317" s="146"/>
    </row>
    <row r="318" spans="1:8" s="26" customFormat="1" ht="15.65" customHeight="1">
      <c r="A318" s="146" t="s">
        <v>176</v>
      </c>
      <c r="B318" s="146"/>
      <c r="C318" s="146"/>
      <c r="D318" s="146"/>
      <c r="E318" s="146"/>
      <c r="F318" s="146"/>
      <c r="G318" s="146"/>
      <c r="H318" s="146"/>
    </row>
    <row r="319" spans="1:8" s="26" customFormat="1">
      <c r="A319" s="152">
        <v>1</v>
      </c>
      <c r="B319" s="152"/>
      <c r="C319" s="73" t="s">
        <v>172</v>
      </c>
      <c r="D319" s="73">
        <f>(54.81+6.85)*10.764</f>
        <v>663.70824000000005</v>
      </c>
      <c r="E319" s="73">
        <v>0</v>
      </c>
      <c r="F319" s="73">
        <f>D319*1.45+E319</f>
        <v>962.37694800000008</v>
      </c>
      <c r="G319" s="152" t="str">
        <f>A318</f>
        <v>1st Floor for Residential</v>
      </c>
      <c r="H319" s="152"/>
    </row>
    <row r="320" spans="1:8" s="26" customFormat="1">
      <c r="A320" s="152">
        <v>2</v>
      </c>
      <c r="B320" s="152"/>
      <c r="C320" s="73" t="s">
        <v>172</v>
      </c>
      <c r="D320" s="73">
        <f>(54.81+6.85)*10.764</f>
        <v>663.70824000000005</v>
      </c>
      <c r="E320" s="73">
        <v>0</v>
      </c>
      <c r="F320" s="73">
        <f>D320*1.45+E320</f>
        <v>962.37694800000008</v>
      </c>
      <c r="G320" s="152"/>
      <c r="H320" s="152"/>
    </row>
    <row r="321" spans="1:8" s="26" customFormat="1" ht="15.65" customHeight="1">
      <c r="A321" s="146" t="s">
        <v>178</v>
      </c>
      <c r="B321" s="146"/>
      <c r="C321" s="146"/>
      <c r="D321" s="146"/>
      <c r="E321" s="146"/>
      <c r="F321" s="146"/>
      <c r="G321" s="146"/>
      <c r="H321" s="146"/>
    </row>
    <row r="322" spans="1:8" s="26" customFormat="1">
      <c r="A322" s="152">
        <v>1</v>
      </c>
      <c r="B322" s="152"/>
      <c r="C322" s="73" t="s">
        <v>172</v>
      </c>
      <c r="D322" s="73">
        <f>(54.81+6.85)*10.764</f>
        <v>663.70824000000005</v>
      </c>
      <c r="E322" s="73">
        <v>0</v>
      </c>
      <c r="F322" s="73">
        <f>D322*1.45+E322</f>
        <v>962.37694800000008</v>
      </c>
      <c r="G322" s="152" t="str">
        <f>A321</f>
        <v>2nd to 4th Floor</v>
      </c>
      <c r="H322" s="152"/>
    </row>
    <row r="323" spans="1:8" s="26" customFormat="1">
      <c r="A323" s="152">
        <v>2</v>
      </c>
      <c r="B323" s="152"/>
      <c r="C323" s="73" t="s">
        <v>172</v>
      </c>
      <c r="D323" s="73">
        <f>(54.81+6.85)*10.764</f>
        <v>663.70824000000005</v>
      </c>
      <c r="E323" s="73">
        <v>0</v>
      </c>
      <c r="F323" s="73">
        <f>D323*1.45+E323</f>
        <v>962.37694800000008</v>
      </c>
      <c r="G323" s="152"/>
      <c r="H323" s="152"/>
    </row>
    <row r="324" spans="1:8" s="26" customFormat="1">
      <c r="A324" s="146" t="s">
        <v>152</v>
      </c>
      <c r="B324" s="146"/>
      <c r="C324" s="146"/>
      <c r="D324" s="146"/>
      <c r="E324" s="146"/>
      <c r="F324" s="146"/>
      <c r="G324" s="146"/>
      <c r="H324" s="146"/>
    </row>
    <row r="325" spans="1:8" s="26" customFormat="1" ht="15.65" customHeight="1">
      <c r="A325" s="146" t="s">
        <v>170</v>
      </c>
      <c r="B325" s="146"/>
      <c r="C325" s="146"/>
      <c r="D325" s="146"/>
      <c r="E325" s="146"/>
      <c r="F325" s="146"/>
      <c r="G325" s="146"/>
      <c r="H325" s="146"/>
    </row>
    <row r="326" spans="1:8" s="26" customFormat="1" ht="15.65" customHeight="1">
      <c r="A326" s="146" t="s">
        <v>176</v>
      </c>
      <c r="B326" s="146"/>
      <c r="C326" s="146"/>
      <c r="D326" s="146"/>
      <c r="E326" s="146"/>
      <c r="F326" s="146"/>
      <c r="G326" s="146"/>
      <c r="H326" s="146"/>
    </row>
    <row r="327" spans="1:8" s="26" customFormat="1">
      <c r="A327" s="152">
        <v>1</v>
      </c>
      <c r="B327" s="152"/>
      <c r="C327" s="51" t="s">
        <v>177</v>
      </c>
      <c r="D327" s="51">
        <f>(24.94+3.08)*10.764</f>
        <v>301.60728</v>
      </c>
      <c r="E327" s="51">
        <v>0</v>
      </c>
      <c r="F327" s="51">
        <f>D327*1.45+E327</f>
        <v>437.330556</v>
      </c>
      <c r="G327" s="153" t="str">
        <f>A326</f>
        <v>1st Floor for Residential</v>
      </c>
      <c r="H327" s="154"/>
    </row>
    <row r="328" spans="1:8" s="26" customFormat="1">
      <c r="A328" s="152">
        <v>2</v>
      </c>
      <c r="B328" s="152"/>
      <c r="C328" s="51" t="s">
        <v>177</v>
      </c>
      <c r="D328" s="51">
        <f>(23.73+3.65)*10.764</f>
        <v>294.71831999999995</v>
      </c>
      <c r="E328" s="51">
        <v>0</v>
      </c>
      <c r="F328" s="51">
        <f>D328*1.45+E328</f>
        <v>427.34156399999989</v>
      </c>
      <c r="G328" s="155"/>
      <c r="H328" s="156"/>
    </row>
    <row r="329" spans="1:8" s="26" customFormat="1">
      <c r="A329" s="152">
        <v>3</v>
      </c>
      <c r="B329" s="152"/>
      <c r="C329" s="51" t="s">
        <v>172</v>
      </c>
      <c r="D329" s="51">
        <f>(54.58+6.85)*10.764</f>
        <v>661.23251999999991</v>
      </c>
      <c r="E329" s="51">
        <v>0</v>
      </c>
      <c r="F329" s="51">
        <f t="shared" ref="F329" si="14">D329*1.45+E329</f>
        <v>958.78715399999987</v>
      </c>
      <c r="G329" s="157"/>
      <c r="H329" s="158"/>
    </row>
    <row r="330" spans="1:8" s="26" customFormat="1" ht="15.65" customHeight="1">
      <c r="A330" s="147" t="s">
        <v>178</v>
      </c>
      <c r="B330" s="148"/>
      <c r="C330" s="148"/>
      <c r="D330" s="148"/>
      <c r="E330" s="148"/>
      <c r="F330" s="148"/>
      <c r="G330" s="148"/>
      <c r="H330" s="149"/>
    </row>
    <row r="331" spans="1:8" s="26" customFormat="1">
      <c r="A331" s="152">
        <v>1</v>
      </c>
      <c r="B331" s="152"/>
      <c r="C331" s="51" t="s">
        <v>172</v>
      </c>
      <c r="D331" s="51">
        <f>(54.77+9.122)*10.764</f>
        <v>687.73348799999997</v>
      </c>
      <c r="E331" s="51">
        <v>0</v>
      </c>
      <c r="F331" s="51">
        <f>D331*1.45+E331</f>
        <v>997.21355759999994</v>
      </c>
      <c r="G331" s="153" t="str">
        <f>A330</f>
        <v>2nd to 4th Floor</v>
      </c>
      <c r="H331" s="154"/>
    </row>
    <row r="332" spans="1:8" s="26" customFormat="1">
      <c r="A332" s="152">
        <v>2</v>
      </c>
      <c r="B332" s="152"/>
      <c r="C332" s="51" t="s">
        <v>177</v>
      </c>
      <c r="D332" s="51">
        <f>(23.73+3.65)*10.764</f>
        <v>294.71831999999995</v>
      </c>
      <c r="E332" s="51">
        <v>0</v>
      </c>
      <c r="F332" s="51">
        <f>D332*1.45+E332</f>
        <v>427.34156399999989</v>
      </c>
      <c r="G332" s="155"/>
      <c r="H332" s="156"/>
    </row>
    <row r="333" spans="1:8" s="26" customFormat="1">
      <c r="A333" s="152">
        <v>3</v>
      </c>
      <c r="B333" s="152"/>
      <c r="C333" s="51" t="s">
        <v>172</v>
      </c>
      <c r="D333" s="51">
        <f>(54.58+6.85)*10.764</f>
        <v>661.23251999999991</v>
      </c>
      <c r="E333" s="51">
        <v>0</v>
      </c>
      <c r="F333" s="51">
        <f t="shared" ref="F333" si="15">D333*1.45+E333</f>
        <v>958.78715399999987</v>
      </c>
      <c r="G333" s="157"/>
      <c r="H333" s="158"/>
    </row>
    <row r="334" spans="1:8" s="26" customFormat="1">
      <c r="A334" s="146" t="s">
        <v>179</v>
      </c>
      <c r="B334" s="146"/>
      <c r="C334" s="146"/>
      <c r="D334" s="146"/>
      <c r="E334" s="146"/>
      <c r="F334" s="146"/>
      <c r="G334" s="146"/>
      <c r="H334" s="146"/>
    </row>
    <row r="335" spans="1:8" s="26" customFormat="1">
      <c r="A335" s="147" t="s">
        <v>154</v>
      </c>
      <c r="B335" s="148"/>
      <c r="C335" s="148"/>
      <c r="D335" s="148"/>
      <c r="E335" s="148"/>
      <c r="F335" s="148"/>
      <c r="G335" s="148"/>
      <c r="H335" s="149"/>
    </row>
    <row r="336" spans="1:8" s="26" customFormat="1" ht="15.65" customHeight="1">
      <c r="A336" s="147" t="s">
        <v>170</v>
      </c>
      <c r="B336" s="148"/>
      <c r="C336" s="148"/>
      <c r="D336" s="148"/>
      <c r="E336" s="148"/>
      <c r="F336" s="148"/>
      <c r="G336" s="148"/>
      <c r="H336" s="149"/>
    </row>
    <row r="337" spans="1:8" s="26" customFormat="1" ht="15.65" customHeight="1">
      <c r="A337" s="147" t="s">
        <v>176</v>
      </c>
      <c r="B337" s="148"/>
      <c r="C337" s="148"/>
      <c r="D337" s="148"/>
      <c r="E337" s="148"/>
      <c r="F337" s="148"/>
      <c r="G337" s="148"/>
      <c r="H337" s="149"/>
    </row>
    <row r="338" spans="1:8" s="26" customFormat="1">
      <c r="A338" s="152">
        <v>1</v>
      </c>
      <c r="B338" s="152"/>
      <c r="C338" s="51" t="s">
        <v>177</v>
      </c>
      <c r="D338" s="51">
        <f>(25.85+3.09)*10.764</f>
        <v>311.51015999999998</v>
      </c>
      <c r="E338" s="51">
        <v>0</v>
      </c>
      <c r="F338" s="51">
        <f>D338*1.45+E338</f>
        <v>451.68973199999999</v>
      </c>
      <c r="G338" s="153" t="str">
        <f>A337</f>
        <v>1st Floor for Residential</v>
      </c>
      <c r="H338" s="154"/>
    </row>
    <row r="339" spans="1:8" s="26" customFormat="1">
      <c r="A339" s="152">
        <v>2</v>
      </c>
      <c r="B339" s="152"/>
      <c r="C339" s="51" t="s">
        <v>177</v>
      </c>
      <c r="D339" s="51">
        <f>(24.94+2.78)*10.764</f>
        <v>298.37808000000001</v>
      </c>
      <c r="E339" s="51">
        <v>0</v>
      </c>
      <c r="F339" s="51">
        <f>D339*1.45+E339</f>
        <v>432.64821599999999</v>
      </c>
      <c r="G339" s="155"/>
      <c r="H339" s="156"/>
    </row>
    <row r="340" spans="1:8" s="26" customFormat="1">
      <c r="A340" s="152">
        <v>3</v>
      </c>
      <c r="B340" s="152"/>
      <c r="C340" s="51" t="s">
        <v>172</v>
      </c>
      <c r="D340" s="51">
        <f>(54.52+6.85)*10.764</f>
        <v>660.58668</v>
      </c>
      <c r="E340" s="51">
        <v>0</v>
      </c>
      <c r="F340" s="51">
        <f t="shared" ref="F340" si="16">D340*1.45+E340</f>
        <v>957.850686</v>
      </c>
      <c r="G340" s="157"/>
      <c r="H340" s="158"/>
    </row>
    <row r="341" spans="1:8" s="26" customFormat="1" ht="15.65" customHeight="1">
      <c r="A341" s="147" t="s">
        <v>178</v>
      </c>
      <c r="B341" s="148"/>
      <c r="C341" s="148"/>
      <c r="D341" s="148"/>
      <c r="E341" s="148"/>
      <c r="F341" s="148"/>
      <c r="G341" s="148"/>
      <c r="H341" s="149"/>
    </row>
    <row r="342" spans="1:8" s="26" customFormat="1">
      <c r="A342" s="152">
        <v>1</v>
      </c>
      <c r="B342" s="152"/>
      <c r="C342" s="51" t="s">
        <v>173</v>
      </c>
      <c r="D342" s="51">
        <f>(37.72+6.24)*10.764</f>
        <v>473.18543999999997</v>
      </c>
      <c r="E342" s="51">
        <v>0</v>
      </c>
      <c r="F342" s="51">
        <f>D342*1.45+E342</f>
        <v>686.11888799999997</v>
      </c>
      <c r="G342" s="153" t="str">
        <f>A341</f>
        <v>2nd to 4th Floor</v>
      </c>
      <c r="H342" s="154"/>
    </row>
    <row r="343" spans="1:8" s="26" customFormat="1">
      <c r="A343" s="152">
        <v>2</v>
      </c>
      <c r="B343" s="152"/>
      <c r="C343" s="51" t="s">
        <v>177</v>
      </c>
      <c r="D343" s="51">
        <f>(24.94+2.78)*10.764</f>
        <v>298.37808000000001</v>
      </c>
      <c r="E343" s="51">
        <v>0</v>
      </c>
      <c r="F343" s="51">
        <f>D343*1.45+E343</f>
        <v>432.64821599999999</v>
      </c>
      <c r="G343" s="155"/>
      <c r="H343" s="156"/>
    </row>
    <row r="344" spans="1:8" s="26" customFormat="1">
      <c r="A344" s="152">
        <v>3</v>
      </c>
      <c r="B344" s="152"/>
      <c r="C344" s="51" t="s">
        <v>172</v>
      </c>
      <c r="D344" s="51">
        <f>(54.52+6.85)*10.764</f>
        <v>660.58668</v>
      </c>
      <c r="E344" s="51">
        <v>0</v>
      </c>
      <c r="F344" s="51">
        <f t="shared" ref="F344" si="17">D344*1.45+E344</f>
        <v>957.850686</v>
      </c>
      <c r="G344" s="157"/>
      <c r="H344" s="158"/>
    </row>
    <row r="345" spans="1:8" s="26" customFormat="1">
      <c r="A345" s="147" t="s">
        <v>155</v>
      </c>
      <c r="B345" s="148"/>
      <c r="C345" s="148"/>
      <c r="D345" s="148"/>
      <c r="E345" s="148"/>
      <c r="F345" s="148"/>
      <c r="G345" s="148"/>
      <c r="H345" s="149"/>
    </row>
    <row r="346" spans="1:8" s="26" customFormat="1" ht="15.65" customHeight="1">
      <c r="A346" s="147" t="s">
        <v>170</v>
      </c>
      <c r="B346" s="148"/>
      <c r="C346" s="148"/>
      <c r="D346" s="148"/>
      <c r="E346" s="148"/>
      <c r="F346" s="148"/>
      <c r="G346" s="148"/>
      <c r="H346" s="149"/>
    </row>
    <row r="347" spans="1:8" s="26" customFormat="1" ht="15.65" customHeight="1">
      <c r="A347" s="147" t="s">
        <v>176</v>
      </c>
      <c r="B347" s="148"/>
      <c r="C347" s="148"/>
      <c r="D347" s="148"/>
      <c r="E347" s="148"/>
      <c r="F347" s="148"/>
      <c r="G347" s="148"/>
      <c r="H347" s="149"/>
    </row>
    <row r="348" spans="1:8" s="26" customFormat="1">
      <c r="A348" s="152">
        <v>1</v>
      </c>
      <c r="B348" s="152"/>
      <c r="C348" s="51" t="s">
        <v>172</v>
      </c>
      <c r="D348" s="51">
        <f>(54.35+6.85)*10.764</f>
        <v>658.7568</v>
      </c>
      <c r="E348" s="51">
        <v>0</v>
      </c>
      <c r="F348" s="51">
        <f>D348*1.45+E348</f>
        <v>955.19736</v>
      </c>
      <c r="G348" s="153" t="str">
        <f>A347</f>
        <v>1st Floor for Residential</v>
      </c>
      <c r="H348" s="154"/>
    </row>
    <row r="349" spans="1:8" s="26" customFormat="1">
      <c r="A349" s="152">
        <v>2</v>
      </c>
      <c r="B349" s="152"/>
      <c r="C349" s="51" t="s">
        <v>172</v>
      </c>
      <c r="D349" s="51">
        <f>(54.35+6.85)*10.764</f>
        <v>658.7568</v>
      </c>
      <c r="E349" s="51">
        <v>0</v>
      </c>
      <c r="F349" s="51">
        <f>D349*1.45+E349</f>
        <v>955.19736</v>
      </c>
      <c r="G349" s="155"/>
      <c r="H349" s="156"/>
    </row>
    <row r="350" spans="1:8" s="26" customFormat="1" ht="15.65" customHeight="1">
      <c r="A350" s="147" t="s">
        <v>178</v>
      </c>
      <c r="B350" s="148"/>
      <c r="C350" s="148"/>
      <c r="D350" s="148"/>
      <c r="E350" s="148"/>
      <c r="F350" s="148"/>
      <c r="G350" s="148"/>
      <c r="H350" s="149"/>
    </row>
    <row r="351" spans="1:8" s="26" customFormat="1">
      <c r="A351" s="152">
        <v>1</v>
      </c>
      <c r="B351" s="152"/>
      <c r="C351" s="51" t="s">
        <v>172</v>
      </c>
      <c r="D351" s="51">
        <f>(54.35+6.85)*10.764</f>
        <v>658.7568</v>
      </c>
      <c r="E351" s="51">
        <v>0</v>
      </c>
      <c r="F351" s="51">
        <f>D351*1.45+E351</f>
        <v>955.19736</v>
      </c>
      <c r="G351" s="153" t="str">
        <f>A350</f>
        <v>2nd to 4th Floor</v>
      </c>
      <c r="H351" s="154"/>
    </row>
    <row r="352" spans="1:8" s="26" customFormat="1">
      <c r="A352" s="152">
        <v>2</v>
      </c>
      <c r="B352" s="152"/>
      <c r="C352" s="51" t="s">
        <v>172</v>
      </c>
      <c r="D352" s="51">
        <f>(54.35+6.85)*10.764</f>
        <v>658.7568</v>
      </c>
      <c r="E352" s="51">
        <v>0</v>
      </c>
      <c r="F352" s="51">
        <f>D352*1.45+E352</f>
        <v>955.19736</v>
      </c>
      <c r="G352" s="155"/>
      <c r="H352" s="156"/>
    </row>
    <row r="353" spans="1:8" s="26" customFormat="1">
      <c r="A353" s="147" t="s">
        <v>156</v>
      </c>
      <c r="B353" s="148"/>
      <c r="C353" s="148"/>
      <c r="D353" s="148"/>
      <c r="E353" s="148"/>
      <c r="F353" s="148"/>
      <c r="G353" s="148"/>
      <c r="H353" s="149"/>
    </row>
    <row r="354" spans="1:8" s="26" customFormat="1">
      <c r="A354" s="147" t="s">
        <v>170</v>
      </c>
      <c r="B354" s="148"/>
      <c r="C354" s="148"/>
      <c r="D354" s="148"/>
      <c r="E354" s="148"/>
      <c r="F354" s="148"/>
      <c r="G354" s="148"/>
      <c r="H354" s="149"/>
    </row>
    <row r="355" spans="1:8" s="26" customFormat="1">
      <c r="A355" s="147" t="s">
        <v>176</v>
      </c>
      <c r="B355" s="148"/>
      <c r="C355" s="148"/>
      <c r="D355" s="148"/>
      <c r="E355" s="148"/>
      <c r="F355" s="148"/>
      <c r="G355" s="148"/>
      <c r="H355" s="149"/>
    </row>
    <row r="356" spans="1:8" s="26" customFormat="1">
      <c r="A356" s="152">
        <v>1</v>
      </c>
      <c r="B356" s="152"/>
      <c r="C356" s="51" t="s">
        <v>172</v>
      </c>
      <c r="D356" s="51">
        <f>(54.77+6.85)*10.764</f>
        <v>663.27768000000003</v>
      </c>
      <c r="E356" s="51">
        <v>0</v>
      </c>
      <c r="F356" s="51">
        <f>D356*1.45+E356</f>
        <v>961.75263600000005</v>
      </c>
      <c r="G356" s="153" t="str">
        <f>A355</f>
        <v>1st Floor for Residential</v>
      </c>
      <c r="H356" s="154"/>
    </row>
    <row r="357" spans="1:8" s="26" customFormat="1">
      <c r="A357" s="152">
        <v>2</v>
      </c>
      <c r="B357" s="152"/>
      <c r="C357" s="51" t="s">
        <v>172</v>
      </c>
      <c r="D357" s="51">
        <f>(54.77+6.85)*10.764</f>
        <v>663.27768000000003</v>
      </c>
      <c r="E357" s="51">
        <v>0</v>
      </c>
      <c r="F357" s="51">
        <f>D357*1.45+E357</f>
        <v>961.75263600000005</v>
      </c>
      <c r="G357" s="155"/>
      <c r="H357" s="156"/>
    </row>
    <row r="358" spans="1:8" s="26" customFormat="1">
      <c r="A358" s="147" t="s">
        <v>178</v>
      </c>
      <c r="B358" s="148"/>
      <c r="C358" s="148"/>
      <c r="D358" s="148"/>
      <c r="E358" s="148"/>
      <c r="F358" s="148"/>
      <c r="G358" s="148"/>
      <c r="H358" s="149"/>
    </row>
    <row r="359" spans="1:8" s="26" customFormat="1">
      <c r="A359" s="152">
        <v>1</v>
      </c>
      <c r="B359" s="152"/>
      <c r="C359" s="51" t="s">
        <v>172</v>
      </c>
      <c r="D359" s="51">
        <f>(54.77+6.85)*10.764</f>
        <v>663.27768000000003</v>
      </c>
      <c r="E359" s="51">
        <v>0</v>
      </c>
      <c r="F359" s="51">
        <f>D359*1.45+E359</f>
        <v>961.75263600000005</v>
      </c>
      <c r="G359" s="153" t="str">
        <f>A358</f>
        <v>2nd to 4th Floor</v>
      </c>
      <c r="H359" s="154"/>
    </row>
    <row r="360" spans="1:8" s="26" customFormat="1">
      <c r="A360" s="152">
        <v>2</v>
      </c>
      <c r="B360" s="152"/>
      <c r="C360" s="51" t="s">
        <v>172</v>
      </c>
      <c r="D360" s="51">
        <f>(54.77+6.85)*10.764</f>
        <v>663.27768000000003</v>
      </c>
      <c r="E360" s="51">
        <v>0</v>
      </c>
      <c r="F360" s="51">
        <f>D360*1.45+E360</f>
        <v>961.75263600000005</v>
      </c>
      <c r="G360" s="155"/>
      <c r="H360" s="156"/>
    </row>
    <row r="361" spans="1:8" s="26" customFormat="1">
      <c r="A361" s="146" t="s">
        <v>157</v>
      </c>
      <c r="B361" s="146"/>
      <c r="C361" s="146"/>
      <c r="D361" s="146"/>
      <c r="E361" s="146"/>
      <c r="F361" s="146"/>
      <c r="G361" s="146"/>
      <c r="H361" s="146"/>
    </row>
    <row r="362" spans="1:8" s="26" customFormat="1">
      <c r="A362" s="146" t="s">
        <v>170</v>
      </c>
      <c r="B362" s="146"/>
      <c r="C362" s="146"/>
      <c r="D362" s="146"/>
      <c r="E362" s="146"/>
      <c r="F362" s="146"/>
      <c r="G362" s="146"/>
      <c r="H362" s="146"/>
    </row>
    <row r="363" spans="1:8" s="26" customFormat="1">
      <c r="A363" s="146" t="s">
        <v>176</v>
      </c>
      <c r="B363" s="146"/>
      <c r="C363" s="146"/>
      <c r="D363" s="146"/>
      <c r="E363" s="146"/>
      <c r="F363" s="146"/>
      <c r="G363" s="146"/>
      <c r="H363" s="146"/>
    </row>
    <row r="364" spans="1:8" s="26" customFormat="1">
      <c r="A364" s="152">
        <v>1</v>
      </c>
      <c r="B364" s="152"/>
      <c r="C364" s="73" t="s">
        <v>172</v>
      </c>
      <c r="D364" s="73">
        <f>(54.77+6.85)*10.764</f>
        <v>663.27768000000003</v>
      </c>
      <c r="E364" s="73">
        <v>0</v>
      </c>
      <c r="F364" s="73">
        <f>D364*1.45+E364</f>
        <v>961.75263600000005</v>
      </c>
      <c r="G364" s="152" t="str">
        <f>A363</f>
        <v>1st Floor for Residential</v>
      </c>
      <c r="H364" s="152"/>
    </row>
    <row r="365" spans="1:8" s="26" customFormat="1">
      <c r="A365" s="152">
        <v>2</v>
      </c>
      <c r="B365" s="152"/>
      <c r="C365" s="73" t="s">
        <v>172</v>
      </c>
      <c r="D365" s="73">
        <f>(54.77+6.85)*10.764</f>
        <v>663.27768000000003</v>
      </c>
      <c r="E365" s="73">
        <v>0</v>
      </c>
      <c r="F365" s="73">
        <f>D365*1.45+E365</f>
        <v>961.75263600000005</v>
      </c>
      <c r="G365" s="152"/>
      <c r="H365" s="152"/>
    </row>
    <row r="366" spans="1:8" s="26" customFormat="1">
      <c r="A366" s="146" t="s">
        <v>178</v>
      </c>
      <c r="B366" s="146"/>
      <c r="C366" s="146"/>
      <c r="D366" s="146"/>
      <c r="E366" s="146"/>
      <c r="F366" s="146"/>
      <c r="G366" s="146"/>
      <c r="H366" s="146"/>
    </row>
    <row r="367" spans="1:8" s="26" customFormat="1">
      <c r="A367" s="152">
        <v>1</v>
      </c>
      <c r="B367" s="152"/>
      <c r="C367" s="73" t="s">
        <v>172</v>
      </c>
      <c r="D367" s="73">
        <f>(54.77+6.85)*10.764</f>
        <v>663.27768000000003</v>
      </c>
      <c r="E367" s="73">
        <v>0</v>
      </c>
      <c r="F367" s="73">
        <f>D367*1.45+E367</f>
        <v>961.75263600000005</v>
      </c>
      <c r="G367" s="152" t="str">
        <f>A366</f>
        <v>2nd to 4th Floor</v>
      </c>
      <c r="H367" s="152"/>
    </row>
    <row r="368" spans="1:8" s="26" customFormat="1">
      <c r="A368" s="152">
        <v>2</v>
      </c>
      <c r="B368" s="152"/>
      <c r="C368" s="73" t="s">
        <v>172</v>
      </c>
      <c r="D368" s="73">
        <f>(54.77+6.85)*10.764</f>
        <v>663.27768000000003</v>
      </c>
      <c r="E368" s="73">
        <v>0</v>
      </c>
      <c r="F368" s="73">
        <f>D368*1.45+E368</f>
        <v>961.75263600000005</v>
      </c>
      <c r="G368" s="152"/>
      <c r="H368" s="152"/>
    </row>
    <row r="369" spans="1:8" s="26" customFormat="1">
      <c r="A369" s="146" t="s">
        <v>158</v>
      </c>
      <c r="B369" s="146"/>
      <c r="C369" s="146"/>
      <c r="D369" s="146"/>
      <c r="E369" s="146"/>
      <c r="F369" s="146"/>
      <c r="G369" s="146"/>
      <c r="H369" s="146"/>
    </row>
    <row r="370" spans="1:8" s="26" customFormat="1">
      <c r="A370" s="147" t="s">
        <v>170</v>
      </c>
      <c r="B370" s="148"/>
      <c r="C370" s="148"/>
      <c r="D370" s="148"/>
      <c r="E370" s="148"/>
      <c r="F370" s="148"/>
      <c r="G370" s="148"/>
      <c r="H370" s="149"/>
    </row>
    <row r="371" spans="1:8" s="26" customFormat="1">
      <c r="A371" s="147" t="s">
        <v>176</v>
      </c>
      <c r="B371" s="148"/>
      <c r="C371" s="148"/>
      <c r="D371" s="148"/>
      <c r="E371" s="148"/>
      <c r="F371" s="148"/>
      <c r="G371" s="148"/>
      <c r="H371" s="149"/>
    </row>
    <row r="372" spans="1:8" s="26" customFormat="1">
      <c r="A372" s="152">
        <v>1</v>
      </c>
      <c r="B372" s="152"/>
      <c r="C372" s="51" t="s">
        <v>172</v>
      </c>
      <c r="D372" s="51">
        <f>(54.35+6.85)*10.764</f>
        <v>658.7568</v>
      </c>
      <c r="E372" s="51">
        <v>0</v>
      </c>
      <c r="F372" s="51">
        <f>D372*1.45+E372</f>
        <v>955.19736</v>
      </c>
      <c r="G372" s="153" t="str">
        <f>A371</f>
        <v>1st Floor for Residential</v>
      </c>
      <c r="H372" s="154"/>
    </row>
    <row r="373" spans="1:8" s="26" customFormat="1">
      <c r="A373" s="152">
        <v>2</v>
      </c>
      <c r="B373" s="152"/>
      <c r="C373" s="51" t="s">
        <v>172</v>
      </c>
      <c r="D373" s="51">
        <f>(54.35+6.85)*10.764</f>
        <v>658.7568</v>
      </c>
      <c r="E373" s="51">
        <v>0</v>
      </c>
      <c r="F373" s="51">
        <f>D373*1.45+E373</f>
        <v>955.19736</v>
      </c>
      <c r="G373" s="155"/>
      <c r="H373" s="156"/>
    </row>
    <row r="374" spans="1:8" s="26" customFormat="1">
      <c r="A374" s="147" t="s">
        <v>178</v>
      </c>
      <c r="B374" s="148"/>
      <c r="C374" s="148"/>
      <c r="D374" s="148"/>
      <c r="E374" s="148"/>
      <c r="F374" s="148"/>
      <c r="G374" s="148"/>
      <c r="H374" s="149"/>
    </row>
    <row r="375" spans="1:8" s="26" customFormat="1">
      <c r="A375" s="152">
        <v>1</v>
      </c>
      <c r="B375" s="152"/>
      <c r="C375" s="51" t="s">
        <v>172</v>
      </c>
      <c r="D375" s="51">
        <f>(54.35+6.85)*10.764</f>
        <v>658.7568</v>
      </c>
      <c r="E375" s="51">
        <v>0</v>
      </c>
      <c r="F375" s="51">
        <f>D375*1.45+E375</f>
        <v>955.19736</v>
      </c>
      <c r="G375" s="153" t="str">
        <f>A374</f>
        <v>2nd to 4th Floor</v>
      </c>
      <c r="H375" s="154"/>
    </row>
    <row r="376" spans="1:8" s="26" customFormat="1">
      <c r="A376" s="152">
        <v>2</v>
      </c>
      <c r="B376" s="152"/>
      <c r="C376" s="51" t="s">
        <v>172</v>
      </c>
      <c r="D376" s="51">
        <f>(54.35+6.85)*10.764</f>
        <v>658.7568</v>
      </c>
      <c r="E376" s="51">
        <v>0</v>
      </c>
      <c r="F376" s="51">
        <f>D376*1.45+E376</f>
        <v>955.19736</v>
      </c>
      <c r="G376" s="155"/>
      <c r="H376" s="156"/>
    </row>
    <row r="377" spans="1:8" s="26" customFormat="1">
      <c r="A377" s="147" t="s">
        <v>159</v>
      </c>
      <c r="B377" s="148"/>
      <c r="C377" s="148"/>
      <c r="D377" s="148"/>
      <c r="E377" s="148"/>
      <c r="F377" s="148"/>
      <c r="G377" s="148"/>
      <c r="H377" s="149"/>
    </row>
    <row r="378" spans="1:8" s="26" customFormat="1" ht="15.65" customHeight="1">
      <c r="A378" s="147" t="s">
        <v>170</v>
      </c>
      <c r="B378" s="148"/>
      <c r="C378" s="148"/>
      <c r="D378" s="148"/>
      <c r="E378" s="148"/>
      <c r="F378" s="148"/>
      <c r="G378" s="148"/>
      <c r="H378" s="149"/>
    </row>
    <row r="379" spans="1:8" s="26" customFormat="1" ht="15.65" customHeight="1">
      <c r="A379" s="147" t="s">
        <v>176</v>
      </c>
      <c r="B379" s="148"/>
      <c r="C379" s="148"/>
      <c r="D379" s="148"/>
      <c r="E379" s="148"/>
      <c r="F379" s="148"/>
      <c r="G379" s="148"/>
      <c r="H379" s="149"/>
    </row>
    <row r="380" spans="1:8" s="26" customFormat="1">
      <c r="A380" s="152">
        <v>1</v>
      </c>
      <c r="B380" s="152"/>
      <c r="C380" s="51" t="s">
        <v>177</v>
      </c>
      <c r="D380" s="51">
        <f>(25.85+3.09)*10.764</f>
        <v>311.51015999999998</v>
      </c>
      <c r="E380" s="51">
        <v>0</v>
      </c>
      <c r="F380" s="51">
        <f>D380*1.45+E380</f>
        <v>451.68973199999999</v>
      </c>
      <c r="G380" s="153" t="str">
        <f>A379</f>
        <v>1st Floor for Residential</v>
      </c>
      <c r="H380" s="154"/>
    </row>
    <row r="381" spans="1:8" s="26" customFormat="1">
      <c r="A381" s="152">
        <v>2</v>
      </c>
      <c r="B381" s="152"/>
      <c r="C381" s="51" t="s">
        <v>177</v>
      </c>
      <c r="D381" s="51">
        <f>(24.94+2.78)*10.764</f>
        <v>298.37808000000001</v>
      </c>
      <c r="E381" s="51">
        <v>0</v>
      </c>
      <c r="F381" s="51">
        <f>D381*1.45+E381</f>
        <v>432.64821599999999</v>
      </c>
      <c r="G381" s="155"/>
      <c r="H381" s="156"/>
    </row>
    <row r="382" spans="1:8" s="26" customFormat="1">
      <c r="A382" s="152">
        <v>3</v>
      </c>
      <c r="B382" s="152"/>
      <c r="C382" s="51" t="s">
        <v>172</v>
      </c>
      <c r="D382" s="51">
        <f>(54.52+6.85)*10.764</f>
        <v>660.58668</v>
      </c>
      <c r="E382" s="51">
        <v>0</v>
      </c>
      <c r="F382" s="51">
        <f t="shared" ref="F382" si="18">D382*1.45+E382</f>
        <v>957.850686</v>
      </c>
      <c r="G382" s="157"/>
      <c r="H382" s="158"/>
    </row>
    <row r="383" spans="1:8" s="26" customFormat="1" ht="15.65" customHeight="1">
      <c r="A383" s="147" t="s">
        <v>178</v>
      </c>
      <c r="B383" s="148"/>
      <c r="C383" s="148"/>
      <c r="D383" s="148"/>
      <c r="E383" s="148"/>
      <c r="F383" s="148"/>
      <c r="G383" s="148"/>
      <c r="H383" s="149"/>
    </row>
    <row r="384" spans="1:8" s="26" customFormat="1">
      <c r="A384" s="152">
        <v>1</v>
      </c>
      <c r="B384" s="152"/>
      <c r="C384" s="51" t="s">
        <v>173</v>
      </c>
      <c r="D384" s="51">
        <f>(37.72+6.24)*10.764</f>
        <v>473.18543999999997</v>
      </c>
      <c r="E384" s="51">
        <v>0</v>
      </c>
      <c r="F384" s="51">
        <f>D384*1.45+E384</f>
        <v>686.11888799999997</v>
      </c>
      <c r="G384" s="153" t="str">
        <f>A383</f>
        <v>2nd to 4th Floor</v>
      </c>
      <c r="H384" s="154"/>
    </row>
    <row r="385" spans="1:8" s="26" customFormat="1">
      <c r="A385" s="152">
        <v>2</v>
      </c>
      <c r="B385" s="152"/>
      <c r="C385" s="51" t="s">
        <v>177</v>
      </c>
      <c r="D385" s="51">
        <f>(24.94+2.78)*10.764</f>
        <v>298.37808000000001</v>
      </c>
      <c r="E385" s="51">
        <v>0</v>
      </c>
      <c r="F385" s="51">
        <f>D385*1.45+E385</f>
        <v>432.64821599999999</v>
      </c>
      <c r="G385" s="155"/>
      <c r="H385" s="156"/>
    </row>
    <row r="386" spans="1:8" s="26" customFormat="1">
      <c r="A386" s="152">
        <v>3</v>
      </c>
      <c r="B386" s="152"/>
      <c r="C386" s="51" t="s">
        <v>172</v>
      </c>
      <c r="D386" s="51">
        <f>(54.52+6.85)*10.764</f>
        <v>660.58668</v>
      </c>
      <c r="E386" s="51">
        <v>0</v>
      </c>
      <c r="F386" s="51">
        <f t="shared" ref="F386" si="19">D386*1.45+E386</f>
        <v>957.850686</v>
      </c>
      <c r="G386" s="157"/>
      <c r="H386" s="158"/>
    </row>
    <row r="387" spans="1:8" s="24" customFormat="1">
      <c r="A387" s="159" t="s">
        <v>180</v>
      </c>
      <c r="B387" s="159"/>
      <c r="C387" s="159"/>
      <c r="D387" s="159"/>
      <c r="E387" s="159"/>
      <c r="F387" s="159"/>
      <c r="G387" s="159"/>
      <c r="H387" s="159"/>
    </row>
    <row r="388" spans="1:8" s="27" customFormat="1" ht="154" customHeight="1">
      <c r="A388" s="160" t="s">
        <v>268</v>
      </c>
      <c r="B388" s="160"/>
      <c r="C388" s="160"/>
      <c r="D388" s="160"/>
      <c r="E388" s="160"/>
      <c r="F388" s="160"/>
      <c r="G388" s="160"/>
      <c r="H388" s="160"/>
    </row>
    <row r="389" spans="1:8">
      <c r="A389" s="161" t="s">
        <v>181</v>
      </c>
      <c r="B389" s="161"/>
      <c r="C389" s="161"/>
      <c r="D389" s="161"/>
      <c r="E389" s="161"/>
      <c r="F389" s="161"/>
      <c r="G389" s="161"/>
      <c r="H389" s="161"/>
    </row>
    <row r="390" spans="1:8">
      <c r="A390" s="79" t="s">
        <v>182</v>
      </c>
      <c r="B390" s="79"/>
      <c r="C390" s="79"/>
      <c r="D390" s="79"/>
      <c r="E390" s="79"/>
      <c r="F390" s="79"/>
      <c r="G390" s="79"/>
      <c r="H390" s="79"/>
    </row>
    <row r="391" spans="1:8" ht="15.75" customHeight="1">
      <c r="A391" s="161" t="s">
        <v>183</v>
      </c>
      <c r="B391" s="161"/>
      <c r="C391" s="161"/>
      <c r="D391" s="161"/>
      <c r="E391" s="161"/>
      <c r="F391" s="161"/>
      <c r="G391" s="161"/>
      <c r="H391" s="161"/>
    </row>
    <row r="392" spans="1:8">
      <c r="A392" s="79" t="s">
        <v>184</v>
      </c>
      <c r="B392" s="79"/>
      <c r="C392" s="79"/>
      <c r="D392" s="79"/>
      <c r="E392" s="79"/>
      <c r="F392" s="79"/>
      <c r="G392" s="79"/>
      <c r="H392" s="79"/>
    </row>
    <row r="393" spans="1:8">
      <c r="A393" s="79" t="s">
        <v>185</v>
      </c>
      <c r="B393" s="79"/>
      <c r="C393" s="79"/>
      <c r="D393" s="79"/>
      <c r="E393" s="79"/>
      <c r="F393" s="79"/>
      <c r="G393" s="79"/>
      <c r="H393" s="79"/>
    </row>
    <row r="394" spans="1:8" hidden="1">
      <c r="A394" s="79" t="s">
        <v>186</v>
      </c>
      <c r="B394" s="79"/>
      <c r="C394" s="79"/>
      <c r="D394" s="79"/>
      <c r="E394" s="79"/>
      <c r="F394" s="79"/>
      <c r="G394" s="79"/>
      <c r="H394" s="79"/>
    </row>
    <row r="395" spans="1:8" ht="35.25" hidden="1" customHeight="1">
      <c r="A395" s="83" t="s">
        <v>187</v>
      </c>
      <c r="B395" s="83"/>
      <c r="C395" s="83"/>
      <c r="D395" s="83"/>
      <c r="E395" s="83"/>
      <c r="F395" s="83"/>
      <c r="G395" s="83"/>
      <c r="H395" s="83"/>
    </row>
    <row r="396" spans="1:8">
      <c r="A396" s="162" t="s">
        <v>188</v>
      </c>
      <c r="B396" s="162"/>
      <c r="C396" s="162" t="s">
        <v>267</v>
      </c>
      <c r="D396" s="162"/>
      <c r="E396" s="162" t="s">
        <v>189</v>
      </c>
      <c r="F396" s="162"/>
      <c r="G396" s="162" t="s">
        <v>266</v>
      </c>
      <c r="H396" s="162"/>
    </row>
    <row r="397" spans="1:8">
      <c r="A397" s="163" t="s">
        <v>190</v>
      </c>
      <c r="B397" s="163"/>
      <c r="C397" s="163"/>
      <c r="D397" s="163"/>
      <c r="E397" s="163"/>
      <c r="F397" s="163"/>
      <c r="G397" s="163"/>
      <c r="H397" s="163"/>
    </row>
    <row r="398" spans="1:8">
      <c r="A398" s="163"/>
      <c r="B398" s="163"/>
      <c r="C398" s="163"/>
      <c r="D398" s="163"/>
      <c r="E398" s="163"/>
      <c r="F398" s="163"/>
      <c r="G398" s="163"/>
      <c r="H398" s="163"/>
    </row>
    <row r="399" spans="1:8">
      <c r="A399" s="163"/>
      <c r="B399" s="163"/>
      <c r="C399" s="163"/>
      <c r="D399" s="163"/>
      <c r="E399" s="163"/>
      <c r="F399" s="163"/>
      <c r="G399" s="163"/>
      <c r="H399" s="163"/>
    </row>
    <row r="400" spans="1:8">
      <c r="A400" s="163"/>
      <c r="B400" s="163"/>
      <c r="C400" s="163"/>
      <c r="D400" s="163"/>
      <c r="E400" s="163"/>
      <c r="F400" s="163"/>
      <c r="G400" s="163"/>
      <c r="H400" s="163"/>
    </row>
    <row r="401" spans="1:8">
      <c r="A401" s="52" t="s">
        <v>191</v>
      </c>
      <c r="B401" s="53"/>
      <c r="C401" s="53"/>
      <c r="D401" s="54" t="s">
        <v>269</v>
      </c>
      <c r="E401" s="29"/>
      <c r="F401" s="53"/>
      <c r="G401" s="53"/>
      <c r="H401" s="53"/>
    </row>
    <row r="402" spans="1:8">
      <c r="A402" s="53"/>
      <c r="B402" s="53"/>
      <c r="C402" s="53"/>
      <c r="D402" s="53"/>
      <c r="E402" s="53"/>
      <c r="F402" s="53"/>
      <c r="G402" s="53"/>
      <c r="H402" s="53"/>
    </row>
    <row r="403" spans="1:8">
      <c r="A403" s="53"/>
      <c r="B403" s="53"/>
      <c r="C403" s="53"/>
      <c r="D403" s="53"/>
      <c r="E403" s="53"/>
      <c r="F403" s="53"/>
      <c r="G403" s="53"/>
      <c r="H403" s="53"/>
    </row>
    <row r="404" spans="1:8" ht="15" customHeight="1"/>
    <row r="444" spans="1:4">
      <c r="A444" s="52" t="s">
        <v>191</v>
      </c>
      <c r="D444" s="52" t="str">
        <f>E8</f>
        <v>Avante</v>
      </c>
    </row>
    <row r="488" spans="1:1">
      <c r="A488" s="54" t="s">
        <v>192</v>
      </c>
    </row>
  </sheetData>
  <mergeCells count="589">
    <mergeCell ref="A157:B157"/>
    <mergeCell ref="C157:H157"/>
    <mergeCell ref="A159:B159"/>
    <mergeCell ref="C159:H159"/>
    <mergeCell ref="A160:B160"/>
    <mergeCell ref="E160:F160"/>
    <mergeCell ref="G160:H160"/>
    <mergeCell ref="A161:B161"/>
    <mergeCell ref="E161:F170"/>
    <mergeCell ref="G161:H170"/>
    <mergeCell ref="A162:B162"/>
    <mergeCell ref="A163:B163"/>
    <mergeCell ref="A164:B164"/>
    <mergeCell ref="A165:B165"/>
    <mergeCell ref="A166:B166"/>
    <mergeCell ref="A167:B167"/>
    <mergeCell ref="A168:B168"/>
    <mergeCell ref="A169:B169"/>
    <mergeCell ref="A170:B170"/>
    <mergeCell ref="A143:B143"/>
    <mergeCell ref="C143:H143"/>
    <mergeCell ref="A145:B145"/>
    <mergeCell ref="C145:H145"/>
    <mergeCell ref="A146:B146"/>
    <mergeCell ref="E146:F146"/>
    <mergeCell ref="G146:H146"/>
    <mergeCell ref="A147:B147"/>
    <mergeCell ref="E147:F156"/>
    <mergeCell ref="G147:H156"/>
    <mergeCell ref="A148:B148"/>
    <mergeCell ref="A149:B149"/>
    <mergeCell ref="A150:B150"/>
    <mergeCell ref="A151:B151"/>
    <mergeCell ref="A152:B152"/>
    <mergeCell ref="A153:B153"/>
    <mergeCell ref="A154:B154"/>
    <mergeCell ref="A155:B155"/>
    <mergeCell ref="A156:B156"/>
    <mergeCell ref="A129:B129"/>
    <mergeCell ref="C129:H129"/>
    <mergeCell ref="A131:B131"/>
    <mergeCell ref="C131:H131"/>
    <mergeCell ref="A132:B132"/>
    <mergeCell ref="E132:F132"/>
    <mergeCell ref="G132:H132"/>
    <mergeCell ref="A133:B133"/>
    <mergeCell ref="E133:F142"/>
    <mergeCell ref="G133:H142"/>
    <mergeCell ref="A134:B134"/>
    <mergeCell ref="A135:B135"/>
    <mergeCell ref="A136:B136"/>
    <mergeCell ref="A137:B137"/>
    <mergeCell ref="A138:B138"/>
    <mergeCell ref="A139:B139"/>
    <mergeCell ref="A140:B140"/>
    <mergeCell ref="A141:B141"/>
    <mergeCell ref="A142:B142"/>
    <mergeCell ref="A115:B115"/>
    <mergeCell ref="C115:H115"/>
    <mergeCell ref="A117:B117"/>
    <mergeCell ref="C117:H117"/>
    <mergeCell ref="A118:B118"/>
    <mergeCell ref="E118:F118"/>
    <mergeCell ref="G118:H118"/>
    <mergeCell ref="A119:B119"/>
    <mergeCell ref="E119:F128"/>
    <mergeCell ref="G119:H128"/>
    <mergeCell ref="A120:B120"/>
    <mergeCell ref="A121:B121"/>
    <mergeCell ref="A122:B122"/>
    <mergeCell ref="A123:B123"/>
    <mergeCell ref="A124:B124"/>
    <mergeCell ref="A125:B125"/>
    <mergeCell ref="A126:B126"/>
    <mergeCell ref="A127:B127"/>
    <mergeCell ref="A128:B128"/>
    <mergeCell ref="A101:B101"/>
    <mergeCell ref="C101:H101"/>
    <mergeCell ref="A103:B103"/>
    <mergeCell ref="C103:H103"/>
    <mergeCell ref="A104:B104"/>
    <mergeCell ref="E104:F104"/>
    <mergeCell ref="G104:H104"/>
    <mergeCell ref="A105:B105"/>
    <mergeCell ref="E105:F114"/>
    <mergeCell ref="G105:H114"/>
    <mergeCell ref="A106:B106"/>
    <mergeCell ref="A107:B107"/>
    <mergeCell ref="A108:B108"/>
    <mergeCell ref="A109:B109"/>
    <mergeCell ref="A110:B110"/>
    <mergeCell ref="A111:B111"/>
    <mergeCell ref="A112:B112"/>
    <mergeCell ref="A113:B113"/>
    <mergeCell ref="A114:B114"/>
    <mergeCell ref="E77:F86"/>
    <mergeCell ref="G77:H86"/>
    <mergeCell ref="A78:B78"/>
    <mergeCell ref="A79:B79"/>
    <mergeCell ref="A80:B80"/>
    <mergeCell ref="A81:B81"/>
    <mergeCell ref="A82:B82"/>
    <mergeCell ref="A83:B83"/>
    <mergeCell ref="A84:B84"/>
    <mergeCell ref="A85:B85"/>
    <mergeCell ref="A86:B86"/>
    <mergeCell ref="A397:H400"/>
    <mergeCell ref="A19:D20"/>
    <mergeCell ref="E19:H20"/>
    <mergeCell ref="G222:H223"/>
    <mergeCell ref="G227:H228"/>
    <mergeCell ref="G246:H249"/>
    <mergeCell ref="G253:H256"/>
    <mergeCell ref="G261:H262"/>
    <mergeCell ref="G266:H267"/>
    <mergeCell ref="G271:H272"/>
    <mergeCell ref="G277:H279"/>
    <mergeCell ref="G295:H298"/>
    <mergeCell ref="G307:H310"/>
    <mergeCell ref="G300:H303"/>
    <mergeCell ref="G281:H283"/>
    <mergeCell ref="G290:H291"/>
    <mergeCell ref="G287:H288"/>
    <mergeCell ref="G331:H333"/>
    <mergeCell ref="A193:A198"/>
    <mergeCell ref="A199:A201"/>
    <mergeCell ref="A202:A207"/>
    <mergeCell ref="A208:A213"/>
    <mergeCell ref="G232:H235"/>
    <mergeCell ref="G239:H242"/>
    <mergeCell ref="A59:B59"/>
    <mergeCell ref="C59:H59"/>
    <mergeCell ref="A61:B61"/>
    <mergeCell ref="C61:H61"/>
    <mergeCell ref="A62:B62"/>
    <mergeCell ref="E62:F62"/>
    <mergeCell ref="G62:H62"/>
    <mergeCell ref="A63:B63"/>
    <mergeCell ref="E63:F72"/>
    <mergeCell ref="G63:H72"/>
    <mergeCell ref="A64:B64"/>
    <mergeCell ref="A65:B65"/>
    <mergeCell ref="A389:H389"/>
    <mergeCell ref="A390:H390"/>
    <mergeCell ref="A391:H391"/>
    <mergeCell ref="A392:H392"/>
    <mergeCell ref="A393:H393"/>
    <mergeCell ref="A394:H394"/>
    <mergeCell ref="A395:H395"/>
    <mergeCell ref="A396:B396"/>
    <mergeCell ref="C396:D396"/>
    <mergeCell ref="E396:F396"/>
    <mergeCell ref="G396:H396"/>
    <mergeCell ref="A380:B380"/>
    <mergeCell ref="A381:B381"/>
    <mergeCell ref="A382:B382"/>
    <mergeCell ref="A383:H383"/>
    <mergeCell ref="A384:B384"/>
    <mergeCell ref="A385:B385"/>
    <mergeCell ref="A386:B386"/>
    <mergeCell ref="A387:H387"/>
    <mergeCell ref="A388:H388"/>
    <mergeCell ref="G380:H382"/>
    <mergeCell ref="G384:H386"/>
    <mergeCell ref="A371:H371"/>
    <mergeCell ref="A372:B372"/>
    <mergeCell ref="A373:B373"/>
    <mergeCell ref="A374:H374"/>
    <mergeCell ref="A375:B375"/>
    <mergeCell ref="A376:B376"/>
    <mergeCell ref="A377:H377"/>
    <mergeCell ref="A378:H378"/>
    <mergeCell ref="A379:H379"/>
    <mergeCell ref="G372:H373"/>
    <mergeCell ref="G375:H376"/>
    <mergeCell ref="A362:H362"/>
    <mergeCell ref="A363:H363"/>
    <mergeCell ref="A364:B364"/>
    <mergeCell ref="A365:B365"/>
    <mergeCell ref="A366:H366"/>
    <mergeCell ref="A367:B367"/>
    <mergeCell ref="A368:B368"/>
    <mergeCell ref="A369:H369"/>
    <mergeCell ref="A370:H370"/>
    <mergeCell ref="G364:H365"/>
    <mergeCell ref="G367:H368"/>
    <mergeCell ref="A353:H353"/>
    <mergeCell ref="A354:H354"/>
    <mergeCell ref="A355:H355"/>
    <mergeCell ref="A356:B356"/>
    <mergeCell ref="A357:B357"/>
    <mergeCell ref="A358:H358"/>
    <mergeCell ref="A359:B359"/>
    <mergeCell ref="A360:B360"/>
    <mergeCell ref="A361:H361"/>
    <mergeCell ref="G356:H357"/>
    <mergeCell ref="G359:H360"/>
    <mergeCell ref="A344:B344"/>
    <mergeCell ref="A345:H345"/>
    <mergeCell ref="A346:H346"/>
    <mergeCell ref="A347:H347"/>
    <mergeCell ref="A348:B348"/>
    <mergeCell ref="A349:B349"/>
    <mergeCell ref="A350:H350"/>
    <mergeCell ref="A351:B351"/>
    <mergeCell ref="A352:B352"/>
    <mergeCell ref="G342:H344"/>
    <mergeCell ref="G348:H349"/>
    <mergeCell ref="G351:H352"/>
    <mergeCell ref="A335:H335"/>
    <mergeCell ref="A336:H336"/>
    <mergeCell ref="A337:H337"/>
    <mergeCell ref="A338:B338"/>
    <mergeCell ref="A339:B339"/>
    <mergeCell ref="A340:B340"/>
    <mergeCell ref="A341:H341"/>
    <mergeCell ref="A342:B342"/>
    <mergeCell ref="A343:B343"/>
    <mergeCell ref="G338:H340"/>
    <mergeCell ref="A326:H326"/>
    <mergeCell ref="A327:B327"/>
    <mergeCell ref="A328:B328"/>
    <mergeCell ref="A329:B329"/>
    <mergeCell ref="A330:H330"/>
    <mergeCell ref="A331:B331"/>
    <mergeCell ref="A332:B332"/>
    <mergeCell ref="A333:B333"/>
    <mergeCell ref="A334:H334"/>
    <mergeCell ref="G327:H329"/>
    <mergeCell ref="A317:H317"/>
    <mergeCell ref="A318:H318"/>
    <mergeCell ref="A319:B319"/>
    <mergeCell ref="A320:B320"/>
    <mergeCell ref="A321:H321"/>
    <mergeCell ref="A322:B322"/>
    <mergeCell ref="A323:B323"/>
    <mergeCell ref="A324:H324"/>
    <mergeCell ref="A325:H325"/>
    <mergeCell ref="G319:H320"/>
    <mergeCell ref="G322:H323"/>
    <mergeCell ref="A308:B308"/>
    <mergeCell ref="A309:B309"/>
    <mergeCell ref="A310:B310"/>
    <mergeCell ref="A311:H311"/>
    <mergeCell ref="A312:B312"/>
    <mergeCell ref="A313:B313"/>
    <mergeCell ref="A314:B314"/>
    <mergeCell ref="A315:B315"/>
    <mergeCell ref="A316:H316"/>
    <mergeCell ref="G312:H315"/>
    <mergeCell ref="A299:H299"/>
    <mergeCell ref="A300:B300"/>
    <mergeCell ref="A301:B301"/>
    <mergeCell ref="A302:B302"/>
    <mergeCell ref="A303:B303"/>
    <mergeCell ref="A304:H304"/>
    <mergeCell ref="A305:H305"/>
    <mergeCell ref="A306:H306"/>
    <mergeCell ref="A307:B307"/>
    <mergeCell ref="A290:B290"/>
    <mergeCell ref="A291:B291"/>
    <mergeCell ref="A292:H292"/>
    <mergeCell ref="A293:H293"/>
    <mergeCell ref="A294:H294"/>
    <mergeCell ref="A295:B295"/>
    <mergeCell ref="A296:B296"/>
    <mergeCell ref="A297:B297"/>
    <mergeCell ref="A298:B298"/>
    <mergeCell ref="A281:B281"/>
    <mergeCell ref="A282:B282"/>
    <mergeCell ref="A283:B283"/>
    <mergeCell ref="A284:H284"/>
    <mergeCell ref="A285:H285"/>
    <mergeCell ref="A286:H286"/>
    <mergeCell ref="A287:B287"/>
    <mergeCell ref="A288:B288"/>
    <mergeCell ref="A289:H289"/>
    <mergeCell ref="A272:B272"/>
    <mergeCell ref="A273:H273"/>
    <mergeCell ref="A274:H274"/>
    <mergeCell ref="A275:H275"/>
    <mergeCell ref="A276:H276"/>
    <mergeCell ref="A277:B277"/>
    <mergeCell ref="A278:B278"/>
    <mergeCell ref="A279:B279"/>
    <mergeCell ref="A280:H280"/>
    <mergeCell ref="A263:H263"/>
    <mergeCell ref="A264:H264"/>
    <mergeCell ref="A265:H265"/>
    <mergeCell ref="A266:B266"/>
    <mergeCell ref="A267:B267"/>
    <mergeCell ref="A268:H268"/>
    <mergeCell ref="A269:H269"/>
    <mergeCell ref="A270:H270"/>
    <mergeCell ref="A271:B271"/>
    <mergeCell ref="A254:B254"/>
    <mergeCell ref="A255:B255"/>
    <mergeCell ref="A256:B256"/>
    <mergeCell ref="A257:H257"/>
    <mergeCell ref="A258:H258"/>
    <mergeCell ref="A259:H259"/>
    <mergeCell ref="A260:H260"/>
    <mergeCell ref="A261:B261"/>
    <mergeCell ref="A262:B262"/>
    <mergeCell ref="A245:H245"/>
    <mergeCell ref="A246:B246"/>
    <mergeCell ref="A247:B247"/>
    <mergeCell ref="A248:B248"/>
    <mergeCell ref="A249:B249"/>
    <mergeCell ref="A250:H250"/>
    <mergeCell ref="A251:H251"/>
    <mergeCell ref="A252:H252"/>
    <mergeCell ref="A253:B253"/>
    <mergeCell ref="A236:H236"/>
    <mergeCell ref="A237:H237"/>
    <mergeCell ref="A238:H238"/>
    <mergeCell ref="A239:B239"/>
    <mergeCell ref="A240:B240"/>
    <mergeCell ref="A241:B241"/>
    <mergeCell ref="A242:B242"/>
    <mergeCell ref="A243:H243"/>
    <mergeCell ref="A244:H244"/>
    <mergeCell ref="A227:B227"/>
    <mergeCell ref="A228:B228"/>
    <mergeCell ref="A229:H229"/>
    <mergeCell ref="A230:H230"/>
    <mergeCell ref="A231:H231"/>
    <mergeCell ref="A232:B232"/>
    <mergeCell ref="A233:B233"/>
    <mergeCell ref="A234:B234"/>
    <mergeCell ref="A235:B235"/>
    <mergeCell ref="A218:H218"/>
    <mergeCell ref="A219:H219"/>
    <mergeCell ref="A220:H220"/>
    <mergeCell ref="A221:H221"/>
    <mergeCell ref="A222:B222"/>
    <mergeCell ref="A223:B223"/>
    <mergeCell ref="A224:H224"/>
    <mergeCell ref="A225:H225"/>
    <mergeCell ref="A226:H226"/>
    <mergeCell ref="D213:E213"/>
    <mergeCell ref="F213:H213"/>
    <mergeCell ref="A214:B214"/>
    <mergeCell ref="D214:E214"/>
    <mergeCell ref="F214:H214"/>
    <mergeCell ref="A215:H215"/>
    <mergeCell ref="A216:H216"/>
    <mergeCell ref="A217:B217"/>
    <mergeCell ref="G217:H217"/>
    <mergeCell ref="D208:E208"/>
    <mergeCell ref="F208:H208"/>
    <mergeCell ref="D209:E209"/>
    <mergeCell ref="F209:H209"/>
    <mergeCell ref="D210:E210"/>
    <mergeCell ref="F210:H210"/>
    <mergeCell ref="D211:E211"/>
    <mergeCell ref="F211:H211"/>
    <mergeCell ref="D212:E212"/>
    <mergeCell ref="F212:H212"/>
    <mergeCell ref="D203:E203"/>
    <mergeCell ref="F203:H203"/>
    <mergeCell ref="D204:E204"/>
    <mergeCell ref="F204:H204"/>
    <mergeCell ref="D205:E205"/>
    <mergeCell ref="F205:H205"/>
    <mergeCell ref="D206:E206"/>
    <mergeCell ref="F206:H206"/>
    <mergeCell ref="D207:E207"/>
    <mergeCell ref="F207:H207"/>
    <mergeCell ref="D198:E198"/>
    <mergeCell ref="F198:H198"/>
    <mergeCell ref="D199:E199"/>
    <mergeCell ref="F199:H199"/>
    <mergeCell ref="D200:E200"/>
    <mergeCell ref="F200:H200"/>
    <mergeCell ref="D201:E201"/>
    <mergeCell ref="F201:H201"/>
    <mergeCell ref="D202:E202"/>
    <mergeCell ref="F202:H202"/>
    <mergeCell ref="D193:E193"/>
    <mergeCell ref="F193:H193"/>
    <mergeCell ref="D194:E194"/>
    <mergeCell ref="F194:H194"/>
    <mergeCell ref="D195:E195"/>
    <mergeCell ref="F195:H195"/>
    <mergeCell ref="D196:E196"/>
    <mergeCell ref="F196:H196"/>
    <mergeCell ref="D197:E197"/>
    <mergeCell ref="F197:H197"/>
    <mergeCell ref="A189:B189"/>
    <mergeCell ref="D189:E189"/>
    <mergeCell ref="F189:H189"/>
    <mergeCell ref="A190:B190"/>
    <mergeCell ref="D190:E190"/>
    <mergeCell ref="F190:H190"/>
    <mergeCell ref="A191:H191"/>
    <mergeCell ref="A192:B192"/>
    <mergeCell ref="D192:E192"/>
    <mergeCell ref="F192:H192"/>
    <mergeCell ref="A184:E184"/>
    <mergeCell ref="F184:H184"/>
    <mergeCell ref="A185:E185"/>
    <mergeCell ref="F185:H185"/>
    <mergeCell ref="A186:E186"/>
    <mergeCell ref="F186:H186"/>
    <mergeCell ref="A187:E187"/>
    <mergeCell ref="F187:H187"/>
    <mergeCell ref="A188:H188"/>
    <mergeCell ref="A179:E179"/>
    <mergeCell ref="F179:H179"/>
    <mergeCell ref="A180:E180"/>
    <mergeCell ref="F180:H180"/>
    <mergeCell ref="A181:E181"/>
    <mergeCell ref="F181:H181"/>
    <mergeCell ref="A182:E182"/>
    <mergeCell ref="F182:H182"/>
    <mergeCell ref="A183:E183"/>
    <mergeCell ref="F183:H183"/>
    <mergeCell ref="A174:H174"/>
    <mergeCell ref="A175:E175"/>
    <mergeCell ref="F175:H175"/>
    <mergeCell ref="A176:E176"/>
    <mergeCell ref="F176:H176"/>
    <mergeCell ref="A177:E177"/>
    <mergeCell ref="F177:H177"/>
    <mergeCell ref="A178:E178"/>
    <mergeCell ref="F178:H178"/>
    <mergeCell ref="A171:H171"/>
    <mergeCell ref="A172:H172"/>
    <mergeCell ref="A173:B173"/>
    <mergeCell ref="C173:H173"/>
    <mergeCell ref="A66:B66"/>
    <mergeCell ref="A67:B67"/>
    <mergeCell ref="A68:B68"/>
    <mergeCell ref="A69:B69"/>
    <mergeCell ref="A70:B70"/>
    <mergeCell ref="A71:B71"/>
    <mergeCell ref="A72:B72"/>
    <mergeCell ref="A73:B73"/>
    <mergeCell ref="C73:H73"/>
    <mergeCell ref="A75:B75"/>
    <mergeCell ref="C75:H75"/>
    <mergeCell ref="A76:B76"/>
    <mergeCell ref="E76:F76"/>
    <mergeCell ref="G76:H76"/>
    <mergeCell ref="A77:B77"/>
    <mergeCell ref="A96:B96"/>
    <mergeCell ref="A97:B97"/>
    <mergeCell ref="A98:B98"/>
    <mergeCell ref="A99:B99"/>
    <mergeCell ref="A100:B100"/>
    <mergeCell ref="E91:F100"/>
    <mergeCell ref="G91:H100"/>
    <mergeCell ref="A92:B92"/>
    <mergeCell ref="A93:B93"/>
    <mergeCell ref="A87:B87"/>
    <mergeCell ref="A89:B89"/>
    <mergeCell ref="A90:B90"/>
    <mergeCell ref="A91:B91"/>
    <mergeCell ref="A94:B94"/>
    <mergeCell ref="A95:B95"/>
    <mergeCell ref="C87:H87"/>
    <mergeCell ref="C89:H89"/>
    <mergeCell ref="E90:F90"/>
    <mergeCell ref="G90:H90"/>
    <mergeCell ref="A57:C57"/>
    <mergeCell ref="D57:H57"/>
    <mergeCell ref="A58:C58"/>
    <mergeCell ref="D58:H58"/>
    <mergeCell ref="A52:C52"/>
    <mergeCell ref="D52:H52"/>
    <mergeCell ref="A53:C53"/>
    <mergeCell ref="D53:H53"/>
    <mergeCell ref="A54:C54"/>
    <mergeCell ref="D54:H54"/>
    <mergeCell ref="A55:C55"/>
    <mergeCell ref="D55:H55"/>
    <mergeCell ref="A56:C56"/>
    <mergeCell ref="D56:H56"/>
    <mergeCell ref="C47:E47"/>
    <mergeCell ref="G47:H47"/>
    <mergeCell ref="C48:H48"/>
    <mergeCell ref="A49:B49"/>
    <mergeCell ref="C49:E49"/>
    <mergeCell ref="G49:H49"/>
    <mergeCell ref="A50:H50"/>
    <mergeCell ref="A51:C51"/>
    <mergeCell ref="D51:H51"/>
    <mergeCell ref="A47:B48"/>
    <mergeCell ref="A43:D43"/>
    <mergeCell ref="E43:H43"/>
    <mergeCell ref="A44:H44"/>
    <mergeCell ref="A45:B45"/>
    <mergeCell ref="C45:E45"/>
    <mergeCell ref="G45:H45"/>
    <mergeCell ref="A46:B46"/>
    <mergeCell ref="C46:E46"/>
    <mergeCell ref="G46:H46"/>
    <mergeCell ref="A38:D38"/>
    <mergeCell ref="E38:H38"/>
    <mergeCell ref="A39:D39"/>
    <mergeCell ref="E39:H39"/>
    <mergeCell ref="A40:D40"/>
    <mergeCell ref="E40:H40"/>
    <mergeCell ref="A41:D41"/>
    <mergeCell ref="E41:H41"/>
    <mergeCell ref="A42:D42"/>
    <mergeCell ref="E42:H42"/>
    <mergeCell ref="A33:B33"/>
    <mergeCell ref="C33:E33"/>
    <mergeCell ref="F33:H33"/>
    <mergeCell ref="A34:H34"/>
    <mergeCell ref="A35:B35"/>
    <mergeCell ref="C35:D35"/>
    <mergeCell ref="E35:F35"/>
    <mergeCell ref="G35:H35"/>
    <mergeCell ref="A37:H37"/>
    <mergeCell ref="A36:B36"/>
    <mergeCell ref="C36:H36"/>
    <mergeCell ref="A30:B30"/>
    <mergeCell ref="C30:E30"/>
    <mergeCell ref="F30:H30"/>
    <mergeCell ref="A31:B31"/>
    <mergeCell ref="C31:E31"/>
    <mergeCell ref="F31:H31"/>
    <mergeCell ref="A32:B32"/>
    <mergeCell ref="C32:E32"/>
    <mergeCell ref="F32:H32"/>
    <mergeCell ref="A26:D26"/>
    <mergeCell ref="E26:H26"/>
    <mergeCell ref="A27:D27"/>
    <mergeCell ref="E27:H27"/>
    <mergeCell ref="A28:D28"/>
    <mergeCell ref="E28:H28"/>
    <mergeCell ref="A29:B29"/>
    <mergeCell ref="C29:E29"/>
    <mergeCell ref="F29:H29"/>
    <mergeCell ref="A21:D21"/>
    <mergeCell ref="E21:H21"/>
    <mergeCell ref="A22:D22"/>
    <mergeCell ref="E22:H22"/>
    <mergeCell ref="A23:D23"/>
    <mergeCell ref="E23:H23"/>
    <mergeCell ref="A24:D24"/>
    <mergeCell ref="E24:H24"/>
    <mergeCell ref="A25:D25"/>
    <mergeCell ref="E25:H25"/>
    <mergeCell ref="A16:B16"/>
    <mergeCell ref="C16:D16"/>
    <mergeCell ref="E16:F16"/>
    <mergeCell ref="G16:H16"/>
    <mergeCell ref="A17:B17"/>
    <mergeCell ref="C17:D17"/>
    <mergeCell ref="E17:F17"/>
    <mergeCell ref="G17:H17"/>
    <mergeCell ref="A18:B18"/>
    <mergeCell ref="C18:D18"/>
    <mergeCell ref="E18:F18"/>
    <mergeCell ref="G18:H18"/>
    <mergeCell ref="A12:D12"/>
    <mergeCell ref="E12:H12"/>
    <mergeCell ref="A13:B13"/>
    <mergeCell ref="C13:H13"/>
    <mergeCell ref="A14:B14"/>
    <mergeCell ref="C14:H14"/>
    <mergeCell ref="A15:B15"/>
    <mergeCell ref="C15:D15"/>
    <mergeCell ref="E15:F15"/>
    <mergeCell ref="G15:H15"/>
    <mergeCell ref="A7:D7"/>
    <mergeCell ref="E7:H7"/>
    <mergeCell ref="A8:D8"/>
    <mergeCell ref="E8:H8"/>
    <mergeCell ref="A9:D9"/>
    <mergeCell ref="E9:H9"/>
    <mergeCell ref="A10:D10"/>
    <mergeCell ref="E10:H10"/>
    <mergeCell ref="A11:D11"/>
    <mergeCell ref="E11:H11"/>
    <mergeCell ref="A1:H1"/>
    <mergeCell ref="A2:H2"/>
    <mergeCell ref="A3:D3"/>
    <mergeCell ref="E3:H3"/>
    <mergeCell ref="A4:D4"/>
    <mergeCell ref="E4:H4"/>
    <mergeCell ref="A5:D5"/>
    <mergeCell ref="E5:H5"/>
    <mergeCell ref="A6:D6"/>
    <mergeCell ref="E6:H6"/>
  </mergeCells>
  <hyperlinks>
    <hyperlink ref="C36" r:id="rId1"/>
  </hyperlinks>
  <printOptions horizontalCentered="1"/>
  <pageMargins left="0.39370078740157483" right="0.39370078740157483" top="0.78740157480314965" bottom="0.78740157480314965" header="0.19685039370078741" footer="0.19685039370078741"/>
  <pageSetup paperSize="9" scale="97" fitToHeight="0" orientation="portrait" r:id="rId2"/>
  <headerFooter>
    <oddHeader>&amp;C&amp;G</oddHeader>
    <oddFooter>&amp;L&amp;"Times New Roman,Bold"&amp;12Ref No: &amp;F&amp;C&amp;G&amp;R&amp;"Times New Roman,Bold"&amp;12
                                                                     &amp;P</oddFooter>
  </headerFooter>
  <rowBreaks count="6" manualBreakCount="6">
    <brk id="58" max="16383" man="1"/>
    <brk id="114" max="16383" man="1"/>
    <brk id="400" max="16383" man="1"/>
    <brk id="443" max="16383" man="1"/>
    <brk id="485" max="16383" man="1"/>
    <brk id="56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ColWidth="9" defaultRowHeight="14.5"/>
  <cols>
    <col min="2" max="2" width="12.26953125" customWidth="1"/>
  </cols>
  <sheetData>
    <row r="2" spans="1:12">
      <c r="B2" s="15" t="s">
        <v>193</v>
      </c>
      <c r="C2" s="167"/>
      <c r="D2" s="167"/>
    </row>
    <row r="3" spans="1:12">
      <c r="D3" s="16"/>
      <c r="E3" s="16"/>
      <c r="F3" s="16"/>
      <c r="G3" s="16"/>
      <c r="H3" s="16"/>
      <c r="I3" s="16"/>
    </row>
    <row r="4" spans="1:12">
      <c r="A4" s="15" t="s">
        <v>194</v>
      </c>
      <c r="B4" s="17" t="s">
        <v>195</v>
      </c>
      <c r="C4" s="168" t="s">
        <v>196</v>
      </c>
      <c r="D4" s="168"/>
      <c r="E4" s="168"/>
      <c r="F4" s="18"/>
      <c r="G4" s="168" t="s">
        <v>197</v>
      </c>
      <c r="H4" s="168"/>
      <c r="I4" s="168"/>
      <c r="J4" s="168" t="s">
        <v>198</v>
      </c>
      <c r="K4" s="168"/>
      <c r="L4" s="168"/>
    </row>
    <row r="5" spans="1:12">
      <c r="A5" s="15">
        <v>202</v>
      </c>
      <c r="B5" s="17"/>
      <c r="C5" s="17" t="s">
        <v>199</v>
      </c>
      <c r="D5" s="17" t="s">
        <v>200</v>
      </c>
      <c r="E5" s="17" t="s">
        <v>201</v>
      </c>
      <c r="F5" s="17"/>
      <c r="G5" s="17" t="s">
        <v>199</v>
      </c>
      <c r="H5" s="17" t="s">
        <v>200</v>
      </c>
      <c r="I5" s="17" t="s">
        <v>201</v>
      </c>
      <c r="J5" s="17" t="s">
        <v>199</v>
      </c>
      <c r="K5" s="17" t="s">
        <v>200</v>
      </c>
      <c r="L5" s="17" t="s">
        <v>201</v>
      </c>
    </row>
    <row r="6" spans="1:12">
      <c r="B6" s="19" t="s">
        <v>202</v>
      </c>
      <c r="C6" s="19">
        <v>4.5</v>
      </c>
      <c r="D6" s="19">
        <v>2.9</v>
      </c>
      <c r="E6" s="19">
        <f>C6*D6</f>
        <v>13.049999999999999</v>
      </c>
      <c r="F6" s="19" t="s">
        <v>203</v>
      </c>
      <c r="G6" s="19"/>
      <c r="H6" s="19"/>
      <c r="I6" s="19">
        <f>G6*H6</f>
        <v>0</v>
      </c>
      <c r="J6" s="19"/>
      <c r="K6" s="19"/>
      <c r="L6" s="19">
        <f>J6*K6</f>
        <v>0</v>
      </c>
    </row>
    <row r="7" spans="1:12">
      <c r="B7" s="19"/>
      <c r="C7" s="19"/>
      <c r="D7" s="19"/>
      <c r="E7" s="19">
        <f t="shared" ref="E7:E33" si="0">C7*D7</f>
        <v>0</v>
      </c>
      <c r="F7" s="19" t="s">
        <v>204</v>
      </c>
      <c r="G7" s="19"/>
      <c r="H7" s="19"/>
      <c r="I7" s="19">
        <f t="shared" ref="I7:I33" si="1">G7*H7</f>
        <v>0</v>
      </c>
      <c r="J7" s="19"/>
      <c r="K7" s="19"/>
      <c r="L7" s="19">
        <f t="shared" ref="L7:L33" si="2">J7*K7</f>
        <v>0</v>
      </c>
    </row>
    <row r="8" spans="1:12">
      <c r="B8" s="19"/>
      <c r="C8" s="19"/>
      <c r="D8" s="19"/>
      <c r="E8" s="19">
        <f t="shared" si="0"/>
        <v>0</v>
      </c>
      <c r="F8" s="19"/>
      <c r="G8" s="19"/>
      <c r="H8" s="19"/>
      <c r="I8" s="19">
        <f t="shared" si="1"/>
        <v>0</v>
      </c>
      <c r="J8" s="19"/>
      <c r="K8" s="19"/>
      <c r="L8" s="19">
        <f t="shared" si="2"/>
        <v>0</v>
      </c>
    </row>
    <row r="9" spans="1:12">
      <c r="B9" s="19" t="s">
        <v>205</v>
      </c>
      <c r="C9" s="19">
        <v>1.88</v>
      </c>
      <c r="D9" s="19">
        <v>2.13</v>
      </c>
      <c r="E9" s="19">
        <f t="shared" si="0"/>
        <v>4.0043999999999995</v>
      </c>
      <c r="F9" s="19" t="s">
        <v>203</v>
      </c>
      <c r="G9" s="19"/>
      <c r="H9" s="19"/>
      <c r="I9" s="19">
        <f t="shared" si="1"/>
        <v>0</v>
      </c>
      <c r="J9" s="19"/>
      <c r="K9" s="19"/>
      <c r="L9" s="19">
        <f t="shared" si="2"/>
        <v>0</v>
      </c>
    </row>
    <row r="10" spans="1:12">
      <c r="B10" s="19"/>
      <c r="C10" s="19"/>
      <c r="D10" s="19"/>
      <c r="E10" s="19">
        <f t="shared" si="0"/>
        <v>0</v>
      </c>
      <c r="F10" s="19" t="s">
        <v>204</v>
      </c>
      <c r="G10" s="19"/>
      <c r="H10" s="19"/>
      <c r="I10" s="19">
        <f t="shared" si="1"/>
        <v>0</v>
      </c>
      <c r="J10" s="19"/>
      <c r="K10" s="19"/>
      <c r="L10" s="19">
        <f t="shared" si="2"/>
        <v>0</v>
      </c>
    </row>
    <row r="11" spans="1:12">
      <c r="B11" s="19"/>
      <c r="C11" s="19"/>
      <c r="D11" s="19"/>
      <c r="E11" s="19">
        <f t="shared" si="0"/>
        <v>0</v>
      </c>
      <c r="F11" s="19"/>
      <c r="G11" s="19"/>
      <c r="H11" s="19"/>
      <c r="I11" s="19">
        <f t="shared" si="1"/>
        <v>0</v>
      </c>
      <c r="J11" s="19"/>
      <c r="K11" s="19"/>
      <c r="L11" s="19">
        <f t="shared" si="2"/>
        <v>0</v>
      </c>
    </row>
    <row r="12" spans="1:12">
      <c r="B12" s="19"/>
      <c r="C12" s="19"/>
      <c r="D12" s="19"/>
      <c r="E12" s="19">
        <f t="shared" si="0"/>
        <v>0</v>
      </c>
      <c r="F12" s="19"/>
      <c r="G12" s="19"/>
      <c r="H12" s="19"/>
      <c r="I12" s="19">
        <f t="shared" si="1"/>
        <v>0</v>
      </c>
      <c r="J12" s="19"/>
      <c r="K12" s="19"/>
      <c r="L12" s="19">
        <f t="shared" si="2"/>
        <v>0</v>
      </c>
    </row>
    <row r="13" spans="1:12">
      <c r="B13" s="19" t="s">
        <v>206</v>
      </c>
      <c r="C13" s="19"/>
      <c r="D13" s="19"/>
      <c r="E13" s="19">
        <f t="shared" si="0"/>
        <v>0</v>
      </c>
      <c r="F13" s="19" t="s">
        <v>203</v>
      </c>
      <c r="G13" s="19"/>
      <c r="H13" s="19"/>
      <c r="I13" s="19">
        <f t="shared" si="1"/>
        <v>0</v>
      </c>
      <c r="J13" s="19"/>
      <c r="K13" s="19"/>
      <c r="L13" s="19">
        <f t="shared" si="2"/>
        <v>0</v>
      </c>
    </row>
    <row r="14" spans="1:12">
      <c r="B14" s="19"/>
      <c r="C14" s="19"/>
      <c r="D14" s="19"/>
      <c r="E14" s="19">
        <f t="shared" si="0"/>
        <v>0</v>
      </c>
      <c r="F14" s="19" t="s">
        <v>204</v>
      </c>
      <c r="G14" s="19"/>
      <c r="H14" s="19"/>
      <c r="I14" s="19">
        <f t="shared" si="1"/>
        <v>0</v>
      </c>
      <c r="J14" s="19"/>
      <c r="K14" s="19"/>
      <c r="L14" s="19">
        <f t="shared" si="2"/>
        <v>0</v>
      </c>
    </row>
    <row r="15" spans="1:12">
      <c r="B15" s="19"/>
      <c r="C15" s="19"/>
      <c r="D15" s="19"/>
      <c r="E15" s="19">
        <f t="shared" si="0"/>
        <v>0</v>
      </c>
      <c r="F15" s="19"/>
      <c r="G15" s="19"/>
      <c r="H15" s="19"/>
      <c r="I15" s="19">
        <f t="shared" si="1"/>
        <v>0</v>
      </c>
      <c r="J15" s="19"/>
      <c r="K15" s="19"/>
      <c r="L15" s="19">
        <f t="shared" si="2"/>
        <v>0</v>
      </c>
    </row>
    <row r="16" spans="1:12">
      <c r="B16" s="19"/>
      <c r="C16" s="19"/>
      <c r="D16" s="19"/>
      <c r="E16" s="19">
        <f t="shared" si="0"/>
        <v>0</v>
      </c>
      <c r="F16" s="19"/>
      <c r="G16" s="19"/>
      <c r="H16" s="19"/>
      <c r="I16" s="19">
        <f t="shared" si="1"/>
        <v>0</v>
      </c>
      <c r="J16" s="19"/>
      <c r="K16" s="19"/>
      <c r="L16" s="19">
        <f t="shared" si="2"/>
        <v>0</v>
      </c>
    </row>
    <row r="17" spans="2:12">
      <c r="B17" s="19" t="s">
        <v>207</v>
      </c>
      <c r="C17" s="19"/>
      <c r="D17" s="19"/>
      <c r="E17" s="19">
        <f t="shared" si="0"/>
        <v>0</v>
      </c>
      <c r="F17" s="19" t="s">
        <v>203</v>
      </c>
      <c r="G17" s="19"/>
      <c r="H17" s="19"/>
      <c r="I17" s="19">
        <f t="shared" si="1"/>
        <v>0</v>
      </c>
      <c r="J17" s="19"/>
      <c r="K17" s="19"/>
      <c r="L17" s="19">
        <f t="shared" si="2"/>
        <v>0</v>
      </c>
    </row>
    <row r="18" spans="2:12">
      <c r="B18" s="19"/>
      <c r="C18" s="19"/>
      <c r="D18" s="19"/>
      <c r="E18" s="19">
        <f t="shared" si="0"/>
        <v>0</v>
      </c>
      <c r="F18" s="19" t="s">
        <v>204</v>
      </c>
      <c r="G18" s="19"/>
      <c r="H18" s="19"/>
      <c r="I18" s="19">
        <f t="shared" si="1"/>
        <v>0</v>
      </c>
      <c r="J18" s="19"/>
      <c r="K18" s="19"/>
      <c r="L18" s="19">
        <f t="shared" si="2"/>
        <v>0</v>
      </c>
    </row>
    <row r="19" spans="2:12">
      <c r="B19" s="19"/>
      <c r="C19" s="19"/>
      <c r="D19" s="19"/>
      <c r="E19" s="19">
        <f t="shared" si="0"/>
        <v>0</v>
      </c>
      <c r="F19" s="19"/>
      <c r="G19" s="19"/>
      <c r="H19" s="19"/>
      <c r="I19" s="19">
        <f t="shared" si="1"/>
        <v>0</v>
      </c>
      <c r="J19" s="19"/>
      <c r="K19" s="19"/>
      <c r="L19" s="19">
        <f t="shared" si="2"/>
        <v>0</v>
      </c>
    </row>
    <row r="20" spans="2:12">
      <c r="B20" s="19" t="s">
        <v>207</v>
      </c>
      <c r="C20" s="19"/>
      <c r="D20" s="19"/>
      <c r="E20" s="19">
        <f t="shared" si="0"/>
        <v>0</v>
      </c>
      <c r="F20" s="19" t="s">
        <v>203</v>
      </c>
      <c r="G20" s="19"/>
      <c r="H20" s="19"/>
      <c r="I20" s="19">
        <f t="shared" si="1"/>
        <v>0</v>
      </c>
      <c r="J20" s="19"/>
      <c r="K20" s="19"/>
      <c r="L20" s="19">
        <f t="shared" si="2"/>
        <v>0</v>
      </c>
    </row>
    <row r="21" spans="2:12">
      <c r="B21" s="19"/>
      <c r="C21" s="19"/>
      <c r="D21" s="19"/>
      <c r="E21" s="19">
        <f t="shared" si="0"/>
        <v>0</v>
      </c>
      <c r="F21" s="19" t="s">
        <v>204</v>
      </c>
      <c r="G21" s="19"/>
      <c r="H21" s="19"/>
      <c r="I21" s="19">
        <f t="shared" si="1"/>
        <v>0</v>
      </c>
      <c r="J21" s="19"/>
      <c r="K21" s="19"/>
      <c r="L21" s="19">
        <f t="shared" si="2"/>
        <v>0</v>
      </c>
    </row>
    <row r="22" spans="2:12">
      <c r="B22" s="19"/>
      <c r="C22" s="19"/>
      <c r="D22" s="19"/>
      <c r="E22" s="19">
        <f t="shared" si="0"/>
        <v>0</v>
      </c>
      <c r="F22" s="19"/>
      <c r="G22" s="19"/>
      <c r="H22" s="19"/>
      <c r="I22" s="19">
        <f t="shared" si="1"/>
        <v>0</v>
      </c>
      <c r="J22" s="19"/>
      <c r="K22" s="19"/>
      <c r="L22" s="19">
        <f t="shared" si="2"/>
        <v>0</v>
      </c>
    </row>
    <row r="23" spans="2:12">
      <c r="B23" s="19" t="s">
        <v>208</v>
      </c>
      <c r="C23" s="19">
        <v>1.9</v>
      </c>
      <c r="D23" s="19">
        <v>1.07</v>
      </c>
      <c r="E23" s="19">
        <f t="shared" si="0"/>
        <v>2.0329999999999999</v>
      </c>
      <c r="F23" s="19" t="s">
        <v>209</v>
      </c>
      <c r="G23" s="19"/>
      <c r="H23" s="19"/>
      <c r="I23" s="19">
        <f t="shared" si="1"/>
        <v>0</v>
      </c>
      <c r="J23" s="19"/>
      <c r="K23" s="19"/>
      <c r="L23" s="19">
        <f t="shared" si="2"/>
        <v>0</v>
      </c>
    </row>
    <row r="24" spans="2:12">
      <c r="B24" s="19" t="s">
        <v>210</v>
      </c>
      <c r="C24" s="19"/>
      <c r="D24" s="19"/>
      <c r="E24" s="19">
        <f t="shared" si="0"/>
        <v>0</v>
      </c>
      <c r="F24" s="19" t="s">
        <v>209</v>
      </c>
      <c r="G24" s="19"/>
      <c r="H24" s="19"/>
      <c r="I24" s="19">
        <f t="shared" si="1"/>
        <v>0</v>
      </c>
      <c r="J24" s="19"/>
      <c r="K24" s="19"/>
      <c r="L24" s="19">
        <f t="shared" si="2"/>
        <v>0</v>
      </c>
    </row>
    <row r="25" spans="2:12">
      <c r="B25" s="19" t="s">
        <v>211</v>
      </c>
      <c r="C25" s="19"/>
      <c r="D25" s="19"/>
      <c r="E25" s="19">
        <f t="shared" si="0"/>
        <v>0</v>
      </c>
      <c r="F25" s="19" t="s">
        <v>209</v>
      </c>
      <c r="G25" s="19"/>
      <c r="H25" s="19"/>
      <c r="I25" s="19">
        <f t="shared" si="1"/>
        <v>0</v>
      </c>
      <c r="J25" s="19"/>
      <c r="K25" s="19"/>
      <c r="L25" s="19">
        <f t="shared" si="2"/>
        <v>0</v>
      </c>
    </row>
    <row r="26" spans="2:12">
      <c r="B26" s="19"/>
      <c r="C26" s="19"/>
      <c r="D26" s="19"/>
      <c r="E26" s="19">
        <f t="shared" si="0"/>
        <v>0</v>
      </c>
      <c r="F26" s="19"/>
      <c r="G26" s="19"/>
      <c r="H26" s="19"/>
      <c r="I26" s="19">
        <f t="shared" si="1"/>
        <v>0</v>
      </c>
      <c r="J26" s="19"/>
      <c r="K26" s="19"/>
      <c r="L26" s="19">
        <f t="shared" si="2"/>
        <v>0</v>
      </c>
    </row>
    <row r="27" spans="2:12">
      <c r="B27" s="19" t="s">
        <v>212</v>
      </c>
      <c r="C27" s="19"/>
      <c r="D27" s="19"/>
      <c r="E27" s="19">
        <f t="shared" si="0"/>
        <v>0</v>
      </c>
      <c r="F27" s="19"/>
      <c r="G27" s="19"/>
      <c r="H27" s="19"/>
      <c r="I27" s="19">
        <f t="shared" si="1"/>
        <v>0</v>
      </c>
      <c r="J27" s="19"/>
      <c r="K27" s="19"/>
      <c r="L27" s="19">
        <f t="shared" si="2"/>
        <v>0</v>
      </c>
    </row>
    <row r="28" spans="2:12">
      <c r="B28" s="19" t="s">
        <v>213</v>
      </c>
      <c r="C28" s="19"/>
      <c r="D28" s="19"/>
      <c r="E28" s="19">
        <f t="shared" si="0"/>
        <v>0</v>
      </c>
      <c r="F28" s="19"/>
      <c r="G28" s="19"/>
      <c r="H28" s="19"/>
      <c r="I28" s="19">
        <f t="shared" si="1"/>
        <v>0</v>
      </c>
      <c r="J28" s="19"/>
      <c r="K28" s="19"/>
      <c r="L28" s="19">
        <f t="shared" si="2"/>
        <v>0</v>
      </c>
    </row>
    <row r="29" spans="2:12">
      <c r="B29" s="19" t="s">
        <v>214</v>
      </c>
      <c r="C29" s="19"/>
      <c r="D29" s="19"/>
      <c r="E29" s="19">
        <f t="shared" si="0"/>
        <v>0</v>
      </c>
      <c r="F29" s="19"/>
      <c r="G29" s="19"/>
      <c r="H29" s="19"/>
      <c r="I29" s="19">
        <f t="shared" si="1"/>
        <v>0</v>
      </c>
      <c r="J29" s="19"/>
      <c r="K29" s="19"/>
      <c r="L29" s="19">
        <f t="shared" si="2"/>
        <v>0</v>
      </c>
    </row>
    <row r="30" spans="2:12">
      <c r="B30" s="19" t="s">
        <v>215</v>
      </c>
      <c r="C30" s="19"/>
      <c r="D30" s="19"/>
      <c r="E30" s="19">
        <f t="shared" si="0"/>
        <v>0</v>
      </c>
      <c r="F30" s="19"/>
      <c r="G30" s="19"/>
      <c r="H30" s="19"/>
      <c r="I30" s="19">
        <f t="shared" si="1"/>
        <v>0</v>
      </c>
      <c r="J30" s="19"/>
      <c r="K30" s="19"/>
      <c r="L30" s="19">
        <f t="shared" si="2"/>
        <v>0</v>
      </c>
    </row>
    <row r="31" spans="2:12">
      <c r="B31" s="19"/>
      <c r="C31" s="19"/>
      <c r="D31" s="19"/>
      <c r="E31" s="19">
        <f t="shared" si="0"/>
        <v>0</v>
      </c>
      <c r="F31" s="19"/>
      <c r="G31" s="19"/>
      <c r="H31" s="19"/>
      <c r="I31" s="19">
        <f t="shared" si="1"/>
        <v>0</v>
      </c>
      <c r="J31" s="19"/>
      <c r="K31" s="19"/>
      <c r="L31" s="19">
        <f t="shared" si="2"/>
        <v>0</v>
      </c>
    </row>
    <row r="32" spans="2:12">
      <c r="B32" s="19"/>
      <c r="C32" s="19"/>
      <c r="D32" s="19"/>
      <c r="E32" s="19">
        <f t="shared" si="0"/>
        <v>0</v>
      </c>
      <c r="F32" s="19"/>
      <c r="G32" s="19"/>
      <c r="H32" s="19"/>
      <c r="I32" s="19">
        <f t="shared" si="1"/>
        <v>0</v>
      </c>
      <c r="J32" s="19"/>
      <c r="K32" s="19"/>
      <c r="L32" s="19">
        <f t="shared" si="2"/>
        <v>0</v>
      </c>
    </row>
    <row r="33" spans="2:12">
      <c r="B33" s="19"/>
      <c r="C33" s="19"/>
      <c r="D33" s="19"/>
      <c r="E33" s="19">
        <f t="shared" si="0"/>
        <v>0</v>
      </c>
      <c r="F33" s="19"/>
      <c r="G33" s="19"/>
      <c r="H33" s="19"/>
      <c r="I33" s="19">
        <f t="shared" si="1"/>
        <v>0</v>
      </c>
      <c r="J33" s="19"/>
      <c r="K33" s="19"/>
      <c r="L33" s="19">
        <f t="shared" si="2"/>
        <v>0</v>
      </c>
    </row>
    <row r="34" spans="2:12">
      <c r="B34" s="19" t="s">
        <v>160</v>
      </c>
      <c r="C34" s="19"/>
      <c r="D34" s="19">
        <f>E34*10.764</f>
        <v>205.45677359999996</v>
      </c>
      <c r="E34" s="19">
        <f>SUM(E6:E33)</f>
        <v>19.087399999999999</v>
      </c>
      <c r="F34" s="19"/>
      <c r="G34" s="19"/>
      <c r="H34" s="19">
        <f>I34*10.764</f>
        <v>0</v>
      </c>
      <c r="I34" s="19">
        <f>SUM(I6:I33)</f>
        <v>0</v>
      </c>
      <c r="J34" s="19"/>
      <c r="K34" s="19">
        <f>L34*10.764</f>
        <v>0</v>
      </c>
      <c r="L34" s="19">
        <f>SUM(L6:L33)</f>
        <v>0</v>
      </c>
    </row>
    <row r="36" spans="2:12">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ColWidth="9" defaultRowHeight="14.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85" zoomScaleNormal="85" workbookViewId="0">
      <selection activeCell="H9" sqref="H9"/>
    </sheetView>
  </sheetViews>
  <sheetFormatPr defaultColWidth="8.7265625" defaultRowHeight="14.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c r="A1" s="2"/>
      <c r="B1" s="2"/>
      <c r="C1" s="2"/>
      <c r="D1" s="2"/>
      <c r="E1" s="2"/>
      <c r="F1" s="2"/>
      <c r="G1" s="2"/>
      <c r="H1" s="2"/>
    </row>
    <row r="2" spans="1:9" ht="15" customHeight="1">
      <c r="A2" s="3"/>
      <c r="B2" s="3"/>
      <c r="C2" s="3"/>
      <c r="D2" s="3"/>
      <c r="E2" s="3"/>
      <c r="F2" s="3"/>
      <c r="G2" s="3"/>
      <c r="H2" s="3"/>
    </row>
    <row r="3" spans="1:9" ht="15.75" customHeight="1">
      <c r="A3" s="3"/>
      <c r="B3" s="169" t="s">
        <v>216</v>
      </c>
      <c r="C3" s="169"/>
      <c r="D3" s="169"/>
      <c r="E3" s="169"/>
      <c r="F3" s="169"/>
      <c r="G3" s="169"/>
      <c r="H3" s="169"/>
    </row>
    <row r="4" spans="1:9">
      <c r="A4" s="3"/>
      <c r="B4" s="4" t="s">
        <v>217</v>
      </c>
      <c r="C4" s="4" t="s">
        <v>218</v>
      </c>
      <c r="D4" s="4" t="s">
        <v>194</v>
      </c>
      <c r="E4" s="4" t="s">
        <v>219</v>
      </c>
      <c r="F4" s="4" t="s">
        <v>220</v>
      </c>
      <c r="G4" s="4" t="s">
        <v>221</v>
      </c>
      <c r="H4" s="4" t="s">
        <v>222</v>
      </c>
    </row>
    <row r="5" spans="1:9" ht="15" customHeight="1">
      <c r="A5" s="3"/>
      <c r="B5" s="5" t="s">
        <v>223</v>
      </c>
      <c r="C5" s="6" t="s">
        <v>224</v>
      </c>
      <c r="D5" s="5" t="s">
        <v>225</v>
      </c>
      <c r="E5" s="5">
        <v>1106</v>
      </c>
      <c r="F5" s="7">
        <f>E5*1.6</f>
        <v>1769.6000000000001</v>
      </c>
      <c r="G5" s="7">
        <f>H5/F5</f>
        <v>31532.549728752259</v>
      </c>
      <c r="H5" s="8">
        <v>55800000</v>
      </c>
    </row>
    <row r="6" spans="1:9">
      <c r="A6" s="3"/>
      <c r="B6" s="5" t="s">
        <v>223</v>
      </c>
      <c r="C6" s="9" t="s">
        <v>226</v>
      </c>
      <c r="D6" s="5" t="s">
        <v>227</v>
      </c>
      <c r="E6" s="5">
        <v>2274</v>
      </c>
      <c r="F6" s="7">
        <f t="shared" ref="F6:F11" si="0">E6*1.6</f>
        <v>3638.4</v>
      </c>
      <c r="G6" s="7">
        <f t="shared" ref="G6:G11" si="1">H6/F6</f>
        <v>32981.530343007915</v>
      </c>
      <c r="H6" s="8">
        <v>120000000</v>
      </c>
    </row>
    <row r="7" spans="1:9" ht="15" customHeight="1">
      <c r="A7" s="3"/>
      <c r="B7" s="5" t="s">
        <v>223</v>
      </c>
      <c r="C7" s="6" t="s">
        <v>224</v>
      </c>
      <c r="D7" s="5" t="s">
        <v>225</v>
      </c>
      <c r="E7" s="5">
        <v>1466</v>
      </c>
      <c r="F7" s="7">
        <f t="shared" si="0"/>
        <v>2345.6</v>
      </c>
      <c r="G7" s="7">
        <f t="shared" si="1"/>
        <v>32528.990450204641</v>
      </c>
      <c r="H7" s="8">
        <v>76300000</v>
      </c>
    </row>
    <row r="8" spans="1:9">
      <c r="A8" s="3"/>
      <c r="B8" s="5" t="s">
        <v>223</v>
      </c>
      <c r="C8" s="9" t="s">
        <v>226</v>
      </c>
      <c r="D8" s="5" t="s">
        <v>227</v>
      </c>
      <c r="E8" s="5">
        <v>2275</v>
      </c>
      <c r="F8" s="7">
        <f t="shared" si="0"/>
        <v>3640</v>
      </c>
      <c r="G8" s="7">
        <f t="shared" si="1"/>
        <v>32554.945054945056</v>
      </c>
      <c r="H8" s="8">
        <v>118500000</v>
      </c>
    </row>
    <row r="9" spans="1:9" ht="15" customHeight="1">
      <c r="A9" s="3"/>
      <c r="B9" s="5" t="s">
        <v>223</v>
      </c>
      <c r="C9" s="9" t="s">
        <v>228</v>
      </c>
      <c r="D9" s="5" t="s">
        <v>227</v>
      </c>
      <c r="E9" s="5">
        <v>2700</v>
      </c>
      <c r="F9" s="7">
        <f t="shared" si="0"/>
        <v>4320</v>
      </c>
      <c r="G9" s="7">
        <f t="shared" si="1"/>
        <v>32175.925925925927</v>
      </c>
      <c r="H9" s="8">
        <v>139000000</v>
      </c>
    </row>
    <row r="10" spans="1:9" ht="15" customHeight="1">
      <c r="A10" s="3"/>
      <c r="B10" s="5" t="s">
        <v>229</v>
      </c>
      <c r="C10" s="6" t="s">
        <v>224</v>
      </c>
      <c r="D10" s="5" t="s">
        <v>225</v>
      </c>
      <c r="E10" s="5">
        <v>1466</v>
      </c>
      <c r="F10" s="7">
        <f t="shared" si="0"/>
        <v>2345.6</v>
      </c>
      <c r="G10" s="7">
        <f t="shared" si="1"/>
        <v>32997.953615279672</v>
      </c>
      <c r="H10" s="8">
        <v>77400000</v>
      </c>
    </row>
    <row r="11" spans="1:9" ht="15" customHeight="1">
      <c r="A11" s="3"/>
      <c r="B11" s="5" t="s">
        <v>229</v>
      </c>
      <c r="C11" s="6" t="s">
        <v>230</v>
      </c>
      <c r="D11" s="5" t="s">
        <v>227</v>
      </c>
      <c r="E11" s="5">
        <v>1725</v>
      </c>
      <c r="F11" s="7">
        <f t="shared" si="0"/>
        <v>2760</v>
      </c>
      <c r="G11" s="7">
        <f t="shared" si="1"/>
        <v>31268.115942028984</v>
      </c>
      <c r="H11" s="8">
        <v>86300000</v>
      </c>
    </row>
    <row r="12" spans="1:9" ht="15" customHeight="1">
      <c r="A12" s="3"/>
      <c r="B12" s="10" t="s">
        <v>231</v>
      </c>
      <c r="C12" s="5"/>
      <c r="D12" s="5"/>
      <c r="E12" s="5"/>
      <c r="F12" s="5"/>
      <c r="G12" s="11">
        <f>AVERAGE(G5:G11)</f>
        <v>32291.430151449204</v>
      </c>
      <c r="H12" s="5"/>
    </row>
    <row r="13" spans="1:9" ht="15" customHeight="1">
      <c r="A13" s="2"/>
      <c r="B13" s="10" t="s">
        <v>232</v>
      </c>
      <c r="C13" s="12"/>
      <c r="D13" s="12"/>
      <c r="E13" s="12"/>
      <c r="F13" s="13"/>
      <c r="G13" s="10">
        <v>32000</v>
      </c>
      <c r="H13" s="10"/>
      <c r="I13" s="14"/>
    </row>
    <row r="14" spans="1:9" ht="15" customHeight="1">
      <c r="B14" s="2"/>
      <c r="C14" s="2"/>
      <c r="D14" s="2"/>
      <c r="E14" s="2"/>
    </row>
    <row r="15" spans="1:9" ht="15" customHeight="1">
      <c r="B15" s="2"/>
      <c r="C15" s="2"/>
      <c r="D15" s="2"/>
      <c r="E15" s="2"/>
    </row>
    <row r="16" spans="1:9" ht="15" customHeight="1">
      <c r="B16" s="2"/>
      <c r="C16" s="2"/>
      <c r="D16" s="2"/>
      <c r="E16" s="2"/>
    </row>
  </sheetData>
  <mergeCells count="1">
    <mergeCell ref="B3:H3"/>
  </mergeCells>
  <pageMargins left="0.7" right="0.7" top="0.75" bottom="0.75" header="0.3" footer="0.3"/>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2025-09-18T11:50:30Z</cp:lastPrinted>
  <dcterms:created xsi:type="dcterms:W3CDTF">2019-07-16T09:29:00Z</dcterms:created>
  <dcterms:modified xsi:type="dcterms:W3CDTF">2025-09-18T11:51:14Z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1033-11.2.0.10223</vt:lpwstr>
  </property>
</Properties>
</file>