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sai balaji\"/>
    </mc:Choice>
  </mc:AlternateContent>
  <bookViews>
    <workbookView xWindow="0" yWindow="0" windowWidth="19200" windowHeight="664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6" i="1" l="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160" i="1"/>
  <c r="K161" i="1"/>
  <c r="K162" i="1"/>
  <c r="K163" i="1"/>
  <c r="K164" i="1"/>
  <c r="K165" i="1"/>
  <c r="H168" i="1"/>
  <c r="H155" i="1"/>
  <c r="I145" i="1"/>
  <c r="I60" i="1"/>
  <c r="E43" i="1"/>
  <c r="E172" i="1" l="1"/>
  <c r="D172" i="1"/>
  <c r="F172" i="1" s="1"/>
  <c r="H172" i="1" s="1"/>
  <c r="E171" i="1"/>
  <c r="D171" i="1"/>
  <c r="E170" i="1"/>
  <c r="D170" i="1"/>
  <c r="F170" i="1" s="1"/>
  <c r="H170" i="1" s="1"/>
  <c r="E169" i="1"/>
  <c r="D169" i="1"/>
  <c r="F169" i="1" s="1"/>
  <c r="H169" i="1" s="1"/>
  <c r="E168" i="1"/>
  <c r="D168" i="1"/>
  <c r="F168" i="1" s="1"/>
  <c r="J168" i="1" s="1"/>
  <c r="E167" i="1"/>
  <c r="D167" i="1"/>
  <c r="E165" i="1"/>
  <c r="D165" i="1"/>
  <c r="E164" i="1"/>
  <c r="D164" i="1"/>
  <c r="F164" i="1" s="1"/>
  <c r="H164" i="1" s="1"/>
  <c r="E163" i="1"/>
  <c r="D163" i="1"/>
  <c r="E162" i="1"/>
  <c r="D162" i="1"/>
  <c r="E161" i="1"/>
  <c r="D161" i="1"/>
  <c r="E160" i="1"/>
  <c r="D160" i="1"/>
  <c r="E158" i="1"/>
  <c r="D158" i="1"/>
  <c r="E157" i="1"/>
  <c r="D157" i="1"/>
  <c r="E156" i="1"/>
  <c r="D156" i="1"/>
  <c r="E155" i="1"/>
  <c r="D155" i="1"/>
  <c r="E153" i="1"/>
  <c r="D153" i="1"/>
  <c r="D148" i="1"/>
  <c r="D147" i="1"/>
  <c r="D146" i="1"/>
  <c r="D145" i="1"/>
  <c r="I167" i="1"/>
  <c r="F167" i="1"/>
  <c r="H167" i="1" s="1"/>
  <c r="J155" i="1"/>
  <c r="J153" i="1"/>
  <c r="I153" i="1"/>
  <c r="A153" i="1"/>
  <c r="A154" i="1" s="1"/>
  <c r="A155" i="1" s="1"/>
  <c r="A156" i="1" s="1"/>
  <c r="A157" i="1" s="1"/>
  <c r="A158" i="1" s="1"/>
  <c r="I44" i="1"/>
  <c r="G52" i="1"/>
  <c r="A160" i="1"/>
  <c r="F153" i="1" l="1"/>
  <c r="F158" i="1"/>
  <c r="H158" i="1" s="1"/>
  <c r="F171" i="1"/>
  <c r="H171" i="1" s="1"/>
  <c r="F165" i="1"/>
  <c r="H165" i="1" s="1"/>
  <c r="F163" i="1"/>
  <c r="H163" i="1" s="1"/>
  <c r="F162" i="1"/>
  <c r="H162" i="1" s="1"/>
  <c r="F161" i="1"/>
  <c r="H161" i="1" s="1"/>
  <c r="J161" i="1" s="1"/>
  <c r="J119" i="1" s="1"/>
  <c r="I119" i="1" s="1"/>
  <c r="F160" i="1"/>
  <c r="H160" i="1" s="1"/>
  <c r="F157" i="1"/>
  <c r="H157" i="1" s="1"/>
  <c r="F156" i="1"/>
  <c r="H156" i="1" s="1"/>
  <c r="F155" i="1"/>
  <c r="C76" i="1"/>
  <c r="A161" i="1"/>
  <c r="H153" i="1" l="1"/>
  <c r="G137" i="1" s="1"/>
  <c r="G138" i="1" s="1"/>
  <c r="C137" i="1"/>
  <c r="C138" i="1" s="1"/>
  <c r="E137" i="1"/>
  <c r="E138" i="1" s="1"/>
  <c r="F145" i="1"/>
  <c r="B38" i="6"/>
  <c r="B39" i="6" s="1"/>
  <c r="B40" i="6" s="1"/>
  <c r="B41" i="6" s="1"/>
  <c r="B42" i="6" s="1"/>
  <c r="B43" i="6" s="1"/>
  <c r="B44" i="6" s="1"/>
  <c r="B45" i="6" s="1"/>
  <c r="B46" i="6" s="1"/>
  <c r="B47" i="6" s="1"/>
  <c r="B48" i="6" s="1"/>
  <c r="B49" i="6" s="1"/>
  <c r="B50" i="6" s="1"/>
  <c r="B51" i="6" s="1"/>
  <c r="B52" i="6" s="1"/>
  <c r="B53" i="6" s="1"/>
  <c r="B54" i="6" s="1"/>
  <c r="A162" i="1"/>
  <c r="H145" i="1" l="1"/>
  <c r="A163" i="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29" i="1"/>
  <c r="B205" i="1"/>
  <c r="B204" i="1"/>
  <c r="F201" i="1"/>
  <c r="H201" i="1" s="1"/>
  <c r="F200" i="1"/>
  <c r="H200" i="1" s="1"/>
  <c r="F199" i="1"/>
  <c r="H199" i="1" s="1"/>
  <c r="F198" i="1"/>
  <c r="H198" i="1" s="1"/>
  <c r="F197" i="1"/>
  <c r="H197" i="1" s="1"/>
  <c r="F195" i="1"/>
  <c r="H195" i="1" s="1"/>
  <c r="F194" i="1"/>
  <c r="H194" i="1" s="1"/>
  <c r="F193" i="1"/>
  <c r="H193" i="1" s="1"/>
  <c r="F192" i="1"/>
  <c r="H192" i="1" s="1"/>
  <c r="F191" i="1"/>
  <c r="H191" i="1" s="1"/>
  <c r="F189" i="1"/>
  <c r="H189" i="1" s="1"/>
  <c r="F188" i="1"/>
  <c r="H188" i="1" s="1"/>
  <c r="F187" i="1"/>
  <c r="H187" i="1" s="1"/>
  <c r="F186" i="1"/>
  <c r="H186" i="1" s="1"/>
  <c r="F185" i="1"/>
  <c r="H185" i="1" s="1"/>
  <c r="F183" i="1"/>
  <c r="H183" i="1" s="1"/>
  <c r="F182" i="1"/>
  <c r="H182" i="1" s="1"/>
  <c r="F181" i="1"/>
  <c r="H181" i="1" s="1"/>
  <c r="F180" i="1"/>
  <c r="H180" i="1" s="1"/>
  <c r="F179" i="1"/>
  <c r="H179" i="1" s="1"/>
  <c r="A179" i="1"/>
  <c r="A180" i="1" s="1"/>
  <c r="A181" i="1" s="1"/>
  <c r="A182" i="1" s="1"/>
  <c r="A183" i="1" s="1"/>
  <c r="F177" i="1"/>
  <c r="H177" i="1" s="1"/>
  <c r="F176" i="1"/>
  <c r="H176" i="1" s="1"/>
  <c r="F175" i="1"/>
  <c r="H175" i="1" s="1"/>
  <c r="A175" i="1"/>
  <c r="A176" i="1" s="1"/>
  <c r="A177" i="1" s="1"/>
  <c r="F174" i="1"/>
  <c r="H174" i="1" s="1"/>
  <c r="F148" i="1"/>
  <c r="H148" i="1" s="1"/>
  <c r="F147" i="1"/>
  <c r="H147" i="1" s="1"/>
  <c r="F146" i="1"/>
  <c r="A146" i="1"/>
  <c r="A147" i="1" s="1"/>
  <c r="A148" i="1" s="1"/>
  <c r="F130" i="1"/>
  <c r="C104" i="1"/>
  <c r="C90" i="1"/>
  <c r="B77" i="1"/>
  <c r="D70" i="1"/>
  <c r="D63" i="1"/>
  <c r="G56" i="1"/>
  <c r="C56" i="1"/>
  <c r="K54" i="1"/>
  <c r="C54" i="1"/>
  <c r="G51" i="1"/>
  <c r="C51" i="1"/>
  <c r="C52" i="1" s="1"/>
  <c r="E44" i="1"/>
  <c r="E45" i="1" s="1"/>
  <c r="S33" i="1"/>
  <c r="E31" i="1"/>
  <c r="E28" i="1"/>
  <c r="E26" i="1"/>
  <c r="C16" i="1"/>
  <c r="I15" i="1"/>
  <c r="Z13" i="1"/>
  <c r="E8" i="1"/>
  <c r="E3" i="1"/>
  <c r="B215" i="1" s="1"/>
  <c r="A164" i="1"/>
  <c r="H105" i="1"/>
  <c r="A185" i="1"/>
  <c r="A197" i="1"/>
  <c r="H91" i="1"/>
  <c r="A191" i="1"/>
  <c r="H146" i="1" l="1"/>
  <c r="G133" i="1" s="1"/>
  <c r="G134" i="1" s="1"/>
  <c r="G139" i="1" s="1"/>
  <c r="C133" i="1"/>
  <c r="C134" i="1" s="1"/>
  <c r="C139" i="1" s="1"/>
  <c r="E133" i="1"/>
  <c r="E134" i="1" s="1"/>
  <c r="E139" i="1" s="1"/>
  <c r="E42" i="7"/>
  <c r="J84" i="1"/>
  <c r="J85" i="1"/>
  <c r="B105" i="1"/>
  <c r="J113" i="1" s="1"/>
  <c r="I42" i="7"/>
  <c r="H42" i="7" s="1"/>
  <c r="L42" i="7"/>
  <c r="K42" i="7" s="1"/>
  <c r="J90" i="1"/>
  <c r="J92" i="1" s="1"/>
  <c r="D99" i="1"/>
  <c r="D98" i="1"/>
  <c r="D103" i="1"/>
  <c r="D97" i="1"/>
  <c r="J93" i="1"/>
  <c r="D102" i="1"/>
  <c r="J95" i="1"/>
  <c r="C94" i="1" s="1"/>
  <c r="D96" i="1"/>
  <c r="D101" i="1"/>
  <c r="J94" i="1"/>
  <c r="D100" i="1"/>
  <c r="D114" i="1"/>
  <c r="J108" i="1"/>
  <c r="J104" i="1"/>
  <c r="J106" i="1" s="1"/>
  <c r="J107" i="1"/>
  <c r="D112" i="1"/>
  <c r="D117" i="1"/>
  <c r="D111" i="1"/>
  <c r="D116" i="1"/>
  <c r="D110" i="1"/>
  <c r="D113" i="1"/>
  <c r="J109" i="1"/>
  <c r="C108" i="1" s="1"/>
  <c r="D108" i="1" s="1"/>
  <c r="D115" i="1"/>
  <c r="D42" i="7"/>
  <c r="L54" i="1"/>
  <c r="B91" i="1"/>
  <c r="J86" i="1"/>
  <c r="J87" i="1"/>
  <c r="I52" i="1"/>
  <c r="A186" i="1"/>
  <c r="A192" i="1"/>
  <c r="A165" i="1"/>
  <c r="H77" i="1"/>
  <c r="A198" i="1"/>
  <c r="D88" i="1" l="1"/>
  <c r="D82" i="1"/>
  <c r="J82" i="1"/>
  <c r="J83" i="1" s="1"/>
  <c r="J88" i="1" s="1"/>
  <c r="J89" i="1" s="1"/>
  <c r="C81" i="1" s="1"/>
  <c r="E80" i="1" s="1"/>
  <c r="J81" i="1"/>
  <c r="C80" i="1" s="1"/>
  <c r="D80" i="1" s="1"/>
  <c r="D87" i="1"/>
  <c r="D86" i="1"/>
  <c r="J76" i="1"/>
  <c r="J78" i="1" s="1"/>
  <c r="D85" i="1"/>
  <c r="D89" i="1"/>
  <c r="D83" i="1"/>
  <c r="J80" i="1"/>
  <c r="J79" i="1"/>
  <c r="D84" i="1"/>
  <c r="J115" i="1"/>
  <c r="J114" i="1"/>
  <c r="D44" i="7"/>
  <c r="E44" i="7"/>
  <c r="J112" i="1"/>
  <c r="J110" i="1"/>
  <c r="J111" i="1" s="1"/>
  <c r="J116" i="1" s="1"/>
  <c r="J117" i="1" s="1"/>
  <c r="C109" i="1" s="1"/>
  <c r="G108" i="1" s="1"/>
  <c r="D94" i="1"/>
  <c r="J99" i="1"/>
  <c r="J96" i="1"/>
  <c r="J97" i="1" s="1"/>
  <c r="J102" i="1" s="1"/>
  <c r="J103" i="1" s="1"/>
  <c r="C95" i="1" s="1"/>
  <c r="J101" i="1"/>
  <c r="J98" i="1"/>
  <c r="J100" i="1"/>
  <c r="A187" i="1"/>
  <c r="A199" i="1"/>
  <c r="A193" i="1"/>
  <c r="G80" i="1" l="1"/>
  <c r="D74" i="1" s="1"/>
  <c r="D75" i="1" s="1"/>
  <c r="D81" i="1"/>
  <c r="I77" i="1" s="1"/>
  <c r="I78" i="1" s="1"/>
  <c r="D109" i="1"/>
  <c r="I105" i="1" s="1"/>
  <c r="I106" i="1" s="1"/>
  <c r="J105" i="1"/>
  <c r="E108" i="1"/>
  <c r="J77" i="1"/>
  <c r="E94" i="1"/>
  <c r="D95" i="1"/>
  <c r="I91" i="1" s="1"/>
  <c r="J91" i="1"/>
  <c r="G94" i="1"/>
  <c r="A188" i="1"/>
  <c r="A200" i="1"/>
  <c r="A194" i="1"/>
  <c r="F75" i="1" l="1"/>
  <c r="I104" i="1"/>
  <c r="C106" i="1" s="1"/>
  <c r="I76" i="1"/>
  <c r="C78" i="1" s="1"/>
  <c r="I92" i="1"/>
  <c r="I90" i="1" s="1"/>
  <c r="C92" i="1" s="1"/>
  <c r="A189" i="1"/>
  <c r="A201" i="1"/>
  <c r="A195"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<sst xmlns="http://schemas.openxmlformats.org/spreadsheetml/2006/main" count="728" uniqueCount="442">
  <si>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</si>
  <si>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</si>
  <si>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</si>
  <si>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</si>
  <si>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</si>
  <si>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</si>
  <si>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</si>
  <si>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</si>
  <si>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</si>
  <si>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</si>
  <si>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</si>
  <si>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</si>
  <si>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</si>
  <si>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</si>
  <si>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</si>
  <si>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</si>
  <si>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</si>
  <si>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</si>
  <si>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</si>
  <si>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</si>
  <si>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</si>
  <si>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</si>
  <si>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</si>
  <si>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</si>
  <si>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</si>
  <si>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</si>
  <si>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</si>
  <si>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</si>
  <si>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</si>
  <si>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</si>
  <si>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</si>
  <si>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</si>
  <si>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</si>
  <si>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</si>
  <si>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</si>
  <si>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</si>
  <si>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</si>
  <si>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</si>
  <si>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</si>
  <si>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</si>
  <si>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</si>
  <si>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</si>
  <si>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</si>
  <si>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</si>
  <si>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</si>
  <si>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</si>
  <si>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</si>
  <si>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</si>
  <si>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</si>
  <si>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</si>
  <si>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</si>
  <si>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</si>
  <si>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</si>
  <si>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</si>
  <si>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</si>
  <si>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</si>
  <si>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</si>
  <si>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</si>
  <si>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</si>
  <si>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</si>
  <si>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</si>
  <si>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</si>
  <si>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</si>
  <si>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</si>
  <si>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</si>
  <si>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</si>
  <si>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</si>
  <si>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</si>
  <si>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</si>
  <si>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</si>
  <si>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</si>
  <si>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</si>
  <si>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</si>
  <si>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</si>
  <si>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</si>
  <si>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</si>
  <si>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</si>
  <si>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</si>
  <si>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</si>
  <si>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</si>
  <si>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</si>
  <si>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</si>
  <si>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</si>
  <si>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</si>
  <si>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</si>
  <si>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</si>
  <si>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</si>
  <si>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</si>
  <si>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</si>
  <si>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</si>
  <si>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</si>
  <si>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</si>
  <si>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</si>
  <si>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</si>
  <si>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</si>
  <si>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</si>
  <si>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</si>
  <si>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</si>
  <si>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</si>
  <si>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</si>
  <si>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</si>
  <si>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</si>
  <si>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</si>
  <si>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</si>
  <si>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</si>
  <si>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</si>
  <si>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</si>
  <si>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</si>
  <si>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</si>
  <si>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</si>
  <si>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</si>
  <si>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</si>
  <si>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</si>
  <si>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</si>
  <si>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</si>
  <si>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</si>
  <si>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</si>
  <si>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</si>
  <si>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</si>
  <si>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</si>
  <si>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</si>
  <si>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</si>
  <si>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</si>
  <si>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</si>
  <si>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</si>
  <si>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</si>
  <si>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</si>
  <si>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</si>
  <si>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</si>
  <si>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</si>
  <si>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</si>
  <si>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</si>
  <si>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</si>
  <si>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</si>
  <si>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</si>
  <si>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</si>
  <si>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</si>
  <si>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</si>
  <si>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</si>
  <si>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</si>
  <si>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</si>
  <si>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</si>
  <si>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</si>
  <si>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</si>
  <si>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</si>
  <si>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</si>
  <si>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</si>
  <si>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</si>
  <si>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</si>
  <si>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</si>
  <si>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</si>
  <si>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</si>
  <si>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</si>
  <si>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</si>
  <si>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</si>
  <si>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</si>
  <si>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</si>
  <si>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</si>
  <si>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</si>
  <si>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</si>
  <si>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</si>
  <si>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</si>
  <si>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</si>
  <si>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</si>
  <si>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</si>
  <si>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</si>
  <si>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</si>
  <si>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</si>
  <si>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</si>
  <si>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</si>
  <si>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</si>
  <si>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</si>
  <si>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</si>
  <si>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</si>
  <si>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</si>
  <si>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</si>
  <si>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</si>
  <si>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</si>
  <si>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</si>
  <si>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</si>
  <si>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</si>
  <si>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</si>
  <si>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</si>
  <si>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</si>
  <si>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</si>
  <si>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</si>
  <si>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</si>
  <si>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</si>
  <si>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</si>
  <si>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</si>
  <si>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</si>
  <si>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</si>
  <si>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</si>
  <si>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</si>
  <si>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</si>
  <si>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</si>
  <si>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</si>
  <si>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</si>
  <si>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</si>
  <si>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</si>
  <si>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</si>
  <si>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</si>
  <si>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</si>
  <si>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</si>
  <si>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</si>
  <si>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</si>
  <si>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</si>
  <si>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</si>
  <si>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</si>
  <si>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</si>
  <si>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</si>
  <si>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</si>
  <si>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</si>
  <si>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</si>
  <si>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</si>
  <si>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</si>
  <si>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</si>
  <si>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</si>
  <si>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</si>
  <si>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</si>
  <si>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</si>
  <si>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</si>
  <si>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</si>
  <si>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</si>
  <si>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</si>
  <si>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</si>
  <si>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</si>
  <si>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</si>
  <si>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</si>
  <si>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</si>
  <si>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</si>
  <si>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</si>
  <si>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</si>
  <si>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</si>
  <si>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</si>
  <si>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</si>
  <si>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</si>
  <si>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</si>
  <si>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</si>
  <si>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</si>
  <si>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</si>
  <si>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</si>
  <si>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</si>
  <si>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</si>
  <si>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</si>
  <si>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</si>
  <si>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</si>
  <si>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</si>
  <si>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</si>
  <si>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</si>
  <si>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</si>
  <si>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</si>
  <si>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</si>
  <si>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</si>
  <si>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</si>
  <si>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</si>
  <si>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</si>
  <si>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</si>
  <si>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</si>
  <si>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</si>
  <si>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</si>
  <si>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</si>
  <si>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</si>
  <si>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</si>
  <si>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</si>
  <si>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</si>
  <si>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</si>
  <si>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</si>
  <si>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</si>
  <si>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</si>
  <si>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</si>
  <si>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</si>
  <si>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</si>
  <si>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</si>
  <si>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</si>
  <si>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</si>
  <si>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</si>
  <si>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</si>
  <si>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</si>
  <si>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</si>
  <si>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</si>
  <si>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</si>
  <si>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</si>
  <si>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</si>
  <si>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</si>
  <si>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</si>
  <si>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</si>
  <si>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</si>
  <si>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</si>
  <si>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</si>
  <si>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</si>
  <si>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</si>
  <si>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</si>
  <si>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</si>
  <si>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</si>
  <si>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</si>
  <si>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</si>
  <si>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</si>
  <si>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</si>
  <si>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</si>
  <si>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</si>
  <si>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</si>
  <si>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</si>
  <si>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</si>
  <si>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</si>
  <si>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</si>
  <si>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</si>
  <si>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</si>
  <si>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</si>
  <si>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</si>
  <si>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</si>
  <si>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</si>
  <si>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</si>
  <si>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</si>
  <si>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</si>
  <si>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</si>
  <si>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</si>
  <si>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</si>
  <si>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</si>
  <si>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</si>
  <si>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</si>
  <si>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</si>
  <si>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</si>
  <si>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</si>
  <si>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</si>
  <si>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</si>
  <si>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</si>
  <si>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</si>
  <si>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</si>
  <si>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</si>
  <si>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</si>
  <si>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</si>
  <si>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</si>
  <si>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</si>
  <si>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</si>
  <si>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</si>
  <si>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</si>
  <si>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</si>
  <si>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</si>
  <si>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</si>
  <si>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</si>
  <si>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</si>
  <si>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</si>
  <si>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</si>
  <si>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</si>
  <si>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</si>
  <si>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</si>
  <si>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</si>
  <si>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</si>
  <si>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</si>
  <si>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</si>
  <si>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</si>
  <si>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</si>
  <si>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</si>
  <si>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</si>
  <si>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</si>
  <si>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</si>
  <si>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</si>
  <si>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</si>
  <si>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</si>
  <si>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</si>
  <si>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</si>
  <si>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</si>
  <si>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</si>
  <si>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</si>
  <si>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</si>
  <si>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</si>
  <si>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</si>
  <si>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</si>
  <si>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</si>
  <si>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</si>
  <si>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</si>
  <si>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</si>
  <si>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</si>
  <si>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</si>
  <si>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</si>
  <si>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</si>
  <si>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</si>
  <si>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</si>
  <si>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</si>
  <si>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</si>
  <si>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</si>
  <si>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</si>
  <si>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</si>
  <si>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</si>
  <si>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</si>
  <si>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</si>
  <si>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</si>
  <si>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</si>
  <si>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Shree Ganesh Enterprises</t>
  </si>
  <si>
    <t>Sai Balaji</t>
  </si>
  <si>
    <t>Mr. Gautam Jha : 8286664131</t>
  </si>
  <si>
    <t>https://maps.app.goo.gl/T8BnW27U4Gx4ygRA8</t>
  </si>
  <si>
    <t>Not Registered on Rera</t>
  </si>
  <si>
    <t>18.9710797,73.0775151</t>
  </si>
  <si>
    <t>Plot No</t>
  </si>
  <si>
    <t>13, Sector : 08</t>
  </si>
  <si>
    <t>Pushpak Nagar</t>
  </si>
  <si>
    <t>Internal Road</t>
  </si>
  <si>
    <t>Pooja Kawale</t>
  </si>
  <si>
    <t>CIDCO/BP-19265/TPO(NM &amp; K)/2024/13427</t>
  </si>
  <si>
    <t>Gr/St + 1st to 7th Floor
Total BUA = 1807.88 Sq.M.
No. of Residential Units : 41 nos.
No. of Commercial Units : 4 nos.</t>
  </si>
  <si>
    <t>Gr/St + 1st to 7th Floor</t>
  </si>
  <si>
    <t>Ground Floor for Commercial &amp; Parking</t>
  </si>
  <si>
    <t>Shop</t>
  </si>
  <si>
    <r>
      <t xml:space="preserve">Shop No.
</t>
    </r>
    <r>
      <rPr>
        <b/>
        <sz val="11"/>
        <rFont val="Times New Roman"/>
        <family val="1"/>
      </rPr>
      <t>(Approved Plan)</t>
    </r>
  </si>
  <si>
    <t>1st Floor for Society Office, Fitness Center, Drivers Room &amp; Parking</t>
  </si>
  <si>
    <t>1BHK</t>
  </si>
  <si>
    <t>Drivers Room, Society Office/Fitness Center</t>
  </si>
  <si>
    <t>2nd to 5th Floor for Residential</t>
  </si>
  <si>
    <t>6th &amp; 7th Floor</t>
  </si>
  <si>
    <t>601 &amp; 701</t>
  </si>
  <si>
    <t>602 &amp; 702</t>
  </si>
  <si>
    <t>603 &amp; 703</t>
  </si>
  <si>
    <t>604 &amp; 704</t>
  </si>
  <si>
    <t>605 &amp; 705</t>
  </si>
  <si>
    <t>606 &amp; 706</t>
  </si>
  <si>
    <t>Balcony + Enclose Balcony + C.B. Area + Dry Area</t>
  </si>
  <si>
    <r>
      <t xml:space="preserve">Flat No.
</t>
    </r>
    <r>
      <rPr>
        <b/>
        <sz val="11"/>
        <rFont val="Times New Roman"/>
        <family val="1"/>
      </rPr>
      <t>(Approved Plan)</t>
    </r>
  </si>
  <si>
    <t>7.0 KM from Khandeshwar Railway Station</t>
  </si>
  <si>
    <t>Krishna Imperial</t>
  </si>
  <si>
    <t>Open Plot</t>
  </si>
  <si>
    <t>11 M.Wide Road</t>
  </si>
  <si>
    <t>Other Plot</t>
  </si>
  <si>
    <t>Plot No.12</t>
  </si>
  <si>
    <t>NAVI/WEST/B/012924/900391</t>
  </si>
  <si>
    <t>Site Elevation (AMSL) = 12.38 M
Permissible Top Elevation (AMSL) = 55.1 M (Restricted)</t>
  </si>
  <si>
    <t>Shops</t>
  </si>
  <si>
    <t>Flats</t>
  </si>
  <si>
    <t>Flats - 41, Shops - 4</t>
  </si>
  <si>
    <t>Lift, Parking Area, Society Office, Fire Fighting System</t>
  </si>
  <si>
    <r>
      <t xml:space="preserve">Proposed Amenities :                                                                                                                                                                                                                         </t>
    </r>
    <r>
      <rPr>
        <b/>
        <sz val="12"/>
        <rFont val="Times New Roman"/>
        <family val="1"/>
      </rPr>
      <t xml:space="preserve">                                               </t>
    </r>
  </si>
  <si>
    <t>Construction work is in process at the time of Visit.</t>
  </si>
  <si>
    <t>Ravindra vishwakarma</t>
  </si>
  <si>
    <t>Online</t>
  </si>
  <si>
    <t>Visitor</t>
  </si>
  <si>
    <t>MIS</t>
  </si>
  <si>
    <t>Approved Plans, CC, Sale Plans, Airport Noc</t>
  </si>
  <si>
    <t>7738723355 / 9820958777</t>
  </si>
  <si>
    <t>We considered Gross carpet area = Net carpet + Balcony Area + Enclose balcony + C.B. Area + D.B Area.</t>
  </si>
  <si>
    <t>Dapoli</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</si>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</sst>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8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3" fillId="0" borderId="1" xfId="1" applyFont="1" applyBorder="1" applyAlignment="1" applyProtection="1">
      <alignment horizontal="center" vertical="top"/>
      <protection locked="0"/>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3"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0"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3" fillId="2" borderId="0" xfId="1" applyFont="1" applyFill="1"/>
    <xf numFmtId="14" fontId="10"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0" fontId="0" fillId="0" borderId="38" xfId="0" applyFill="1" applyBorder="1" applyAlignment="1">
      <alignment vertical="top" wrapText="1"/>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64" fontId="6" fillId="0" borderId="0" xfId="1" applyNumberFormat="1" applyFont="1"/>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22" fillId="2" borderId="15" xfId="0" applyFont="1" applyFill="1" applyBorder="1"/>
    <xf numFmtId="0" fontId="23" fillId="0" borderId="9" xfId="0" applyFont="1" applyBorder="1"/>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68" fontId="6" fillId="0" borderId="0" xfId="1" applyNumberFormat="1" applyFont="1" applyAlignment="1">
      <alignment horizontal="center" vertical="center"/>
    </xf>
    <xf numFmtId="1" fontId="10" fillId="0" borderId="1" xfId="1" applyNumberFormat="1" applyFont="1" applyBorder="1" applyAlignment="1" applyProtection="1">
      <alignment horizontal="center" vertical="center" wrapText="1"/>
      <protection locked="0"/>
    </xf>
    <xf numFmtId="0" fontId="14" fillId="0" borderId="0" xfId="1" applyFont="1" applyAlignment="1">
      <alignment horizontal="center" vertical="center"/>
    </xf>
    <xf numFmtId="0" fontId="5" fillId="0" borderId="0" xfId="2" applyFont="1" applyAlignment="1">
      <alignment horizontal="center" vertical="center"/>
    </xf>
    <xf numFmtId="1" fontId="6" fillId="0" borderId="1" xfId="1" applyNumberFormat="1" applyFont="1" applyBorder="1" applyAlignment="1">
      <alignment horizontal="center" vertical="center"/>
    </xf>
    <xf numFmtId="1" fontId="10" fillId="0" borderId="1" xfId="0" applyNumberFormat="1" applyFont="1" applyBorder="1" applyAlignment="1" applyProtection="1">
      <alignment horizontal="center" vertical="center" wrapText="1"/>
      <protection locked="0"/>
    </xf>
    <xf numFmtId="0" fontId="10" fillId="0" borderId="0" xfId="0" applyFont="1" applyAlignment="1">
      <alignment horizontal="center" vertical="center"/>
    </xf>
    <xf numFmtId="0" fontId="10" fillId="0" borderId="0" xfId="1" applyFont="1" applyAlignment="1">
      <alignment horizontal="center" vertical="center"/>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24"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7" fillId="0" borderId="3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40" xfId="1" applyFont="1" applyBorder="1" applyAlignment="1" applyProtection="1">
      <alignment horizontal="left" vertical="top" wrapText="1"/>
      <protection locked="0"/>
    </xf>
    <xf numFmtId="1" fontId="11" fillId="0" borderId="1" xfId="1" applyNumberFormat="1" applyFont="1" applyBorder="1" applyAlignment="1" applyProtection="1">
      <alignment horizontal="center" vertical="center" wrapText="1"/>
      <protection locked="0"/>
    </xf>
    <xf numFmtId="1" fontId="29" fillId="0" borderId="1" xfId="1" applyNumberFormat="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1" fontId="9" fillId="0" borderId="33" xfId="0" applyNumberFormat="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0" fillId="0" borderId="16" xfId="1" applyFont="1" applyBorder="1" applyAlignment="1" applyProtection="1">
      <alignment horizontal="left" vertical="top" wrapText="1"/>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0"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0" fillId="0" borderId="25"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0" fontId="13" fillId="0" borderId="25" xfId="1" applyFont="1" applyBorder="1" applyAlignment="1" applyProtection="1">
      <alignment horizontal="left" vertical="top"/>
      <protection locked="0"/>
    </xf>
    <xf numFmtId="0" fontId="13" fillId="0" borderId="0" xfId="1" applyFont="1" applyAlignment="1" applyProtection="1">
      <alignment horizontal="left" vertical="top"/>
      <protection locked="0"/>
    </xf>
    <xf numFmtId="0" fontId="13" fillId="0" borderId="26"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3" xfId="1" applyFont="1" applyBorder="1" applyAlignment="1" applyProtection="1">
      <alignment horizontal="left" vertical="top"/>
      <protection locked="0"/>
    </xf>
    <xf numFmtId="0" fontId="10" fillId="0" borderId="26"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0"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28"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10"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0" fontId="9" fillId="0" borderId="16" xfId="1" applyFont="1" applyBorder="1" applyAlignment="1" applyProtection="1">
      <alignment horizontal="center" vertical="top"/>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10" fillId="0" borderId="21" xfId="1" applyNumberFormat="1" applyFont="1" applyBorder="1" applyAlignment="1" applyProtection="1">
      <alignment horizontal="center" vertical="center" wrapText="1"/>
      <protection locked="0"/>
    </xf>
    <xf numFmtId="0" fontId="13" fillId="0" borderId="19" xfId="1" applyFont="1" applyBorder="1" applyAlignment="1" applyProtection="1">
      <alignment horizontal="left" vertical="top"/>
      <protection locked="0"/>
    </xf>
    <xf numFmtId="0" fontId="13" fillId="0" borderId="2"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1" fontId="5" fillId="0" borderId="21"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38</xdr:row>
      <xdr:rowOff>12700</xdr:rowOff>
    </xdr:from>
    <xdr:to>
      <xdr:col>12</xdr:col>
      <xdr:colOff>483099</xdr:colOff>
      <xdr:row>51</xdr:row>
      <xdr:rowOff>171922</xdr:rowOff>
    </xdr:to>
    <xdr:pic>
      <xdr:nvPicPr>
        <xdr:cNvPr id="2" name="Picture 1"/>
        <xdr:cNvPicPr>
          <a:picLocks noChangeAspect="1"/>
        </xdr:cNvPicPr>
      </xdr:nvPicPr>
      <xdr:blipFill>
        <a:blip xmlns:r="http://schemas.openxmlformats.org/officeDocument/2006/relationships" r:embed="rId1"/>
        <a:stretch>
          <a:fillRect/>
        </a:stretch>
      </xdr:blipFill>
      <xdr:spPr>
        <a:xfrm>
          <a:off x="6975475" y="8394700"/>
          <a:ext cx="3423149" cy="3426297"/>
        </a:xfrm>
        <a:prstGeom prst="rect">
          <a:avLst/>
        </a:prstGeom>
        <a:ln>
          <a:solidFill>
            <a:schemeClr val="tx1"/>
          </a:solidFill>
        </a:ln>
      </xdr:spPr>
    </xdr:pic>
    <xdr:clientData/>
  </xdr:twoCellAnchor>
  <xdr:twoCellAnchor>
    <xdr:from>
      <xdr:col>0</xdr:col>
      <xdr:colOff>114300</xdr:colOff>
      <xdr:row>229</xdr:row>
      <xdr:rowOff>88900</xdr:rowOff>
    </xdr:from>
    <xdr:to>
      <xdr:col>7</xdr:col>
      <xdr:colOff>669401</xdr:colOff>
      <xdr:row>265</xdr:row>
      <xdr:rowOff>94632</xdr:rowOff>
    </xdr:to>
    <xdr:grpSp>
      <xdr:nvGrpSpPr>
        <xdr:cNvPr id="10" name="Group 9"/>
        <xdr:cNvGrpSpPr/>
      </xdr:nvGrpSpPr>
      <xdr:grpSpPr>
        <a:xfrm>
          <a:off x="114300" y="35112325"/>
          <a:ext cx="6136751" cy="7197107"/>
          <a:chOff x="114300" y="49561750"/>
          <a:chExt cx="6409801" cy="7085982"/>
        </a:xfrm>
      </xdr:grpSpPr>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3646768" y="54487732"/>
            <a:ext cx="2877333" cy="2160000"/>
          </a:xfrm>
          <a:prstGeom prst="rect">
            <a:avLst/>
          </a:prstGeom>
          <a:ln>
            <a:solidFill>
              <a:schemeClr val="tx1"/>
            </a:solidFill>
          </a:ln>
        </xdr:spPr>
      </xdr:pic>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14300" y="49561750"/>
            <a:ext cx="3117113" cy="2340000"/>
          </a:xfrm>
          <a:prstGeom prst="rect">
            <a:avLst/>
          </a:prstGeom>
          <a:ln>
            <a:solidFill>
              <a:schemeClr val="tx1"/>
            </a:solidFill>
          </a:ln>
        </xdr:spPr>
      </xdr:pic>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14300" y="54487732"/>
            <a:ext cx="1618313" cy="2160000"/>
          </a:xfrm>
          <a:prstGeom prst="rect">
            <a:avLst/>
          </a:prstGeom>
          <a:ln>
            <a:solidFill>
              <a:schemeClr val="tx1"/>
            </a:solidFill>
          </a:ln>
        </xdr:spPr>
      </xdr:pic>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371067" y="49561750"/>
            <a:ext cx="3117113" cy="2340000"/>
          </a:xfrm>
          <a:prstGeom prst="rect">
            <a:avLst/>
          </a:prstGeom>
          <a:ln>
            <a:solidFill>
              <a:schemeClr val="tx1"/>
            </a:solidFill>
          </a:ln>
        </xdr:spPr>
      </xdr:pic>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371066" y="52024741"/>
            <a:ext cx="3117113" cy="2340000"/>
          </a:xfrm>
          <a:prstGeom prst="rect">
            <a:avLst/>
          </a:prstGeom>
          <a:ln>
            <a:solidFill>
              <a:schemeClr val="tx1"/>
            </a:solidFill>
          </a:ln>
        </xdr:spPr>
      </xdr:pic>
      <xdr:pic>
        <xdr:nvPicPr>
          <xdr:cNvPr id="8" name="Picture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80534" y="54487732"/>
            <a:ext cx="1618313" cy="2160000"/>
          </a:xfrm>
          <a:prstGeom prst="rect">
            <a:avLst/>
          </a:prstGeom>
          <a:ln>
            <a:solidFill>
              <a:schemeClr val="tx1"/>
            </a:solidFill>
          </a:ln>
        </xdr:spPr>
      </xdr:pic>
      <xdr:pic>
        <xdr:nvPicPr>
          <xdr:cNvPr id="9" name="Picture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14300" y="52024741"/>
            <a:ext cx="3117113" cy="2340000"/>
          </a:xfrm>
          <a:prstGeom prst="rect">
            <a:avLst/>
          </a:prstGeom>
          <a:ln>
            <a:solidFill>
              <a:schemeClr val="tx1"/>
            </a:solidFill>
          </a:ln>
        </xdr:spPr>
      </xdr:pic>
    </xdr:grpSp>
    <xdr:clientData/>
  </xdr:twoCellAnchor>
  <xdr:twoCellAnchor editAs="oneCell">
    <xdr:from>
      <xdr:col>9</xdr:col>
      <xdr:colOff>95250</xdr:colOff>
      <xdr:row>142</xdr:row>
      <xdr:rowOff>95250</xdr:rowOff>
    </xdr:from>
    <xdr:to>
      <xdr:col>15</xdr:col>
      <xdr:colOff>393025</xdr:colOff>
      <xdr:row>157</xdr:row>
      <xdr:rowOff>51806</xdr:rowOff>
    </xdr:to>
    <xdr:pic>
      <xdr:nvPicPr>
        <xdr:cNvPr id="11" name="Picture 10"/>
        <xdr:cNvPicPr>
          <a:picLocks noChangeAspect="1"/>
        </xdr:cNvPicPr>
      </xdr:nvPicPr>
      <xdr:blipFill>
        <a:blip xmlns:r="http://schemas.openxmlformats.org/officeDocument/2006/relationships" r:embed="rId9"/>
        <a:stretch>
          <a:fillRect/>
        </a:stretch>
      </xdr:blipFill>
      <xdr:spPr>
        <a:xfrm>
          <a:off x="7572375" y="23260050"/>
          <a:ext cx="5174575" cy="3547481"/>
        </a:xfrm>
        <a:prstGeom prst="rect">
          <a:avLst/>
        </a:prstGeom>
        <a:ln>
          <a:solidFill>
            <a:schemeClr val="tx1"/>
          </a:solidFill>
        </a:ln>
      </xdr:spPr>
    </xdr:pic>
    <xdr:clientData/>
  </xdr:twoCellAnchor>
  <xdr:twoCellAnchor editAs="oneCell">
    <xdr:from>
      <xdr:col>1</xdr:col>
      <xdr:colOff>6350</xdr:colOff>
      <xdr:row>272</xdr:row>
      <xdr:rowOff>190499</xdr:rowOff>
    </xdr:from>
    <xdr:to>
      <xdr:col>7</xdr:col>
      <xdr:colOff>876</xdr:colOff>
      <xdr:row>296</xdr:row>
      <xdr:rowOff>146099</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806450" y="47644049"/>
          <a:ext cx="5049126" cy="4680000"/>
        </a:xfrm>
        <a:prstGeom prst="rect">
          <a:avLst/>
        </a:prstGeom>
        <a:ln>
          <a:solidFill>
            <a:schemeClr val="tx1"/>
          </a:solidFill>
        </a:ln>
      </xdr:spPr>
    </xdr:pic>
    <xdr:clientData/>
  </xdr:twoCellAnchor>
  <xdr:twoCellAnchor editAs="oneCell">
    <xdr:from>
      <xdr:col>0</xdr:col>
      <xdr:colOff>628650</xdr:colOff>
      <xdr:row>334</xdr:row>
      <xdr:rowOff>141784</xdr:rowOff>
    </xdr:from>
    <xdr:to>
      <xdr:col>7</xdr:col>
      <xdr:colOff>173950</xdr:colOff>
      <xdr:row>355</xdr:row>
      <xdr:rowOff>83215</xdr:rowOff>
    </xdr:to>
    <xdr:pic>
      <xdr:nvPicPr>
        <xdr:cNvPr id="13" name="Picture 12"/>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a:ext>
          </a:extLst>
        </a:blip>
        <a:srcRect/>
        <a:stretch/>
      </xdr:blipFill>
      <xdr:spPr>
        <a:xfrm>
          <a:off x="628650" y="59984184"/>
          <a:ext cx="5400000" cy="4075281"/>
        </a:xfrm>
        <a:prstGeom prst="rect">
          <a:avLst/>
        </a:prstGeom>
        <a:ln>
          <a:solidFill>
            <a:schemeClr val="tx1"/>
          </a:solidFill>
        </a:ln>
      </xdr:spPr>
    </xdr:pic>
    <xdr:clientData/>
  </xdr:twoCellAnchor>
  <xdr:twoCellAnchor editAs="oneCell">
    <xdr:from>
      <xdr:col>0</xdr:col>
      <xdr:colOff>628650</xdr:colOff>
      <xdr:row>314</xdr:row>
      <xdr:rowOff>120650</xdr:rowOff>
    </xdr:from>
    <xdr:to>
      <xdr:col>7</xdr:col>
      <xdr:colOff>173950</xdr:colOff>
      <xdr:row>334</xdr:row>
      <xdr:rowOff>15574</xdr:rowOff>
    </xdr:to>
    <xdr:pic>
      <xdr:nvPicPr>
        <xdr:cNvPr id="14" name="Picture 13"/>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a:ext>
          </a:extLst>
        </a:blip>
        <a:srcRect/>
        <a:stretch/>
      </xdr:blipFill>
      <xdr:spPr>
        <a:xfrm>
          <a:off x="628650" y="56026050"/>
          <a:ext cx="5400000" cy="3831924"/>
        </a:xfrm>
        <a:prstGeom prst="rect">
          <a:avLst/>
        </a:prstGeom>
        <a:ln>
          <a:solidFill>
            <a:schemeClr val="tx1"/>
          </a:solidFill>
        </a:ln>
      </xdr:spPr>
    </xdr:pic>
    <xdr:clientData/>
  </xdr:twoCellAnchor>
  <xdr:twoCellAnchor>
    <xdr:from>
      <xdr:col>3</xdr:col>
      <xdr:colOff>717256</xdr:colOff>
      <xdr:row>343</xdr:row>
      <xdr:rowOff>26253</xdr:rowOff>
    </xdr:from>
    <xdr:to>
      <xdr:col>4</xdr:col>
      <xdr:colOff>328135</xdr:colOff>
      <xdr:row>347</xdr:row>
      <xdr:rowOff>160065</xdr:rowOff>
    </xdr:to>
    <xdr:sp macro="" textlink="">
      <xdr:nvSpPr>
        <xdr:cNvPr id="15" name="Rectangle 14"/>
        <xdr:cNvSpPr/>
      </xdr:nvSpPr>
      <xdr:spPr>
        <a:xfrm rot="1646825">
          <a:off x="3244556" y="61640303"/>
          <a:ext cx="569729" cy="92121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469412</xdr:colOff>
      <xdr:row>29</xdr:row>
      <xdr:rowOff>18588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5400000" cy="2835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T8BnW27U4Gx4ygRA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4"/>
  <sheetViews>
    <sheetView tabSelected="1" view="pageBreakPreview" topLeftCell="A141" zoomScaleNormal="100" zoomScaleSheetLayoutView="100" zoomScalePageLayoutView="85" workbookViewId="0">
      <selection activeCell="I142" sqref="I142"/>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41" t="s">
        <v>380</v>
      </c>
      <c r="B1" s="241"/>
      <c r="C1" s="241"/>
      <c r="D1" s="241"/>
      <c r="E1" s="241"/>
      <c r="F1" s="241"/>
      <c r="G1" s="241"/>
      <c r="H1" s="241"/>
    </row>
    <row r="2" spans="1:26" ht="16.5" customHeight="1" x14ac:dyDescent="0.25">
      <c r="A2" s="242" t="s">
        <v>0</v>
      </c>
      <c r="B2" s="242"/>
      <c r="C2" s="242"/>
      <c r="D2" s="242"/>
      <c r="E2" s="242"/>
      <c r="F2" s="242"/>
      <c r="G2" s="242"/>
      <c r="H2" s="242"/>
    </row>
    <row r="3" spans="1:26" x14ac:dyDescent="0.25">
      <c r="A3" s="206" t="s">
        <v>1</v>
      </c>
      <c r="B3" s="206"/>
      <c r="C3" s="206"/>
      <c r="D3" s="206"/>
      <c r="E3" s="206" t="str">
        <f ca="1">TEXT(TODAY(),"DD/MM/YYYY")</f>
        <v>29/09/2025</v>
      </c>
      <c r="F3" s="206"/>
      <c r="G3" s="206"/>
      <c r="H3" s="206"/>
      <c r="K3" s="55" t="s">
        <v>237</v>
      </c>
      <c r="L3" s="54" t="s">
        <v>235</v>
      </c>
      <c r="M3" s="54" t="s">
        <v>240</v>
      </c>
      <c r="N3" s="54" t="s">
        <v>238</v>
      </c>
      <c r="O3" s="54" t="s">
        <v>358</v>
      </c>
      <c r="P3" s="54" t="s">
        <v>383</v>
      </c>
    </row>
    <row r="4" spans="1:26" ht="15" customHeight="1" x14ac:dyDescent="0.25">
      <c r="A4" s="206" t="s">
        <v>234</v>
      </c>
      <c r="B4" s="206"/>
      <c r="C4" s="206"/>
      <c r="D4" s="206"/>
      <c r="E4" s="206" t="s">
        <v>240</v>
      </c>
      <c r="F4" s="206"/>
      <c r="G4" s="206"/>
      <c r="H4" s="206"/>
      <c r="K4" s="53" t="s">
        <v>236</v>
      </c>
      <c r="L4" s="54" t="s">
        <v>171</v>
      </c>
      <c r="M4" s="54" t="s">
        <v>245</v>
      </c>
      <c r="N4" s="54" t="s">
        <v>247</v>
      </c>
      <c r="O4" s="54" t="s">
        <v>343</v>
      </c>
      <c r="P4" s="54" t="s">
        <v>384</v>
      </c>
    </row>
    <row r="5" spans="1:26" ht="15" customHeight="1" x14ac:dyDescent="0.25">
      <c r="A5" s="206" t="s">
        <v>2</v>
      </c>
      <c r="B5" s="206"/>
      <c r="C5" s="206"/>
      <c r="D5" s="206"/>
      <c r="E5" s="206" t="s">
        <v>245</v>
      </c>
      <c r="F5" s="206"/>
      <c r="G5" s="206"/>
      <c r="H5" s="206"/>
      <c r="K5" s="53"/>
      <c r="L5" s="54" t="s">
        <v>242</v>
      </c>
      <c r="M5" s="54" t="s">
        <v>246</v>
      </c>
      <c r="N5" s="54" t="s">
        <v>248</v>
      </c>
      <c r="O5" s="54" t="s">
        <v>344</v>
      </c>
      <c r="P5" s="54"/>
    </row>
    <row r="6" spans="1:26" x14ac:dyDescent="0.25">
      <c r="A6" s="206" t="s">
        <v>3</v>
      </c>
      <c r="B6" s="206"/>
      <c r="C6" s="206"/>
      <c r="D6" s="206"/>
      <c r="E6" s="243">
        <v>45917</v>
      </c>
      <c r="F6" s="206"/>
      <c r="G6" s="206"/>
      <c r="H6" s="206"/>
      <c r="K6" s="53"/>
      <c r="L6" s="54" t="s">
        <v>243</v>
      </c>
      <c r="M6" s="54" t="s">
        <v>356</v>
      </c>
      <c r="N6" s="54"/>
      <c r="O6" s="54" t="s">
        <v>345</v>
      </c>
      <c r="P6" s="54"/>
    </row>
    <row r="7" spans="1:26" ht="16.5" customHeight="1" x14ac:dyDescent="0.25">
      <c r="A7" s="206" t="s">
        <v>4</v>
      </c>
      <c r="B7" s="206"/>
      <c r="C7" s="206"/>
      <c r="D7" s="206"/>
      <c r="E7" s="206" t="s">
        <v>389</v>
      </c>
      <c r="F7" s="206"/>
      <c r="G7" s="206"/>
      <c r="H7" s="206"/>
      <c r="K7" s="53"/>
      <c r="L7" s="54" t="s">
        <v>244</v>
      </c>
      <c r="M7" s="54"/>
      <c r="N7" s="54"/>
      <c r="O7" s="54" t="s">
        <v>345</v>
      </c>
      <c r="P7" s="54"/>
    </row>
    <row r="8" spans="1:26" ht="15" customHeight="1" x14ac:dyDescent="0.25">
      <c r="A8" s="206" t="s">
        <v>5</v>
      </c>
      <c r="B8" s="206"/>
      <c r="C8" s="206"/>
      <c r="D8" s="206"/>
      <c r="E8" s="206" t="str">
        <f>E7</f>
        <v>Shree Ganesh Enterprises</v>
      </c>
      <c r="F8" s="206"/>
      <c r="G8" s="206"/>
      <c r="H8" s="206"/>
      <c r="K8" s="53"/>
      <c r="L8" s="54"/>
      <c r="M8" s="54"/>
      <c r="N8" s="54"/>
      <c r="O8" s="54" t="s">
        <v>346</v>
      </c>
      <c r="P8" s="54"/>
    </row>
    <row r="9" spans="1:26" x14ac:dyDescent="0.25">
      <c r="A9" s="206" t="s">
        <v>6</v>
      </c>
      <c r="B9" s="206"/>
      <c r="C9" s="206"/>
      <c r="D9" s="206"/>
      <c r="E9" s="140" t="s">
        <v>390</v>
      </c>
      <c r="F9" s="140"/>
      <c r="G9" s="140"/>
      <c r="H9" s="140"/>
      <c r="K9" s="53"/>
      <c r="L9" s="54"/>
      <c r="M9" s="54"/>
      <c r="N9" s="54"/>
      <c r="O9" s="54" t="s">
        <v>347</v>
      </c>
      <c r="P9" s="54"/>
    </row>
    <row r="10" spans="1:26" x14ac:dyDescent="0.25">
      <c r="A10" s="206" t="s">
        <v>167</v>
      </c>
      <c r="B10" s="206"/>
      <c r="C10" s="206"/>
      <c r="D10" s="206"/>
      <c r="E10" s="206" t="s">
        <v>438</v>
      </c>
      <c r="F10" s="206"/>
      <c r="G10" s="206"/>
      <c r="H10" s="206"/>
      <c r="K10" s="53"/>
      <c r="L10" s="54"/>
      <c r="M10" s="54"/>
      <c r="N10" s="54"/>
      <c r="O10" s="54" t="s">
        <v>348</v>
      </c>
      <c r="P10" s="54"/>
    </row>
    <row r="11" spans="1:26" x14ac:dyDescent="0.25">
      <c r="A11" s="206" t="s">
        <v>168</v>
      </c>
      <c r="B11" s="206"/>
      <c r="C11" s="206"/>
      <c r="D11" s="206"/>
      <c r="E11" s="206" t="s">
        <v>391</v>
      </c>
      <c r="F11" s="206"/>
      <c r="G11" s="206"/>
      <c r="H11" s="206"/>
      <c r="O11" s="54" t="s">
        <v>349</v>
      </c>
    </row>
    <row r="12" spans="1:26" x14ac:dyDescent="0.25">
      <c r="A12" s="206" t="s">
        <v>7</v>
      </c>
      <c r="B12" s="206"/>
      <c r="C12" s="206"/>
      <c r="D12" s="206"/>
      <c r="E12" s="206" t="s">
        <v>118</v>
      </c>
      <c r="F12" s="206"/>
      <c r="G12" s="206"/>
      <c r="H12" s="206"/>
    </row>
    <row r="13" spans="1:26" hidden="1" x14ac:dyDescent="0.25">
      <c r="A13" s="206" t="s">
        <v>172</v>
      </c>
      <c r="B13" s="206"/>
      <c r="C13" s="206"/>
      <c r="D13" s="206"/>
      <c r="E13" s="206"/>
      <c r="F13" s="206"/>
      <c r="G13" s="206"/>
      <c r="H13" s="206"/>
      <c r="S13" s="54" t="s">
        <v>181</v>
      </c>
      <c r="T13" s="54" t="s">
        <v>190</v>
      </c>
      <c r="U13" s="54" t="s">
        <v>173</v>
      </c>
      <c r="V13" s="54" t="s">
        <v>195</v>
      </c>
      <c r="W13" s="54" t="s">
        <v>213</v>
      </c>
      <c r="X13"/>
      <c r="Y13" t="s">
        <v>195</v>
      </c>
      <c r="Z13" t="e">
        <f ca="1">OFFSET($S$13,1,MATCH($G20,$S$13:$W$13,0)-1,15,1)</f>
        <v>#VALUE!</v>
      </c>
    </row>
    <row r="14" spans="1:26" x14ac:dyDescent="0.25">
      <c r="A14" s="206" t="s">
        <v>280</v>
      </c>
      <c r="B14" s="206"/>
      <c r="C14" s="206"/>
      <c r="D14" s="206"/>
      <c r="E14" s="169" t="s">
        <v>437</v>
      </c>
      <c r="F14" s="169"/>
      <c r="G14" s="169"/>
      <c r="H14" s="169"/>
      <c r="S14" s="54" t="s">
        <v>181</v>
      </c>
      <c r="T14" s="54" t="s">
        <v>188</v>
      </c>
      <c r="U14" s="54" t="s">
        <v>210</v>
      </c>
      <c r="V14" s="54" t="s">
        <v>196</v>
      </c>
      <c r="W14" s="54" t="s">
        <v>214</v>
      </c>
      <c r="X14"/>
      <c r="Y14"/>
      <c r="Z14"/>
    </row>
    <row r="15" spans="1:26" x14ac:dyDescent="0.25">
      <c r="A15" s="206" t="s">
        <v>8</v>
      </c>
      <c r="B15" s="206"/>
      <c r="C15" s="206"/>
      <c r="D15" s="206"/>
      <c r="E15" s="169" t="s">
        <v>393</v>
      </c>
      <c r="F15" s="206"/>
      <c r="G15" s="206"/>
      <c r="H15" s="206"/>
      <c r="I15" s="261" t="e">
        <f ca="1">OFFSET($D$5,1,MATCH($J13,$D$5:$H$5,0)-1,15,1)</f>
        <v>#N/A</v>
      </c>
      <c r="J15" s="262"/>
      <c r="K15" s="262"/>
      <c r="L15" s="262"/>
      <c r="M15" s="262"/>
      <c r="N15" s="262"/>
      <c r="O15" s="262"/>
      <c r="P15" s="262"/>
      <c r="S15" s="54" t="s">
        <v>182</v>
      </c>
      <c r="T15" s="54" t="s">
        <v>189</v>
      </c>
      <c r="U15" s="54" t="s">
        <v>211</v>
      </c>
      <c r="V15" s="54" t="s">
        <v>197</v>
      </c>
      <c r="W15" s="54" t="s">
        <v>227</v>
      </c>
      <c r="X15"/>
      <c r="Y15"/>
      <c r="Z15"/>
    </row>
    <row r="16" spans="1:26" ht="32.450000000000003" customHeight="1" x14ac:dyDescent="0.25">
      <c r="A16" s="169" t="s">
        <v>9</v>
      </c>
      <c r="B16" s="169"/>
      <c r="C16" s="169" t="str">
        <f>CONCATENATE((IF(OR(E9="",E9="NA"),"",E9)),", ",(IF(OR(A17="",A17="NA"),"",A17)),".",(IF(OR(C17="",C17="NA"),"",C17)),", near ",(IF(OR(C22="",C22="NA"),"",C22)),", ",(IF(OR(C19="",C19="NA"),"",C19)),", ",(IF(OR(C18="",C18="NA"),"",C18)),", ",(IF(OR(G19="",G19="NA"),"",G19)),", ",(IF(OR(C20="",C20="NA"),"",C20)),", ",(IF(OR(C21="",C21="NA"),"",C21)),", ",(IF(OR(G20="",G20="NA"),"",G20))," - ",(IF(OR(G21="",G21="NA"),"",G21)),".")</f>
        <v>Sai Balaji, Plot No.13, Sector : 08, near Krishna Imperial, Internal Road, Dapoli, Pushpak Nagar, Panvel, Panvel, Raigad - 410206.</v>
      </c>
      <c r="D16" s="169"/>
      <c r="E16" s="169"/>
      <c r="F16" s="169"/>
      <c r="G16" s="169"/>
      <c r="H16" s="169"/>
      <c r="S16" s="54" t="s">
        <v>183</v>
      </c>
      <c r="T16" s="54" t="s">
        <v>191</v>
      </c>
      <c r="U16" s="54" t="s">
        <v>212</v>
      </c>
      <c r="V16" s="54" t="s">
        <v>198</v>
      </c>
      <c r="W16" s="54" t="s">
        <v>215</v>
      </c>
      <c r="X16"/>
      <c r="Y16"/>
      <c r="Z16"/>
    </row>
    <row r="17" spans="1:26" x14ac:dyDescent="0.25">
      <c r="A17" s="169" t="s">
        <v>395</v>
      </c>
      <c r="B17" s="169"/>
      <c r="C17" s="169" t="s">
        <v>396</v>
      </c>
      <c r="D17" s="169"/>
      <c r="E17" s="169"/>
      <c r="F17" s="169"/>
      <c r="G17" s="169"/>
      <c r="H17" s="169"/>
      <c r="S17" s="54" t="s">
        <v>184</v>
      </c>
      <c r="T17" s="54" t="s">
        <v>192</v>
      </c>
      <c r="U17" s="54" t="s">
        <v>173</v>
      </c>
      <c r="V17" s="54" t="s">
        <v>199</v>
      </c>
      <c r="W17" s="54" t="s">
        <v>216</v>
      </c>
      <c r="X17"/>
      <c r="Y17"/>
      <c r="Z17"/>
    </row>
    <row r="18" spans="1:26" ht="15.75" customHeight="1" x14ac:dyDescent="0.25">
      <c r="A18" s="169" t="s">
        <v>163</v>
      </c>
      <c r="B18" s="169"/>
      <c r="C18" s="169" t="s">
        <v>440</v>
      </c>
      <c r="D18" s="169"/>
      <c r="E18" s="169"/>
      <c r="F18" s="169"/>
      <c r="G18" s="169"/>
      <c r="H18" s="169"/>
      <c r="S18" s="54" t="s">
        <v>185</v>
      </c>
      <c r="T18" s="54" t="s">
        <v>190</v>
      </c>
      <c r="U18" s="54"/>
      <c r="V18" s="54" t="s">
        <v>200</v>
      </c>
      <c r="W18" s="54" t="s">
        <v>217</v>
      </c>
      <c r="X18"/>
      <c r="Y18"/>
      <c r="Z18"/>
    </row>
    <row r="19" spans="1:26" ht="15.75" customHeight="1" x14ac:dyDescent="0.25">
      <c r="A19" s="169" t="s">
        <v>10</v>
      </c>
      <c r="B19" s="169"/>
      <c r="C19" s="206" t="s">
        <v>398</v>
      </c>
      <c r="D19" s="206"/>
      <c r="E19" s="169" t="s">
        <v>69</v>
      </c>
      <c r="F19" s="169"/>
      <c r="G19" s="169" t="s">
        <v>397</v>
      </c>
      <c r="H19" s="169"/>
      <c r="S19" s="54" t="s">
        <v>186</v>
      </c>
      <c r="T19" s="54" t="s">
        <v>193</v>
      </c>
      <c r="U19" s="54"/>
      <c r="V19" s="54" t="s">
        <v>201</v>
      </c>
      <c r="W19" s="54" t="s">
        <v>218</v>
      </c>
      <c r="X19"/>
      <c r="Y19"/>
      <c r="Z19"/>
    </row>
    <row r="20" spans="1:26" x14ac:dyDescent="0.25">
      <c r="A20" s="206" t="s">
        <v>12</v>
      </c>
      <c r="B20" s="206"/>
      <c r="C20" s="169" t="s">
        <v>197</v>
      </c>
      <c r="D20" s="169"/>
      <c r="E20" s="169" t="s">
        <v>11</v>
      </c>
      <c r="F20" s="169"/>
      <c r="G20" s="240" t="s">
        <v>195</v>
      </c>
      <c r="H20" s="240"/>
      <c r="S20" s="54" t="s">
        <v>187</v>
      </c>
      <c r="T20" s="54" t="s">
        <v>194</v>
      </c>
      <c r="U20" s="54"/>
      <c r="V20" s="54" t="s">
        <v>202</v>
      </c>
      <c r="W20" s="54" t="s">
        <v>219</v>
      </c>
      <c r="X20"/>
      <c r="Y20"/>
      <c r="Z20"/>
    </row>
    <row r="21" spans="1:26" x14ac:dyDescent="0.25">
      <c r="A21" s="206" t="s">
        <v>70</v>
      </c>
      <c r="B21" s="206"/>
      <c r="C21" s="169" t="s">
        <v>197</v>
      </c>
      <c r="D21" s="169"/>
      <c r="E21" s="169" t="s">
        <v>13</v>
      </c>
      <c r="F21" s="169"/>
      <c r="G21" s="169">
        <v>410206</v>
      </c>
      <c r="H21" s="169"/>
      <c r="S21" s="54"/>
      <c r="T21" s="54"/>
      <c r="U21" s="54"/>
      <c r="V21" s="54" t="s">
        <v>203</v>
      </c>
      <c r="W21" s="54" t="s">
        <v>220</v>
      </c>
      <c r="X21"/>
      <c r="Y21"/>
      <c r="Z21"/>
    </row>
    <row r="22" spans="1:26" ht="46.5" customHeight="1" x14ac:dyDescent="0.25">
      <c r="A22" s="206" t="s">
        <v>119</v>
      </c>
      <c r="B22" s="206"/>
      <c r="C22" s="169" t="s">
        <v>420</v>
      </c>
      <c r="D22" s="169"/>
      <c r="E22" s="169" t="s">
        <v>14</v>
      </c>
      <c r="F22" s="169"/>
      <c r="G22" s="169" t="s">
        <v>419</v>
      </c>
      <c r="H22" s="169"/>
      <c r="S22" s="54"/>
      <c r="T22" s="54"/>
      <c r="U22" s="54"/>
      <c r="V22" s="54" t="s">
        <v>204</v>
      </c>
      <c r="W22" s="54" t="s">
        <v>221</v>
      </c>
      <c r="X22"/>
      <c r="Y22"/>
      <c r="Z22"/>
    </row>
    <row r="23" spans="1:26" ht="15" customHeight="1" x14ac:dyDescent="0.25">
      <c r="A23" s="169" t="s">
        <v>72</v>
      </c>
      <c r="B23" s="169"/>
      <c r="C23" s="169"/>
      <c r="D23" s="169"/>
      <c r="E23" s="206" t="s">
        <v>15</v>
      </c>
      <c r="F23" s="206"/>
      <c r="G23" s="206"/>
      <c r="H23" s="206"/>
      <c r="S23" s="54"/>
      <c r="T23" s="54"/>
      <c r="U23" s="54"/>
      <c r="V23" s="54" t="s">
        <v>205</v>
      </c>
      <c r="W23" s="54" t="s">
        <v>222</v>
      </c>
      <c r="X23"/>
      <c r="Y23"/>
      <c r="Z23"/>
    </row>
    <row r="24" spans="1:26" ht="18.75" customHeight="1" x14ac:dyDescent="0.25">
      <c r="A24" s="169"/>
      <c r="B24" s="169"/>
      <c r="C24" s="169"/>
      <c r="D24" s="169"/>
      <c r="E24" s="206"/>
      <c r="F24" s="206"/>
      <c r="G24" s="206"/>
      <c r="H24" s="206"/>
      <c r="S24" s="54"/>
      <c r="T24" s="54"/>
      <c r="U24" s="54"/>
      <c r="V24" s="54" t="s">
        <v>206</v>
      </c>
      <c r="W24" s="54" t="s">
        <v>223</v>
      </c>
      <c r="X24"/>
      <c r="Y24"/>
      <c r="Z24"/>
    </row>
    <row r="25" spans="1:26" ht="15" customHeight="1" x14ac:dyDescent="0.25">
      <c r="A25" s="190" t="s">
        <v>16</v>
      </c>
      <c r="B25" s="190"/>
      <c r="C25" s="190"/>
      <c r="D25" s="190"/>
      <c r="E25" s="169" t="s">
        <v>17</v>
      </c>
      <c r="F25" s="169"/>
      <c r="G25" s="169"/>
      <c r="H25" s="169"/>
      <c r="S25" s="54"/>
      <c r="T25" s="54"/>
      <c r="U25" s="54"/>
      <c r="V25" s="54" t="s">
        <v>207</v>
      </c>
      <c r="W25" s="54" t="s">
        <v>224</v>
      </c>
      <c r="X25"/>
      <c r="Y25"/>
      <c r="Z25"/>
    </row>
    <row r="26" spans="1:26" ht="15" customHeight="1" x14ac:dyDescent="0.25">
      <c r="A26" s="149" t="s">
        <v>18</v>
      </c>
      <c r="B26" s="149"/>
      <c r="C26" s="149"/>
      <c r="D26" s="149"/>
      <c r="E26" s="169" t="str">
        <f>IF(AND(G20="Mumbai"),"Upper Class","Middle Class")</f>
        <v>Middle Class</v>
      </c>
      <c r="F26" s="169"/>
      <c r="G26" s="169"/>
      <c r="H26" s="169"/>
      <c r="S26" s="54"/>
      <c r="T26" s="54"/>
      <c r="U26" s="54"/>
      <c r="V26" s="54" t="s">
        <v>208</v>
      </c>
      <c r="W26" s="54" t="s">
        <v>225</v>
      </c>
      <c r="X26"/>
      <c r="Y26"/>
      <c r="Z26"/>
    </row>
    <row r="27" spans="1:26" x14ac:dyDescent="0.25">
      <c r="A27" s="149" t="s">
        <v>19</v>
      </c>
      <c r="B27" s="149"/>
      <c r="C27" s="149"/>
      <c r="D27" s="149"/>
      <c r="E27" s="169" t="s">
        <v>20</v>
      </c>
      <c r="F27" s="169"/>
      <c r="G27" s="169"/>
      <c r="H27" s="169"/>
      <c r="S27" s="54"/>
      <c r="T27" s="54"/>
      <c r="U27" s="54"/>
      <c r="V27" s="54" t="s">
        <v>209</v>
      </c>
      <c r="W27" s="54" t="s">
        <v>226</v>
      </c>
      <c r="X27"/>
      <c r="Y27"/>
      <c r="Z27"/>
    </row>
    <row r="28" spans="1:26" ht="15.75" customHeight="1" x14ac:dyDescent="0.25">
      <c r="A28" s="149" t="s">
        <v>21</v>
      </c>
      <c r="B28" s="149"/>
      <c r="C28" s="149"/>
      <c r="D28" s="149"/>
      <c r="E28" s="169" t="str">
        <f>IF(AND(G20="Mumbai"),"Developed","Developing")</f>
        <v>Developing</v>
      </c>
      <c r="F28" s="169"/>
      <c r="G28" s="169"/>
      <c r="H28" s="169"/>
    </row>
    <row r="29" spans="1:26" x14ac:dyDescent="0.25">
      <c r="A29" s="149" t="s">
        <v>22</v>
      </c>
      <c r="B29" s="149"/>
      <c r="C29" s="149"/>
      <c r="D29" s="149"/>
      <c r="E29" s="169" t="s">
        <v>23</v>
      </c>
      <c r="F29" s="169"/>
      <c r="G29" s="169"/>
      <c r="H29" s="169"/>
    </row>
    <row r="30" spans="1:26" ht="15.75" customHeight="1" x14ac:dyDescent="0.25">
      <c r="A30" s="149" t="s">
        <v>77</v>
      </c>
      <c r="B30" s="149"/>
      <c r="C30" s="149"/>
      <c r="D30" s="149"/>
      <c r="E30" s="169" t="s">
        <v>78</v>
      </c>
      <c r="F30" s="169"/>
      <c r="G30" s="169"/>
      <c r="H30" s="169"/>
    </row>
    <row r="31" spans="1:26" ht="15" customHeight="1" x14ac:dyDescent="0.25">
      <c r="A31" s="149" t="s">
        <v>30</v>
      </c>
      <c r="B31" s="149"/>
      <c r="C31" s="149"/>
      <c r="D31" s="149"/>
      <c r="E31" s="169"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69"/>
      <c r="G31" s="169"/>
      <c r="H31" s="169"/>
    </row>
    <row r="32" spans="1:26" ht="15.75" customHeight="1" x14ac:dyDescent="0.25">
      <c r="A32" s="149" t="s">
        <v>89</v>
      </c>
      <c r="B32" s="149"/>
      <c r="C32" s="149"/>
      <c r="D32" s="149"/>
      <c r="E32" s="169" t="s">
        <v>31</v>
      </c>
      <c r="F32" s="169"/>
      <c r="G32" s="169"/>
      <c r="H32" s="169"/>
    </row>
    <row r="33" spans="1:19" s="22" customFormat="1" x14ac:dyDescent="0.25">
      <c r="A33" s="239" t="s">
        <v>90</v>
      </c>
      <c r="B33" s="239"/>
      <c r="C33" s="236" t="s">
        <v>174</v>
      </c>
      <c r="D33" s="237"/>
      <c r="E33" s="238"/>
      <c r="F33" s="236" t="s">
        <v>29</v>
      </c>
      <c r="G33" s="237"/>
      <c r="H33" s="238"/>
      <c r="S33" s="22" t="e">
        <f ca="1">OFFSET($S$13,1,MATCH($G20,$S$13:$W$13,0)-1,15,1)</f>
        <v>#VALUE!</v>
      </c>
    </row>
    <row r="34" spans="1:19" s="22" customFormat="1" x14ac:dyDescent="0.25">
      <c r="A34" s="235" t="s">
        <v>24</v>
      </c>
      <c r="B34" s="235" t="s">
        <v>28</v>
      </c>
      <c r="C34" s="192" t="s">
        <v>422</v>
      </c>
      <c r="D34" s="193"/>
      <c r="E34" s="194"/>
      <c r="F34" s="192" t="s">
        <v>398</v>
      </c>
      <c r="G34" s="193"/>
      <c r="H34" s="194"/>
    </row>
    <row r="35" spans="1:19" x14ac:dyDescent="0.25">
      <c r="A35" s="235" t="s">
        <v>25</v>
      </c>
      <c r="B35" s="235" t="s">
        <v>28</v>
      </c>
      <c r="C35" s="192" t="s">
        <v>423</v>
      </c>
      <c r="D35" s="193"/>
      <c r="E35" s="194"/>
      <c r="F35" s="192" t="s">
        <v>420</v>
      </c>
      <c r="G35" s="193"/>
      <c r="H35" s="194"/>
    </row>
    <row r="36" spans="1:19" s="22" customFormat="1" x14ac:dyDescent="0.25">
      <c r="A36" s="235" t="s">
        <v>27</v>
      </c>
      <c r="B36" s="235" t="s">
        <v>28</v>
      </c>
      <c r="C36" s="192" t="s">
        <v>424</v>
      </c>
      <c r="D36" s="193"/>
      <c r="E36" s="194"/>
      <c r="F36" s="192" t="s">
        <v>421</v>
      </c>
      <c r="G36" s="193"/>
      <c r="H36" s="194"/>
    </row>
    <row r="37" spans="1:19" x14ac:dyDescent="0.25">
      <c r="A37" s="235" t="s">
        <v>26</v>
      </c>
      <c r="B37" s="235" t="s">
        <v>28</v>
      </c>
      <c r="C37" s="192" t="s">
        <v>422</v>
      </c>
      <c r="D37" s="193"/>
      <c r="E37" s="194"/>
      <c r="F37" s="192" t="s">
        <v>398</v>
      </c>
      <c r="G37" s="193"/>
      <c r="H37" s="194"/>
    </row>
    <row r="38" spans="1:19" x14ac:dyDescent="0.25">
      <c r="A38" s="149" t="s">
        <v>281</v>
      </c>
      <c r="B38" s="149"/>
      <c r="C38" s="149"/>
      <c r="D38" s="149"/>
      <c r="E38" s="149"/>
      <c r="F38" s="149"/>
      <c r="G38" s="149"/>
      <c r="H38" s="149"/>
    </row>
    <row r="39" spans="1:19" ht="15.75" customHeight="1" x14ac:dyDescent="0.25">
      <c r="A39" s="149" t="s">
        <v>165</v>
      </c>
      <c r="B39" s="149"/>
      <c r="C39" s="197" t="s">
        <v>394</v>
      </c>
      <c r="D39" s="197"/>
      <c r="E39" s="197"/>
      <c r="F39" s="197"/>
      <c r="G39" s="197"/>
      <c r="H39" s="197"/>
    </row>
    <row r="40" spans="1:19" x14ac:dyDescent="0.25">
      <c r="A40" s="149" t="s">
        <v>162</v>
      </c>
      <c r="B40" s="149"/>
      <c r="C40" s="168" t="s">
        <v>392</v>
      </c>
      <c r="D40" s="169"/>
      <c r="E40" s="169"/>
      <c r="F40" s="169"/>
      <c r="G40" s="169"/>
      <c r="H40" s="169"/>
    </row>
    <row r="41" spans="1:19" x14ac:dyDescent="0.25">
      <c r="A41" s="197" t="s">
        <v>32</v>
      </c>
      <c r="B41" s="197"/>
      <c r="C41" s="197"/>
      <c r="D41" s="197"/>
      <c r="E41" s="197"/>
      <c r="F41" s="197"/>
      <c r="G41" s="197"/>
      <c r="H41" s="197"/>
    </row>
    <row r="42" spans="1:19" x14ac:dyDescent="0.25">
      <c r="A42" s="149" t="s">
        <v>33</v>
      </c>
      <c r="B42" s="149"/>
      <c r="C42" s="149"/>
      <c r="D42" s="149"/>
      <c r="E42" s="211">
        <v>499.7</v>
      </c>
      <c r="F42" s="211"/>
      <c r="G42" s="211"/>
      <c r="H42" s="211"/>
    </row>
    <row r="43" spans="1:19" x14ac:dyDescent="0.25">
      <c r="A43" s="149" t="s">
        <v>34</v>
      </c>
      <c r="B43" s="149"/>
      <c r="C43" s="149"/>
      <c r="D43" s="149"/>
      <c r="E43" s="213">
        <f>999.54/E42</f>
        <v>2.0002801681008604</v>
      </c>
      <c r="F43" s="213"/>
      <c r="G43" s="213"/>
      <c r="H43" s="213"/>
    </row>
    <row r="44" spans="1:19" x14ac:dyDescent="0.25">
      <c r="A44" s="149" t="s">
        <v>35</v>
      </c>
      <c r="B44" s="149"/>
      <c r="C44" s="149"/>
      <c r="D44" s="149"/>
      <c r="E44" s="213">
        <f>E46/E42-E43</f>
        <v>1.6176505903542129</v>
      </c>
      <c r="F44" s="213"/>
      <c r="G44" s="213"/>
      <c r="H44" s="213"/>
      <c r="I44" s="98">
        <f>999.54/E42</f>
        <v>2.0002801681008604</v>
      </c>
    </row>
    <row r="45" spans="1:19" x14ac:dyDescent="0.25">
      <c r="A45" s="149" t="s">
        <v>36</v>
      </c>
      <c r="B45" s="149"/>
      <c r="C45" s="149"/>
      <c r="D45" s="149"/>
      <c r="E45" s="213">
        <f>E43+E44</f>
        <v>3.6179307584550733</v>
      </c>
      <c r="F45" s="213"/>
      <c r="G45" s="213"/>
      <c r="H45" s="213"/>
    </row>
    <row r="46" spans="1:19" x14ac:dyDescent="0.25">
      <c r="A46" s="149" t="s">
        <v>88</v>
      </c>
      <c r="B46" s="149"/>
      <c r="C46" s="149"/>
      <c r="D46" s="149"/>
      <c r="E46" s="214">
        <v>1807.88</v>
      </c>
      <c r="F46" s="214"/>
      <c r="G46" s="214"/>
      <c r="H46" s="214"/>
    </row>
    <row r="47" spans="1:19" x14ac:dyDescent="0.25">
      <c r="A47" s="206" t="s">
        <v>37</v>
      </c>
      <c r="B47" s="206"/>
      <c r="C47" s="206"/>
      <c r="D47" s="206"/>
      <c r="E47" s="206" t="s">
        <v>118</v>
      </c>
      <c r="F47" s="206"/>
      <c r="G47" s="206"/>
      <c r="H47" s="206"/>
    </row>
    <row r="48" spans="1:19" x14ac:dyDescent="0.25">
      <c r="A48" s="197" t="s">
        <v>38</v>
      </c>
      <c r="B48" s="197"/>
      <c r="C48" s="197"/>
      <c r="D48" s="197"/>
      <c r="E48" s="197"/>
      <c r="F48" s="197"/>
      <c r="G48" s="197"/>
      <c r="H48" s="197"/>
    </row>
    <row r="49" spans="1:24" ht="33.75" customHeight="1" x14ac:dyDescent="0.25">
      <c r="A49" s="187" t="s">
        <v>151</v>
      </c>
      <c r="B49" s="189"/>
      <c r="C49" s="220" t="s">
        <v>269</v>
      </c>
      <c r="D49" s="221"/>
      <c r="E49" s="221"/>
      <c r="F49" s="221"/>
      <c r="G49" s="221"/>
      <c r="H49" s="222"/>
      <c r="R49" t="s">
        <v>254</v>
      </c>
      <c r="S49" s="56" t="s">
        <v>173</v>
      </c>
      <c r="T49" s="56" t="s">
        <v>181</v>
      </c>
      <c r="U49" s="56" t="s">
        <v>195</v>
      </c>
      <c r="V49" s="56" t="s">
        <v>190</v>
      </c>
    </row>
    <row r="50" spans="1:24" ht="31.5" customHeight="1" x14ac:dyDescent="0.25">
      <c r="A50" s="187" t="s">
        <v>39</v>
      </c>
      <c r="B50" s="189"/>
      <c r="C50" s="187" t="s">
        <v>400</v>
      </c>
      <c r="D50" s="188"/>
      <c r="E50" s="189"/>
      <c r="F50" s="18" t="s">
        <v>40</v>
      </c>
      <c r="G50" s="195">
        <v>45657</v>
      </c>
      <c r="H50" s="196"/>
      <c r="R50"/>
      <c r="S50" s="56" t="s">
        <v>255</v>
      </c>
      <c r="T50" s="56" t="s">
        <v>260</v>
      </c>
      <c r="U50" s="56" t="s">
        <v>271</v>
      </c>
      <c r="V50" s="56" t="s">
        <v>276</v>
      </c>
    </row>
    <row r="51" spans="1:24" ht="34.5" customHeight="1" x14ac:dyDescent="0.25">
      <c r="A51" s="187" t="s">
        <v>41</v>
      </c>
      <c r="B51" s="189"/>
      <c r="C51" s="187" t="str">
        <f>C50</f>
        <v>CIDCO/BP-19265/TPO(NM &amp; K)/2024/13427</v>
      </c>
      <c r="D51" s="188"/>
      <c r="E51" s="189"/>
      <c r="F51" s="18" t="s">
        <v>40</v>
      </c>
      <c r="G51" s="195">
        <f>G50</f>
        <v>45657</v>
      </c>
      <c r="H51" s="196"/>
      <c r="R51"/>
      <c r="S51" s="56" t="s">
        <v>256</v>
      </c>
      <c r="T51" s="56" t="s">
        <v>359</v>
      </c>
      <c r="U51" s="56" t="s">
        <v>269</v>
      </c>
      <c r="V51" s="56" t="s">
        <v>277</v>
      </c>
    </row>
    <row r="52" spans="1:24" s="23" customFormat="1" ht="30.95" customHeight="1" x14ac:dyDescent="0.25">
      <c r="A52" s="201" t="s">
        <v>155</v>
      </c>
      <c r="B52" s="202"/>
      <c r="C52" s="201" t="str">
        <f>C51</f>
        <v>CIDCO/BP-19265/TPO(NM &amp; K)/2024/13427</v>
      </c>
      <c r="D52" s="205"/>
      <c r="E52" s="202"/>
      <c r="F52" s="18" t="s">
        <v>40</v>
      </c>
      <c r="G52" s="195">
        <f>G50</f>
        <v>45657</v>
      </c>
      <c r="H52" s="196"/>
      <c r="I52" s="22" t="str">
        <f ca="1">IF(G52&gt;EDATE(E3,-48),"NO REMARK","CC REMARK FOR CC")</f>
        <v>NO REMARK</v>
      </c>
      <c r="J52" s="76"/>
      <c r="R52"/>
      <c r="S52" s="56" t="s">
        <v>257</v>
      </c>
      <c r="T52" s="56" t="s">
        <v>262</v>
      </c>
      <c r="U52" s="56" t="s">
        <v>259</v>
      </c>
      <c r="V52" s="56" t="s">
        <v>278</v>
      </c>
    </row>
    <row r="53" spans="1:24" s="23" customFormat="1" ht="64.5" customHeight="1" x14ac:dyDescent="0.25">
      <c r="A53" s="203"/>
      <c r="B53" s="204"/>
      <c r="C53" s="187" t="s">
        <v>401</v>
      </c>
      <c r="D53" s="188"/>
      <c r="E53" s="188"/>
      <c r="F53" s="188"/>
      <c r="G53" s="188"/>
      <c r="H53" s="189"/>
      <c r="R53"/>
      <c r="S53" s="56"/>
      <c r="T53" s="56"/>
      <c r="U53" s="56"/>
      <c r="V53" s="72"/>
    </row>
    <row r="54" spans="1:24" s="23" customFormat="1" hidden="1" x14ac:dyDescent="0.25">
      <c r="A54" s="207" t="s">
        <v>282</v>
      </c>
      <c r="B54" s="208"/>
      <c r="C54" s="187" t="e">
        <f>#REF!</f>
        <v>#REF!</v>
      </c>
      <c r="D54" s="188"/>
      <c r="E54" s="189"/>
      <c r="F54" s="18" t="s">
        <v>40</v>
      </c>
      <c r="G54" s="195"/>
      <c r="H54" s="196"/>
      <c r="K54" s="77">
        <f>EDATE(G52,-48)</f>
        <v>44196</v>
      </c>
      <c r="L54" s="23" t="str">
        <f ca="1">IF(G52&gt;EDATE(E3,-48),"NO REMARK","CC REMARK FOR CC")</f>
        <v>NO REMARK</v>
      </c>
      <c r="R54"/>
      <c r="S54" s="56" t="s">
        <v>257</v>
      </c>
      <c r="T54" s="56" t="s">
        <v>262</v>
      </c>
      <c r="U54" s="56" t="s">
        <v>259</v>
      </c>
      <c r="V54" s="56" t="s">
        <v>278</v>
      </c>
    </row>
    <row r="55" spans="1:24" s="23" customFormat="1" ht="32.25" hidden="1" customHeight="1" x14ac:dyDescent="0.25">
      <c r="A55" s="209"/>
      <c r="B55" s="210"/>
      <c r="C55" s="198"/>
      <c r="D55" s="199"/>
      <c r="E55" s="199"/>
      <c r="F55" s="199"/>
      <c r="G55" s="199"/>
      <c r="H55" s="200"/>
      <c r="R55"/>
      <c r="S55" s="56" t="s">
        <v>259</v>
      </c>
      <c r="T55" s="56" t="s">
        <v>263</v>
      </c>
      <c r="U55" s="56" t="s">
        <v>273</v>
      </c>
      <c r="V55" s="73"/>
      <c r="W55" s="21"/>
      <c r="X55" s="21"/>
    </row>
    <row r="56" spans="1:24" s="23" customFormat="1" ht="34.5" hidden="1" customHeight="1" x14ac:dyDescent="0.25">
      <c r="A56" s="207" t="s">
        <v>283</v>
      </c>
      <c r="B56" s="208"/>
      <c r="C56" s="187">
        <f>C55</f>
        <v>0</v>
      </c>
      <c r="D56" s="188"/>
      <c r="E56" s="189"/>
      <c r="F56" s="18" t="s">
        <v>40</v>
      </c>
      <c r="G56" s="195">
        <f>G55</f>
        <v>0</v>
      </c>
      <c r="H56" s="196"/>
      <c r="R56"/>
      <c r="S56" s="73"/>
      <c r="T56" s="56" t="s">
        <v>264</v>
      </c>
      <c r="U56" s="56" t="s">
        <v>274</v>
      </c>
      <c r="V56" s="73"/>
      <c r="W56" s="21"/>
      <c r="X56" s="21"/>
    </row>
    <row r="57" spans="1:24" s="23" customFormat="1" ht="41.25" hidden="1" customHeight="1" x14ac:dyDescent="0.25">
      <c r="A57" s="209"/>
      <c r="B57" s="210"/>
      <c r="C57" s="187"/>
      <c r="D57" s="188"/>
      <c r="E57" s="188"/>
      <c r="F57" s="188"/>
      <c r="G57" s="188"/>
      <c r="H57" s="189"/>
      <c r="R57"/>
      <c r="S57" s="73"/>
      <c r="T57" s="56" t="s">
        <v>266</v>
      </c>
      <c r="U57" s="56" t="s">
        <v>275</v>
      </c>
      <c r="V57" s="73"/>
      <c r="W57" s="21"/>
      <c r="X57" s="21"/>
    </row>
    <row r="58" spans="1:24" s="23" customFormat="1" ht="15.75" customHeight="1" x14ac:dyDescent="0.25">
      <c r="A58" s="217" t="s">
        <v>354</v>
      </c>
      <c r="B58" s="219"/>
      <c r="C58" s="201" t="s">
        <v>425</v>
      </c>
      <c r="D58" s="205"/>
      <c r="E58" s="202"/>
      <c r="F58" s="18" t="s">
        <v>40</v>
      </c>
      <c r="G58" s="195">
        <v>45343</v>
      </c>
      <c r="H58" s="196"/>
      <c r="R58"/>
      <c r="S58" s="73"/>
      <c r="T58" s="56" t="s">
        <v>267</v>
      </c>
      <c r="U58" s="73" t="s">
        <v>297</v>
      </c>
      <c r="V58" s="73"/>
      <c r="W58" s="21"/>
      <c r="X58" s="21"/>
    </row>
    <row r="59" spans="1:24" s="23" customFormat="1" ht="33.75" customHeight="1" x14ac:dyDescent="0.25">
      <c r="A59" s="223"/>
      <c r="B59" s="232"/>
      <c r="C59" s="203"/>
      <c r="D59" s="234"/>
      <c r="E59" s="204"/>
      <c r="F59" s="18" t="s">
        <v>355</v>
      </c>
      <c r="G59" s="195">
        <v>48264</v>
      </c>
      <c r="H59" s="196"/>
      <c r="R59"/>
      <c r="S59" s="73"/>
      <c r="T59" s="56" t="s">
        <v>268</v>
      </c>
      <c r="U59" s="73"/>
      <c r="V59" s="73"/>
      <c r="W59" s="21"/>
      <c r="X59" s="21"/>
    </row>
    <row r="60" spans="1:24" s="23" customFormat="1" ht="33.75" customHeight="1" x14ac:dyDescent="0.25">
      <c r="A60" s="225"/>
      <c r="B60" s="233"/>
      <c r="C60" s="187" t="s">
        <v>426</v>
      </c>
      <c r="D60" s="188"/>
      <c r="E60" s="188"/>
      <c r="F60" s="188"/>
      <c r="G60" s="188"/>
      <c r="H60" s="189"/>
      <c r="I60" s="23">
        <f>55.1-12.38</f>
        <v>42.72</v>
      </c>
      <c r="R60"/>
      <c r="S60" s="73"/>
      <c r="T60" s="56"/>
      <c r="U60" s="73"/>
      <c r="V60" s="73"/>
      <c r="W60" s="21"/>
      <c r="X60" s="21"/>
    </row>
    <row r="61" spans="1:24" x14ac:dyDescent="0.25">
      <c r="A61" s="263" t="s">
        <v>42</v>
      </c>
      <c r="B61" s="264"/>
      <c r="C61" s="263" t="s">
        <v>102</v>
      </c>
      <c r="D61" s="265"/>
      <c r="E61" s="264"/>
      <c r="F61" s="45" t="s">
        <v>40</v>
      </c>
      <c r="G61" s="266" t="s">
        <v>28</v>
      </c>
      <c r="H61" s="267"/>
      <c r="R61"/>
      <c r="S61" s="73"/>
      <c r="T61" s="56" t="s">
        <v>270</v>
      </c>
      <c r="U61" s="73"/>
      <c r="V61" s="73"/>
    </row>
    <row r="62" spans="1:24" x14ac:dyDescent="0.25">
      <c r="A62" s="230" t="s">
        <v>44</v>
      </c>
      <c r="B62" s="230"/>
      <c r="C62" s="230"/>
      <c r="D62" s="230"/>
      <c r="E62" s="230"/>
      <c r="F62" s="230"/>
      <c r="G62" s="230"/>
      <c r="H62" s="230"/>
      <c r="S62" s="73"/>
      <c r="T62" s="56" t="s">
        <v>279</v>
      </c>
      <c r="U62" s="73"/>
      <c r="V62" s="73"/>
    </row>
    <row r="63" spans="1:24" x14ac:dyDescent="0.25">
      <c r="A63" s="190" t="s">
        <v>87</v>
      </c>
      <c r="B63" s="190"/>
      <c r="C63" s="190"/>
      <c r="D63" s="149">
        <f>E46</f>
        <v>1807.88</v>
      </c>
      <c r="E63" s="149"/>
      <c r="F63" s="149"/>
      <c r="G63" s="149"/>
      <c r="H63" s="149"/>
      <c r="R63"/>
    </row>
    <row r="64" spans="1:24" x14ac:dyDescent="0.25">
      <c r="A64" s="169" t="s">
        <v>45</v>
      </c>
      <c r="B64" s="206"/>
      <c r="C64" s="206"/>
      <c r="D64" s="206" t="s">
        <v>429</v>
      </c>
      <c r="E64" s="206"/>
      <c r="F64" s="206"/>
      <c r="G64" s="206"/>
      <c r="H64" s="206"/>
      <c r="I64" s="24"/>
      <c r="R64"/>
    </row>
    <row r="65" spans="1:19" x14ac:dyDescent="0.25">
      <c r="A65" s="217" t="s">
        <v>46</v>
      </c>
      <c r="B65" s="218"/>
      <c r="C65" s="219"/>
      <c r="D65" s="215" t="s">
        <v>402</v>
      </c>
      <c r="E65" s="216"/>
      <c r="F65" s="216"/>
      <c r="G65" s="216"/>
      <c r="H65" s="216"/>
      <c r="R65"/>
    </row>
    <row r="66" spans="1:19" ht="15.75" customHeight="1" x14ac:dyDescent="0.25">
      <c r="A66" s="217" t="s">
        <v>85</v>
      </c>
      <c r="B66" s="218"/>
      <c r="C66" s="218"/>
      <c r="D66" s="169" t="s">
        <v>402</v>
      </c>
      <c r="E66" s="206"/>
      <c r="F66" s="206"/>
      <c r="G66" s="206"/>
      <c r="H66" s="206"/>
      <c r="R66"/>
    </row>
    <row r="67" spans="1:19" ht="15.75" hidden="1" customHeight="1" x14ac:dyDescent="0.25">
      <c r="A67" s="223"/>
      <c r="B67" s="224"/>
      <c r="C67" s="224"/>
      <c r="D67" s="227" t="s">
        <v>298</v>
      </c>
      <c r="E67" s="228"/>
      <c r="F67" s="228"/>
      <c r="G67" s="228"/>
      <c r="H67" s="229"/>
      <c r="R67"/>
    </row>
    <row r="68" spans="1:19" ht="15.75" hidden="1" customHeight="1" x14ac:dyDescent="0.25">
      <c r="A68" s="225"/>
      <c r="B68" s="226"/>
      <c r="C68" s="226"/>
      <c r="D68" s="269" t="s">
        <v>169</v>
      </c>
      <c r="E68" s="270"/>
      <c r="F68" s="270"/>
      <c r="G68" s="270"/>
      <c r="H68" s="271"/>
      <c r="S68"/>
    </row>
    <row r="69" spans="1:19" ht="15.75" customHeight="1" x14ac:dyDescent="0.25">
      <c r="A69" s="149" t="s">
        <v>43</v>
      </c>
      <c r="B69" s="149"/>
      <c r="C69" s="149"/>
      <c r="D69" s="191" t="s">
        <v>441</v>
      </c>
      <c r="E69" s="191"/>
      <c r="F69" s="191"/>
      <c r="G69" s="191"/>
      <c r="H69" s="191"/>
      <c r="J69" s="25"/>
      <c r="K69" s="24"/>
      <c r="N69" s="24"/>
      <c r="S69"/>
    </row>
    <row r="70" spans="1:19" ht="15.75" customHeight="1" x14ac:dyDescent="0.25">
      <c r="A70" s="149" t="s">
        <v>83</v>
      </c>
      <c r="B70" s="149"/>
      <c r="C70" s="149"/>
      <c r="D70" s="212" t="str">
        <f>(IF(G61="NA","60 Years After Completion",IF(G61&lt;&gt;"NA",""&amp;60-ROUNDDOWN((E3-G61)/360,0)&amp;" Years"," ")))</f>
        <v>60 Years After Completion</v>
      </c>
      <c r="E70" s="212"/>
      <c r="F70" s="212"/>
      <c r="G70" s="212"/>
      <c r="H70" s="212"/>
      <c r="N70" s="24"/>
      <c r="S70"/>
    </row>
    <row r="71" spans="1:19" ht="15.75" customHeight="1" x14ac:dyDescent="0.25">
      <c r="A71" s="149" t="s">
        <v>84</v>
      </c>
      <c r="B71" s="149"/>
      <c r="C71" s="149"/>
      <c r="D71" s="190" t="s">
        <v>23</v>
      </c>
      <c r="E71" s="190"/>
      <c r="F71" s="190"/>
      <c r="G71" s="190"/>
      <c r="H71" s="190"/>
      <c r="J71" s="26"/>
      <c r="K71" s="26"/>
      <c r="S71"/>
    </row>
    <row r="72" spans="1:19" x14ac:dyDescent="0.25">
      <c r="A72" s="206" t="s">
        <v>431</v>
      </c>
      <c r="B72" s="206"/>
      <c r="C72" s="206"/>
      <c r="D72" s="169" t="s">
        <v>430</v>
      </c>
      <c r="E72" s="190"/>
      <c r="F72" s="190"/>
      <c r="G72" s="190"/>
      <c r="H72" s="190"/>
      <c r="S72"/>
    </row>
    <row r="73" spans="1:19" x14ac:dyDescent="0.25">
      <c r="A73" s="190" t="s">
        <v>147</v>
      </c>
      <c r="B73" s="190"/>
      <c r="C73" s="190"/>
      <c r="D73" s="190" t="s">
        <v>28</v>
      </c>
      <c r="E73" s="190"/>
      <c r="F73" s="190"/>
      <c r="G73" s="190"/>
      <c r="H73" s="190"/>
      <c r="I73" s="27"/>
      <c r="J73" s="27"/>
      <c r="K73" s="27"/>
      <c r="L73" s="27"/>
      <c r="M73" s="27"/>
      <c r="N73" s="27"/>
    </row>
    <row r="74" spans="1:19" ht="15.75" customHeight="1" x14ac:dyDescent="0.25">
      <c r="A74" s="231" t="s">
        <v>82</v>
      </c>
      <c r="B74" s="231"/>
      <c r="C74" s="231"/>
      <c r="D74" s="215" t="str">
        <f ca="1">(IF(G80&gt;95%,"Nothing",IF(G80&gt;0%,"Cement, Aggregate, Steel, etc",IF(G80=0%,"Work not yet Started"))))</f>
        <v>Cement, Aggregate, Steel, etc</v>
      </c>
      <c r="E74" s="215"/>
      <c r="F74" s="215"/>
      <c r="G74" s="215"/>
      <c r="H74" s="215"/>
      <c r="J74" s="26"/>
      <c r="S74"/>
    </row>
    <row r="75" spans="1:19" ht="33.75" customHeight="1" thickBot="1" x14ac:dyDescent="0.3">
      <c r="A75" s="190" t="s">
        <v>115</v>
      </c>
      <c r="B75" s="190"/>
      <c r="C75" s="190"/>
      <c r="D75" s="169" t="str">
        <f ca="1">(IF(D74="Nothing","Yes",IF(D74="Cement, Aggregate, Steel, etc","Under Construction",IF(D74="Work not yet Started","Work not yet Started"))))</f>
        <v>Under Construction</v>
      </c>
      <c r="E75" s="169"/>
      <c r="F75" s="169" t="str">
        <f ca="1">(IF(D74="Nothing","Yes",IF(D74="Cement, Aggregate, Steel, etc","Under Construction",IF(D74="Work not yet Started","Work not yet Started"))))</f>
        <v>Under Construction</v>
      </c>
      <c r="G75" s="169"/>
      <c r="H75" s="169"/>
      <c r="S75"/>
    </row>
    <row r="76" spans="1:19" ht="15.75" customHeight="1" x14ac:dyDescent="0.25">
      <c r="A76" s="141" t="s">
        <v>137</v>
      </c>
      <c r="B76" s="141"/>
      <c r="C76" s="141" t="str">
        <f>D66</f>
        <v>Gr/St + 1st to 7th Floor</v>
      </c>
      <c r="D76" s="141"/>
      <c r="E76" s="141"/>
      <c r="F76" s="141"/>
      <c r="G76" s="141"/>
      <c r="H76" s="141"/>
      <c r="I76" s="101" t="str">
        <f ca="1">IF(D89=100%,"All work Completed. Possession granted to the Building.",IF(D88=100%,"All work Completed, Waiting for OC",I77&amp;""&amp;I78&amp;""&amp;J77&amp;""&amp;J76&amp;" "&amp;J78))</f>
        <v xml:space="preserve">Excavation, Plinth Completed </v>
      </c>
      <c r="J76" s="50"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x14ac:dyDescent="0.25">
      <c r="A77" s="47" t="s">
        <v>139</v>
      </c>
      <c r="B77" s="47">
        <f>IF(AND(ISNUMBER(SEARCH("1B",C76))),1,IF(AND(ISNUMBER(SEARCH("2B",C76))),2,IF(AND(ISNUMBER(SEARCH("3B",C76))),3,IF(AND(ISNUMBER(SEARCH("4B",C76))),4,IF(ISNUMBER(SEARCH("5B",C76)),5,0)))))</f>
        <v>0</v>
      </c>
      <c r="C77" s="47" t="s">
        <v>68</v>
      </c>
      <c r="D77" s="47">
        <v>1</v>
      </c>
      <c r="E77" s="47" t="s">
        <v>67</v>
      </c>
      <c r="F77" s="47">
        <v>0</v>
      </c>
      <c r="G77" s="47" t="s">
        <v>76</v>
      </c>
      <c r="H77" s="47">
        <f ca="1">--TRIM(RIGHT(SUBSTITUTE(LEFT(C76,_xlfn.AGGREGATE(16,6,FIND({0,1,2,3,4,5,6,7,8,9},C76,ROW(INDIRECT("1:"&amp;LEN(C76)))),1))," ",REPT(" ",LEN(C76))),LEN(C76)))</f>
        <v>7</v>
      </c>
      <c r="I77" s="102" t="str">
        <f ca="1">IF(D80=100%,"Excavation","")&amp;IF(D81=100%,", Plinth","")&amp;IF(D82=100%,", RCC Slab","")&amp;IF(D83=100%,", Brickwork","")&amp;IF(D84=100%,", Internal Plaster","")&amp;IF(D85=100%,", External Plaster","")&amp;IF(D86=100%,", Flooring","")&amp;IF(D87=100%,", Painting","")&amp;IF(D88=100%,", Building common Amenities","")</f>
        <v>Excavation, Plinth</v>
      </c>
      <c r="J77" s="52"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25">
      <c r="A78" s="140" t="s">
        <v>86</v>
      </c>
      <c r="B78" s="140"/>
      <c r="C78" s="141" t="str">
        <f ca="1">I76</f>
        <v xml:space="preserve">Excavation, Plinth Completed </v>
      </c>
      <c r="D78" s="141"/>
      <c r="E78" s="141"/>
      <c r="F78" s="141"/>
      <c r="G78" s="141"/>
      <c r="H78" s="141"/>
      <c r="I78" s="102" t="str">
        <f ca="1">IF(I77&lt;&gt;""," Completed","")</f>
        <v xml:space="preserve"> Completed</v>
      </c>
      <c r="J78" s="52" t="str">
        <f ca="1">IF(J76&lt;&gt;"","Completed","")</f>
        <v/>
      </c>
      <c r="S78"/>
    </row>
    <row r="79" spans="1:19" ht="15.75" customHeight="1" x14ac:dyDescent="0.25">
      <c r="A79" s="147" t="s">
        <v>47</v>
      </c>
      <c r="B79" s="147"/>
      <c r="C79" s="99" t="s">
        <v>136</v>
      </c>
      <c r="D79" s="99" t="s">
        <v>79</v>
      </c>
      <c r="E79" s="147" t="s">
        <v>81</v>
      </c>
      <c r="F79" s="147"/>
      <c r="G79" s="147" t="s">
        <v>80</v>
      </c>
      <c r="H79" s="147"/>
      <c r="I79" s="13" t="s">
        <v>138</v>
      </c>
      <c r="J79" s="28">
        <f ca="1">H77*25%</f>
        <v>1.75</v>
      </c>
      <c r="S79"/>
    </row>
    <row r="80" spans="1:19" x14ac:dyDescent="0.25">
      <c r="A80" s="147" t="s">
        <v>125</v>
      </c>
      <c r="B80" s="147"/>
      <c r="C80" s="99">
        <f ca="1">J81</f>
        <v>7</v>
      </c>
      <c r="D80" s="100">
        <f ca="1">((100/H77)*C80)/100</f>
        <v>1</v>
      </c>
      <c r="E80" s="148">
        <f ca="1">(((C81/H77*10)+(40/(D77+F77+H77)*C82)+(7.5/(H77)*C83)+(7.5/(H77)*C84)+(10/H77*C85)+(10/H77*C86)+(5/H77*C87)+(5/H77*C88)+(5/H77*C89))/100)</f>
        <v>0.1</v>
      </c>
      <c r="F80" s="148"/>
      <c r="G80" s="148">
        <f ca="1">((((C80/H77)*20)+((C81/H77)*25)+(30/(H77+F77+D77)*C82)+(5/H77*C83)+(5/H77*C84)+(5/H77*C85)+(5/H77*C86)+(0/H77*C87)+(0/H77*C88)+(5/H77*C89))/100)</f>
        <v>0.45</v>
      </c>
      <c r="H80" s="148"/>
      <c r="I80" s="13" t="s">
        <v>97</v>
      </c>
      <c r="J80" s="29">
        <f ca="1">H77*50%</f>
        <v>3.5</v>
      </c>
    </row>
    <row r="81" spans="1:19" x14ac:dyDescent="0.25">
      <c r="A81" s="147" t="s">
        <v>48</v>
      </c>
      <c r="B81" s="147"/>
      <c r="C81" s="99">
        <f ca="1">J89</f>
        <v>7</v>
      </c>
      <c r="D81" s="100">
        <f ca="1">((100/H77)*C81)/100</f>
        <v>1</v>
      </c>
      <c r="E81" s="148"/>
      <c r="F81" s="148"/>
      <c r="G81" s="148"/>
      <c r="H81" s="148"/>
      <c r="I81" s="13" t="s">
        <v>98</v>
      </c>
      <c r="J81" s="29">
        <f ca="1">H77</f>
        <v>7</v>
      </c>
      <c r="L81" s="93"/>
      <c r="S81"/>
    </row>
    <row r="82" spans="1:19" ht="15.75" customHeight="1" x14ac:dyDescent="0.25">
      <c r="A82" s="147" t="s">
        <v>126</v>
      </c>
      <c r="B82" s="147"/>
      <c r="C82" s="99">
        <v>0</v>
      </c>
      <c r="D82" s="100">
        <f ca="1">((100/(D77+F77+H77))*C82)/100</f>
        <v>0</v>
      </c>
      <c r="E82" s="148"/>
      <c r="F82" s="148"/>
      <c r="G82" s="148"/>
      <c r="H82" s="148"/>
      <c r="I82" s="13" t="s">
        <v>99</v>
      </c>
      <c r="J82" s="30">
        <f ca="1">(IF(B77&gt;1,(H77/(B77+2)),H77/4))</f>
        <v>1.75</v>
      </c>
      <c r="S82"/>
    </row>
    <row r="83" spans="1:19" ht="15.75" customHeight="1" x14ac:dyDescent="0.25">
      <c r="A83" s="147" t="s">
        <v>133</v>
      </c>
      <c r="B83" s="147" t="s">
        <v>127</v>
      </c>
      <c r="C83" s="99">
        <v>0</v>
      </c>
      <c r="D83" s="100">
        <f ca="1">((100/H77)*C83)/100</f>
        <v>0</v>
      </c>
      <c r="E83" s="148"/>
      <c r="F83" s="148"/>
      <c r="G83" s="148"/>
      <c r="H83" s="148"/>
      <c r="I83" s="13" t="s">
        <v>100</v>
      </c>
      <c r="J83" s="30">
        <f ca="1">(IF(B77&gt;1,(H77/(B77+2)+J82),H77/4+J82))</f>
        <v>3.5</v>
      </c>
    </row>
    <row r="84" spans="1:19" ht="15.75" customHeight="1" x14ac:dyDescent="0.25">
      <c r="A84" s="147" t="s">
        <v>134</v>
      </c>
      <c r="B84" s="147" t="s">
        <v>127</v>
      </c>
      <c r="C84" s="99">
        <v>0</v>
      </c>
      <c r="D84" s="100">
        <f ca="1">((100/H77)*C84)/100</f>
        <v>0</v>
      </c>
      <c r="E84" s="148"/>
      <c r="F84" s="148"/>
      <c r="G84" s="148"/>
      <c r="H84" s="148"/>
      <c r="I84" s="13" t="s">
        <v>145</v>
      </c>
      <c r="J84" s="30">
        <f>(IF(B77&gt;1,(H77/(B77+2)+J83),0))</f>
        <v>0</v>
      </c>
    </row>
    <row r="85" spans="1:19" ht="15" customHeight="1" x14ac:dyDescent="0.25">
      <c r="A85" s="147" t="s">
        <v>132</v>
      </c>
      <c r="B85" s="147" t="s">
        <v>129</v>
      </c>
      <c r="C85" s="99">
        <v>0</v>
      </c>
      <c r="D85" s="100">
        <f ca="1">((100/(H77))*C85)/100</f>
        <v>0</v>
      </c>
      <c r="E85" s="148"/>
      <c r="F85" s="148"/>
      <c r="G85" s="148"/>
      <c r="H85" s="148"/>
      <c r="I85" s="13" t="s">
        <v>140</v>
      </c>
      <c r="J85" s="30">
        <f>(IF(B77&gt;2,(H77/(B77+2)+J84),0))</f>
        <v>0</v>
      </c>
    </row>
    <row r="86" spans="1:19" ht="15.75" customHeight="1" x14ac:dyDescent="0.25">
      <c r="A86" s="147" t="s">
        <v>128</v>
      </c>
      <c r="B86" s="147" t="s">
        <v>128</v>
      </c>
      <c r="C86" s="99">
        <v>0</v>
      </c>
      <c r="D86" s="100">
        <f ca="1">((100/H77)*C86)/100</f>
        <v>0</v>
      </c>
      <c r="E86" s="148"/>
      <c r="F86" s="148"/>
      <c r="G86" s="148"/>
      <c r="H86" s="148"/>
      <c r="I86" s="13" t="s">
        <v>141</v>
      </c>
      <c r="J86" s="31">
        <f>(IF(B77&gt;3,(H77/(B77+2)+J85),0))</f>
        <v>0</v>
      </c>
    </row>
    <row r="87" spans="1:19" ht="15.75" customHeight="1" x14ac:dyDescent="0.25">
      <c r="A87" s="147" t="s">
        <v>135</v>
      </c>
      <c r="B87" s="147"/>
      <c r="C87" s="99">
        <v>0</v>
      </c>
      <c r="D87" s="100">
        <f ca="1">((100/H77)*C87)/100</f>
        <v>0</v>
      </c>
      <c r="E87" s="148"/>
      <c r="F87" s="148"/>
      <c r="G87" s="148"/>
      <c r="H87" s="148"/>
      <c r="I87" s="13" t="s">
        <v>142</v>
      </c>
      <c r="J87" s="30">
        <f>(IF(B77&gt;4,(H77/(B77+2)+J86),0))</f>
        <v>0</v>
      </c>
    </row>
    <row r="88" spans="1:19" ht="15.75" customHeight="1" x14ac:dyDescent="0.25">
      <c r="A88" s="147" t="s">
        <v>130</v>
      </c>
      <c r="B88" s="147" t="s">
        <v>130</v>
      </c>
      <c r="C88" s="99">
        <v>0</v>
      </c>
      <c r="D88" s="100">
        <f ca="1">((100/(H77))*C88)/100</f>
        <v>0</v>
      </c>
      <c r="E88" s="148"/>
      <c r="F88" s="148"/>
      <c r="G88" s="148"/>
      <c r="H88" s="148"/>
      <c r="I88" s="13" t="s">
        <v>146</v>
      </c>
      <c r="J88" s="30">
        <f ca="1">(IF(B77=1,(H77/(B77+3)+J83),IF(B77=0,(H77/4+J83),IF(B77&gt;1,0))))</f>
        <v>5.25</v>
      </c>
    </row>
    <row r="89" spans="1:19" ht="16.5" thickBot="1" x14ac:dyDescent="0.3">
      <c r="A89" s="147" t="s">
        <v>131</v>
      </c>
      <c r="B89" s="147"/>
      <c r="C89" s="99">
        <v>0</v>
      </c>
      <c r="D89" s="100">
        <f ca="1">((100/(H77))*C89)/100</f>
        <v>0</v>
      </c>
      <c r="E89" s="148"/>
      <c r="F89" s="148"/>
      <c r="G89" s="148"/>
      <c r="H89" s="148"/>
      <c r="I89" s="15" t="s">
        <v>101</v>
      </c>
      <c r="J89" s="32">
        <f ca="1">(IF(B77&gt;1.5,(H77/(B77+2)+J83+MAX(0,J84-J83)+MAX(0,J85-J84)+MAX(0,J86-J85)+MAX(0,J87-J86)+MAX(0,J88-J87)),IF(B77=1,(H77/(B77+3)+J88),IF(B77=0,H77/4+J88))))</f>
        <v>7</v>
      </c>
    </row>
    <row r="90" spans="1:19" ht="15.75" hidden="1" customHeight="1" x14ac:dyDescent="0.25">
      <c r="A90" s="178" t="s">
        <v>137</v>
      </c>
      <c r="B90" s="179"/>
      <c r="C90" s="180" t="str">
        <f>D67</f>
        <v>B Wing = 1B + G + 1st to 19th Floor</v>
      </c>
      <c r="D90" s="181"/>
      <c r="E90" s="181"/>
      <c r="F90" s="181"/>
      <c r="G90" s="181"/>
      <c r="H90" s="182"/>
      <c r="I90" s="49" t="str">
        <f ca="1">IF(D103=100%,"All work Completed. Possession granted to the Building.",IF(D102=100%,"All work Completed, Waiting for OC",I91&amp;""&amp;I92&amp;""&amp;J91&amp;""&amp;J90&amp;" "&amp;J92))</f>
        <v xml:space="preserve">Excavation, Plinth Completed </v>
      </c>
      <c r="J90" s="50"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hidden="1" x14ac:dyDescent="0.25">
      <c r="A91" s="16" t="s">
        <v>139</v>
      </c>
      <c r="B91" s="47">
        <f>IF(AND(ISNUMBER(SEARCH("1B",C90))),1,IF(AND(ISNUMBER(SEARCH("2B",C90))),2,IF(AND(ISNUMBER(SEARCH("3B",C90))),3,IF(AND(ISNUMBER(SEARCH("4B",C90))),4,IF(ISNUMBER(SEARCH("5B",C90)),5,0)))))</f>
        <v>1</v>
      </c>
      <c r="C91" s="47" t="s">
        <v>68</v>
      </c>
      <c r="D91" s="47">
        <v>1</v>
      </c>
      <c r="E91" s="47" t="s">
        <v>67</v>
      </c>
      <c r="F91" s="14">
        <v>0</v>
      </c>
      <c r="G91" s="48" t="s">
        <v>76</v>
      </c>
      <c r="H91" s="17">
        <f ca="1">--TRIM(RIGHT(SUBSTITUTE(LEFT(C90,_xlfn.AGGREGATE(16,6,FIND({0,1,2,3,4,5,6,7,8,9},C90,ROW(INDIRECT("1:"&amp;LEN(C90)))),1))," ",REPT(" ",LEN(C90))),LEN(C90)))</f>
        <v>19</v>
      </c>
      <c r="I91" s="51" t="str">
        <f ca="1">IF(D94=100%,"Excavation","")&amp;IF(D95=100%,", Plinth","")&amp;IF(D96=100%,", RCC Slab","")&amp;IF(D97=100%,", Brickwork","")&amp;IF(D98=100%,", Internal Plaster","")&amp;IF(D99=100%,", External Plaster","")&amp;IF(D100=100%,", Flooring","")&amp;IF(D101=100%,", Painting","")&amp;IF(D102=100%,", Building common Amenities","")</f>
        <v>Excavation, Plinth</v>
      </c>
      <c r="J91" s="52"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36.75" hidden="1" customHeight="1" x14ac:dyDescent="0.25">
      <c r="A92" s="139" t="s">
        <v>86</v>
      </c>
      <c r="B92" s="140"/>
      <c r="C92" s="141" t="str">
        <f ca="1">I90</f>
        <v xml:space="preserve">Excavation, Plinth Completed </v>
      </c>
      <c r="D92" s="141"/>
      <c r="E92" s="141"/>
      <c r="F92" s="141"/>
      <c r="G92" s="141"/>
      <c r="H92" s="142"/>
      <c r="I92" s="51" t="str">
        <f ca="1">IF(I91&lt;&gt;""," Completed","")</f>
        <v xml:space="preserve"> Completed</v>
      </c>
      <c r="J92" s="52" t="str">
        <f ca="1">IF(J90&lt;&gt;"","Completed","")</f>
        <v/>
      </c>
      <c r="S92"/>
    </row>
    <row r="93" spans="1:19" ht="15.75" hidden="1" customHeight="1" x14ac:dyDescent="0.25">
      <c r="A93" s="126" t="s">
        <v>47</v>
      </c>
      <c r="B93" s="127"/>
      <c r="C93" s="43" t="s">
        <v>136</v>
      </c>
      <c r="D93" s="43" t="s">
        <v>79</v>
      </c>
      <c r="E93" s="127" t="s">
        <v>81</v>
      </c>
      <c r="F93" s="127"/>
      <c r="G93" s="127" t="s">
        <v>80</v>
      </c>
      <c r="H93" s="143"/>
      <c r="I93" s="13" t="s">
        <v>138</v>
      </c>
      <c r="J93" s="28">
        <f ca="1">H91*25%</f>
        <v>4.75</v>
      </c>
      <c r="S93"/>
    </row>
    <row r="94" spans="1:19" hidden="1" x14ac:dyDescent="0.25">
      <c r="A94" s="126" t="s">
        <v>125</v>
      </c>
      <c r="B94" s="127"/>
      <c r="C94" s="59">
        <f ca="1">J95</f>
        <v>19</v>
      </c>
      <c r="D94" s="19">
        <f ca="1">((100/H91)*C94)/100</f>
        <v>1</v>
      </c>
      <c r="E94" s="128">
        <f ca="1">(((C95/H91*10)+(40/(D91+F91+H91)*C96)+(7.5/(H91)*C97)+(7.5/(H91)*C98)+(10/H91*C99)+(10/H91*C100)+(5/H91*C101)+(5/H91*C102)+(5/H91*C103))/100)</f>
        <v>0.1</v>
      </c>
      <c r="F94" s="129"/>
      <c r="G94" s="128">
        <f ca="1">((((C94/H91)*20)+((C95/H91)*25)+(30/(H91+F91+D91)*C96)+(5/H91*C97)+(5/H91*C98)+(5/H91*C99)+(5/H91*C100)+(0/H91*C101)+(0/H91*C102)+(5/H91*C103))/100)</f>
        <v>0.45</v>
      </c>
      <c r="H94" s="144"/>
      <c r="I94" s="13" t="s">
        <v>97</v>
      </c>
      <c r="J94" s="29">
        <f ca="1">H91*50%</f>
        <v>9.5</v>
      </c>
    </row>
    <row r="95" spans="1:19" hidden="1" x14ac:dyDescent="0.25">
      <c r="A95" s="126" t="s">
        <v>48</v>
      </c>
      <c r="B95" s="127"/>
      <c r="C95" s="43">
        <f ca="1">J103</f>
        <v>19</v>
      </c>
      <c r="D95" s="19">
        <f ca="1">((100/H91)*C95)/100</f>
        <v>1</v>
      </c>
      <c r="E95" s="130"/>
      <c r="F95" s="131"/>
      <c r="G95" s="130"/>
      <c r="H95" s="145"/>
      <c r="I95" s="13" t="s">
        <v>98</v>
      </c>
      <c r="J95" s="29">
        <f ca="1">H91</f>
        <v>19</v>
      </c>
      <c r="S95"/>
    </row>
    <row r="96" spans="1:19" ht="15.75" hidden="1" customHeight="1" x14ac:dyDescent="0.25">
      <c r="A96" s="126" t="s">
        <v>126</v>
      </c>
      <c r="B96" s="127"/>
      <c r="C96" s="43">
        <v>0</v>
      </c>
      <c r="D96" s="19">
        <f ca="1">((100/(D91+F91+H91))*C96)/100</f>
        <v>0</v>
      </c>
      <c r="E96" s="130"/>
      <c r="F96" s="131"/>
      <c r="G96" s="130"/>
      <c r="H96" s="145"/>
      <c r="I96" s="13" t="s">
        <v>99</v>
      </c>
      <c r="J96" s="30">
        <f ca="1">(IF(B91&gt;1,(H91/(B91+2)),H91/4))</f>
        <v>4.75</v>
      </c>
      <c r="S96"/>
    </row>
    <row r="97" spans="1:19" ht="15.75" hidden="1" customHeight="1" x14ac:dyDescent="0.25">
      <c r="A97" s="126" t="s">
        <v>133</v>
      </c>
      <c r="B97" s="127" t="s">
        <v>127</v>
      </c>
      <c r="C97" s="43">
        <v>0</v>
      </c>
      <c r="D97" s="19">
        <f ca="1">((100/H91)*C97)/100</f>
        <v>0</v>
      </c>
      <c r="E97" s="130"/>
      <c r="F97" s="131"/>
      <c r="G97" s="130"/>
      <c r="H97" s="145"/>
      <c r="I97" s="13" t="s">
        <v>100</v>
      </c>
      <c r="J97" s="30">
        <f ca="1">(IF(B91&gt;1,(H91/(B91+2)+J96),H91/4+J96))</f>
        <v>9.5</v>
      </c>
    </row>
    <row r="98" spans="1:19" ht="15.75" hidden="1" customHeight="1" x14ac:dyDescent="0.25">
      <c r="A98" s="126" t="s">
        <v>134</v>
      </c>
      <c r="B98" s="127" t="s">
        <v>127</v>
      </c>
      <c r="C98" s="43">
        <v>0</v>
      </c>
      <c r="D98" s="19">
        <f ca="1">((100/H91)*C98)/100</f>
        <v>0</v>
      </c>
      <c r="E98" s="130"/>
      <c r="F98" s="131"/>
      <c r="G98" s="130"/>
      <c r="H98" s="145"/>
      <c r="I98" s="13" t="s">
        <v>145</v>
      </c>
      <c r="J98" s="30">
        <f>(IF(B91&gt;1,(H91/(B91+2)+J97),0))</f>
        <v>0</v>
      </c>
    </row>
    <row r="99" spans="1:19" ht="15" hidden="1" customHeight="1" x14ac:dyDescent="0.25">
      <c r="A99" s="126" t="s">
        <v>132</v>
      </c>
      <c r="B99" s="127" t="s">
        <v>129</v>
      </c>
      <c r="C99" s="43">
        <v>0</v>
      </c>
      <c r="D99" s="19">
        <f ca="1">((100/(H91))*C99)/100</f>
        <v>0</v>
      </c>
      <c r="E99" s="130"/>
      <c r="F99" s="131"/>
      <c r="G99" s="130"/>
      <c r="H99" s="145"/>
      <c r="I99" s="13" t="s">
        <v>140</v>
      </c>
      <c r="J99" s="30">
        <f>(IF(B91&gt;2,(H91/(B91+2)+J98),0))</f>
        <v>0</v>
      </c>
    </row>
    <row r="100" spans="1:19" ht="15.75" hidden="1" customHeight="1" x14ac:dyDescent="0.25">
      <c r="A100" s="126" t="s">
        <v>128</v>
      </c>
      <c r="B100" s="127" t="s">
        <v>128</v>
      </c>
      <c r="C100" s="43">
        <v>0</v>
      </c>
      <c r="D100" s="19">
        <f ca="1">((100/H91)*C100)/100</f>
        <v>0</v>
      </c>
      <c r="E100" s="130"/>
      <c r="F100" s="131"/>
      <c r="G100" s="130"/>
      <c r="H100" s="145"/>
      <c r="I100" s="13" t="s">
        <v>141</v>
      </c>
      <c r="J100" s="31">
        <f>(IF(B91&gt;3,(H91/(B91+2)+J99),0))</f>
        <v>0</v>
      </c>
    </row>
    <row r="101" spans="1:19" ht="15.75" hidden="1" customHeight="1" x14ac:dyDescent="0.25">
      <c r="A101" s="126" t="s">
        <v>135</v>
      </c>
      <c r="B101" s="127"/>
      <c r="C101" s="43">
        <v>0</v>
      </c>
      <c r="D101" s="19">
        <f ca="1">((100/H91)*C101)/100</f>
        <v>0</v>
      </c>
      <c r="E101" s="130"/>
      <c r="F101" s="131"/>
      <c r="G101" s="130"/>
      <c r="H101" s="145"/>
      <c r="I101" s="13" t="s">
        <v>142</v>
      </c>
      <c r="J101" s="30">
        <f>(IF(B91&gt;4,(H91/(B91+2)+J100),0))</f>
        <v>0</v>
      </c>
    </row>
    <row r="102" spans="1:19" ht="15.75" hidden="1" customHeight="1" x14ac:dyDescent="0.25">
      <c r="A102" s="126" t="s">
        <v>130</v>
      </c>
      <c r="B102" s="127" t="s">
        <v>130</v>
      </c>
      <c r="C102" s="43">
        <v>0</v>
      </c>
      <c r="D102" s="19">
        <f ca="1">((100/(H91))*C102)/100</f>
        <v>0</v>
      </c>
      <c r="E102" s="130"/>
      <c r="F102" s="131"/>
      <c r="G102" s="130"/>
      <c r="H102" s="145"/>
      <c r="I102" s="13" t="s">
        <v>146</v>
      </c>
      <c r="J102" s="30">
        <f ca="1">(IF(B91=1,(H91/(B91+3)+J97),IF(B91=0,(H91/4+J97),IF(B91&gt;1,0))))</f>
        <v>14.25</v>
      </c>
    </row>
    <row r="103" spans="1:19" ht="16.5" hidden="1" thickBot="1" x14ac:dyDescent="0.3">
      <c r="A103" s="118" t="s">
        <v>131</v>
      </c>
      <c r="B103" s="119"/>
      <c r="C103" s="44">
        <v>0</v>
      </c>
      <c r="D103" s="20">
        <f ca="1">((100/(H91))*C103)/100</f>
        <v>0</v>
      </c>
      <c r="E103" s="132"/>
      <c r="F103" s="133"/>
      <c r="G103" s="132"/>
      <c r="H103" s="146"/>
      <c r="I103" s="15" t="s">
        <v>101</v>
      </c>
      <c r="J103" s="32">
        <f ca="1">(IF(B91&gt;1.5,(H91/(B91+2)+J97+MAX(0,J98-J97)+MAX(0,J99-J98)+MAX(0,J100-J99)+MAX(0,J101-J100)+MAX(0,J102-J101)),IF(B91=1,(H91/(B91+3)+J102),IF(B91=0,H91/4+J102))))</f>
        <v>19</v>
      </c>
    </row>
    <row r="104" spans="1:19" ht="15.75" hidden="1" customHeight="1" x14ac:dyDescent="0.25">
      <c r="A104" s="134" t="s">
        <v>137</v>
      </c>
      <c r="B104" s="135"/>
      <c r="C104" s="136" t="str">
        <f>D68</f>
        <v>C Wing = 1B + G + 1st to 20th Floor</v>
      </c>
      <c r="D104" s="137"/>
      <c r="E104" s="137"/>
      <c r="F104" s="137"/>
      <c r="G104" s="137"/>
      <c r="H104" s="138"/>
      <c r="I104" s="49" t="str">
        <f ca="1">IF(D117=100%,"All work Completed. Possession granted to the Building.",IF(D116=100%,"All work Completed, Waiting for OC",I105&amp;""&amp;I106&amp;""&amp;J105&amp;""&amp;J104&amp;" "&amp;J106))</f>
        <v xml:space="preserve">Excavation, Plinth Completed </v>
      </c>
      <c r="J104" s="50"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hidden="1" x14ac:dyDescent="0.25">
      <c r="A105" s="16" t="s">
        <v>139</v>
      </c>
      <c r="B105" s="47">
        <f>IF(AND(ISNUMBER(SEARCH("1B",C104))),1,IF(AND(ISNUMBER(SEARCH("2B",C104))),2,IF(AND(ISNUMBER(SEARCH("3B",C104))),3,IF(AND(ISNUMBER(SEARCH("4B",C104))),4,IF(ISNUMBER(SEARCH("5B",C104)),5,0)))))</f>
        <v>1</v>
      </c>
      <c r="C105" s="47" t="s">
        <v>68</v>
      </c>
      <c r="D105" s="47">
        <v>1</v>
      </c>
      <c r="E105" s="47" t="s">
        <v>67</v>
      </c>
      <c r="F105" s="14">
        <v>0</v>
      </c>
      <c r="G105" s="48" t="s">
        <v>76</v>
      </c>
      <c r="H105" s="17">
        <f ca="1">--TRIM(RIGHT(SUBSTITUTE(LEFT(C104,_xlfn.AGGREGATE(16,6,FIND({0,1,2,3,4,5,6,7,8,9},C104,ROW(INDIRECT("1:"&amp;LEN(C104)))),1))," ",REPT(" ",LEN(C104))),LEN(C104)))</f>
        <v>20</v>
      </c>
      <c r="I105" s="51" t="str">
        <f ca="1">IF(D108=100%,"Excavation","")&amp;IF(D109=100%,", Plinth","")&amp;IF(D110=100%,", RCC Slab","")&amp;IF(D111=100%,", Brickwork","")&amp;IF(D112=100%,", Internal Plaster","")&amp;IF(D113=100%,", External Plaster","")&amp;IF(D114=100%,", Flooring","")&amp;IF(D115=100%,", Painting","")&amp;IF(D116=100%,", Building common Amenities","")</f>
        <v>Excavation, Plinth</v>
      </c>
      <c r="J105" s="52"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idden="1" x14ac:dyDescent="0.25">
      <c r="A106" s="139" t="s">
        <v>86</v>
      </c>
      <c r="B106" s="140"/>
      <c r="C106" s="141" t="str">
        <f ca="1">I104</f>
        <v xml:space="preserve">Excavation, Plinth Completed </v>
      </c>
      <c r="D106" s="141"/>
      <c r="E106" s="141"/>
      <c r="F106" s="141"/>
      <c r="G106" s="141"/>
      <c r="H106" s="142"/>
      <c r="I106" s="51" t="str">
        <f ca="1">IF(I105&lt;&gt;""," Completed","")</f>
        <v xml:space="preserve"> Completed</v>
      </c>
      <c r="J106" s="52" t="str">
        <f ca="1">IF(J104&lt;&gt;"","Completed","")</f>
        <v/>
      </c>
      <c r="S106"/>
    </row>
    <row r="107" spans="1:19" ht="15.75" hidden="1" customHeight="1" x14ac:dyDescent="0.25">
      <c r="A107" s="126" t="s">
        <v>47</v>
      </c>
      <c r="B107" s="127"/>
      <c r="C107" s="43" t="s">
        <v>136</v>
      </c>
      <c r="D107" s="43" t="s">
        <v>79</v>
      </c>
      <c r="E107" s="127" t="s">
        <v>81</v>
      </c>
      <c r="F107" s="127"/>
      <c r="G107" s="127" t="s">
        <v>80</v>
      </c>
      <c r="H107" s="143"/>
      <c r="I107" s="13" t="s">
        <v>138</v>
      </c>
      <c r="J107" s="28">
        <f ca="1">H105*25%</f>
        <v>5</v>
      </c>
      <c r="S107"/>
    </row>
    <row r="108" spans="1:19" hidden="1" x14ac:dyDescent="0.25">
      <c r="A108" s="126" t="s">
        <v>125</v>
      </c>
      <c r="B108" s="127"/>
      <c r="C108" s="59">
        <f ca="1">J109</f>
        <v>20</v>
      </c>
      <c r="D108" s="19">
        <f ca="1">((100/H105)*C108)/100</f>
        <v>1</v>
      </c>
      <c r="E108" s="128">
        <f ca="1">(((C109/H105*10)+(40/(D105+F105+H105)*C110)+(7.5/(H105)*C111)+(7.5/(H105)*C112)+(10/H105*C113)+(10/H105*C114)+(5/H105*C115)+(5/H105*C116)+(5/H105*C117))/100)</f>
        <v>0.1</v>
      </c>
      <c r="F108" s="129"/>
      <c r="G108" s="128">
        <f ca="1">((((C108/H105)*20)+((C109/H105)*25)+(30/(H105+F105+D105)*C110)+(5/H105*C111)+(5/H105*C112)+(5/H105*C113)+(5/H105*C114)+(0/H105*C115)+(0/H105*C116)+(5/H105*C117))/100)</f>
        <v>0.45</v>
      </c>
      <c r="H108" s="144"/>
      <c r="I108" s="13" t="s">
        <v>97</v>
      </c>
      <c r="J108" s="29">
        <f ca="1">H105*50%</f>
        <v>10</v>
      </c>
    </row>
    <row r="109" spans="1:19" hidden="1" x14ac:dyDescent="0.25">
      <c r="A109" s="126" t="s">
        <v>48</v>
      </c>
      <c r="B109" s="127"/>
      <c r="C109" s="43">
        <f ca="1">J117</f>
        <v>20</v>
      </c>
      <c r="D109" s="19">
        <f ca="1">((100/H105)*C109)/100</f>
        <v>1</v>
      </c>
      <c r="E109" s="130"/>
      <c r="F109" s="131"/>
      <c r="G109" s="130"/>
      <c r="H109" s="145"/>
      <c r="I109" s="13" t="s">
        <v>98</v>
      </c>
      <c r="J109" s="29">
        <f ca="1">H105</f>
        <v>20</v>
      </c>
      <c r="S109"/>
    </row>
    <row r="110" spans="1:19" ht="15.75" hidden="1" customHeight="1" x14ac:dyDescent="0.25">
      <c r="A110" s="126" t="s">
        <v>126</v>
      </c>
      <c r="B110" s="127"/>
      <c r="C110" s="43">
        <v>0</v>
      </c>
      <c r="D110" s="19">
        <f ca="1">((100/(D105+F105+H105))*C110)/100</f>
        <v>0</v>
      </c>
      <c r="E110" s="130"/>
      <c r="F110" s="131"/>
      <c r="G110" s="130"/>
      <c r="H110" s="145"/>
      <c r="I110" s="13" t="s">
        <v>99</v>
      </c>
      <c r="J110" s="30">
        <f ca="1">(IF(B105&gt;1,(H105/(B105+2)),H105/4))</f>
        <v>5</v>
      </c>
      <c r="S110"/>
    </row>
    <row r="111" spans="1:19" ht="15.75" hidden="1" customHeight="1" x14ac:dyDescent="0.25">
      <c r="A111" s="126" t="s">
        <v>133</v>
      </c>
      <c r="B111" s="127" t="s">
        <v>127</v>
      </c>
      <c r="C111" s="43">
        <v>0</v>
      </c>
      <c r="D111" s="19">
        <f ca="1">((100/H105)*C111)/100</f>
        <v>0</v>
      </c>
      <c r="E111" s="130"/>
      <c r="F111" s="131"/>
      <c r="G111" s="130"/>
      <c r="H111" s="145"/>
      <c r="I111" s="13" t="s">
        <v>100</v>
      </c>
      <c r="J111" s="30">
        <f ca="1">(IF(B105&gt;1,(H105/(B105+2)+J110),H105/4+J110))</f>
        <v>10</v>
      </c>
    </row>
    <row r="112" spans="1:19" ht="15.75" hidden="1" customHeight="1" x14ac:dyDescent="0.25">
      <c r="A112" s="126" t="s">
        <v>134</v>
      </c>
      <c r="B112" s="127" t="s">
        <v>127</v>
      </c>
      <c r="C112" s="43">
        <v>0</v>
      </c>
      <c r="D112" s="19">
        <f ca="1">((100/H105)*C112)/100</f>
        <v>0</v>
      </c>
      <c r="E112" s="130"/>
      <c r="F112" s="131"/>
      <c r="G112" s="130"/>
      <c r="H112" s="145"/>
      <c r="I112" s="13" t="s">
        <v>145</v>
      </c>
      <c r="J112" s="30">
        <f>(IF(B105&gt;1,(H105/(B105+2)+J111),0))</f>
        <v>0</v>
      </c>
    </row>
    <row r="113" spans="1:22" ht="15" hidden="1" customHeight="1" x14ac:dyDescent="0.25">
      <c r="A113" s="126" t="s">
        <v>132</v>
      </c>
      <c r="B113" s="127" t="s">
        <v>129</v>
      </c>
      <c r="C113" s="43">
        <v>0</v>
      </c>
      <c r="D113" s="19">
        <f ca="1">((100/(H105))*C113)/100</f>
        <v>0</v>
      </c>
      <c r="E113" s="130"/>
      <c r="F113" s="131"/>
      <c r="G113" s="130"/>
      <c r="H113" s="145"/>
      <c r="I113" s="13" t="s">
        <v>140</v>
      </c>
      <c r="J113" s="30">
        <f>(IF(B105&gt;2,(H105/(B105+2)+J112),0))</f>
        <v>0</v>
      </c>
    </row>
    <row r="114" spans="1:22" ht="15.75" hidden="1" customHeight="1" x14ac:dyDescent="0.25">
      <c r="A114" s="126" t="s">
        <v>128</v>
      </c>
      <c r="B114" s="127" t="s">
        <v>128</v>
      </c>
      <c r="C114" s="43">
        <v>0</v>
      </c>
      <c r="D114" s="19">
        <f ca="1">((100/H105)*C114)/100</f>
        <v>0</v>
      </c>
      <c r="E114" s="130"/>
      <c r="F114" s="131"/>
      <c r="G114" s="130"/>
      <c r="H114" s="145"/>
      <c r="I114" s="13" t="s">
        <v>141</v>
      </c>
      <c r="J114" s="31">
        <f>(IF(B105&gt;3,(H105/(B105+2)+J113),0))</f>
        <v>0</v>
      </c>
    </row>
    <row r="115" spans="1:22" ht="15.75" hidden="1" customHeight="1" x14ac:dyDescent="0.25">
      <c r="A115" s="126" t="s">
        <v>135</v>
      </c>
      <c r="B115" s="127"/>
      <c r="C115" s="43">
        <v>0</v>
      </c>
      <c r="D115" s="19">
        <f ca="1">((100/H105)*C115)/100</f>
        <v>0</v>
      </c>
      <c r="E115" s="130"/>
      <c r="F115" s="131"/>
      <c r="G115" s="130"/>
      <c r="H115" s="145"/>
      <c r="I115" s="13" t="s">
        <v>142</v>
      </c>
      <c r="J115" s="30">
        <f>(IF(B105&gt;4,(H105/(B105+2)+J114),0))</f>
        <v>0</v>
      </c>
    </row>
    <row r="116" spans="1:22" ht="15.75" hidden="1" customHeight="1" x14ac:dyDescent="0.25">
      <c r="A116" s="126" t="s">
        <v>130</v>
      </c>
      <c r="B116" s="127" t="s">
        <v>130</v>
      </c>
      <c r="C116" s="43">
        <v>0</v>
      </c>
      <c r="D116" s="19">
        <f ca="1">((100/(H105))*C116)/100</f>
        <v>0</v>
      </c>
      <c r="E116" s="130"/>
      <c r="F116" s="131"/>
      <c r="G116" s="130"/>
      <c r="H116" s="145"/>
      <c r="I116" s="13" t="s">
        <v>146</v>
      </c>
      <c r="J116" s="30">
        <f ca="1">(IF(B105=1,(H105/(B105+3)+J111),IF(B105=0,(H105/4+J111),IF(B105&gt;1,0))))</f>
        <v>15</v>
      </c>
    </row>
    <row r="117" spans="1:22" ht="16.5" hidden="1" thickBot="1" x14ac:dyDescent="0.3">
      <c r="A117" s="118" t="s">
        <v>131</v>
      </c>
      <c r="B117" s="119"/>
      <c r="C117" s="44">
        <v>0</v>
      </c>
      <c r="D117" s="20">
        <f ca="1">((100/(H105))*C117)/100</f>
        <v>0</v>
      </c>
      <c r="E117" s="132"/>
      <c r="F117" s="133"/>
      <c r="G117" s="132"/>
      <c r="H117" s="146"/>
      <c r="I117" s="15" t="s">
        <v>101</v>
      </c>
      <c r="J117" s="32">
        <f ca="1">(IF(B105&gt;1.5,(H105/(B105+2)+J111+MAX(0,J112-J111)+MAX(0,J113-J112)+MAX(0,J114-J113)+MAX(0,J115-J114)+MAX(0,J116-J115)),IF(B105=1,(H105/(B105+3)+J116),IF(B105=0,H105/4+J116))))</f>
        <v>20</v>
      </c>
    </row>
    <row r="118" spans="1:22" x14ac:dyDescent="0.25">
      <c r="A118" s="251" t="s">
        <v>157</v>
      </c>
      <c r="B118" s="251"/>
      <c r="C118" s="251"/>
      <c r="D118" s="251"/>
      <c r="E118" s="251"/>
      <c r="F118" s="252" t="s">
        <v>161</v>
      </c>
      <c r="G118" s="252"/>
      <c r="H118" s="252"/>
      <c r="I118" s="96"/>
      <c r="J118" s="96" t="s">
        <v>434</v>
      </c>
      <c r="K118" s="96" t="s">
        <v>435</v>
      </c>
      <c r="L118" s="96" t="s">
        <v>436</v>
      </c>
      <c r="M118" s="96"/>
      <c r="R118" t="s">
        <v>254</v>
      </c>
      <c r="S118" t="s">
        <v>173</v>
      </c>
      <c r="T118" t="s">
        <v>181</v>
      </c>
      <c r="U118" t="s">
        <v>195</v>
      </c>
      <c r="V118" t="s">
        <v>190</v>
      </c>
    </row>
    <row r="119" spans="1:22" x14ac:dyDescent="0.25">
      <c r="A119" s="149" t="s">
        <v>159</v>
      </c>
      <c r="B119" s="149"/>
      <c r="C119" s="149"/>
      <c r="D119" s="149"/>
      <c r="E119" s="149"/>
      <c r="F119" s="185">
        <v>5500</v>
      </c>
      <c r="G119" s="185"/>
      <c r="H119" s="185"/>
      <c r="I119" s="36">
        <f>AVERAGE(J119:L119)</f>
        <v>5609.7187738640932</v>
      </c>
      <c r="J119" s="36">
        <f>AVERAGE(J161,J168)</f>
        <v>6029.1563215922797</v>
      </c>
      <c r="K119" s="96">
        <v>5500</v>
      </c>
      <c r="L119" s="96">
        <v>5300</v>
      </c>
      <c r="M119" s="96"/>
      <c r="R119"/>
      <c r="S119">
        <v>800000</v>
      </c>
      <c r="T119">
        <v>150000</v>
      </c>
      <c r="U119">
        <v>100000</v>
      </c>
      <c r="V119">
        <v>100000</v>
      </c>
    </row>
    <row r="120" spans="1:22" hidden="1" x14ac:dyDescent="0.25">
      <c r="A120" s="149" t="s">
        <v>158</v>
      </c>
      <c r="B120" s="149"/>
      <c r="C120" s="149"/>
      <c r="D120" s="149"/>
      <c r="E120" s="149"/>
      <c r="F120" s="185">
        <v>8000</v>
      </c>
      <c r="G120" s="185"/>
      <c r="H120" s="185"/>
      <c r="I120" s="96"/>
      <c r="J120" s="96"/>
      <c r="K120" s="96"/>
      <c r="L120" s="96"/>
      <c r="M120" s="96"/>
      <c r="R120"/>
      <c r="S120">
        <v>900000</v>
      </c>
      <c r="T120">
        <v>200000</v>
      </c>
      <c r="U120">
        <v>150000</v>
      </c>
      <c r="V120">
        <v>150000</v>
      </c>
    </row>
    <row r="121" spans="1:22" hidden="1" x14ac:dyDescent="0.25">
      <c r="A121" s="149" t="s">
        <v>160</v>
      </c>
      <c r="B121" s="149"/>
      <c r="C121" s="149"/>
      <c r="D121" s="149"/>
      <c r="E121" s="149"/>
      <c r="F121" s="185"/>
      <c r="G121" s="185"/>
      <c r="H121" s="185"/>
      <c r="I121" s="96"/>
      <c r="J121" s="96"/>
      <c r="K121" s="96"/>
      <c r="L121" s="96"/>
      <c r="M121" s="96"/>
      <c r="R121"/>
      <c r="S121">
        <v>1000000</v>
      </c>
      <c r="T121">
        <v>250000</v>
      </c>
      <c r="U121">
        <v>200000</v>
      </c>
      <c r="V121">
        <v>200000</v>
      </c>
    </row>
    <row r="122" spans="1:22" s="33" customFormat="1" hidden="1" x14ac:dyDescent="0.25">
      <c r="A122" s="149" t="s">
        <v>176</v>
      </c>
      <c r="B122" s="149"/>
      <c r="C122" s="149"/>
      <c r="D122" s="149"/>
      <c r="E122" s="149"/>
      <c r="F122" s="185"/>
      <c r="G122" s="185"/>
      <c r="H122" s="185"/>
      <c r="I122" s="109"/>
      <c r="J122" s="109"/>
      <c r="K122" s="109"/>
      <c r="L122" s="109"/>
      <c r="M122" s="109"/>
      <c r="R122"/>
      <c r="S122">
        <v>1100000</v>
      </c>
      <c r="T122">
        <v>300000</v>
      </c>
      <c r="U122">
        <v>250000</v>
      </c>
      <c r="V122" s="23">
        <v>250000</v>
      </c>
    </row>
    <row r="123" spans="1:22" s="33" customFormat="1" hidden="1" x14ac:dyDescent="0.25">
      <c r="A123" s="149" t="s">
        <v>91</v>
      </c>
      <c r="B123" s="149"/>
      <c r="C123" s="149"/>
      <c r="D123" s="149"/>
      <c r="E123" s="149"/>
      <c r="F123" s="185"/>
      <c r="G123" s="185"/>
      <c r="H123" s="185"/>
      <c r="I123" s="109"/>
      <c r="J123" s="109"/>
      <c r="K123" s="109"/>
      <c r="L123" s="109"/>
      <c r="M123" s="109"/>
      <c r="R123"/>
      <c r="S123">
        <v>1200000</v>
      </c>
      <c r="T123">
        <v>350000</v>
      </c>
      <c r="U123">
        <v>300000</v>
      </c>
      <c r="V123">
        <v>300000</v>
      </c>
    </row>
    <row r="124" spans="1:22" s="33" customFormat="1" hidden="1" x14ac:dyDescent="0.25">
      <c r="A124" s="149" t="s">
        <v>92</v>
      </c>
      <c r="B124" s="149"/>
      <c r="C124" s="149"/>
      <c r="D124" s="149"/>
      <c r="E124" s="149"/>
      <c r="F124" s="185"/>
      <c r="G124" s="185"/>
      <c r="H124" s="185"/>
      <c r="I124" s="109"/>
      <c r="J124" s="109"/>
      <c r="K124" s="109"/>
      <c r="L124" s="109"/>
      <c r="M124" s="109"/>
      <c r="R124"/>
      <c r="S124">
        <v>1300000</v>
      </c>
      <c r="T124">
        <v>400000</v>
      </c>
      <c r="U124">
        <v>350000</v>
      </c>
      <c r="V124" s="23">
        <v>400000</v>
      </c>
    </row>
    <row r="125" spans="1:22" s="33" customFormat="1" hidden="1" x14ac:dyDescent="0.25">
      <c r="A125" s="149" t="s">
        <v>93</v>
      </c>
      <c r="B125" s="149"/>
      <c r="C125" s="149"/>
      <c r="D125" s="149"/>
      <c r="E125" s="149"/>
      <c r="F125" s="185"/>
      <c r="G125" s="185"/>
      <c r="H125" s="185"/>
      <c r="I125" s="109"/>
      <c r="J125" s="109"/>
      <c r="K125" s="109"/>
      <c r="L125" s="109"/>
      <c r="M125" s="109"/>
      <c r="R125"/>
      <c r="S125">
        <v>1400000</v>
      </c>
      <c r="T125">
        <v>500000</v>
      </c>
      <c r="U125">
        <v>400000</v>
      </c>
      <c r="V125"/>
    </row>
    <row r="126" spans="1:22" s="33" customFormat="1" hidden="1" x14ac:dyDescent="0.25">
      <c r="A126" s="149" t="s">
        <v>94</v>
      </c>
      <c r="B126" s="149"/>
      <c r="C126" s="149"/>
      <c r="D126" s="149"/>
      <c r="E126" s="149"/>
      <c r="F126" s="185"/>
      <c r="G126" s="185"/>
      <c r="H126" s="185"/>
      <c r="I126" s="109"/>
      <c r="J126" s="109"/>
      <c r="K126" s="109"/>
      <c r="L126" s="109"/>
      <c r="M126" s="109"/>
      <c r="R126"/>
      <c r="S126">
        <v>1500000</v>
      </c>
      <c r="T126">
        <v>600000</v>
      </c>
      <c r="U126">
        <v>500000</v>
      </c>
      <c r="V126" s="23"/>
    </row>
    <row r="127" spans="1:22" s="33" customFormat="1" hidden="1" x14ac:dyDescent="0.25">
      <c r="A127" s="149" t="s">
        <v>95</v>
      </c>
      <c r="B127" s="149"/>
      <c r="C127" s="149"/>
      <c r="D127" s="149"/>
      <c r="E127" s="149"/>
      <c r="F127" s="185"/>
      <c r="G127" s="185"/>
      <c r="H127" s="185"/>
      <c r="I127" s="109"/>
      <c r="J127" s="109"/>
      <c r="K127" s="109"/>
      <c r="L127" s="109"/>
      <c r="M127" s="109"/>
      <c r="R127"/>
      <c r="S127">
        <v>1600000</v>
      </c>
      <c r="T127">
        <v>700000</v>
      </c>
      <c r="U127">
        <v>600000</v>
      </c>
      <c r="V127"/>
    </row>
    <row r="128" spans="1:22" s="33" customFormat="1" hidden="1" x14ac:dyDescent="0.25">
      <c r="A128" s="149" t="s">
        <v>96</v>
      </c>
      <c r="B128" s="149"/>
      <c r="C128" s="149"/>
      <c r="D128" s="149"/>
      <c r="E128" s="149"/>
      <c r="F128" s="185"/>
      <c r="G128" s="185"/>
      <c r="H128" s="185"/>
      <c r="I128" s="109"/>
      <c r="J128" s="109"/>
      <c r="K128" s="109"/>
      <c r="L128" s="109"/>
      <c r="M128" s="109"/>
      <c r="R128"/>
      <c r="S128">
        <v>1700000</v>
      </c>
      <c r="T128">
        <v>800000</v>
      </c>
      <c r="U128"/>
      <c r="V128" s="23"/>
    </row>
    <row r="129" spans="1:22" x14ac:dyDescent="0.25">
      <c r="A129" s="149" t="s">
        <v>49</v>
      </c>
      <c r="B129" s="149"/>
      <c r="C129" s="149"/>
      <c r="D129" s="149"/>
      <c r="E129" s="149"/>
      <c r="F129" s="185">
        <v>300000</v>
      </c>
      <c r="G129" s="185"/>
      <c r="H129" s="185"/>
      <c r="I129" s="96"/>
      <c r="J129" s="96"/>
      <c r="K129" s="96"/>
      <c r="L129" s="96"/>
      <c r="M129" s="96"/>
      <c r="R129"/>
      <c r="S129">
        <v>1800000</v>
      </c>
      <c r="T129">
        <v>900000</v>
      </c>
      <c r="U129"/>
    </row>
    <row r="130" spans="1:22" s="34" customFormat="1" x14ac:dyDescent="0.25">
      <c r="A130" s="197" t="s">
        <v>50</v>
      </c>
      <c r="B130" s="197"/>
      <c r="C130" s="197"/>
      <c r="D130" s="197"/>
      <c r="E130" s="197"/>
      <c r="F130" s="185">
        <f>F119*0.8</f>
        <v>4400</v>
      </c>
      <c r="G130" s="185"/>
      <c r="H130" s="185"/>
      <c r="I130" s="110"/>
      <c r="J130" s="110"/>
      <c r="K130" s="110"/>
      <c r="L130" s="110"/>
      <c r="M130" s="110"/>
      <c r="R130" s="21"/>
      <c r="S130" s="21"/>
      <c r="T130">
        <v>1000000</v>
      </c>
      <c r="U130"/>
      <c r="V130" s="21"/>
    </row>
    <row r="131" spans="1:22" s="35" customFormat="1" ht="15.75" customHeight="1" x14ac:dyDescent="0.25">
      <c r="A131" s="154" t="s">
        <v>71</v>
      </c>
      <c r="B131" s="154"/>
      <c r="C131" s="154"/>
      <c r="D131" s="154"/>
      <c r="E131" s="154"/>
      <c r="F131" s="154"/>
      <c r="G131" s="154"/>
      <c r="H131" s="154"/>
      <c r="R131"/>
      <c r="S131" s="21"/>
      <c r="T131"/>
      <c r="U131"/>
      <c r="V131" s="21"/>
    </row>
    <row r="132" spans="1:22" s="35" customFormat="1" ht="15.75" customHeight="1" x14ac:dyDescent="0.25">
      <c r="A132" s="159" t="s">
        <v>51</v>
      </c>
      <c r="B132" s="159"/>
      <c r="C132" s="156" t="s">
        <v>74</v>
      </c>
      <c r="D132" s="156"/>
      <c r="E132" s="158" t="s">
        <v>52</v>
      </c>
      <c r="F132" s="158"/>
      <c r="G132" s="159" t="s">
        <v>53</v>
      </c>
      <c r="H132" s="159"/>
      <c r="R132"/>
      <c r="S132" s="21"/>
      <c r="T132"/>
      <c r="U132" s="21"/>
      <c r="V132" s="21"/>
    </row>
    <row r="133" spans="1:22" s="35" customFormat="1" x14ac:dyDescent="0.25">
      <c r="A133" s="247" t="s">
        <v>427</v>
      </c>
      <c r="B133" s="247"/>
      <c r="C133" s="170">
        <f>COUNT(F145:F148)</f>
        <v>4</v>
      </c>
      <c r="D133" s="171"/>
      <c r="E133" s="172">
        <f>SUM(F145:F148)</f>
        <v>866.50199999999995</v>
      </c>
      <c r="F133" s="173"/>
      <c r="G133" s="172">
        <f>SUM(H145:H148)</f>
        <v>1299.7529999999999</v>
      </c>
      <c r="H133" s="173"/>
      <c r="R133"/>
      <c r="S133" s="21"/>
      <c r="T133"/>
      <c r="U133" s="21"/>
      <c r="V133" s="21"/>
    </row>
    <row r="134" spans="1:22" s="35" customFormat="1" x14ac:dyDescent="0.25">
      <c r="A134" s="154" t="s">
        <v>150</v>
      </c>
      <c r="B134" s="154"/>
      <c r="C134" s="155">
        <f>SUM(C133)</f>
        <v>4</v>
      </c>
      <c r="D134" s="156"/>
      <c r="E134" s="157">
        <f>SUM(E133)</f>
        <v>866.50199999999995</v>
      </c>
      <c r="F134" s="158"/>
      <c r="G134" s="159">
        <f>SUM(G133)</f>
        <v>1299.7529999999999</v>
      </c>
      <c r="H134" s="159"/>
      <c r="R134"/>
      <c r="S134" s="21"/>
      <c r="T134"/>
      <c r="U134" s="21"/>
      <c r="V134" s="21"/>
    </row>
    <row r="135" spans="1:22" s="35" customFormat="1" x14ac:dyDescent="0.25">
      <c r="A135" s="154" t="s">
        <v>66</v>
      </c>
      <c r="B135" s="154"/>
      <c r="C135" s="154"/>
      <c r="D135" s="154"/>
      <c r="E135" s="154"/>
      <c r="F135" s="154"/>
      <c r="G135" s="154"/>
      <c r="H135" s="154"/>
      <c r="T135"/>
    </row>
    <row r="136" spans="1:22" s="35" customFormat="1" ht="15.75" customHeight="1" x14ac:dyDescent="0.25">
      <c r="A136" s="159" t="s">
        <v>51</v>
      </c>
      <c r="B136" s="159"/>
      <c r="C136" s="156" t="s">
        <v>74</v>
      </c>
      <c r="D136" s="156"/>
      <c r="E136" s="158" t="s">
        <v>52</v>
      </c>
      <c r="F136" s="158"/>
      <c r="G136" s="159" t="s">
        <v>53</v>
      </c>
      <c r="H136" s="159"/>
      <c r="T136"/>
    </row>
    <row r="137" spans="1:22" s="35" customFormat="1" x14ac:dyDescent="0.25">
      <c r="A137" s="247" t="s">
        <v>428</v>
      </c>
      <c r="B137" s="247"/>
      <c r="C137" s="170">
        <f>COUNT(F153,F155:F158)+COUNT(F160:F165)*4+COUNT(F167:F172)*2</f>
        <v>41</v>
      </c>
      <c r="D137" s="170"/>
      <c r="E137" s="172">
        <f>SUM(F153,F155:F158)+SUM(F160:F165)*4+SUM(F167:F172)*2</f>
        <v>14495.986440000001</v>
      </c>
      <c r="F137" s="172"/>
      <c r="G137" s="172">
        <f>SUM(H153,H155:H158)+SUM(H160:H165)*4+SUM(H167:H172)*2</f>
        <v>21019.180337999998</v>
      </c>
      <c r="H137" s="172"/>
      <c r="T137"/>
    </row>
    <row r="138" spans="1:22" s="35" customFormat="1" ht="16.5" thickBot="1" x14ac:dyDescent="0.3">
      <c r="A138" s="150" t="s">
        <v>150</v>
      </c>
      <c r="B138" s="150"/>
      <c r="C138" s="256">
        <f>SUM(C137)</f>
        <v>41</v>
      </c>
      <c r="D138" s="257"/>
      <c r="E138" s="151">
        <f>SUM(E137)</f>
        <v>14495.986440000001</v>
      </c>
      <c r="F138" s="152"/>
      <c r="G138" s="153">
        <f>SUM(G137)</f>
        <v>21019.180337999998</v>
      </c>
      <c r="H138" s="153"/>
      <c r="T138"/>
    </row>
    <row r="139" spans="1:22" s="35" customFormat="1" ht="16.5" thickBot="1" x14ac:dyDescent="0.3">
      <c r="A139" s="249" t="s">
        <v>166</v>
      </c>
      <c r="B139" s="250"/>
      <c r="C139" s="248">
        <f>C134+C138</f>
        <v>45</v>
      </c>
      <c r="D139" s="248"/>
      <c r="E139" s="186">
        <f>E134+E138</f>
        <v>15362.488440000001</v>
      </c>
      <c r="F139" s="186"/>
      <c r="G139" s="176">
        <f>G134+G138</f>
        <v>22318.933337999999</v>
      </c>
      <c r="H139" s="177"/>
      <c r="T139"/>
    </row>
    <row r="140" spans="1:22" s="34" customFormat="1" x14ac:dyDescent="0.25">
      <c r="A140" s="273" t="s">
        <v>357</v>
      </c>
      <c r="B140" s="273"/>
      <c r="C140" s="273"/>
      <c r="D140" s="273"/>
      <c r="E140" s="273"/>
      <c r="F140" s="273"/>
      <c r="G140" s="273"/>
      <c r="H140" s="273"/>
      <c r="T140" s="35"/>
    </row>
    <row r="141" spans="1:22" x14ac:dyDescent="0.25">
      <c r="A141" s="242" t="s">
        <v>175</v>
      </c>
      <c r="B141" s="242"/>
      <c r="C141" s="242"/>
      <c r="D141" s="242"/>
      <c r="E141" s="242"/>
      <c r="F141" s="242"/>
      <c r="G141" s="242"/>
      <c r="H141" s="242"/>
      <c r="T141" s="35"/>
    </row>
    <row r="142" spans="1:22" ht="47.25" customHeight="1" x14ac:dyDescent="0.25">
      <c r="A142" s="120" t="s">
        <v>405</v>
      </c>
      <c r="B142" s="120" t="s">
        <v>177</v>
      </c>
      <c r="C142" s="120" t="s">
        <v>54</v>
      </c>
      <c r="D142" s="120" t="s">
        <v>233</v>
      </c>
      <c r="E142" s="184" t="s">
        <v>156</v>
      </c>
      <c r="F142" s="120" t="s">
        <v>55</v>
      </c>
      <c r="G142" s="184" t="s">
        <v>56</v>
      </c>
      <c r="H142" s="105" t="s">
        <v>148</v>
      </c>
      <c r="T142" s="35"/>
    </row>
    <row r="143" spans="1:22" s="37" customFormat="1" x14ac:dyDescent="0.25">
      <c r="A143" s="120"/>
      <c r="B143" s="120"/>
      <c r="C143" s="120"/>
      <c r="D143" s="120"/>
      <c r="E143" s="184"/>
      <c r="F143" s="120"/>
      <c r="G143" s="184"/>
      <c r="H143" s="106">
        <v>0.5</v>
      </c>
      <c r="T143" s="35"/>
    </row>
    <row r="144" spans="1:22" s="37" customFormat="1" x14ac:dyDescent="0.25">
      <c r="A144" s="183" t="s">
        <v>403</v>
      </c>
      <c r="B144" s="183"/>
      <c r="C144" s="183"/>
      <c r="D144" s="183"/>
      <c r="E144" s="183"/>
      <c r="F144" s="183"/>
      <c r="G144" s="183"/>
      <c r="H144" s="183"/>
      <c r="J144" s="111">
        <v>10.763999999999999</v>
      </c>
      <c r="T144" s="35"/>
    </row>
    <row r="145" spans="1:20" s="37" customFormat="1" ht="15.75" customHeight="1" x14ac:dyDescent="0.25">
      <c r="A145" s="165">
        <v>1</v>
      </c>
      <c r="B145" s="165"/>
      <c r="C145" s="108" t="s">
        <v>404</v>
      </c>
      <c r="D145" s="111">
        <f>(25)*10.764</f>
        <v>269.09999999999997</v>
      </c>
      <c r="E145" s="108">
        <v>0</v>
      </c>
      <c r="F145" s="108">
        <f>D145+(IF(E145&lt;201,E145,IF(E145&lt;301,E145/2,E145/3)))</f>
        <v>269.09999999999997</v>
      </c>
      <c r="G145" s="108">
        <v>0</v>
      </c>
      <c r="H145" s="108">
        <f>(F145+(IF(G145&lt;101,G145,IF(G145&lt;201,G145/2,IF(G145&lt;=301,G145/3,G145/4)))))*(($H$143)+1)</f>
        <v>403.65</v>
      </c>
      <c r="I145" s="36">
        <f>4.43*4.65+2.93*1+1.4*0.9</f>
        <v>24.7895</v>
      </c>
      <c r="L145" s="166"/>
      <c r="M145" s="166"/>
      <c r="N145" s="36"/>
      <c r="T145" s="35"/>
    </row>
    <row r="146" spans="1:20" s="37" customFormat="1" ht="15.75" customHeight="1" x14ac:dyDescent="0.25">
      <c r="A146" s="165">
        <f>A145+1</f>
        <v>2</v>
      </c>
      <c r="B146" s="165"/>
      <c r="C146" s="108" t="s">
        <v>404</v>
      </c>
      <c r="D146" s="111">
        <f>(15.25)*10.764</f>
        <v>164.15099999999998</v>
      </c>
      <c r="E146" s="108">
        <v>0</v>
      </c>
      <c r="F146" s="108">
        <f>D146+(IF(E146&lt;201,E146,IF(E146&lt;301,E146/2,E146/3)))</f>
        <v>164.15099999999998</v>
      </c>
      <c r="G146" s="108">
        <v>0</v>
      </c>
      <c r="H146" s="108">
        <f>(F146+(IF(G146&lt;101,G146,IF(G146&lt;201,G146/2,IF(G146&lt;=301,G146/3,G146/4)))))*(($H$143)+1)</f>
        <v>246.22649999999999</v>
      </c>
      <c r="I146" s="36"/>
      <c r="L146" s="166"/>
      <c r="M146" s="166"/>
      <c r="N146" s="36"/>
      <c r="T146" s="34"/>
    </row>
    <row r="147" spans="1:20" s="37" customFormat="1" ht="15.75" customHeight="1" x14ac:dyDescent="0.25">
      <c r="A147" s="253">
        <f>A146+1</f>
        <v>3</v>
      </c>
      <c r="B147" s="254"/>
      <c r="C147" s="108" t="s">
        <v>404</v>
      </c>
      <c r="D147" s="111">
        <f>(15.25)*10.764</f>
        <v>164.15099999999998</v>
      </c>
      <c r="E147" s="108">
        <v>0</v>
      </c>
      <c r="F147" s="108">
        <f>D147+(IF(E147&lt;201,E147,IF(E147&lt;301,E147/2,E147/3)))</f>
        <v>164.15099999999998</v>
      </c>
      <c r="G147" s="108">
        <v>0</v>
      </c>
      <c r="H147" s="108">
        <f>(F147+(IF(G147&lt;101,G147,IF(G147&lt;201,G147/2,IF(G147&lt;=301,G147/3,G147/4)))))*(($H$143)+1)</f>
        <v>246.22649999999999</v>
      </c>
      <c r="I147" s="36"/>
      <c r="L147" s="166"/>
      <c r="M147" s="166"/>
      <c r="N147" s="36"/>
      <c r="T147" s="21"/>
    </row>
    <row r="148" spans="1:20" s="37" customFormat="1" ht="15.75" customHeight="1" x14ac:dyDescent="0.25">
      <c r="A148" s="253">
        <f>A147+1</f>
        <v>4</v>
      </c>
      <c r="B148" s="254"/>
      <c r="C148" s="108" t="s">
        <v>404</v>
      </c>
      <c r="D148" s="111">
        <f>(25)*10.764</f>
        <v>269.09999999999997</v>
      </c>
      <c r="E148" s="108">
        <v>0</v>
      </c>
      <c r="F148" s="108">
        <f>D148+(IF(E148&lt;201,E148,IF(E148&lt;301,E148/2,E148/3)))</f>
        <v>269.09999999999997</v>
      </c>
      <c r="G148" s="108">
        <v>0</v>
      </c>
      <c r="H148" s="108">
        <f>(F148+(IF(G148&lt;101,G148,IF(G148&lt;201,G148/2,IF(G148&lt;=301,G148/3,G148/4)))))*(($H$143)+1)</f>
        <v>403.65</v>
      </c>
      <c r="I148" s="36"/>
      <c r="L148" s="166"/>
      <c r="M148" s="166"/>
      <c r="N148" s="36"/>
      <c r="T148" s="21"/>
    </row>
    <row r="149" spans="1:20" s="37" customFormat="1" x14ac:dyDescent="0.25">
      <c r="A149" s="253"/>
      <c r="B149" s="268"/>
      <c r="C149" s="268"/>
      <c r="D149" s="268"/>
      <c r="E149" s="268"/>
      <c r="F149" s="268"/>
      <c r="G149" s="268"/>
      <c r="H149" s="254"/>
      <c r="I149" s="36"/>
      <c r="N149" s="36"/>
    </row>
    <row r="150" spans="1:20" ht="47.25" customHeight="1" x14ac:dyDescent="0.25">
      <c r="A150" s="274" t="s">
        <v>418</v>
      </c>
      <c r="B150" s="121" t="s">
        <v>178</v>
      </c>
      <c r="C150" s="121" t="s">
        <v>54</v>
      </c>
      <c r="D150" s="121" t="s">
        <v>377</v>
      </c>
      <c r="E150" s="121" t="s">
        <v>417</v>
      </c>
      <c r="F150" s="121" t="s">
        <v>55</v>
      </c>
      <c r="G150" s="174" t="s">
        <v>56</v>
      </c>
      <c r="H150" s="103" t="s">
        <v>148</v>
      </c>
      <c r="I150" s="36"/>
      <c r="T150" s="37"/>
    </row>
    <row r="151" spans="1:20" s="37" customFormat="1" ht="30.95" customHeight="1" x14ac:dyDescent="0.25">
      <c r="A151" s="275"/>
      <c r="B151" s="122"/>
      <c r="C151" s="122"/>
      <c r="D151" s="122"/>
      <c r="E151" s="122"/>
      <c r="F151" s="122"/>
      <c r="G151" s="175"/>
      <c r="H151" s="104">
        <v>0.45</v>
      </c>
      <c r="I151" s="36"/>
    </row>
    <row r="152" spans="1:20" s="96" customFormat="1" x14ac:dyDescent="0.25">
      <c r="A152" s="183" t="s">
        <v>406</v>
      </c>
      <c r="B152" s="183"/>
      <c r="C152" s="183"/>
      <c r="D152" s="183"/>
      <c r="E152" s="183"/>
      <c r="F152" s="183"/>
      <c r="G152" s="183"/>
      <c r="H152" s="183"/>
      <c r="I152" s="36"/>
      <c r="L152" s="166"/>
      <c r="M152" s="166"/>
    </row>
    <row r="153" spans="1:20" s="96" customFormat="1" x14ac:dyDescent="0.25">
      <c r="A153" s="167">
        <f>LEFT(A152,SUM(LEN(A152)-LEN(SUBSTITUTE(A152,{"0","1","2","3","4","5","6","7","8","9"},""))))*100+1</f>
        <v>101</v>
      </c>
      <c r="B153" s="167"/>
      <c r="C153" s="95" t="s">
        <v>407</v>
      </c>
      <c r="D153" s="111">
        <f>(26.22)*10.764</f>
        <v>282.23208</v>
      </c>
      <c r="E153" s="111">
        <f>(1.35)*10.764</f>
        <v>14.5314</v>
      </c>
      <c r="F153" s="95">
        <f>D153+E153</f>
        <v>296.76348000000002</v>
      </c>
      <c r="G153" s="95">
        <v>0</v>
      </c>
      <c r="H153" s="95">
        <f>F153*(($H$151)+1)+(IF(G153&lt;101,G153,IF(G153&lt;201,G153/2,IF(G153&lt;=301,G153/3,G153/4))))</f>
        <v>430.30704600000001</v>
      </c>
      <c r="I153" s="36">
        <f>2.7*3.78+2.48*1.68+2.25*3+2.1*1.08+1.1*1.6</f>
        <v>25.150400000000001</v>
      </c>
      <c r="J153" s="107">
        <f>0.45*3</f>
        <v>1.35</v>
      </c>
      <c r="N153" s="36"/>
    </row>
    <row r="154" spans="1:20" s="96" customFormat="1" x14ac:dyDescent="0.25">
      <c r="A154" s="167">
        <f>A153+1</f>
        <v>102</v>
      </c>
      <c r="B154" s="167"/>
      <c r="C154" s="163" t="s">
        <v>408</v>
      </c>
      <c r="D154" s="276"/>
      <c r="E154" s="276"/>
      <c r="F154" s="276"/>
      <c r="G154" s="276"/>
      <c r="H154" s="164"/>
      <c r="I154" s="36"/>
      <c r="N154" s="36"/>
    </row>
    <row r="155" spans="1:20" s="96" customFormat="1" x14ac:dyDescent="0.25">
      <c r="A155" s="167">
        <f>A154+1</f>
        <v>103</v>
      </c>
      <c r="B155" s="167"/>
      <c r="C155" s="95" t="s">
        <v>407</v>
      </c>
      <c r="D155" s="111">
        <f>(29.84)*10.764</f>
        <v>321.19775999999996</v>
      </c>
      <c r="E155" s="111">
        <f>(2.7)*10.764</f>
        <v>29.062799999999999</v>
      </c>
      <c r="F155" s="95">
        <f>D155+E155</f>
        <v>350.26055999999994</v>
      </c>
      <c r="G155" s="95">
        <v>0</v>
      </c>
      <c r="H155" s="95">
        <f>F155*(($H$151)+1)+(IF(G155&lt;101,G155,IF(G155&lt;201,G155/2,IF(G155&lt;=301,G155/3,G155/4))))</f>
        <v>507.87781199999989</v>
      </c>
      <c r="I155" s="36"/>
      <c r="J155" s="96">
        <f>2.7*1</f>
        <v>2.7</v>
      </c>
      <c r="N155" s="36"/>
    </row>
    <row r="156" spans="1:20" s="96" customFormat="1" x14ac:dyDescent="0.25">
      <c r="A156" s="167">
        <f>A155+1</f>
        <v>104</v>
      </c>
      <c r="B156" s="167"/>
      <c r="C156" s="95" t="s">
        <v>407</v>
      </c>
      <c r="D156" s="111">
        <f>(29.84)*10.764</f>
        <v>321.19775999999996</v>
      </c>
      <c r="E156" s="111">
        <f>(2.7)*10.764</f>
        <v>29.062799999999999</v>
      </c>
      <c r="F156" s="95">
        <f>D156+E156</f>
        <v>350.26055999999994</v>
      </c>
      <c r="G156" s="95">
        <v>0</v>
      </c>
      <c r="H156" s="95">
        <f>F156*(($H$151)+1)+(IF(G156&lt;101,G156,IF(G156&lt;201,G156/2,IF(G156&lt;=301,G156/3,G156/4))))</f>
        <v>507.87781199999989</v>
      </c>
      <c r="I156" s="36"/>
      <c r="N156" s="36"/>
    </row>
    <row r="157" spans="1:20" s="96" customFormat="1" x14ac:dyDescent="0.25">
      <c r="A157" s="167">
        <f>A156+1</f>
        <v>105</v>
      </c>
      <c r="B157" s="167"/>
      <c r="C157" s="95" t="s">
        <v>407</v>
      </c>
      <c r="D157" s="111">
        <f>(28.61)*10.764</f>
        <v>307.95803999999998</v>
      </c>
      <c r="E157" s="111">
        <f>(2.7+2.7)*10.764</f>
        <v>58.125599999999999</v>
      </c>
      <c r="F157" s="95">
        <f>D157+E157</f>
        <v>366.08364</v>
      </c>
      <c r="G157" s="95">
        <v>0</v>
      </c>
      <c r="H157" s="95">
        <f>F157*(($H$151)+1)+(IF(G157&lt;101,G157,IF(G157&lt;201,G157/2,IF(G157&lt;=301,G157/3,G157/4))))</f>
        <v>530.82127800000001</v>
      </c>
      <c r="I157" s="36"/>
      <c r="N157" s="36"/>
    </row>
    <row r="158" spans="1:20" s="96" customFormat="1" x14ac:dyDescent="0.25">
      <c r="A158" s="167">
        <f>A157+1</f>
        <v>106</v>
      </c>
      <c r="B158" s="167"/>
      <c r="C158" s="95" t="s">
        <v>407</v>
      </c>
      <c r="D158" s="111">
        <f>(26.22)*10.764</f>
        <v>282.23208</v>
      </c>
      <c r="E158" s="111">
        <f>(1.35)*10.764</f>
        <v>14.5314</v>
      </c>
      <c r="F158" s="95">
        <f>D158+E158</f>
        <v>296.76348000000002</v>
      </c>
      <c r="G158" s="95">
        <v>0</v>
      </c>
      <c r="H158" s="95">
        <f>F158*(($H$151)+1)+(IF(G158&lt;101,G158,IF(G158&lt;201,G158/2,IF(G158&lt;=301,G158/3,G158/4))))</f>
        <v>430.30704600000001</v>
      </c>
      <c r="I158" s="36"/>
      <c r="N158" s="36"/>
    </row>
    <row r="159" spans="1:20" s="96" customFormat="1" x14ac:dyDescent="0.25">
      <c r="A159" s="258" t="s">
        <v>409</v>
      </c>
      <c r="B159" s="259"/>
      <c r="C159" s="259"/>
      <c r="D159" s="259"/>
      <c r="E159" s="259"/>
      <c r="F159" s="259"/>
      <c r="G159" s="259"/>
      <c r="H159" s="260"/>
      <c r="I159" s="36"/>
      <c r="K159" s="96">
        <v>5500</v>
      </c>
    </row>
    <row r="160" spans="1:20" s="96" customFormat="1" ht="15.75" customHeight="1" x14ac:dyDescent="0.25">
      <c r="A160" s="163"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10^ROW(INDIRECT("1:"&amp;LEN((LEFT(A159,SUM(LEN(A159)-LEN(SUBSTITUTE(A159,{"0","1","2"},""))))))))/10))*100+1&amp;""&amp;" to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",LEN(A159))),LEN(A159)))))))/10))*100+1</f>
        <v>201 to 501</v>
      </c>
      <c r="B160" s="164"/>
      <c r="C160" s="95" t="s">
        <v>407</v>
      </c>
      <c r="D160" s="111">
        <f>(26.22)*10.764</f>
        <v>282.23208</v>
      </c>
      <c r="E160" s="111">
        <f>(1.35)*10.764</f>
        <v>14.5314</v>
      </c>
      <c r="F160" s="95">
        <f t="shared" ref="F160:F165" si="0">D160+E160</f>
        <v>296.76348000000002</v>
      </c>
      <c r="G160" s="95">
        <v>0</v>
      </c>
      <c r="H160" s="95">
        <f t="shared" ref="H160:H165" si="1">F160*(($H$151)+1)+(IF(G160&lt;101,G160,IF(G160&lt;201,G160/2,IF(G160&lt;=301,G160/3,G160/4))))</f>
        <v>430.30704600000001</v>
      </c>
      <c r="I160" s="36"/>
      <c r="K160" s="96">
        <f>K$159*H160</f>
        <v>2366688.753</v>
      </c>
    </row>
    <row r="161" spans="1:14" s="96" customFormat="1" ht="15.75" customHeight="1" x14ac:dyDescent="0.25">
      <c r="A161" s="163"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to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202 to 502</v>
      </c>
      <c r="B161" s="164"/>
      <c r="C161" s="95" t="s">
        <v>407</v>
      </c>
      <c r="D161" s="111">
        <f>(29.81)*10.764</f>
        <v>320.87483999999995</v>
      </c>
      <c r="E161" s="111">
        <f>(2.7+2.7)*10.764</f>
        <v>58.125599999999999</v>
      </c>
      <c r="F161" s="95">
        <f t="shared" si="0"/>
        <v>379.00043999999997</v>
      </c>
      <c r="G161" s="95">
        <v>0</v>
      </c>
      <c r="H161" s="95">
        <f t="shared" si="1"/>
        <v>549.55063799999994</v>
      </c>
      <c r="I161" s="36"/>
      <c r="J161" s="36">
        <f>3300000/H161</f>
        <v>6004.9061393319689</v>
      </c>
      <c r="K161" s="97">
        <f t="shared" ref="K161:K201" si="2">K$159*H161</f>
        <v>3022528.5089999996</v>
      </c>
    </row>
    <row r="162" spans="1:14" s="96" customFormat="1" ht="15.75" customHeight="1" x14ac:dyDescent="0.25">
      <c r="A162" s="163"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to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203 to 503</v>
      </c>
      <c r="B162" s="164"/>
      <c r="C162" s="95" t="s">
        <v>407</v>
      </c>
      <c r="D162" s="111">
        <f>(29.84)*10.764</f>
        <v>321.19775999999996</v>
      </c>
      <c r="E162" s="111">
        <f>(2.7)*10.764</f>
        <v>29.062799999999999</v>
      </c>
      <c r="F162" s="95">
        <f t="shared" si="0"/>
        <v>350.26055999999994</v>
      </c>
      <c r="G162" s="95">
        <v>0</v>
      </c>
      <c r="H162" s="95">
        <f t="shared" si="1"/>
        <v>507.87781199999989</v>
      </c>
      <c r="I162" s="36"/>
      <c r="J162" s="36"/>
      <c r="K162" s="97">
        <f t="shared" si="2"/>
        <v>2793327.9659999995</v>
      </c>
    </row>
    <row r="163" spans="1:14" s="96" customFormat="1" ht="15.75" customHeight="1" x14ac:dyDescent="0.25">
      <c r="A163" s="163"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to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204 to 504</v>
      </c>
      <c r="B163" s="164"/>
      <c r="C163" s="95" t="s">
        <v>407</v>
      </c>
      <c r="D163" s="111">
        <f>(29.84)*10.764</f>
        <v>321.19775999999996</v>
      </c>
      <c r="E163" s="111">
        <f>(2.7)*10.764</f>
        <v>29.062799999999999</v>
      </c>
      <c r="F163" s="95">
        <f t="shared" si="0"/>
        <v>350.26055999999994</v>
      </c>
      <c r="G163" s="95">
        <v>0</v>
      </c>
      <c r="H163" s="95">
        <f t="shared" si="1"/>
        <v>507.87781199999989</v>
      </c>
      <c r="I163" s="36"/>
      <c r="J163" s="36"/>
      <c r="K163" s="97">
        <f t="shared" si="2"/>
        <v>2793327.9659999995</v>
      </c>
    </row>
    <row r="164" spans="1:14" s="96" customFormat="1" ht="15.75" customHeight="1" x14ac:dyDescent="0.25">
      <c r="A164" s="163"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to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205 to 505</v>
      </c>
      <c r="B164" s="164"/>
      <c r="C164" s="95" t="s">
        <v>407</v>
      </c>
      <c r="D164" s="111">
        <f>(28.61)*10.764</f>
        <v>307.95803999999998</v>
      </c>
      <c r="E164" s="111">
        <f>(2.7+2.7)*10.764</f>
        <v>58.125599999999999</v>
      </c>
      <c r="F164" s="95">
        <f t="shared" si="0"/>
        <v>366.08364</v>
      </c>
      <c r="G164" s="95">
        <v>0</v>
      </c>
      <c r="H164" s="95">
        <f t="shared" si="1"/>
        <v>530.82127800000001</v>
      </c>
      <c r="I164" s="36"/>
      <c r="J164" s="36"/>
      <c r="K164" s="97">
        <f t="shared" si="2"/>
        <v>2919517.0290000001</v>
      </c>
    </row>
    <row r="165" spans="1:14" s="96" customFormat="1" ht="15.75" customHeight="1" x14ac:dyDescent="0.25">
      <c r="A165" s="163"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10^ROW(INDIRECT("1:"&amp;LEN((LEFT(A164,SUM(LEN(A164)-LEN(SUBSTITUTE(A164,{"0","1","2"},""))))))))/10))*1+1&amp;""&amp;" to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",LEN(A164))),LEN(A164)))))))/10))*1+1</f>
        <v>206 to 506</v>
      </c>
      <c r="B165" s="164"/>
      <c r="C165" s="95" t="s">
        <v>407</v>
      </c>
      <c r="D165" s="111">
        <f>(26.22)*10.764</f>
        <v>282.23208</v>
      </c>
      <c r="E165" s="111">
        <f>(1.35)*10.764</f>
        <v>14.5314</v>
      </c>
      <c r="F165" s="95">
        <f t="shared" si="0"/>
        <v>296.76348000000002</v>
      </c>
      <c r="G165" s="95">
        <v>0</v>
      </c>
      <c r="H165" s="95">
        <f t="shared" si="1"/>
        <v>430.30704600000001</v>
      </c>
      <c r="I165" s="36"/>
      <c r="J165" s="36"/>
      <c r="K165" s="97">
        <f t="shared" si="2"/>
        <v>2366688.753</v>
      </c>
    </row>
    <row r="166" spans="1:14" s="96" customFormat="1" x14ac:dyDescent="0.25">
      <c r="A166" s="258" t="s">
        <v>410</v>
      </c>
      <c r="B166" s="259"/>
      <c r="C166" s="259"/>
      <c r="D166" s="259"/>
      <c r="E166" s="259"/>
      <c r="F166" s="259"/>
      <c r="G166" s="259"/>
      <c r="H166" s="260"/>
      <c r="I166" s="36"/>
      <c r="J166" s="36"/>
      <c r="K166" s="97">
        <f t="shared" si="2"/>
        <v>0</v>
      </c>
    </row>
    <row r="167" spans="1:14" s="96" customFormat="1" ht="15.75" customHeight="1" x14ac:dyDescent="0.25">
      <c r="A167" s="163" t="s">
        <v>411</v>
      </c>
      <c r="B167" s="164"/>
      <c r="C167" s="95" t="s">
        <v>407</v>
      </c>
      <c r="D167" s="111">
        <f>(22.71)*10.764</f>
        <v>244.45043999999999</v>
      </c>
      <c r="E167" s="111">
        <f>(4.28+4.28+0.97)*10.764</f>
        <v>102.58092000000001</v>
      </c>
      <c r="F167" s="95">
        <f t="shared" ref="F167:F172" si="3">D167+E167</f>
        <v>347.03136000000001</v>
      </c>
      <c r="G167" s="95">
        <v>0</v>
      </c>
      <c r="H167" s="95">
        <f t="shared" ref="H167:H172" si="4">F167*(($H$151)+1)+(IF(G167&lt;101,G167,IF(G167&lt;201,G167/2,IF(G167&lt;=301,G167/3,G167/4))))</f>
        <v>503.195472</v>
      </c>
      <c r="I167" s="36">
        <f>2.7*3.78+1.73*1.68+2.25*2.15+2.1*1.08+1.1*1.7</f>
        <v>22.087900000000001</v>
      </c>
      <c r="J167" s="36"/>
      <c r="K167" s="97">
        <f t="shared" si="2"/>
        <v>2767575.0959999999</v>
      </c>
    </row>
    <row r="168" spans="1:14" s="96" customFormat="1" ht="15.75" customHeight="1" x14ac:dyDescent="0.25">
      <c r="A168" s="163" t="s">
        <v>412</v>
      </c>
      <c r="B168" s="164"/>
      <c r="C168" s="95" t="s">
        <v>407</v>
      </c>
      <c r="D168" s="111">
        <f>(25.82)*10.764</f>
        <v>277.92647999999997</v>
      </c>
      <c r="E168" s="111">
        <f>(7.2+7.2)*10.764</f>
        <v>155.0016</v>
      </c>
      <c r="F168" s="95">
        <f t="shared" si="3"/>
        <v>432.92807999999997</v>
      </c>
      <c r="G168" s="95">
        <v>0</v>
      </c>
      <c r="H168" s="95">
        <f>F168*(($H$151)+1)+(IF(G168&lt;101,G168,IF(G168&lt;201,G168/2,IF(G168&lt;=301,G168/3,G168/4))))</f>
        <v>627.7457159999999</v>
      </c>
      <c r="I168" s="36"/>
      <c r="J168" s="36">
        <f>3800000/H168</f>
        <v>6053.4065038525896</v>
      </c>
      <c r="K168" s="97">
        <f t="shared" si="2"/>
        <v>3452601.4379999996</v>
      </c>
    </row>
    <row r="169" spans="1:14" s="96" customFormat="1" ht="15.75" customHeight="1" x14ac:dyDescent="0.25">
      <c r="A169" s="163" t="s">
        <v>413</v>
      </c>
      <c r="B169" s="164"/>
      <c r="C169" s="95" t="s">
        <v>407</v>
      </c>
      <c r="D169" s="111">
        <f>(28.69)*10.764</f>
        <v>308.81916000000001</v>
      </c>
      <c r="E169" s="111">
        <f>(7.18+0.95)*10.764</f>
        <v>87.511319999999984</v>
      </c>
      <c r="F169" s="95">
        <f t="shared" si="3"/>
        <v>396.33047999999997</v>
      </c>
      <c r="G169" s="95">
        <v>0</v>
      </c>
      <c r="H169" s="95">
        <f t="shared" si="4"/>
        <v>574.67919599999993</v>
      </c>
      <c r="I169" s="36"/>
      <c r="K169" s="97">
        <f t="shared" si="2"/>
        <v>3160735.5779999997</v>
      </c>
    </row>
    <row r="170" spans="1:14" s="96" customFormat="1" ht="15.75" customHeight="1" x14ac:dyDescent="0.25">
      <c r="A170" s="163" t="s">
        <v>414</v>
      </c>
      <c r="B170" s="164"/>
      <c r="C170" s="95" t="s">
        <v>407</v>
      </c>
      <c r="D170" s="111">
        <f>(28.69)*10.764</f>
        <v>308.81916000000001</v>
      </c>
      <c r="E170" s="111">
        <f>(7.18+0.95)*10.764</f>
        <v>87.511319999999984</v>
      </c>
      <c r="F170" s="95">
        <f t="shared" si="3"/>
        <v>396.33047999999997</v>
      </c>
      <c r="G170" s="95">
        <v>0</v>
      </c>
      <c r="H170" s="95">
        <f t="shared" si="4"/>
        <v>574.67919599999993</v>
      </c>
      <c r="I170" s="36"/>
      <c r="K170" s="97">
        <f t="shared" si="2"/>
        <v>3160735.5779999997</v>
      </c>
    </row>
    <row r="171" spans="1:14" s="96" customFormat="1" ht="15.75" customHeight="1" x14ac:dyDescent="0.25">
      <c r="A171" s="163" t="s">
        <v>415</v>
      </c>
      <c r="B171" s="164"/>
      <c r="C171" s="95" t="s">
        <v>407</v>
      </c>
      <c r="D171" s="111">
        <f>(24.62)*10.764</f>
        <v>265.00968</v>
      </c>
      <c r="E171" s="111">
        <f>(7.2+7.2)*10.764</f>
        <v>155.0016</v>
      </c>
      <c r="F171" s="95">
        <f t="shared" si="3"/>
        <v>420.01128</v>
      </c>
      <c r="G171" s="95">
        <v>0</v>
      </c>
      <c r="H171" s="95">
        <f t="shared" si="4"/>
        <v>609.01635599999997</v>
      </c>
      <c r="I171" s="36"/>
      <c r="K171" s="97">
        <f t="shared" si="2"/>
        <v>3349589.9579999996</v>
      </c>
    </row>
    <row r="172" spans="1:14" s="96" customFormat="1" ht="15.75" customHeight="1" x14ac:dyDescent="0.25">
      <c r="A172" s="163" t="s">
        <v>416</v>
      </c>
      <c r="B172" s="164"/>
      <c r="C172" s="95" t="s">
        <v>407</v>
      </c>
      <c r="D172" s="111">
        <f>(22.71)*10.764</f>
        <v>244.45043999999999</v>
      </c>
      <c r="E172" s="111">
        <f>(4.28+4.28+0.97)*10.764</f>
        <v>102.58092000000001</v>
      </c>
      <c r="F172" s="95">
        <f t="shared" si="3"/>
        <v>347.03136000000001</v>
      </c>
      <c r="G172" s="95">
        <v>0</v>
      </c>
      <c r="H172" s="95">
        <f t="shared" si="4"/>
        <v>503.195472</v>
      </c>
      <c r="I172" s="36"/>
      <c r="K172" s="97">
        <f t="shared" si="2"/>
        <v>2767575.0959999999</v>
      </c>
    </row>
    <row r="173" spans="1:14" s="37" customFormat="1" hidden="1" x14ac:dyDescent="0.25">
      <c r="A173" s="258" t="s">
        <v>116</v>
      </c>
      <c r="B173" s="259"/>
      <c r="C173" s="259"/>
      <c r="D173" s="259"/>
      <c r="E173" s="259"/>
      <c r="F173" s="259"/>
      <c r="G173" s="259"/>
      <c r="H173" s="260"/>
      <c r="J173" s="36"/>
      <c r="K173" s="97">
        <f t="shared" si="2"/>
        <v>0</v>
      </c>
    </row>
    <row r="174" spans="1:14" s="37" customFormat="1" ht="15.75" hidden="1" customHeight="1" x14ac:dyDescent="0.25">
      <c r="A174" s="163">
        <v>1</v>
      </c>
      <c r="B174" s="164"/>
      <c r="C174" s="42"/>
      <c r="D174" s="42"/>
      <c r="E174" s="42">
        <v>0</v>
      </c>
      <c r="F174" s="42">
        <f>D174+E174</f>
        <v>0</v>
      </c>
      <c r="G174" s="42">
        <v>0</v>
      </c>
      <c r="H174" s="42">
        <f>F174*(($H$151)+1)+(IF(G174&lt;101,G174,IF(G174&lt;201,G174/2,IF(G174&lt;=301,G174/3,G174/4))))</f>
        <v>0</v>
      </c>
      <c r="I174" s="36"/>
      <c r="K174" s="97">
        <f t="shared" si="2"/>
        <v>0</v>
      </c>
      <c r="L174" s="166"/>
      <c r="M174" s="166"/>
      <c r="N174" s="36"/>
    </row>
    <row r="175" spans="1:14" s="37" customFormat="1" ht="15.75" hidden="1" customHeight="1" x14ac:dyDescent="0.25">
      <c r="A175" s="163">
        <f>A174+1</f>
        <v>2</v>
      </c>
      <c r="B175" s="164"/>
      <c r="C175" s="42"/>
      <c r="D175" s="42"/>
      <c r="E175" s="42">
        <v>0</v>
      </c>
      <c r="F175" s="42">
        <f>D175+E175</f>
        <v>0</v>
      </c>
      <c r="G175" s="42">
        <v>0</v>
      </c>
      <c r="H175" s="42">
        <f>F175*(($H$151)+1)+(IF(G175&lt;101,G175,IF(G175&lt;201,G175/2,IF(G175&lt;=301,G175/3,G175/4))))</f>
        <v>0</v>
      </c>
      <c r="I175" s="36"/>
      <c r="K175" s="97">
        <f t="shared" si="2"/>
        <v>0</v>
      </c>
      <c r="L175" s="166"/>
      <c r="M175" s="166"/>
      <c r="N175" s="36"/>
    </row>
    <row r="176" spans="1:14" s="37" customFormat="1" ht="15.75" hidden="1" customHeight="1" x14ac:dyDescent="0.25">
      <c r="A176" s="163">
        <f>A175+1</f>
        <v>3</v>
      </c>
      <c r="B176" s="164"/>
      <c r="C176" s="42"/>
      <c r="D176" s="42"/>
      <c r="E176" s="42">
        <v>0</v>
      </c>
      <c r="F176" s="42">
        <f>D176+E176</f>
        <v>0</v>
      </c>
      <c r="G176" s="42">
        <v>0</v>
      </c>
      <c r="H176" s="42">
        <f>F176*(($H$151)+1)+(IF(G176&lt;101,G176,IF(G176&lt;201,G176/2,IF(G176&lt;=301,G176/3,G176/4))))</f>
        <v>0</v>
      </c>
      <c r="I176" s="36"/>
      <c r="K176" s="97">
        <f t="shared" si="2"/>
        <v>0</v>
      </c>
      <c r="L176" s="166"/>
      <c r="M176" s="166"/>
      <c r="N176" s="36"/>
    </row>
    <row r="177" spans="1:20" s="37" customFormat="1" ht="15.75" hidden="1" customHeight="1" x14ac:dyDescent="0.25">
      <c r="A177" s="163">
        <f>A176+1</f>
        <v>4</v>
      </c>
      <c r="B177" s="164"/>
      <c r="C177" s="42"/>
      <c r="D177" s="42"/>
      <c r="E177" s="42">
        <v>0</v>
      </c>
      <c r="F177" s="42">
        <f>D177+E177</f>
        <v>0</v>
      </c>
      <c r="G177" s="42">
        <v>0</v>
      </c>
      <c r="H177" s="42">
        <f>F177*(($H$151)+1)+(IF(G177&lt;101,G177,IF(G177&lt;201,G177/2,IF(G177&lt;=301,G177/3,G177/4))))</f>
        <v>0</v>
      </c>
      <c r="I177" s="36"/>
      <c r="K177" s="97">
        <f t="shared" si="2"/>
        <v>0</v>
      </c>
      <c r="L177" s="166"/>
      <c r="M177" s="166"/>
      <c r="N177" s="36"/>
      <c r="T177" s="21"/>
    </row>
    <row r="178" spans="1:20" s="37" customFormat="1" hidden="1" x14ac:dyDescent="0.25">
      <c r="A178" s="246" t="s">
        <v>117</v>
      </c>
      <c r="B178" s="246"/>
      <c r="C178" s="246"/>
      <c r="D178" s="246"/>
      <c r="E178" s="246"/>
      <c r="F178" s="246"/>
      <c r="G178" s="246"/>
      <c r="H178" s="246"/>
      <c r="I178" s="36"/>
      <c r="K178" s="97">
        <f t="shared" si="2"/>
        <v>0</v>
      </c>
      <c r="L178" s="166"/>
      <c r="M178" s="166"/>
    </row>
    <row r="179" spans="1:20" s="37" customFormat="1" hidden="1" x14ac:dyDescent="0.25">
      <c r="A179" s="167">
        <f>LEFT(A178,SUM(LEN(A178)-LEN(SUBSTITUTE(A178,{"0","1","2","3","4","5","6","7","8","9"},""))))*100+1</f>
        <v>201</v>
      </c>
      <c r="B179" s="167"/>
      <c r="C179" s="42"/>
      <c r="D179" s="42"/>
      <c r="E179" s="42">
        <v>0</v>
      </c>
      <c r="F179" s="42">
        <f>D179+E179</f>
        <v>0</v>
      </c>
      <c r="G179" s="42">
        <v>0</v>
      </c>
      <c r="H179" s="42">
        <f>F179*(($H$151)+1)+(IF(G179&lt;101,G179,IF(G179&lt;201,G179/2,IF(G179&lt;=301,G179/3,G179/4))))</f>
        <v>0</v>
      </c>
      <c r="I179" s="36"/>
      <c r="K179" s="97">
        <f t="shared" si="2"/>
        <v>0</v>
      </c>
      <c r="N179" s="36"/>
    </row>
    <row r="180" spans="1:20" s="37" customFormat="1" hidden="1" x14ac:dyDescent="0.25">
      <c r="A180" s="167">
        <f>A179+1</f>
        <v>202</v>
      </c>
      <c r="B180" s="167"/>
      <c r="C180" s="42"/>
      <c r="D180" s="42"/>
      <c r="E180" s="42">
        <v>0</v>
      </c>
      <c r="F180" s="42">
        <f>D180+E180</f>
        <v>0</v>
      </c>
      <c r="G180" s="42">
        <v>0</v>
      </c>
      <c r="H180" s="42">
        <f>F180*(($H$151)+1)+(IF(G180&lt;101,G180,IF(G180&lt;201,G180/2,IF(G180&lt;=301,G180/3,G180/4))))</f>
        <v>0</v>
      </c>
      <c r="I180" s="36"/>
      <c r="K180" s="97">
        <f t="shared" si="2"/>
        <v>0</v>
      </c>
      <c r="N180" s="36"/>
    </row>
    <row r="181" spans="1:20" s="37" customFormat="1" hidden="1" x14ac:dyDescent="0.25">
      <c r="A181" s="167">
        <f>A180+1</f>
        <v>203</v>
      </c>
      <c r="B181" s="167"/>
      <c r="C181" s="42"/>
      <c r="D181" s="42"/>
      <c r="E181" s="42">
        <v>0</v>
      </c>
      <c r="F181" s="42">
        <f>D181+E181</f>
        <v>0</v>
      </c>
      <c r="G181" s="42">
        <v>0</v>
      </c>
      <c r="H181" s="42">
        <f>F181*(($H$151)+1)+(IF(G181&lt;101,G181,IF(G181&lt;201,G181/2,IF(G181&lt;=301,G181/3,G181/4))))</f>
        <v>0</v>
      </c>
      <c r="I181" s="36"/>
      <c r="K181" s="97">
        <f t="shared" si="2"/>
        <v>0</v>
      </c>
      <c r="N181" s="36"/>
    </row>
    <row r="182" spans="1:20" s="37" customFormat="1" hidden="1" x14ac:dyDescent="0.25">
      <c r="A182" s="167">
        <f>A181+1</f>
        <v>204</v>
      </c>
      <c r="B182" s="167"/>
      <c r="C182" s="42"/>
      <c r="D182" s="42"/>
      <c r="E182" s="42">
        <v>0</v>
      </c>
      <c r="F182" s="42">
        <f>D182+E182</f>
        <v>0</v>
      </c>
      <c r="G182" s="42">
        <v>0</v>
      </c>
      <c r="H182" s="42">
        <f>F182*(($H$151)+1)+(IF(G182&lt;101,G182,IF(G182&lt;201,G182/2,IF(G182&lt;=301,G182/3,G182/4))))</f>
        <v>0</v>
      </c>
      <c r="I182" s="36"/>
      <c r="K182" s="97">
        <f t="shared" si="2"/>
        <v>0</v>
      </c>
      <c r="N182" s="36"/>
    </row>
    <row r="183" spans="1:20" s="37" customFormat="1" hidden="1" x14ac:dyDescent="0.25">
      <c r="A183" s="167">
        <f>A182+1</f>
        <v>205</v>
      </c>
      <c r="B183" s="167"/>
      <c r="C183" s="42"/>
      <c r="D183" s="42"/>
      <c r="E183" s="42">
        <v>0</v>
      </c>
      <c r="F183" s="42">
        <f>D183+E183</f>
        <v>0</v>
      </c>
      <c r="G183" s="42">
        <v>0</v>
      </c>
      <c r="H183" s="42">
        <f>F183*(($H$151)+1)+(IF(G183&lt;101,G183,IF(G183&lt;201,G183/2,IF(G183&lt;=301,G183/3,G183/4))))</f>
        <v>0</v>
      </c>
      <c r="I183" s="36"/>
      <c r="K183" s="97">
        <f t="shared" si="2"/>
        <v>0</v>
      </c>
      <c r="N183" s="36"/>
    </row>
    <row r="184" spans="1:20" s="37" customFormat="1" ht="15.75" hidden="1" customHeight="1" x14ac:dyDescent="0.25">
      <c r="A184" s="258" t="s">
        <v>149</v>
      </c>
      <c r="B184" s="259"/>
      <c r="C184" s="259"/>
      <c r="D184" s="259"/>
      <c r="E184" s="259"/>
      <c r="F184" s="259"/>
      <c r="G184" s="259"/>
      <c r="H184" s="260"/>
      <c r="I184" s="36"/>
      <c r="K184" s="97">
        <f t="shared" si="2"/>
        <v>0</v>
      </c>
    </row>
    <row r="185" spans="1:20" s="37" customFormat="1" ht="15.75" hidden="1" customHeight="1" x14ac:dyDescent="0.25">
      <c r="A185" s="163"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10^ROW(INDIRECT("1:"&amp;LEN((LEFT(A184,SUM(LEN(A184)-LEN(SUBSTITUTE(A184,{"0","1","2"},""))))))))/10))*100+1&amp;""&amp;" ,..,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",LEN(A184))),LEN(A184)))))))/10))*100+1</f>
        <v>301 ,.., 1501</v>
      </c>
      <c r="B185" s="164"/>
      <c r="C185" s="42"/>
      <c r="D185" s="42"/>
      <c r="E185" s="42">
        <v>0</v>
      </c>
      <c r="F185" s="42">
        <f>D185+E185</f>
        <v>0</v>
      </c>
      <c r="G185" s="42">
        <v>0</v>
      </c>
      <c r="H185" s="42">
        <f>F185*(($H$151)+1)+(IF(G185&lt;101,G185,IF(G185&lt;201,G185/2,IF(G185&lt;=301,G185/3,G185/4))))</f>
        <v>0</v>
      </c>
      <c r="I185" s="36"/>
      <c r="K185" s="97">
        <f t="shared" si="2"/>
        <v>0</v>
      </c>
    </row>
    <row r="186" spans="1:20" s="37" customFormat="1" ht="15.75" hidden="1" customHeight="1" x14ac:dyDescent="0.25">
      <c r="A186" s="163"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302 ,.., 1502</v>
      </c>
      <c r="B186" s="164"/>
      <c r="C186" s="42"/>
      <c r="D186" s="42"/>
      <c r="E186" s="42">
        <v>0</v>
      </c>
      <c r="F186" s="42">
        <f>D186+E186</f>
        <v>0</v>
      </c>
      <c r="G186" s="42">
        <v>0</v>
      </c>
      <c r="H186" s="42">
        <f>F186*(($H$151)+1)+(IF(G186&lt;101,G186,IF(G186&lt;201,G186/2,IF(G186&lt;=301,G186/3,G186/4))))</f>
        <v>0</v>
      </c>
      <c r="I186" s="36"/>
      <c r="K186" s="97">
        <f t="shared" si="2"/>
        <v>0</v>
      </c>
    </row>
    <row r="187" spans="1:20" s="37" customFormat="1" ht="15.75" hidden="1" customHeight="1" x14ac:dyDescent="0.25">
      <c r="A187" s="163"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303 ,.., 1503</v>
      </c>
      <c r="B187" s="164"/>
      <c r="C187" s="42"/>
      <c r="D187" s="42"/>
      <c r="E187" s="42">
        <v>0</v>
      </c>
      <c r="F187" s="42">
        <f>D187+E187</f>
        <v>0</v>
      </c>
      <c r="G187" s="42">
        <v>0</v>
      </c>
      <c r="H187" s="42">
        <f>F187*(($H$151)+1)+(IF(G187&lt;101,G187,IF(G187&lt;201,G187/2,IF(G187&lt;=301,G187/3,G187/4))))</f>
        <v>0</v>
      </c>
      <c r="I187" s="36"/>
      <c r="K187" s="97">
        <f t="shared" si="2"/>
        <v>0</v>
      </c>
    </row>
    <row r="188" spans="1:20" s="37" customFormat="1" ht="15.75" hidden="1" customHeight="1" x14ac:dyDescent="0.25">
      <c r="A188" s="163"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304 ,.., 1504</v>
      </c>
      <c r="B188" s="164"/>
      <c r="C188" s="42"/>
      <c r="D188" s="42"/>
      <c r="E188" s="42">
        <v>0</v>
      </c>
      <c r="F188" s="42">
        <f>D188+E188</f>
        <v>0</v>
      </c>
      <c r="G188" s="42">
        <v>0</v>
      </c>
      <c r="H188" s="42">
        <f>F188*(($H$151)+1)+(IF(G188&lt;101,G188,IF(G188&lt;201,G188/2,IF(G188&lt;=301,G188/3,G188/4))))</f>
        <v>0</v>
      </c>
      <c r="I188" s="36"/>
      <c r="K188" s="97">
        <f t="shared" si="2"/>
        <v>0</v>
      </c>
    </row>
    <row r="189" spans="1:20" s="37" customFormat="1" ht="15.75" hidden="1" customHeight="1" x14ac:dyDescent="0.25">
      <c r="A189" s="163"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305 ,.., 1505</v>
      </c>
      <c r="B189" s="164"/>
      <c r="C189" s="42"/>
      <c r="D189" s="42"/>
      <c r="E189" s="42">
        <v>0</v>
      </c>
      <c r="F189" s="42">
        <f>D189+E189</f>
        <v>0</v>
      </c>
      <c r="G189" s="42">
        <v>0</v>
      </c>
      <c r="H189" s="42">
        <f>F189*(($H$151)+1)+(IF(G189&lt;101,G189,IF(G189&lt;201,G189/2,IF(G189&lt;=301,G189/3,G189/4))))</f>
        <v>0</v>
      </c>
      <c r="I189" s="36"/>
      <c r="K189" s="97">
        <f t="shared" si="2"/>
        <v>0</v>
      </c>
    </row>
    <row r="190" spans="1:20" s="37" customFormat="1" hidden="1" x14ac:dyDescent="0.25">
      <c r="A190" s="258" t="s">
        <v>143</v>
      </c>
      <c r="B190" s="259"/>
      <c r="C190" s="259"/>
      <c r="D190" s="259"/>
      <c r="E190" s="259"/>
      <c r="F190" s="259"/>
      <c r="G190" s="259"/>
      <c r="H190" s="260"/>
      <c r="I190" s="36"/>
      <c r="K190" s="97">
        <f t="shared" si="2"/>
        <v>0</v>
      </c>
    </row>
    <row r="191" spans="1:20" s="37" customFormat="1" ht="15.75" hidden="1" customHeight="1" x14ac:dyDescent="0.25">
      <c r="A191" s="163"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10^ROW(INDIRECT("1:"&amp;LEN((LEFT(A190,SUM(LEN(A190)-LEN(SUBSTITUTE(A190,{"0","1","2"},""))))))))/10))*100+1&amp;""&amp;" to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",LEN(A190))),LEN(A190)))))))/10))*100+1</f>
        <v>201 to 501</v>
      </c>
      <c r="B191" s="164"/>
      <c r="C191" s="42"/>
      <c r="D191" s="42"/>
      <c r="E191" s="42">
        <v>0</v>
      </c>
      <c r="F191" s="42">
        <f>D191+E191</f>
        <v>0</v>
      </c>
      <c r="G191" s="42">
        <v>0</v>
      </c>
      <c r="H191" s="42">
        <f>F191*(($H$151)+1)+(IF(G191&lt;101,G191,IF(G191&lt;201,G191/2,IF(G191&lt;=301,G191/3,G191/4))))</f>
        <v>0</v>
      </c>
      <c r="I191" s="36"/>
      <c r="K191" s="97">
        <f t="shared" si="2"/>
        <v>0</v>
      </c>
    </row>
    <row r="192" spans="1:20" s="37" customFormat="1" ht="15.75" hidden="1" customHeight="1" x14ac:dyDescent="0.25">
      <c r="A192" s="163"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to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202 to 502</v>
      </c>
      <c r="B192" s="164"/>
      <c r="C192" s="42"/>
      <c r="D192" s="42"/>
      <c r="E192" s="42">
        <v>0</v>
      </c>
      <c r="F192" s="42">
        <f>D192+E192</f>
        <v>0</v>
      </c>
      <c r="G192" s="42">
        <v>0</v>
      </c>
      <c r="H192" s="42">
        <f>F192*(($H$151)+1)+(IF(G192&lt;101,G192,IF(G192&lt;201,G192/2,IF(G192&lt;=301,G192/3,G192/4))))</f>
        <v>0</v>
      </c>
      <c r="I192" s="36"/>
      <c r="K192" s="97">
        <f t="shared" si="2"/>
        <v>0</v>
      </c>
    </row>
    <row r="193" spans="1:20" s="37" customFormat="1" ht="15.75" hidden="1" customHeight="1" x14ac:dyDescent="0.25">
      <c r="A193" s="163"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to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203 to 503</v>
      </c>
      <c r="B193" s="164"/>
      <c r="C193" s="42"/>
      <c r="D193" s="42"/>
      <c r="E193" s="42">
        <v>0</v>
      </c>
      <c r="F193" s="42">
        <f>D193+E193</f>
        <v>0</v>
      </c>
      <c r="G193" s="42">
        <v>0</v>
      </c>
      <c r="H193" s="42">
        <f>F193*(($H$151)+1)+(IF(G193&lt;101,G193,IF(G193&lt;201,G193/2,IF(G193&lt;=301,G193/3,G193/4))))</f>
        <v>0</v>
      </c>
      <c r="I193" s="36"/>
      <c r="K193" s="97">
        <f t="shared" si="2"/>
        <v>0</v>
      </c>
    </row>
    <row r="194" spans="1:20" s="37" customFormat="1" ht="15.75" hidden="1" customHeight="1" x14ac:dyDescent="0.25">
      <c r="A194" s="163"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to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204 to 504</v>
      </c>
      <c r="B194" s="164"/>
      <c r="C194" s="42"/>
      <c r="D194" s="42"/>
      <c r="E194" s="42">
        <v>0</v>
      </c>
      <c r="F194" s="42">
        <f>D194+E194</f>
        <v>0</v>
      </c>
      <c r="G194" s="42">
        <v>0</v>
      </c>
      <c r="H194" s="42">
        <f>F194*(($H$151)+1)+(IF(G194&lt;101,G194,IF(G194&lt;201,G194/2,IF(G194&lt;=301,G194/3,G194/4))))</f>
        <v>0</v>
      </c>
      <c r="I194" s="36"/>
      <c r="K194" s="97">
        <f t="shared" si="2"/>
        <v>0</v>
      </c>
    </row>
    <row r="195" spans="1:20" s="37" customFormat="1" ht="15.75" hidden="1" customHeight="1" x14ac:dyDescent="0.25">
      <c r="A195" s="163"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205 to 505</v>
      </c>
      <c r="B195" s="164"/>
      <c r="C195" s="42"/>
      <c r="D195" s="42"/>
      <c r="E195" s="42">
        <v>0</v>
      </c>
      <c r="F195" s="42">
        <f>D195+E195</f>
        <v>0</v>
      </c>
      <c r="G195" s="42">
        <v>0</v>
      </c>
      <c r="H195" s="42">
        <f>F195*(($H$151)+1)+(IF(G195&lt;101,G195,IF(G195&lt;201,G195/2,IF(G195&lt;=301,G195/3,G195/4))))</f>
        <v>0</v>
      </c>
      <c r="I195" s="36"/>
      <c r="K195" s="97">
        <f t="shared" si="2"/>
        <v>0</v>
      </c>
    </row>
    <row r="196" spans="1:20" s="37" customFormat="1" hidden="1" x14ac:dyDescent="0.25">
      <c r="A196" s="258" t="s">
        <v>144</v>
      </c>
      <c r="B196" s="259"/>
      <c r="C196" s="259"/>
      <c r="D196" s="259"/>
      <c r="E196" s="259"/>
      <c r="F196" s="259"/>
      <c r="G196" s="259"/>
      <c r="H196" s="260"/>
      <c r="I196" s="36"/>
      <c r="K196" s="97">
        <f t="shared" si="2"/>
        <v>0</v>
      </c>
    </row>
    <row r="197" spans="1:20" s="37" customFormat="1" ht="15.75" hidden="1" customHeight="1" x14ac:dyDescent="0.25">
      <c r="A197" s="163"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10^ROW(INDIRECT("1:"&amp;LEN((LEFT(A196,SUM(LEN(A196)-LEN(SUBSTITUTE(A196,{"0","1","2"},""))))))))/10))*100+1&amp;""&amp;" &amp;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",LEN(A196))),LEN(A196)))))))/10))*100+1</f>
        <v>201 &amp; 501</v>
      </c>
      <c r="B197" s="164"/>
      <c r="C197" s="42"/>
      <c r="D197" s="42"/>
      <c r="E197" s="42">
        <v>0</v>
      </c>
      <c r="F197" s="42">
        <f>D197+E197</f>
        <v>0</v>
      </c>
      <c r="G197" s="42">
        <v>0</v>
      </c>
      <c r="H197" s="42">
        <f>F197*(($H$151)+1)+(IF(G197&lt;101,G197,IF(G197&lt;201,G197/2,IF(G197&lt;=301,G197/3,G197/4))))</f>
        <v>0</v>
      </c>
      <c r="I197" s="36"/>
      <c r="K197" s="97">
        <f t="shared" si="2"/>
        <v>0</v>
      </c>
    </row>
    <row r="198" spans="1:20" s="37" customFormat="1" ht="15.75" hidden="1" customHeight="1" x14ac:dyDescent="0.25">
      <c r="A198" s="163"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&amp;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202 &amp; 502</v>
      </c>
      <c r="B198" s="164"/>
      <c r="C198" s="42"/>
      <c r="D198" s="42"/>
      <c r="E198" s="42">
        <v>0</v>
      </c>
      <c r="F198" s="42">
        <f>D198+E198</f>
        <v>0</v>
      </c>
      <c r="G198" s="42">
        <v>0</v>
      </c>
      <c r="H198" s="42">
        <f>F198*(($H$151)+1)+(IF(G198&lt;101,G198,IF(G198&lt;201,G198/2,IF(G198&lt;=301,G198/3,G198/4))))</f>
        <v>0</v>
      </c>
      <c r="I198" s="36"/>
      <c r="K198" s="97">
        <f t="shared" si="2"/>
        <v>0</v>
      </c>
    </row>
    <row r="199" spans="1:20" s="37" customFormat="1" ht="15.75" hidden="1" customHeight="1" x14ac:dyDescent="0.25">
      <c r="A199" s="163"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&amp;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203 &amp; 503</v>
      </c>
      <c r="B199" s="164"/>
      <c r="C199" s="42"/>
      <c r="D199" s="42"/>
      <c r="E199" s="42">
        <v>0</v>
      </c>
      <c r="F199" s="42">
        <f>D199+E199</f>
        <v>0</v>
      </c>
      <c r="G199" s="42">
        <v>0</v>
      </c>
      <c r="H199" s="42">
        <f>F199*(($H$151)+1)+(IF(G199&lt;101,G199,IF(G199&lt;201,G199/2,IF(G199&lt;=301,G199/3,G199/4))))</f>
        <v>0</v>
      </c>
      <c r="I199" s="36"/>
      <c r="K199" s="97">
        <f t="shared" si="2"/>
        <v>0</v>
      </c>
    </row>
    <row r="200" spans="1:20" s="37" customFormat="1" ht="15.75" hidden="1" customHeight="1" x14ac:dyDescent="0.25">
      <c r="A200" s="163"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&amp;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204 &amp; 504</v>
      </c>
      <c r="B200" s="164"/>
      <c r="C200" s="42"/>
      <c r="D200" s="42"/>
      <c r="E200" s="42">
        <v>0</v>
      </c>
      <c r="F200" s="42">
        <f>D200+E200</f>
        <v>0</v>
      </c>
      <c r="G200" s="42">
        <v>0</v>
      </c>
      <c r="H200" s="42">
        <f>F200*(($H$151)+1)+(IF(G200&lt;101,G200,IF(G200&lt;201,G200/2,IF(G200&lt;=301,G200/3,G200/4))))</f>
        <v>0</v>
      </c>
      <c r="I200" s="36"/>
      <c r="K200" s="97">
        <f t="shared" si="2"/>
        <v>0</v>
      </c>
    </row>
    <row r="201" spans="1:20" s="37" customFormat="1" ht="15.75" hidden="1" customHeight="1" x14ac:dyDescent="0.25">
      <c r="A201" s="163"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&amp;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205 &amp; 505</v>
      </c>
      <c r="B201" s="164"/>
      <c r="C201" s="42"/>
      <c r="D201" s="42"/>
      <c r="E201" s="42">
        <v>0</v>
      </c>
      <c r="F201" s="42">
        <f>D201+E201</f>
        <v>0</v>
      </c>
      <c r="G201" s="42">
        <v>0</v>
      </c>
      <c r="H201" s="42">
        <f>F201*(($H$151)+1)+(IF(G201&lt;101,G201,IF(G201&lt;201,G201/2,IF(G201&lt;=301,G201/3,G201/4))))</f>
        <v>0</v>
      </c>
      <c r="I201" s="36"/>
      <c r="K201" s="97">
        <f t="shared" si="2"/>
        <v>0</v>
      </c>
    </row>
    <row r="202" spans="1:20" s="35" customFormat="1" x14ac:dyDescent="0.25">
      <c r="A202" s="272" t="s">
        <v>64</v>
      </c>
      <c r="B202" s="272"/>
      <c r="C202" s="272"/>
      <c r="D202" s="272"/>
      <c r="E202" s="272"/>
      <c r="F202" s="272"/>
      <c r="G202" s="272"/>
      <c r="H202" s="272"/>
      <c r="T202" s="37"/>
    </row>
    <row r="203" spans="1:20" s="113" customFormat="1" x14ac:dyDescent="0.25">
      <c r="A203" s="112" t="s">
        <v>153</v>
      </c>
      <c r="B203" s="123" t="s">
        <v>432</v>
      </c>
      <c r="C203" s="124"/>
      <c r="D203" s="124"/>
      <c r="E203" s="124"/>
      <c r="F203" s="124"/>
      <c r="G203" s="124"/>
      <c r="H203" s="125"/>
      <c r="T203" s="114"/>
    </row>
    <row r="204" spans="1:20" s="35" customFormat="1" x14ac:dyDescent="0.25">
      <c r="A204" s="46" t="s">
        <v>153</v>
      </c>
      <c r="B204" s="123" t="str">
        <f>(IF(H150="Saleable area Loading :","We have considered Saleable area of Flats as per our Calculation.","We considered Saleable area of Flat as per Builder area Sheet."))</f>
        <v>We have considered Saleable area of Flats as per our Calculation.</v>
      </c>
      <c r="C204" s="124"/>
      <c r="D204" s="124"/>
      <c r="E204" s="124"/>
      <c r="F204" s="124"/>
      <c r="G204" s="124"/>
      <c r="H204" s="125"/>
      <c r="T204" s="37"/>
    </row>
    <row r="205" spans="1:20" s="35" customFormat="1" x14ac:dyDescent="0.25">
      <c r="A205" s="46" t="s">
        <v>153</v>
      </c>
      <c r="B205" s="123" t="str">
        <f>(IF(H142="Saleable area Loading :","We have considered Saleable area of Commercial as per our Calculation.","We considered Saleable area of Commercial as per Builder area Sheet."))</f>
        <v>We have considered Saleable area of Commercial as per our Calculation.</v>
      </c>
      <c r="C205" s="124"/>
      <c r="D205" s="124"/>
      <c r="E205" s="124"/>
      <c r="F205" s="124"/>
      <c r="G205" s="124"/>
      <c r="H205" s="125"/>
      <c r="T205" s="37"/>
    </row>
    <row r="206" spans="1:20" s="35" customFormat="1" x14ac:dyDescent="0.25">
      <c r="A206" s="46" t="s">
        <v>153</v>
      </c>
      <c r="B206" s="160" t="s">
        <v>120</v>
      </c>
      <c r="C206" s="161"/>
      <c r="D206" s="161"/>
      <c r="E206" s="161"/>
      <c r="F206" s="161"/>
      <c r="G206" s="161"/>
      <c r="H206" s="162"/>
      <c r="T206" s="37"/>
    </row>
    <row r="207" spans="1:20" s="35" customFormat="1" ht="33.75" customHeight="1" x14ac:dyDescent="0.25">
      <c r="A207" s="46" t="s">
        <v>153</v>
      </c>
      <c r="B207" s="123" t="s">
        <v>439</v>
      </c>
      <c r="C207" s="124"/>
      <c r="D207" s="124"/>
      <c r="E207" s="124"/>
      <c r="F207" s="124"/>
      <c r="G207" s="124"/>
      <c r="H207" s="125"/>
      <c r="T207" s="37"/>
    </row>
    <row r="208" spans="1:20" s="35" customFormat="1" x14ac:dyDescent="0.25">
      <c r="A208" s="46" t="s">
        <v>153</v>
      </c>
      <c r="B208" s="160" t="s">
        <v>152</v>
      </c>
      <c r="C208" s="161"/>
      <c r="D208" s="161"/>
      <c r="E208" s="161"/>
      <c r="F208" s="161"/>
      <c r="G208" s="161"/>
      <c r="H208" s="162"/>
    </row>
    <row r="209" spans="1:20" s="35" customFormat="1" x14ac:dyDescent="0.25">
      <c r="A209" s="46" t="s">
        <v>153</v>
      </c>
      <c r="B209" s="160" t="s">
        <v>121</v>
      </c>
      <c r="C209" s="161"/>
      <c r="D209" s="161"/>
      <c r="E209" s="161"/>
      <c r="F209" s="161"/>
      <c r="G209" s="161"/>
      <c r="H209" s="162"/>
    </row>
    <row r="210" spans="1:20" s="35" customFormat="1" ht="32.25" customHeight="1" x14ac:dyDescent="0.25">
      <c r="A210" s="46" t="s">
        <v>153</v>
      </c>
      <c r="B210" s="123" t="s">
        <v>154</v>
      </c>
      <c r="C210" s="124"/>
      <c r="D210" s="124"/>
      <c r="E210" s="124"/>
      <c r="F210" s="124"/>
      <c r="G210" s="124"/>
      <c r="H210" s="125"/>
    </row>
    <row r="211" spans="1:20" s="35" customFormat="1" x14ac:dyDescent="0.25">
      <c r="A211" s="46" t="s">
        <v>153</v>
      </c>
      <c r="B211" s="160" t="s">
        <v>122</v>
      </c>
      <c r="C211" s="161"/>
      <c r="D211" s="161"/>
      <c r="E211" s="161"/>
      <c r="F211" s="161"/>
      <c r="G211" s="161"/>
      <c r="H211" s="162"/>
    </row>
    <row r="212" spans="1:20" s="35" customFormat="1" ht="32.25" hidden="1" customHeight="1" x14ac:dyDescent="0.25">
      <c r="A212" s="46" t="s">
        <v>153</v>
      </c>
      <c r="B212" s="115" t="s">
        <v>179</v>
      </c>
      <c r="C212" s="116"/>
      <c r="D212" s="116"/>
      <c r="E212" s="116"/>
      <c r="F212" s="116"/>
      <c r="G212" s="116"/>
      <c r="H212" s="117"/>
    </row>
    <row r="213" spans="1:20" s="35" customFormat="1" ht="38.25" hidden="1" customHeight="1" x14ac:dyDescent="0.25">
      <c r="A213" s="46" t="s">
        <v>153</v>
      </c>
      <c r="B213" s="115" t="s">
        <v>351</v>
      </c>
      <c r="C213" s="116"/>
      <c r="D213" s="116"/>
      <c r="E213" s="116"/>
      <c r="F213" s="116"/>
      <c r="G213" s="116"/>
      <c r="H213" s="117"/>
    </row>
    <row r="214" spans="1:20" s="35" customFormat="1" hidden="1" x14ac:dyDescent="0.25">
      <c r="A214" s="46" t="s">
        <v>153</v>
      </c>
      <c r="B214" s="115" t="s">
        <v>352</v>
      </c>
      <c r="C214" s="116"/>
      <c r="D214" s="116"/>
      <c r="E214" s="116"/>
      <c r="F214" s="116"/>
      <c r="G214" s="116"/>
      <c r="H214" s="117"/>
    </row>
    <row r="215" spans="1:20" s="35" customFormat="1" hidden="1" x14ac:dyDescent="0.25">
      <c r="A215" s="46" t="s">
        <v>153</v>
      </c>
      <c r="B215" s="115" t="str">
        <f ca="1">IF(G52&gt;EDATE(E3,-48),"NO REMARK FOR CC","REMARK FOR CC")</f>
        <v>NO REMARK FOR CC</v>
      </c>
      <c r="C215" s="116"/>
      <c r="D215" s="116"/>
      <c r="E215" s="116"/>
      <c r="F215" s="116"/>
      <c r="G215" s="116"/>
      <c r="H215" s="117"/>
    </row>
    <row r="216" spans="1:20" s="35" customFormat="1" ht="81.75" hidden="1" customHeight="1" x14ac:dyDescent="0.25">
      <c r="A216" s="46" t="s">
        <v>153</v>
      </c>
      <c r="B216" s="115" t="s">
        <v>353</v>
      </c>
      <c r="C216" s="116"/>
      <c r="D216" s="116"/>
      <c r="E216" s="116"/>
      <c r="F216" s="116"/>
      <c r="G216" s="116"/>
      <c r="H216" s="117"/>
    </row>
    <row r="217" spans="1:20" x14ac:dyDescent="0.25">
      <c r="A217" s="230" t="s">
        <v>57</v>
      </c>
      <c r="B217" s="230"/>
      <c r="C217" s="230"/>
      <c r="D217" s="230"/>
      <c r="E217" s="230"/>
      <c r="F217" s="230"/>
      <c r="G217" s="230"/>
      <c r="H217" s="230"/>
      <c r="T217" s="35"/>
    </row>
    <row r="218" spans="1:20" x14ac:dyDescent="0.25">
      <c r="A218" s="149" t="s">
        <v>58</v>
      </c>
      <c r="B218" s="149"/>
      <c r="C218" s="149"/>
      <c r="D218" s="149"/>
      <c r="E218" s="149"/>
      <c r="F218" s="149"/>
      <c r="G218" s="149"/>
      <c r="H218" s="149"/>
      <c r="T218" s="35"/>
    </row>
    <row r="219" spans="1:20" ht="15.75" customHeight="1" x14ac:dyDescent="0.25">
      <c r="A219" s="255" t="s">
        <v>59</v>
      </c>
      <c r="B219" s="255"/>
      <c r="C219" s="255"/>
      <c r="D219" s="255"/>
      <c r="E219" s="255"/>
      <c r="F219" s="255"/>
      <c r="G219" s="255"/>
      <c r="H219" s="255"/>
      <c r="T219" s="35"/>
    </row>
    <row r="220" spans="1:20" x14ac:dyDescent="0.25">
      <c r="A220" s="149" t="s">
        <v>60</v>
      </c>
      <c r="B220" s="149"/>
      <c r="C220" s="149"/>
      <c r="D220" s="149"/>
      <c r="E220" s="149"/>
      <c r="F220" s="149"/>
      <c r="G220" s="149"/>
      <c r="H220" s="149"/>
      <c r="T220" s="35"/>
    </row>
    <row r="221" spans="1:20" x14ac:dyDescent="0.25">
      <c r="A221" s="149" t="s">
        <v>61</v>
      </c>
      <c r="B221" s="149"/>
      <c r="C221" s="149"/>
      <c r="D221" s="149"/>
      <c r="E221" s="149"/>
      <c r="F221" s="149"/>
      <c r="G221" s="149"/>
      <c r="H221" s="149"/>
      <c r="T221" s="35"/>
    </row>
    <row r="222" spans="1:20" x14ac:dyDescent="0.25">
      <c r="A222" s="149" t="s">
        <v>123</v>
      </c>
      <c r="B222" s="149"/>
      <c r="C222" s="149"/>
      <c r="D222" s="149"/>
      <c r="E222" s="149"/>
      <c r="F222" s="149"/>
      <c r="G222" s="149"/>
      <c r="H222" s="149"/>
      <c r="T222" s="35"/>
    </row>
    <row r="223" spans="1:20" ht="33.950000000000003" customHeight="1" x14ac:dyDescent="0.25">
      <c r="A223" s="169" t="s">
        <v>124</v>
      </c>
      <c r="B223" s="169"/>
      <c r="C223" s="169"/>
      <c r="D223" s="169"/>
      <c r="E223" s="169"/>
      <c r="F223" s="169"/>
      <c r="G223" s="169"/>
      <c r="H223" s="169"/>
    </row>
    <row r="224" spans="1:20" x14ac:dyDescent="0.25">
      <c r="A224" s="245" t="s">
        <v>73</v>
      </c>
      <c r="B224" s="245"/>
      <c r="C224" s="245" t="s">
        <v>433</v>
      </c>
      <c r="D224" s="245"/>
      <c r="E224" s="245" t="s">
        <v>103</v>
      </c>
      <c r="F224" s="245"/>
      <c r="G224" s="245" t="s">
        <v>399</v>
      </c>
      <c r="H224" s="245"/>
    </row>
    <row r="225" spans="1:8" x14ac:dyDescent="0.25">
      <c r="A225" s="244" t="s">
        <v>75</v>
      </c>
      <c r="B225" s="244"/>
      <c r="C225" s="244"/>
      <c r="D225" s="244"/>
      <c r="E225" s="244"/>
      <c r="F225" s="244"/>
      <c r="G225" s="244"/>
      <c r="H225" s="244"/>
    </row>
    <row r="226" spans="1:8" x14ac:dyDescent="0.25">
      <c r="A226" s="244"/>
      <c r="B226" s="244"/>
      <c r="C226" s="244"/>
      <c r="D226" s="244"/>
      <c r="E226" s="244"/>
      <c r="F226" s="244"/>
      <c r="G226" s="244"/>
      <c r="H226" s="244"/>
    </row>
    <row r="227" spans="1:8" x14ac:dyDescent="0.25">
      <c r="A227" s="244"/>
      <c r="B227" s="244"/>
      <c r="C227" s="244"/>
      <c r="D227" s="244"/>
      <c r="E227" s="244"/>
      <c r="F227" s="244"/>
      <c r="G227" s="244"/>
      <c r="H227" s="244"/>
    </row>
    <row r="228" spans="1:8" x14ac:dyDescent="0.25">
      <c r="A228" s="244"/>
      <c r="B228" s="244"/>
      <c r="C228" s="244"/>
      <c r="D228" s="244"/>
      <c r="E228" s="244"/>
      <c r="F228" s="244"/>
      <c r="G228" s="244"/>
      <c r="H228" s="244"/>
    </row>
    <row r="229" spans="1:8" x14ac:dyDescent="0.25">
      <c r="A229" s="38" t="s">
        <v>62</v>
      </c>
      <c r="B229" s="39"/>
      <c r="C229" s="39"/>
      <c r="D229" s="38" t="str">
        <f>E9</f>
        <v>Sai Balaji</v>
      </c>
      <c r="F229" s="39"/>
      <c r="G229" s="39"/>
      <c r="H229" s="39"/>
    </row>
    <row r="230" spans="1:8" x14ac:dyDescent="0.25">
      <c r="A230" s="39"/>
      <c r="B230" s="39"/>
      <c r="C230" s="39"/>
      <c r="D230" s="39"/>
      <c r="E230" s="39"/>
      <c r="F230" s="39"/>
      <c r="G230" s="39"/>
      <c r="H230" s="39"/>
    </row>
    <row r="231" spans="1:8" x14ac:dyDescent="0.25">
      <c r="A231" s="39"/>
      <c r="B231" s="39"/>
      <c r="C231" s="39"/>
      <c r="D231" s="39"/>
      <c r="E231" s="39"/>
      <c r="F231" s="39"/>
      <c r="G231" s="39"/>
      <c r="H231" s="39"/>
    </row>
    <row r="232" spans="1:8" ht="15" customHeight="1" x14ac:dyDescent="0.25"/>
    <row r="272" spans="1:1" x14ac:dyDescent="0.25">
      <c r="A272" s="41" t="s">
        <v>164</v>
      </c>
    </row>
    <row r="314" spans="1:1" x14ac:dyDescent="0.25">
      <c r="A314" s="41" t="s">
        <v>63</v>
      </c>
    </row>
  </sheetData>
  <mergeCells count="379">
    <mergeCell ref="L152:M152"/>
    <mergeCell ref="A153:B153"/>
    <mergeCell ref="A154:B154"/>
    <mergeCell ref="A155:B155"/>
    <mergeCell ref="A156:B156"/>
    <mergeCell ref="A157:B157"/>
    <mergeCell ref="C154:H154"/>
    <mergeCell ref="A158:B158"/>
    <mergeCell ref="A168:B168"/>
    <mergeCell ref="A159:H159"/>
    <mergeCell ref="A160:B160"/>
    <mergeCell ref="A161:B161"/>
    <mergeCell ref="A162:B162"/>
    <mergeCell ref="A163:B163"/>
    <mergeCell ref="A164:B164"/>
    <mergeCell ref="A165:B165"/>
    <mergeCell ref="A166:H166"/>
    <mergeCell ref="A167:B167"/>
    <mergeCell ref="D68:H68"/>
    <mergeCell ref="A202:H202"/>
    <mergeCell ref="A194:B194"/>
    <mergeCell ref="A195:B195"/>
    <mergeCell ref="A190:H190"/>
    <mergeCell ref="A184:H184"/>
    <mergeCell ref="A199:B199"/>
    <mergeCell ref="A196:H196"/>
    <mergeCell ref="A73:C73"/>
    <mergeCell ref="D74:H74"/>
    <mergeCell ref="A80:B80"/>
    <mergeCell ref="G79:H79"/>
    <mergeCell ref="A88:B88"/>
    <mergeCell ref="A89:B89"/>
    <mergeCell ref="A84:B84"/>
    <mergeCell ref="A83:B83"/>
    <mergeCell ref="E79:F79"/>
    <mergeCell ref="A81:B81"/>
    <mergeCell ref="E136:F136"/>
    <mergeCell ref="A140:H140"/>
    <mergeCell ref="A150:A151"/>
    <mergeCell ref="F150:F151"/>
    <mergeCell ref="A152:H152"/>
    <mergeCell ref="A169:B169"/>
    <mergeCell ref="A86:B86"/>
    <mergeCell ref="I15:P15"/>
    <mergeCell ref="F128:H128"/>
    <mergeCell ref="F126:H126"/>
    <mergeCell ref="A186:B186"/>
    <mergeCell ref="A141:H141"/>
    <mergeCell ref="G132:H132"/>
    <mergeCell ref="A127:E127"/>
    <mergeCell ref="A146:B146"/>
    <mergeCell ref="A61:B61"/>
    <mergeCell ref="C61:E61"/>
    <mergeCell ref="D63:H63"/>
    <mergeCell ref="F127:H127"/>
    <mergeCell ref="E132:F132"/>
    <mergeCell ref="A132:B132"/>
    <mergeCell ref="C136:D136"/>
    <mergeCell ref="D73:H73"/>
    <mergeCell ref="D64:H64"/>
    <mergeCell ref="G61:H61"/>
    <mergeCell ref="A54:B55"/>
    <mergeCell ref="A149:H149"/>
    <mergeCell ref="D142:D143"/>
    <mergeCell ref="A85:B85"/>
    <mergeCell ref="A50:B50"/>
    <mergeCell ref="A98:B98"/>
    <mergeCell ref="A100:B100"/>
    <mergeCell ref="F119:H119"/>
    <mergeCell ref="G133:H133"/>
    <mergeCell ref="A103:B103"/>
    <mergeCell ref="F125:H125"/>
    <mergeCell ref="C132:D132"/>
    <mergeCell ref="C138:D138"/>
    <mergeCell ref="A173:H173"/>
    <mergeCell ref="F121:H121"/>
    <mergeCell ref="A125:E125"/>
    <mergeCell ref="A124:E124"/>
    <mergeCell ref="A170:B170"/>
    <mergeCell ref="A171:B171"/>
    <mergeCell ref="A172:B172"/>
    <mergeCell ref="F118:H118"/>
    <mergeCell ref="F123:H123"/>
    <mergeCell ref="A174:B174"/>
    <mergeCell ref="A148:B148"/>
    <mergeCell ref="A147:B147"/>
    <mergeCell ref="F124:H124"/>
    <mergeCell ref="A126:E126"/>
    <mergeCell ref="A115:B115"/>
    <mergeCell ref="A222:H222"/>
    <mergeCell ref="A219:H219"/>
    <mergeCell ref="A179:B179"/>
    <mergeCell ref="A136:B136"/>
    <mergeCell ref="D150:D151"/>
    <mergeCell ref="E150:E151"/>
    <mergeCell ref="A188:B188"/>
    <mergeCell ref="B207:H207"/>
    <mergeCell ref="A197:B197"/>
    <mergeCell ref="A198:B198"/>
    <mergeCell ref="A201:B201"/>
    <mergeCell ref="B215:H215"/>
    <mergeCell ref="B214:H214"/>
    <mergeCell ref="A218:H218"/>
    <mergeCell ref="F122:H122"/>
    <mergeCell ref="A189:B189"/>
    <mergeCell ref="A122:E122"/>
    <mergeCell ref="A177:B177"/>
    <mergeCell ref="B210:H210"/>
    <mergeCell ref="G142:G143"/>
    <mergeCell ref="A192:B192"/>
    <mergeCell ref="A200:B200"/>
    <mergeCell ref="B203:H203"/>
    <mergeCell ref="B204:H204"/>
    <mergeCell ref="B206:H206"/>
    <mergeCell ref="A225:H228"/>
    <mergeCell ref="A224:B224"/>
    <mergeCell ref="E224:F224"/>
    <mergeCell ref="C224:D224"/>
    <mergeCell ref="G224:H224"/>
    <mergeCell ref="A131:H131"/>
    <mergeCell ref="A129:E129"/>
    <mergeCell ref="F129:H129"/>
    <mergeCell ref="A130:E130"/>
    <mergeCell ref="F130:H130"/>
    <mergeCell ref="A178:H178"/>
    <mergeCell ref="A137:B137"/>
    <mergeCell ref="A187:B187"/>
    <mergeCell ref="A133:B133"/>
    <mergeCell ref="A220:H220"/>
    <mergeCell ref="A135:H135"/>
    <mergeCell ref="A223:H223"/>
    <mergeCell ref="A221:H221"/>
    <mergeCell ref="A217:H217"/>
    <mergeCell ref="G136:H136"/>
    <mergeCell ref="B208:H208"/>
    <mergeCell ref="A193:B193"/>
    <mergeCell ref="A182:B182"/>
    <mergeCell ref="C139:D13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58:B60"/>
    <mergeCell ref="C60:H60"/>
    <mergeCell ref="C58:E59"/>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C76:H76"/>
    <mergeCell ref="A71:C71"/>
    <mergeCell ref="D71:H71"/>
    <mergeCell ref="C78:H78"/>
    <mergeCell ref="A72:C72"/>
    <mergeCell ref="D72:H72"/>
    <mergeCell ref="A75:C75"/>
    <mergeCell ref="D75:H75"/>
    <mergeCell ref="A74:C74"/>
    <mergeCell ref="A41:H41"/>
    <mergeCell ref="A79:B79"/>
    <mergeCell ref="A46:D46"/>
    <mergeCell ref="A47:D47"/>
    <mergeCell ref="D70:H70"/>
    <mergeCell ref="A44:D44"/>
    <mergeCell ref="E44:H44"/>
    <mergeCell ref="E45:H45"/>
    <mergeCell ref="E46:H46"/>
    <mergeCell ref="E47:H47"/>
    <mergeCell ref="C57:H57"/>
    <mergeCell ref="A48:H48"/>
    <mergeCell ref="D65:H65"/>
    <mergeCell ref="A65:C65"/>
    <mergeCell ref="A45:D45"/>
    <mergeCell ref="A49:B49"/>
    <mergeCell ref="C49:H49"/>
    <mergeCell ref="A66:C68"/>
    <mergeCell ref="D66:H66"/>
    <mergeCell ref="D67:H67"/>
    <mergeCell ref="G52:H52"/>
    <mergeCell ref="A62:H62"/>
    <mergeCell ref="A78:B78"/>
    <mergeCell ref="A76:B76"/>
    <mergeCell ref="A63:C63"/>
    <mergeCell ref="A69:C69"/>
    <mergeCell ref="A70:C70"/>
    <mergeCell ref="D69:H69"/>
    <mergeCell ref="F37:H37"/>
    <mergeCell ref="C51:E51"/>
    <mergeCell ref="C50:E50"/>
    <mergeCell ref="G50:H50"/>
    <mergeCell ref="A51:B51"/>
    <mergeCell ref="G56:H56"/>
    <mergeCell ref="G58:H58"/>
    <mergeCell ref="G51:H51"/>
    <mergeCell ref="A39:B39"/>
    <mergeCell ref="C39:H39"/>
    <mergeCell ref="C55:H55"/>
    <mergeCell ref="A52:B53"/>
    <mergeCell ref="C54:E54"/>
    <mergeCell ref="C52:E52"/>
    <mergeCell ref="A64:C64"/>
    <mergeCell ref="C56:E56"/>
    <mergeCell ref="G54:H54"/>
    <mergeCell ref="A56:B57"/>
    <mergeCell ref="G59:H59"/>
    <mergeCell ref="E42:H42"/>
    <mergeCell ref="A38:H38"/>
    <mergeCell ref="L148:M148"/>
    <mergeCell ref="L147:M147"/>
    <mergeCell ref="L146:M146"/>
    <mergeCell ref="L145:M145"/>
    <mergeCell ref="A87:B87"/>
    <mergeCell ref="C137:D137"/>
    <mergeCell ref="E137:F137"/>
    <mergeCell ref="G137:H137"/>
    <mergeCell ref="A119:E119"/>
    <mergeCell ref="A90:B90"/>
    <mergeCell ref="C90:H90"/>
    <mergeCell ref="A144:H144"/>
    <mergeCell ref="E142:E143"/>
    <mergeCell ref="A94:B94"/>
    <mergeCell ref="C92:H92"/>
    <mergeCell ref="A95:B95"/>
    <mergeCell ref="A96:B96"/>
    <mergeCell ref="G94:H103"/>
    <mergeCell ref="A97:B97"/>
    <mergeCell ref="F120:H120"/>
    <mergeCell ref="A120:E120"/>
    <mergeCell ref="E139:F139"/>
    <mergeCell ref="A114:B114"/>
    <mergeCell ref="L178:M178"/>
    <mergeCell ref="A183:B183"/>
    <mergeCell ref="A180:B180"/>
    <mergeCell ref="A181:B181"/>
    <mergeCell ref="A191:B191"/>
    <mergeCell ref="A40:B40"/>
    <mergeCell ref="C40:H40"/>
    <mergeCell ref="F142:F143"/>
    <mergeCell ref="C133:D133"/>
    <mergeCell ref="E133:F133"/>
    <mergeCell ref="B142:B143"/>
    <mergeCell ref="A142:A143"/>
    <mergeCell ref="C150:C151"/>
    <mergeCell ref="G150:G151"/>
    <mergeCell ref="L177:M177"/>
    <mergeCell ref="L174:M174"/>
    <mergeCell ref="A175:B175"/>
    <mergeCell ref="G139:H139"/>
    <mergeCell ref="L175:M175"/>
    <mergeCell ref="A176:B176"/>
    <mergeCell ref="L176:M176"/>
    <mergeCell ref="A112:B112"/>
    <mergeCell ref="A92:B92"/>
    <mergeCell ref="C53:H53"/>
    <mergeCell ref="A82:B82"/>
    <mergeCell ref="E80:F89"/>
    <mergeCell ref="G80:H89"/>
    <mergeCell ref="B213:H213"/>
    <mergeCell ref="A123:E123"/>
    <mergeCell ref="A138:B138"/>
    <mergeCell ref="E138:F138"/>
    <mergeCell ref="A128:E128"/>
    <mergeCell ref="G138:H138"/>
    <mergeCell ref="A134:B134"/>
    <mergeCell ref="C134:D134"/>
    <mergeCell ref="E134:F134"/>
    <mergeCell ref="G134:H134"/>
    <mergeCell ref="A99:B99"/>
    <mergeCell ref="G93:H93"/>
    <mergeCell ref="B211:H211"/>
    <mergeCell ref="A101:B101"/>
    <mergeCell ref="A185:B185"/>
    <mergeCell ref="B209:H209"/>
    <mergeCell ref="A145:B145"/>
    <mergeCell ref="B212:H212"/>
    <mergeCell ref="A139:B139"/>
    <mergeCell ref="A102:B102"/>
    <mergeCell ref="A121:E121"/>
    <mergeCell ref="B216:H216"/>
    <mergeCell ref="A117:B117"/>
    <mergeCell ref="C142:C143"/>
    <mergeCell ref="B150:B151"/>
    <mergeCell ref="B205:H205"/>
    <mergeCell ref="A93:B93"/>
    <mergeCell ref="E93:F93"/>
    <mergeCell ref="E94:F103"/>
    <mergeCell ref="A104:B104"/>
    <mergeCell ref="C104:H104"/>
    <mergeCell ref="A106:B106"/>
    <mergeCell ref="C106:H106"/>
    <mergeCell ref="A107:B107"/>
    <mergeCell ref="E107:F107"/>
    <mergeCell ref="G107:H107"/>
    <mergeCell ref="A108:B108"/>
    <mergeCell ref="E108:F117"/>
    <mergeCell ref="G108:H117"/>
    <mergeCell ref="A109:B109"/>
    <mergeCell ref="A110:B110"/>
    <mergeCell ref="A111:B111"/>
    <mergeCell ref="A113:B113"/>
    <mergeCell ref="A116:B116"/>
    <mergeCell ref="A118:E118"/>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2:E143">
      <formula1>"Attached Loft area,Attached Otla area,Attached Mezzanine area"</formula1>
    </dataValidation>
    <dataValidation type="list" allowBlank="1" showInputMessage="1" showErrorMessage="1" sqref="G224:H224">
      <formula1>"Kunal Kadam,Pranita Mhatre,Shruti Fule,Pooja Kawale,Gaurav Panchal,Shruti Tathare, Dipti Gothawade,Saurav Panse, Sachin Sawant"</formula1>
    </dataValidation>
    <dataValidation type="list" allowBlank="1" showInputMessage="1" showErrorMessage="1" sqref="F118:H118">
      <formula1>"On Saleable Area,On Builtup Area,On Carpet Area,On Plot Area"</formula1>
    </dataValidation>
    <dataValidation type="list" allowBlank="1" showInputMessage="1" showErrorMessage="1" sqref="F129:H129">
      <formula1>OFFSET($S$118,1,MATCH($G20,$S$118:$W$118,0)-1,15,1)</formula1>
    </dataValidation>
    <dataValidation type="list" allowBlank="1" showInputMessage="1" showErrorMessage="1" sqref="B142:B143">
      <formula1>"Shop No. (Sale Plan),Sale / Rehab,Sale / Mhada"</formula1>
    </dataValidation>
    <dataValidation type="list" allowBlank="1" showInputMessage="1" showErrorMessage="1" sqref="B150:B15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0:E151">
      <formula1>"Fungible area,Balcony + Enclose Balcony + C.B. Area + Dry Area,Chajja Area,Cornice Area,AP Area,WS Area"</formula1>
    </dataValidation>
    <dataValidation type="list" allowBlank="1" showInputMessage="1" showErrorMessage="1" sqref="H143 H15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2 H150">
      <formula1>"Saleable area Loading :,Builder Saleable Area"</formula1>
    </dataValidation>
    <dataValidation type="list" allowBlank="1" showInputMessage="1" showErrorMessage="1" sqref="D142:D143">
      <formula1>"Carpet area,RERA Carpet area"</formula1>
    </dataValidation>
    <dataValidation type="list" allowBlank="1" showInputMessage="1" showErrorMessage="1" sqref="D150:D151">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5" max="16383" man="1"/>
    <brk id="149" max="7" man="1"/>
    <brk id="228" max="16383" man="1"/>
    <brk id="271" max="16383" man="1"/>
    <brk id="31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7" t="s">
        <v>104</v>
      </c>
      <c r="C3" s="277"/>
      <c r="D3" s="277"/>
      <c r="E3" s="277"/>
      <c r="F3" s="277"/>
      <c r="G3" s="277"/>
      <c r="H3" s="277"/>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180</v>
      </c>
      <c r="E4" s="54" t="s">
        <v>190</v>
      </c>
      <c r="F4" s="54" t="s">
        <v>173</v>
      </c>
      <c r="G4" s="54" t="s">
        <v>195</v>
      </c>
      <c r="H4" s="54" t="s">
        <v>213</v>
      </c>
      <c r="J4" t="s">
        <v>195</v>
      </c>
      <c r="K4" t="s">
        <v>211</v>
      </c>
    </row>
    <row r="5" spans="2:11" x14ac:dyDescent="0.25">
      <c r="B5" s="53"/>
      <c r="C5" s="53"/>
      <c r="D5" s="54" t="s">
        <v>181</v>
      </c>
      <c r="E5" s="54" t="s">
        <v>188</v>
      </c>
      <c r="F5" s="54" t="s">
        <v>210</v>
      </c>
      <c r="G5" s="54" t="s">
        <v>196</v>
      </c>
      <c r="H5" s="54" t="s">
        <v>214</v>
      </c>
    </row>
    <row r="6" spans="2:11" x14ac:dyDescent="0.25">
      <c r="B6" s="53"/>
      <c r="C6" s="53"/>
      <c r="D6" s="54" t="s">
        <v>182</v>
      </c>
      <c r="E6" s="54" t="s">
        <v>189</v>
      </c>
      <c r="F6" s="54" t="s">
        <v>211</v>
      </c>
      <c r="G6" s="54" t="s">
        <v>197</v>
      </c>
      <c r="H6" s="54" t="s">
        <v>227</v>
      </c>
    </row>
    <row r="7" spans="2:11" x14ac:dyDescent="0.25">
      <c r="B7" s="53"/>
      <c r="C7" s="53"/>
      <c r="D7" s="54" t="s">
        <v>183</v>
      </c>
      <c r="E7" s="54" t="s">
        <v>191</v>
      </c>
      <c r="F7" s="54" t="s">
        <v>212</v>
      </c>
      <c r="G7" s="54" t="s">
        <v>198</v>
      </c>
      <c r="H7" s="54" t="s">
        <v>215</v>
      </c>
    </row>
    <row r="8" spans="2:11" x14ac:dyDescent="0.25">
      <c r="B8" s="53"/>
      <c r="C8" s="53"/>
      <c r="D8" s="54" t="s">
        <v>184</v>
      </c>
      <c r="E8" s="54" t="s">
        <v>192</v>
      </c>
      <c r="F8" s="54"/>
      <c r="G8" s="54" t="s">
        <v>199</v>
      </c>
      <c r="H8" s="54" t="s">
        <v>216</v>
      </c>
    </row>
    <row r="9" spans="2:11" x14ac:dyDescent="0.25">
      <c r="B9" s="53"/>
      <c r="C9" s="53"/>
      <c r="D9" s="54" t="s">
        <v>185</v>
      </c>
      <c r="E9" s="54" t="s">
        <v>190</v>
      </c>
      <c r="F9" s="54"/>
      <c r="G9" s="54" t="s">
        <v>200</v>
      </c>
      <c r="H9" s="54" t="s">
        <v>217</v>
      </c>
    </row>
    <row r="10" spans="2:11" x14ac:dyDescent="0.25">
      <c r="B10" s="53"/>
      <c r="C10" s="53"/>
      <c r="D10" s="54" t="s">
        <v>186</v>
      </c>
      <c r="E10" s="54" t="s">
        <v>193</v>
      </c>
      <c r="F10" s="54"/>
      <c r="G10" s="54" t="s">
        <v>201</v>
      </c>
      <c r="H10" s="54" t="s">
        <v>218</v>
      </c>
    </row>
    <row r="11" spans="2:11" x14ac:dyDescent="0.25">
      <c r="B11" s="53"/>
      <c r="C11" s="53"/>
      <c r="D11" s="54" t="s">
        <v>187</v>
      </c>
      <c r="E11" s="54" t="s">
        <v>194</v>
      </c>
      <c r="F11" s="54"/>
      <c r="G11" s="54" t="s">
        <v>202</v>
      </c>
      <c r="H11" s="54" t="s">
        <v>219</v>
      </c>
    </row>
    <row r="12" spans="2:11" x14ac:dyDescent="0.25">
      <c r="B12" s="53"/>
      <c r="C12" s="53"/>
      <c r="D12" s="54"/>
      <c r="E12" s="54"/>
      <c r="F12" s="54"/>
      <c r="G12" s="54" t="s">
        <v>203</v>
      </c>
      <c r="H12" s="54" t="s">
        <v>220</v>
      </c>
    </row>
    <row r="13" spans="2:11" x14ac:dyDescent="0.25">
      <c r="B13" s="53"/>
      <c r="C13" s="53"/>
      <c r="D13" s="54"/>
      <c r="E13" s="54"/>
      <c r="F13" s="54"/>
      <c r="G13" s="54" t="s">
        <v>204</v>
      </c>
      <c r="H13" s="54" t="s">
        <v>221</v>
      </c>
    </row>
    <row r="14" spans="2:11" x14ac:dyDescent="0.25">
      <c r="B14" s="53"/>
      <c r="C14" s="53"/>
      <c r="D14" s="54"/>
      <c r="E14" s="54"/>
      <c r="F14" s="54"/>
      <c r="G14" s="54" t="s">
        <v>205</v>
      </c>
      <c r="H14" s="54" t="s">
        <v>222</v>
      </c>
    </row>
    <row r="15" spans="2:11" x14ac:dyDescent="0.25">
      <c r="B15" s="53"/>
      <c r="C15" s="53"/>
      <c r="D15" s="54"/>
      <c r="E15" s="54"/>
      <c r="F15" s="54"/>
      <c r="G15" s="54" t="s">
        <v>206</v>
      </c>
      <c r="H15" s="54" t="s">
        <v>223</v>
      </c>
    </row>
    <row r="16" spans="2:11" x14ac:dyDescent="0.25">
      <c r="B16" s="53"/>
      <c r="C16" s="53"/>
      <c r="D16" s="54"/>
      <c r="E16" s="54"/>
      <c r="F16" s="54"/>
      <c r="G16" s="54" t="s">
        <v>207</v>
      </c>
      <c r="H16" s="54" t="s">
        <v>224</v>
      </c>
    </row>
    <row r="17" spans="2:8" x14ac:dyDescent="0.25">
      <c r="B17" s="53"/>
      <c r="C17" s="53"/>
      <c r="D17" s="54"/>
      <c r="E17" s="54"/>
      <c r="F17" s="54"/>
      <c r="G17" s="54" t="s">
        <v>208</v>
      </c>
      <c r="H17" s="54" t="s">
        <v>225</v>
      </c>
    </row>
    <row r="18" spans="2:8" x14ac:dyDescent="0.25">
      <c r="B18" s="53"/>
      <c r="C18" s="53"/>
      <c r="D18" s="54"/>
      <c r="E18" s="54"/>
      <c r="F18" s="54"/>
      <c r="G18" s="54" t="s">
        <v>209</v>
      </c>
      <c r="H18" s="54" t="s">
        <v>226</v>
      </c>
    </row>
    <row r="24" spans="2:8" x14ac:dyDescent="0.25">
      <c r="C24" t="s">
        <v>170</v>
      </c>
    </row>
    <row r="25" spans="2:8" x14ac:dyDescent="0.25">
      <c r="C25" t="s">
        <v>228</v>
      </c>
    </row>
    <row r="26" spans="2:8" x14ac:dyDescent="0.25">
      <c r="C26" t="s">
        <v>229</v>
      </c>
    </row>
    <row r="27" spans="2:8" x14ac:dyDescent="0.25">
      <c r="C27" t="s">
        <v>230</v>
      </c>
    </row>
    <row r="28" spans="2:8" x14ac:dyDescent="0.25">
      <c r="C28" t="s">
        <v>231</v>
      </c>
    </row>
    <row r="29" spans="2:8" x14ac:dyDescent="0.25">
      <c r="C29" t="s">
        <v>232</v>
      </c>
    </row>
    <row r="30" spans="2:8" x14ac:dyDescent="0.25">
      <c r="C30" t="s">
        <v>170</v>
      </c>
    </row>
    <row r="33" spans="3:11" x14ac:dyDescent="0.25">
      <c r="J33">
        <v>1</v>
      </c>
      <c r="K33">
        <v>2</v>
      </c>
    </row>
    <row r="34" spans="3:11" x14ac:dyDescent="0.25">
      <c r="C34" s="55" t="s">
        <v>237</v>
      </c>
      <c r="D34" s="54" t="s">
        <v>235</v>
      </c>
      <c r="E34" s="54" t="s">
        <v>240</v>
      </c>
      <c r="F34" s="54" t="s">
        <v>238</v>
      </c>
      <c r="G34" s="54" t="s">
        <v>239</v>
      </c>
      <c r="H34" s="54" t="s">
        <v>241</v>
      </c>
      <c r="J34" t="s">
        <v>195</v>
      </c>
      <c r="K34" t="s">
        <v>211</v>
      </c>
    </row>
    <row r="35" spans="3:11" x14ac:dyDescent="0.25">
      <c r="C35" s="53" t="s">
        <v>236</v>
      </c>
      <c r="D35" s="54" t="s">
        <v>171</v>
      </c>
      <c r="E35" s="54" t="s">
        <v>245</v>
      </c>
      <c r="F35" s="54" t="s">
        <v>247</v>
      </c>
      <c r="G35" s="54" t="s">
        <v>249</v>
      </c>
      <c r="H35" s="54"/>
    </row>
    <row r="36" spans="3:11" x14ac:dyDescent="0.25">
      <c r="C36" s="53"/>
      <c r="D36" s="54" t="s">
        <v>242</v>
      </c>
      <c r="E36" s="54" t="s">
        <v>246</v>
      </c>
      <c r="F36" s="54" t="s">
        <v>248</v>
      </c>
      <c r="G36" s="54" t="s">
        <v>250</v>
      </c>
      <c r="H36" s="54"/>
    </row>
    <row r="37" spans="3:11" x14ac:dyDescent="0.25">
      <c r="C37" s="53"/>
      <c r="D37" s="54" t="s">
        <v>243</v>
      </c>
      <c r="E37" s="54"/>
      <c r="F37" s="54"/>
      <c r="G37" s="54" t="s">
        <v>251</v>
      </c>
      <c r="H37" s="54"/>
    </row>
    <row r="38" spans="3:11" x14ac:dyDescent="0.25">
      <c r="C38" s="53"/>
      <c r="D38" s="54" t="s">
        <v>244</v>
      </c>
      <c r="E38" s="54"/>
      <c r="F38" s="54"/>
      <c r="G38" s="54" t="s">
        <v>251</v>
      </c>
      <c r="H38" s="54"/>
    </row>
    <row r="39" spans="3:11" x14ac:dyDescent="0.25">
      <c r="C39" s="53"/>
      <c r="D39" s="54"/>
      <c r="E39" s="54"/>
      <c r="F39" s="54"/>
      <c r="G39" s="54" t="s">
        <v>252</v>
      </c>
      <c r="H39" s="54"/>
    </row>
    <row r="40" spans="3:11" x14ac:dyDescent="0.25">
      <c r="C40" s="53"/>
      <c r="D40" s="54"/>
      <c r="E40" s="54"/>
      <c r="F40" s="54"/>
      <c r="G40" s="54" t="s">
        <v>253</v>
      </c>
      <c r="H40" s="54"/>
    </row>
    <row r="41" spans="3:11" x14ac:dyDescent="0.25">
      <c r="C41" s="53"/>
      <c r="D41" s="54"/>
      <c r="E41" s="54"/>
      <c r="F41" s="54"/>
      <c r="G41" s="54"/>
      <c r="H41" s="54"/>
    </row>
    <row r="43" spans="3:11" x14ac:dyDescent="0.25">
      <c r="C43" t="s">
        <v>254</v>
      </c>
    </row>
    <row r="44" spans="3:11" x14ac:dyDescent="0.25">
      <c r="C44" t="s">
        <v>173</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180</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195</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190</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55"/>
  <sheetViews>
    <sheetView topLeftCell="A52" zoomScaleNormal="100" workbookViewId="0">
      <selection activeCell="C40" sqref="C40"/>
    </sheetView>
  </sheetViews>
  <sheetFormatPr defaultRowHeight="15" x14ac:dyDescent="0.25"/>
  <cols>
    <col min="2" max="2" width="3" bestFit="1" customWidth="1"/>
    <col min="3" max="3" width="155.28515625" customWidth="1"/>
  </cols>
  <sheetData>
    <row r="2" spans="2:3" ht="15" customHeight="1" x14ac:dyDescent="0.25">
      <c r="B2" s="56">
        <v>1</v>
      </c>
      <c r="C2" s="58" t="s">
        <v>284</v>
      </c>
    </row>
    <row r="3" spans="2:3" x14ac:dyDescent="0.25">
      <c r="B3" s="56">
        <v>2</v>
      </c>
      <c r="C3" s="57" t="s">
        <v>285</v>
      </c>
    </row>
    <row r="4" spans="2:3" x14ac:dyDescent="0.25">
      <c r="B4" s="56">
        <v>3</v>
      </c>
      <c r="C4" s="56" t="s">
        <v>286</v>
      </c>
    </row>
    <row r="5" spans="2:3" x14ac:dyDescent="0.25">
      <c r="B5" s="56">
        <v>4</v>
      </c>
      <c r="C5" s="57" t="s">
        <v>287</v>
      </c>
    </row>
    <row r="6" spans="2:3" x14ac:dyDescent="0.25">
      <c r="B6" s="56">
        <v>5</v>
      </c>
      <c r="C6" s="56" t="s">
        <v>288</v>
      </c>
    </row>
    <row r="7" spans="2:3" ht="30" x14ac:dyDescent="0.25">
      <c r="B7" s="56">
        <v>6</v>
      </c>
      <c r="C7" s="57" t="s">
        <v>289</v>
      </c>
    </row>
    <row r="8" spans="2:3" ht="75" x14ac:dyDescent="0.25">
      <c r="B8" s="56">
        <v>7</v>
      </c>
      <c r="C8" s="57" t="s">
        <v>290</v>
      </c>
    </row>
    <row r="9" spans="2:3" x14ac:dyDescent="0.25">
      <c r="B9" s="56">
        <v>8</v>
      </c>
      <c r="C9" s="56" t="s">
        <v>291</v>
      </c>
    </row>
    <row r="10" spans="2:3" x14ac:dyDescent="0.25">
      <c r="B10" s="56">
        <v>9</v>
      </c>
      <c r="C10" s="56" t="s">
        <v>292</v>
      </c>
    </row>
    <row r="11" spans="2:3" x14ac:dyDescent="0.25">
      <c r="B11" s="56">
        <v>10</v>
      </c>
      <c r="C11" s="56" t="s">
        <v>293</v>
      </c>
    </row>
    <row r="12" spans="2:3" x14ac:dyDescent="0.25">
      <c r="B12" s="56">
        <v>11</v>
      </c>
      <c r="C12" s="56" t="s">
        <v>294</v>
      </c>
    </row>
    <row r="13" spans="2:3" x14ac:dyDescent="0.25">
      <c r="B13" s="56">
        <v>12</v>
      </c>
      <c r="C13" s="56" t="s">
        <v>295</v>
      </c>
    </row>
    <row r="14" spans="2:3" x14ac:dyDescent="0.25">
      <c r="B14" s="56">
        <v>13</v>
      </c>
      <c r="C14" s="56" t="s">
        <v>296</v>
      </c>
    </row>
    <row r="15" spans="2:3" x14ac:dyDescent="0.25">
      <c r="B15" s="56">
        <v>14</v>
      </c>
      <c r="C15" s="56" t="s">
        <v>286</v>
      </c>
    </row>
    <row r="16" spans="2:3" x14ac:dyDescent="0.25">
      <c r="B16" s="56">
        <v>15</v>
      </c>
      <c r="C16" s="56" t="s">
        <v>299</v>
      </c>
    </row>
    <row r="17" spans="2:3" x14ac:dyDescent="0.25">
      <c r="B17" s="75">
        <v>16</v>
      </c>
      <c r="C17" s="62" t="s">
        <v>300</v>
      </c>
    </row>
    <row r="18" spans="2:3" x14ac:dyDescent="0.25">
      <c r="B18" s="61">
        <v>17</v>
      </c>
      <c r="C18" s="62" t="s">
        <v>301</v>
      </c>
    </row>
    <row r="19" spans="2:3" x14ac:dyDescent="0.25">
      <c r="B19" s="60">
        <v>18</v>
      </c>
      <c r="C19" s="56" t="s">
        <v>302</v>
      </c>
    </row>
    <row r="20" spans="2:3" x14ac:dyDescent="0.25">
      <c r="B20" s="61">
        <v>19</v>
      </c>
      <c r="C20" s="56" t="s">
        <v>338</v>
      </c>
    </row>
    <row r="21" spans="2:3" x14ac:dyDescent="0.25">
      <c r="B21" s="56">
        <v>20</v>
      </c>
      <c r="C21" s="56" t="s">
        <v>303</v>
      </c>
    </row>
    <row r="22" spans="2:3" x14ac:dyDescent="0.25">
      <c r="B22" s="61">
        <v>21</v>
      </c>
      <c r="C22" s="56" t="s">
        <v>302</v>
      </c>
    </row>
    <row r="23" spans="2:3" s="70" customFormat="1" ht="29.25" customHeight="1" x14ac:dyDescent="0.25">
      <c r="B23" s="69">
        <v>22</v>
      </c>
      <c r="C23" s="58" t="s">
        <v>330</v>
      </c>
    </row>
    <row r="24" spans="2:3" s="70" customFormat="1" ht="30.75" customHeight="1" x14ac:dyDescent="0.25">
      <c r="B24" s="71">
        <v>23</v>
      </c>
      <c r="C24" s="58" t="s">
        <v>331</v>
      </c>
    </row>
    <row r="25" spans="2:3" x14ac:dyDescent="0.25">
      <c r="B25" s="56">
        <v>24</v>
      </c>
      <c r="C25" s="56" t="s">
        <v>334</v>
      </c>
    </row>
    <row r="26" spans="2:3" x14ac:dyDescent="0.25">
      <c r="B26" s="61">
        <v>25</v>
      </c>
      <c r="C26" s="56" t="s">
        <v>332</v>
      </c>
    </row>
    <row r="27" spans="2:3" x14ac:dyDescent="0.25">
      <c r="B27" s="71">
        <v>26</v>
      </c>
      <c r="C27" s="56" t="s">
        <v>333</v>
      </c>
    </row>
    <row r="28" spans="2:3" x14ac:dyDescent="0.25">
      <c r="B28" s="61">
        <v>27</v>
      </c>
      <c r="C28" s="56" t="s">
        <v>335</v>
      </c>
    </row>
    <row r="29" spans="2:3" ht="60" x14ac:dyDescent="0.25">
      <c r="B29" s="74">
        <v>28</v>
      </c>
      <c r="C29" s="57" t="s">
        <v>336</v>
      </c>
    </row>
    <row r="30" spans="2:3" x14ac:dyDescent="0.25">
      <c r="B30" s="71">
        <v>29</v>
      </c>
      <c r="C30" s="56" t="s">
        <v>337</v>
      </c>
    </row>
    <row r="31" spans="2:3" ht="30" x14ac:dyDescent="0.25">
      <c r="B31" s="71">
        <v>30</v>
      </c>
      <c r="C31" s="57" t="s">
        <v>339</v>
      </c>
    </row>
    <row r="32" spans="2:3" x14ac:dyDescent="0.25">
      <c r="B32" s="71">
        <v>31</v>
      </c>
      <c r="C32" s="56" t="s">
        <v>340</v>
      </c>
    </row>
    <row r="33" spans="2:4" x14ac:dyDescent="0.25">
      <c r="B33" s="71">
        <v>32</v>
      </c>
      <c r="C33" s="56" t="s">
        <v>341</v>
      </c>
    </row>
    <row r="34" spans="2:4" ht="36.75" customHeight="1" x14ac:dyDescent="0.25">
      <c r="B34" s="71">
        <v>33</v>
      </c>
      <c r="C34" s="62" t="s">
        <v>342</v>
      </c>
    </row>
    <row r="35" spans="2:4" x14ac:dyDescent="0.25">
      <c r="B35" s="69">
        <v>34</v>
      </c>
      <c r="C35" s="56" t="s">
        <v>350</v>
      </c>
    </row>
    <row r="36" spans="2:4" ht="60" x14ac:dyDescent="0.25">
      <c r="B36" s="69">
        <v>35</v>
      </c>
      <c r="C36" s="57" t="s">
        <v>353</v>
      </c>
    </row>
    <row r="37" spans="2:4" x14ac:dyDescent="0.25">
      <c r="B37" s="56">
        <v>36</v>
      </c>
      <c r="C37" s="57" t="s">
        <v>364</v>
      </c>
    </row>
    <row r="38" spans="2:4" x14ac:dyDescent="0.25">
      <c r="B38" s="56">
        <f t="shared" ref="B38:B44" si="0">B37+1</f>
        <v>37</v>
      </c>
      <c r="C38" s="56" t="s">
        <v>360</v>
      </c>
    </row>
    <row r="39" spans="2:4" x14ac:dyDescent="0.25">
      <c r="B39" s="56">
        <f t="shared" si="0"/>
        <v>38</v>
      </c>
      <c r="C39" s="56" t="s">
        <v>361</v>
      </c>
    </row>
    <row r="40" spans="2:4" x14ac:dyDescent="0.25">
      <c r="B40" s="56">
        <f t="shared" si="0"/>
        <v>39</v>
      </c>
      <c r="C40" s="56" t="s">
        <v>362</v>
      </c>
    </row>
    <row r="41" spans="2:4" x14ac:dyDescent="0.25">
      <c r="B41" s="56">
        <f t="shared" si="0"/>
        <v>40</v>
      </c>
      <c r="C41" s="56" t="s">
        <v>363</v>
      </c>
    </row>
    <row r="42" spans="2:4" ht="30.75" thickBot="1" x14ac:dyDescent="0.3">
      <c r="B42" s="78">
        <f t="shared" si="0"/>
        <v>41</v>
      </c>
      <c r="C42" s="79" t="s">
        <v>365</v>
      </c>
    </row>
    <row r="43" spans="2:4" ht="30" x14ac:dyDescent="0.25">
      <c r="B43" s="82">
        <f t="shared" si="0"/>
        <v>42</v>
      </c>
      <c r="C43" s="87" t="s">
        <v>370</v>
      </c>
      <c r="D43" t="s">
        <v>371</v>
      </c>
    </row>
    <row r="44" spans="2:4" ht="15.75" thickBot="1" x14ac:dyDescent="0.3">
      <c r="B44" s="84">
        <f t="shared" si="0"/>
        <v>43</v>
      </c>
      <c r="C44" s="86" t="s">
        <v>366</v>
      </c>
    </row>
    <row r="45" spans="2:4" ht="15.75" thickBot="1" x14ac:dyDescent="0.3">
      <c r="B45" s="80">
        <f t="shared" ref="B45:B54" si="1">B44+1</f>
        <v>44</v>
      </c>
      <c r="C45" s="81" t="s">
        <v>367</v>
      </c>
    </row>
    <row r="46" spans="2:4" ht="30" x14ac:dyDescent="0.25">
      <c r="B46" s="82">
        <f t="shared" si="1"/>
        <v>45</v>
      </c>
      <c r="C46" s="83" t="s">
        <v>368</v>
      </c>
    </row>
    <row r="47" spans="2:4" ht="15.75" thickBot="1" x14ac:dyDescent="0.3">
      <c r="B47" s="84">
        <f t="shared" si="1"/>
        <v>46</v>
      </c>
      <c r="C47" s="85" t="s">
        <v>369</v>
      </c>
    </row>
    <row r="48" spans="2:4" x14ac:dyDescent="0.25">
      <c r="B48" s="88">
        <f t="shared" si="1"/>
        <v>47</v>
      </c>
      <c r="C48" s="89" t="s">
        <v>372</v>
      </c>
    </row>
    <row r="49" spans="2:6" x14ac:dyDescent="0.25">
      <c r="B49" s="88">
        <f t="shared" si="1"/>
        <v>48</v>
      </c>
      <c r="C49" s="89" t="s">
        <v>373</v>
      </c>
    </row>
    <row r="50" spans="2:6" x14ac:dyDescent="0.25">
      <c r="B50" s="88">
        <f t="shared" si="1"/>
        <v>49</v>
      </c>
      <c r="C50" s="89" t="s">
        <v>375</v>
      </c>
      <c r="D50" t="s">
        <v>374</v>
      </c>
    </row>
    <row r="51" spans="2:6" ht="30" x14ac:dyDescent="0.25">
      <c r="B51" s="90">
        <f t="shared" si="1"/>
        <v>50</v>
      </c>
      <c r="C51" s="91" t="s">
        <v>376</v>
      </c>
    </row>
    <row r="52" spans="2:6" x14ac:dyDescent="0.25">
      <c r="B52" s="90">
        <f t="shared" si="1"/>
        <v>51</v>
      </c>
      <c r="C52" s="92" t="s">
        <v>378</v>
      </c>
      <c r="D52" t="s">
        <v>379</v>
      </c>
    </row>
    <row r="53" spans="2:6" x14ac:dyDescent="0.25">
      <c r="B53" s="90">
        <f t="shared" si="1"/>
        <v>52</v>
      </c>
      <c r="C53" s="92" t="s">
        <v>381</v>
      </c>
      <c r="D53" t="s">
        <v>382</v>
      </c>
    </row>
    <row r="54" spans="2:6" ht="45" x14ac:dyDescent="0.25">
      <c r="B54" s="90">
        <f t="shared" si="1"/>
        <v>53</v>
      </c>
      <c r="C54" s="62" t="s">
        <v>386</v>
      </c>
      <c r="D54" t="s">
        <v>385</v>
      </c>
    </row>
    <row r="55" spans="2:6" ht="30" x14ac:dyDescent="0.25">
      <c r="B55">
        <v>54</v>
      </c>
      <c r="C55" s="94" t="s">
        <v>387</v>
      </c>
      <c r="D55" s="278" t="s">
        <v>388</v>
      </c>
      <c r="E55" s="279"/>
      <c r="F55" s="279"/>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3" t="s">
        <v>304</v>
      </c>
      <c r="C2" s="280"/>
      <c r="D2" s="280"/>
    </row>
    <row r="3" spans="1:12" x14ac:dyDescent="0.25">
      <c r="D3" s="64"/>
      <c r="E3" s="64"/>
      <c r="F3" s="64"/>
      <c r="G3" s="64"/>
      <c r="H3" s="64"/>
      <c r="I3" s="64"/>
    </row>
    <row r="4" spans="1:12" x14ac:dyDescent="0.25">
      <c r="A4" s="63" t="s">
        <v>65</v>
      </c>
      <c r="B4" s="65" t="s">
        <v>305</v>
      </c>
      <c r="C4" s="281" t="s">
        <v>306</v>
      </c>
      <c r="D4" s="281"/>
      <c r="E4" s="281"/>
      <c r="F4" s="65"/>
      <c r="G4" s="282" t="s">
        <v>307</v>
      </c>
      <c r="H4" s="282"/>
      <c r="I4" s="282"/>
      <c r="J4" s="283" t="s">
        <v>308</v>
      </c>
      <c r="K4" s="283"/>
      <c r="L4" s="283"/>
    </row>
    <row r="5" spans="1:12" x14ac:dyDescent="0.25">
      <c r="A5" s="63"/>
      <c r="B5" s="65"/>
      <c r="C5" s="65" t="s">
        <v>309</v>
      </c>
      <c r="D5" s="65" t="s">
        <v>310</v>
      </c>
      <c r="E5" s="65" t="s">
        <v>311</v>
      </c>
      <c r="F5" s="65"/>
      <c r="G5" s="65" t="s">
        <v>309</v>
      </c>
      <c r="H5" s="65" t="s">
        <v>310</v>
      </c>
      <c r="I5" s="65" t="s">
        <v>311</v>
      </c>
      <c r="J5" s="65" t="s">
        <v>309</v>
      </c>
      <c r="K5" s="65" t="s">
        <v>310</v>
      </c>
      <c r="L5" s="65" t="s">
        <v>311</v>
      </c>
    </row>
    <row r="6" spans="1:12" x14ac:dyDescent="0.25">
      <c r="B6" s="54" t="s">
        <v>312</v>
      </c>
      <c r="C6" s="54"/>
      <c r="D6" s="54"/>
      <c r="E6" s="54">
        <f>C6*D6</f>
        <v>0</v>
      </c>
      <c r="F6" s="54" t="s">
        <v>329</v>
      </c>
      <c r="G6" s="54"/>
      <c r="H6" s="54"/>
      <c r="I6" s="54">
        <f>G6*H6</f>
        <v>0</v>
      </c>
      <c r="J6" s="54"/>
      <c r="K6" s="54"/>
      <c r="L6" s="54">
        <f>J6*K6</f>
        <v>0</v>
      </c>
    </row>
    <row r="7" spans="1:12" x14ac:dyDescent="0.25">
      <c r="B7" s="54"/>
      <c r="C7" s="54"/>
      <c r="D7" s="54"/>
      <c r="E7" s="54">
        <f t="shared" ref="E7:E41" si="0">C7*D7</f>
        <v>0</v>
      </c>
      <c r="F7" s="54" t="s">
        <v>329</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313</v>
      </c>
      <c r="G9" s="54"/>
      <c r="H9" s="54"/>
      <c r="I9" s="54">
        <f t="shared" si="1"/>
        <v>0</v>
      </c>
      <c r="J9" s="54"/>
      <c r="K9" s="54"/>
      <c r="L9" s="54">
        <f t="shared" si="2"/>
        <v>0</v>
      </c>
    </row>
    <row r="10" spans="1:12" x14ac:dyDescent="0.25">
      <c r="B10" s="54" t="s">
        <v>314</v>
      </c>
      <c r="C10" s="54"/>
      <c r="D10" s="54"/>
      <c r="E10" s="54">
        <f t="shared" si="0"/>
        <v>0</v>
      </c>
      <c r="F10" s="54" t="s">
        <v>313</v>
      </c>
      <c r="G10" s="54"/>
      <c r="H10" s="54"/>
      <c r="I10" s="54">
        <f t="shared" si="1"/>
        <v>0</v>
      </c>
      <c r="J10" s="54"/>
      <c r="K10" s="54"/>
      <c r="L10" s="54">
        <f t="shared" si="2"/>
        <v>0</v>
      </c>
    </row>
    <row r="11" spans="1:12" x14ac:dyDescent="0.25">
      <c r="B11" s="54"/>
      <c r="C11" s="54"/>
      <c r="D11" s="54"/>
      <c r="E11" s="54">
        <f t="shared" si="0"/>
        <v>0</v>
      </c>
      <c r="F11" s="54" t="s">
        <v>315</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316</v>
      </c>
      <c r="C14" s="54"/>
      <c r="D14" s="54"/>
      <c r="E14" s="54">
        <f t="shared" si="0"/>
        <v>0</v>
      </c>
      <c r="F14" s="54" t="s">
        <v>313</v>
      </c>
      <c r="G14" s="54"/>
      <c r="H14" s="54"/>
      <c r="I14" s="54">
        <f t="shared" si="1"/>
        <v>0</v>
      </c>
      <c r="J14" s="54"/>
      <c r="K14" s="54"/>
      <c r="L14" s="54">
        <f t="shared" si="2"/>
        <v>0</v>
      </c>
    </row>
    <row r="15" spans="1:12" x14ac:dyDescent="0.25">
      <c r="B15" s="54"/>
      <c r="C15" s="54"/>
      <c r="D15" s="54"/>
      <c r="E15" s="54">
        <f t="shared" si="0"/>
        <v>0</v>
      </c>
      <c r="F15" s="54" t="s">
        <v>315</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317</v>
      </c>
      <c r="C18" s="54"/>
      <c r="D18" s="54"/>
      <c r="E18" s="54">
        <f t="shared" si="0"/>
        <v>0</v>
      </c>
      <c r="F18" s="54" t="s">
        <v>313</v>
      </c>
      <c r="G18" s="54"/>
      <c r="H18" s="54"/>
      <c r="I18" s="54">
        <f t="shared" si="1"/>
        <v>0</v>
      </c>
      <c r="J18" s="54"/>
      <c r="K18" s="54"/>
      <c r="L18" s="54">
        <f t="shared" si="2"/>
        <v>0</v>
      </c>
    </row>
    <row r="19" spans="2:12" x14ac:dyDescent="0.25">
      <c r="B19" s="54"/>
      <c r="C19" s="54"/>
      <c r="D19" s="54"/>
      <c r="E19" s="54">
        <f t="shared" si="0"/>
        <v>0</v>
      </c>
      <c r="F19" s="54" t="s">
        <v>315</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318</v>
      </c>
      <c r="C21" s="54"/>
      <c r="D21" s="54"/>
      <c r="E21" s="54">
        <f t="shared" si="0"/>
        <v>0</v>
      </c>
      <c r="F21" s="54" t="s">
        <v>313</v>
      </c>
      <c r="G21" s="54"/>
      <c r="H21" s="54"/>
      <c r="I21" s="54">
        <f t="shared" si="1"/>
        <v>0</v>
      </c>
      <c r="J21" s="54"/>
      <c r="K21" s="54"/>
      <c r="L21" s="54">
        <f t="shared" si="2"/>
        <v>0</v>
      </c>
    </row>
    <row r="22" spans="2:12" x14ac:dyDescent="0.25">
      <c r="B22" s="54"/>
      <c r="C22" s="54"/>
      <c r="D22" s="54"/>
      <c r="E22" s="54">
        <f t="shared" si="0"/>
        <v>0</v>
      </c>
      <c r="F22" s="54" t="s">
        <v>315</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319</v>
      </c>
      <c r="C24" s="54"/>
      <c r="D24" s="54"/>
      <c r="E24" s="54">
        <f t="shared" si="0"/>
        <v>0</v>
      </c>
      <c r="F24" s="54" t="s">
        <v>320</v>
      </c>
      <c r="G24" s="54"/>
      <c r="H24" s="54"/>
      <c r="I24" s="54">
        <f t="shared" si="1"/>
        <v>0</v>
      </c>
      <c r="J24" s="54"/>
      <c r="K24" s="54"/>
      <c r="L24" s="54">
        <f t="shared" si="2"/>
        <v>0</v>
      </c>
    </row>
    <row r="25" spans="2:12" x14ac:dyDescent="0.25">
      <c r="B25" s="54"/>
      <c r="C25" s="54"/>
      <c r="D25" s="54"/>
      <c r="E25" s="54">
        <f>C25*D25</f>
        <v>0</v>
      </c>
      <c r="F25" s="54" t="s">
        <v>320</v>
      </c>
      <c r="G25" s="54"/>
      <c r="H25" s="54"/>
      <c r="I25" s="54">
        <f>G25*H25</f>
        <v>0</v>
      </c>
      <c r="J25" s="54"/>
      <c r="K25" s="54"/>
      <c r="L25" s="54">
        <f>J25*K25</f>
        <v>0</v>
      </c>
    </row>
    <row r="26" spans="2:12" x14ac:dyDescent="0.25">
      <c r="B26" s="54"/>
      <c r="C26" s="54"/>
      <c r="D26" s="54"/>
      <c r="E26" s="54">
        <f>C26*D26</f>
        <v>0</v>
      </c>
      <c r="F26" s="54" t="s">
        <v>320</v>
      </c>
      <c r="G26" s="54"/>
      <c r="H26" s="54"/>
      <c r="I26" s="54">
        <f>G26*H26</f>
        <v>0</v>
      </c>
      <c r="J26" s="54"/>
      <c r="K26" s="54"/>
      <c r="L26" s="54">
        <f>J26*K26</f>
        <v>0</v>
      </c>
    </row>
    <row r="27" spans="2:12" x14ac:dyDescent="0.25">
      <c r="B27" s="54"/>
      <c r="C27" s="54"/>
      <c r="D27" s="54"/>
      <c r="E27" s="54">
        <f>C27*D27</f>
        <v>0</v>
      </c>
      <c r="F27" s="54" t="s">
        <v>320</v>
      </c>
      <c r="G27" s="54"/>
      <c r="H27" s="54"/>
      <c r="I27" s="54">
        <f>G27*H27</f>
        <v>0</v>
      </c>
      <c r="J27" s="54"/>
      <c r="K27" s="54"/>
      <c r="L27" s="54">
        <f>J27*K27</f>
        <v>0</v>
      </c>
    </row>
    <row r="28" spans="2:12" x14ac:dyDescent="0.25">
      <c r="B28" s="54" t="s">
        <v>321</v>
      </c>
      <c r="C28" s="54"/>
      <c r="D28" s="54"/>
      <c r="E28" s="54">
        <f t="shared" si="0"/>
        <v>0</v>
      </c>
      <c r="F28" s="54" t="s">
        <v>320</v>
      </c>
      <c r="G28" s="54"/>
      <c r="H28" s="54"/>
      <c r="I28" s="54">
        <f t="shared" si="1"/>
        <v>0</v>
      </c>
      <c r="J28" s="54"/>
      <c r="K28" s="54"/>
      <c r="L28" s="54">
        <f t="shared" si="2"/>
        <v>0</v>
      </c>
    </row>
    <row r="29" spans="2:12" x14ac:dyDescent="0.25">
      <c r="B29" s="54" t="s">
        <v>322</v>
      </c>
      <c r="C29" s="54"/>
      <c r="D29" s="54"/>
      <c r="E29" s="54">
        <f t="shared" si="0"/>
        <v>0</v>
      </c>
      <c r="F29" s="54" t="s">
        <v>320</v>
      </c>
      <c r="G29" s="54"/>
      <c r="H29" s="54"/>
      <c r="I29" s="54">
        <f t="shared" si="1"/>
        <v>0</v>
      </c>
      <c r="J29" s="54"/>
      <c r="K29" s="54"/>
      <c r="L29" s="54">
        <f t="shared" si="2"/>
        <v>0</v>
      </c>
    </row>
    <row r="30" spans="2:12" x14ac:dyDescent="0.25">
      <c r="B30" s="54" t="s">
        <v>326</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323</v>
      </c>
      <c r="C33" s="54"/>
      <c r="D33" s="54"/>
      <c r="E33" s="54">
        <f t="shared" si="0"/>
        <v>0</v>
      </c>
      <c r="F33" s="54"/>
      <c r="G33" s="54"/>
      <c r="H33" s="54"/>
      <c r="I33" s="54">
        <f t="shared" si="1"/>
        <v>0</v>
      </c>
      <c r="J33" s="54"/>
      <c r="K33" s="54"/>
      <c r="L33" s="54">
        <f t="shared" si="2"/>
        <v>0</v>
      </c>
    </row>
    <row r="34" spans="2:12" x14ac:dyDescent="0.25">
      <c r="B34" s="54" t="s">
        <v>327</v>
      </c>
      <c r="C34" s="54"/>
      <c r="D34" s="54"/>
      <c r="E34" s="54">
        <f t="shared" si="0"/>
        <v>0</v>
      </c>
      <c r="F34" s="54"/>
      <c r="G34" s="54"/>
      <c r="H34" s="54"/>
      <c r="I34" s="54">
        <f t="shared" si="1"/>
        <v>0</v>
      </c>
      <c r="J34" s="54"/>
      <c r="K34" s="54"/>
      <c r="L34" s="54">
        <f t="shared" si="2"/>
        <v>0</v>
      </c>
    </row>
    <row r="35" spans="2:12" x14ac:dyDescent="0.25">
      <c r="B35" s="54" t="s">
        <v>324</v>
      </c>
      <c r="C35" s="54"/>
      <c r="D35" s="54"/>
      <c r="E35" s="54">
        <f t="shared" si="0"/>
        <v>0</v>
      </c>
      <c r="F35" s="54"/>
      <c r="G35" s="54"/>
      <c r="H35" s="54"/>
      <c r="I35" s="54">
        <f t="shared" si="1"/>
        <v>0</v>
      </c>
      <c r="J35" s="54"/>
      <c r="K35" s="54"/>
      <c r="L35" s="54">
        <f t="shared" si="2"/>
        <v>0</v>
      </c>
    </row>
    <row r="36" spans="2:12" x14ac:dyDescent="0.25">
      <c r="B36" s="54" t="s">
        <v>325</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328</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150</v>
      </c>
      <c r="C42" s="54"/>
      <c r="D42" s="54">
        <f>E42*10.764</f>
        <v>0</v>
      </c>
      <c r="E42" s="68">
        <f>SUM(E6:E41)</f>
        <v>0</v>
      </c>
      <c r="F42" s="54"/>
      <c r="G42" s="54"/>
      <c r="H42" s="54">
        <f>I42*10.764</f>
        <v>0</v>
      </c>
      <c r="I42" s="67">
        <f>SUM(I6:I41)</f>
        <v>0</v>
      </c>
      <c r="J42" s="54"/>
      <c r="K42" s="54">
        <f>L42*10.764</f>
        <v>0</v>
      </c>
      <c r="L42" s="66">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2025-09-18T07:57:23Z</cp:lastPrinted>
  <dcterms:created xsi:type="dcterms:W3CDTF">2019-07-16T09:29:46Z</dcterms:created>
  <dcterms:modified xsi:type="dcterms:W3CDTF">2025-09-29T07:32:40Z</dcterms:modified>
</cp:coreProperties>
</file>