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Z:\APF\25-26\Sep 2025\GHF\New\Gaurav\Sky Galaxy Bldg 1\"/>
    </mc:Choice>
  </mc:AlternateContent>
  <xr:revisionPtr revIDLastSave="0" documentId="13_ncr:1_{74775654-A58E-49B0-A077-10D9D5DD096E}" xr6:coauthVersionLast="36" xr6:coauthVersionMax="36" xr10:uidLastSave="{00000000-0000-0000-0000-000000000000}"/>
  <bookViews>
    <workbookView xWindow="-120" yWindow="-120" windowWidth="20730" windowHeight="11160" xr2:uid="{00000000-000D-0000-FFFF-FFFF00000000}"/>
  </bookViews>
  <sheets>
    <sheet name="Report" sheetId="3" r:id="rId1"/>
    <sheet name="Construction table" sheetId="4" r:id="rId2"/>
    <sheet name="Sheet1" sheetId="7" r:id="rId3"/>
    <sheet name="Remarks" sheetId="5" r:id="rId4"/>
    <sheet name="Area Calculation" sheetId="6" r:id="rId5"/>
  </sheets>
  <definedNames>
    <definedName name="_xlnm.Print_Area" localSheetId="0">Report!$A$1:$H$350</definedName>
  </definedNames>
  <calcPr calcId="191029"/>
</workbook>
</file>

<file path=xl/calcChain.xml><?xml version="1.0" encoding="utf-8"?>
<calcChain xmlns="http://schemas.openxmlformats.org/spreadsheetml/2006/main">
  <c r="J118" i="3" l="1"/>
  <c r="C19" i="3"/>
  <c r="I108" i="3" l="1"/>
  <c r="I110" i="3"/>
  <c r="I109" i="3"/>
  <c r="I170" i="3"/>
  <c r="D214" i="3"/>
  <c r="D212" i="3"/>
  <c r="F174" i="3"/>
  <c r="E174" i="3"/>
  <c r="H174" i="3" s="1"/>
  <c r="I174" i="3" s="1"/>
  <c r="F173" i="3"/>
  <c r="E173" i="3"/>
  <c r="H173" i="3" s="1"/>
  <c r="F172" i="3"/>
  <c r="E172" i="3"/>
  <c r="H172" i="3" s="1"/>
  <c r="F171" i="3"/>
  <c r="E171" i="3"/>
  <c r="H171" i="3" s="1"/>
  <c r="F170" i="3"/>
  <c r="E170" i="3"/>
  <c r="F169" i="3"/>
  <c r="E169" i="3"/>
  <c r="H169" i="3" s="1"/>
  <c r="I169" i="3" s="1"/>
  <c r="F168" i="3"/>
  <c r="E168" i="3"/>
  <c r="H168" i="3" s="1"/>
  <c r="F167" i="3"/>
  <c r="E167" i="3"/>
  <c r="H167" i="3" s="1"/>
  <c r="F166" i="3"/>
  <c r="E166" i="3"/>
  <c r="H166" i="3" s="1"/>
  <c r="I166" i="3" s="1"/>
  <c r="F165" i="3"/>
  <c r="E165" i="3"/>
  <c r="H165" i="3" s="1"/>
  <c r="I165" i="3" s="1"/>
  <c r="G163" i="3"/>
  <c r="G162" i="3"/>
  <c r="G161" i="3"/>
  <c r="G160" i="3"/>
  <c r="G155" i="3"/>
  <c r="G154" i="3"/>
  <c r="E163" i="3"/>
  <c r="H163" i="3" s="1"/>
  <c r="F162" i="3"/>
  <c r="E162" i="3"/>
  <c r="H162" i="3" s="1"/>
  <c r="F161" i="3"/>
  <c r="E161" i="3"/>
  <c r="F160" i="3"/>
  <c r="E160" i="3"/>
  <c r="F159" i="3"/>
  <c r="E159" i="3"/>
  <c r="F158" i="3"/>
  <c r="E158" i="3"/>
  <c r="F157" i="3"/>
  <c r="E157" i="3"/>
  <c r="F156" i="3"/>
  <c r="E156" i="3"/>
  <c r="E155" i="3"/>
  <c r="E154" i="3"/>
  <c r="H170" i="3"/>
  <c r="A166" i="3"/>
  <c r="A167" i="3" s="1"/>
  <c r="A168" i="3" s="1"/>
  <c r="A169" i="3" s="1"/>
  <c r="A170" i="3" s="1"/>
  <c r="A171" i="3" s="1"/>
  <c r="A172" i="3" s="1"/>
  <c r="A173" i="3" s="1"/>
  <c r="A174" i="3" s="1"/>
  <c r="I151" i="3"/>
  <c r="I143" i="3"/>
  <c r="I133" i="3"/>
  <c r="E152" i="3"/>
  <c r="H152" i="3" s="1"/>
  <c r="E151" i="3"/>
  <c r="H151" i="3" s="1"/>
  <c r="E150" i="3"/>
  <c r="H150" i="3" s="1"/>
  <c r="E149" i="3"/>
  <c r="H149" i="3" s="1"/>
  <c r="E148" i="3"/>
  <c r="H148" i="3" s="1"/>
  <c r="E147" i="3"/>
  <c r="H147" i="3" s="1"/>
  <c r="E146" i="3"/>
  <c r="H146" i="3" s="1"/>
  <c r="E145" i="3"/>
  <c r="H145" i="3" s="1"/>
  <c r="E144" i="3"/>
  <c r="H144" i="3" s="1"/>
  <c r="E143" i="3"/>
  <c r="H143" i="3" s="1"/>
  <c r="E142" i="3"/>
  <c r="H142" i="3" s="1"/>
  <c r="E141" i="3"/>
  <c r="H141" i="3" s="1"/>
  <c r="E140" i="3"/>
  <c r="H140" i="3" s="1"/>
  <c r="E139" i="3"/>
  <c r="H139" i="3" s="1"/>
  <c r="E138" i="3"/>
  <c r="H138" i="3" s="1"/>
  <c r="E137" i="3"/>
  <c r="H137" i="3" s="1"/>
  <c r="E136" i="3"/>
  <c r="H136" i="3" s="1"/>
  <c r="E135" i="3"/>
  <c r="H135" i="3" s="1"/>
  <c r="E134" i="3"/>
  <c r="H134" i="3" s="1"/>
  <c r="E133" i="3"/>
  <c r="H133" i="3" s="1"/>
  <c r="A134" i="3"/>
  <c r="A135" i="3" s="1"/>
  <c r="A136" i="3" s="1"/>
  <c r="A137" i="3" s="1"/>
  <c r="A138" i="3" s="1"/>
  <c r="A139" i="3" s="1"/>
  <c r="A140" i="3" s="1"/>
  <c r="A141" i="3" s="1"/>
  <c r="A142" i="3" s="1"/>
  <c r="A143" i="3" s="1"/>
  <c r="A144" i="3" s="1"/>
  <c r="A145" i="3" s="1"/>
  <c r="A146" i="3" s="1"/>
  <c r="A147" i="3" s="1"/>
  <c r="A148" i="3" s="1"/>
  <c r="A149" i="3" s="1"/>
  <c r="A150" i="3" s="1"/>
  <c r="A151" i="3" s="1"/>
  <c r="A152" i="3" s="1"/>
  <c r="G116" i="3"/>
  <c r="G115" i="3"/>
  <c r="E125" i="3" l="1"/>
  <c r="E127" i="3" s="1"/>
  <c r="G120" i="3"/>
  <c r="G122" i="3" s="1"/>
  <c r="E120" i="3"/>
  <c r="E122" i="3" s="1"/>
  <c r="E128" i="3" s="1"/>
  <c r="H154"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L42" i="6" s="1"/>
  <c r="K42" i="6" s="1"/>
  <c r="I6" i="6"/>
  <c r="E6" i="6"/>
  <c r="E42" i="6" l="1"/>
  <c r="E44" i="6" s="1"/>
  <c r="I42" i="6"/>
  <c r="H42" i="6" s="1"/>
  <c r="D42" i="6"/>
  <c r="D44" i="6" s="1"/>
  <c r="C26" i="3" l="1"/>
  <c r="C18" i="3"/>
  <c r="H201" i="3"/>
  <c r="H200" i="3"/>
  <c r="H199" i="3"/>
  <c r="H198" i="3"/>
  <c r="H197" i="3"/>
  <c r="H196" i="3"/>
  <c r="H195" i="3"/>
  <c r="H194" i="3"/>
  <c r="H192" i="3"/>
  <c r="H191" i="3"/>
  <c r="H190" i="3"/>
  <c r="H189" i="3"/>
  <c r="H188" i="3"/>
  <c r="H187" i="3"/>
  <c r="H186" i="3"/>
  <c r="H185" i="3"/>
  <c r="H183" i="3"/>
  <c r="H182" i="3"/>
  <c r="H181" i="3"/>
  <c r="H180" i="3"/>
  <c r="H179" i="3"/>
  <c r="H178" i="3"/>
  <c r="H177" i="3"/>
  <c r="H176" i="3"/>
  <c r="H155" i="3"/>
  <c r="H156" i="3"/>
  <c r="H157" i="3"/>
  <c r="I157" i="3" s="1"/>
  <c r="H158" i="3"/>
  <c r="H159" i="3"/>
  <c r="H160" i="3"/>
  <c r="H161" i="3"/>
  <c r="G125" i="3" l="1"/>
  <c r="G127" i="3" s="1"/>
  <c r="G128" i="3" s="1"/>
  <c r="A93" i="3"/>
  <c r="D94" i="3" s="1"/>
  <c r="J103" i="3" s="1"/>
  <c r="A77" i="3"/>
  <c r="D78" i="3" s="1"/>
  <c r="A61" i="3"/>
  <c r="D62" i="3" s="1"/>
  <c r="H78" i="3"/>
  <c r="J102"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J87" i="3"/>
  <c r="J86" i="3"/>
  <c r="K12" i="4" l="1"/>
  <c r="K16" i="4" s="1"/>
  <c r="C8" i="4" s="1"/>
  <c r="E8" i="4" s="1"/>
  <c r="E7" i="4"/>
  <c r="A155" i="3"/>
  <c r="A156" i="3" s="1"/>
  <c r="A157" i="3" s="1"/>
  <c r="A158" i="3" s="1"/>
  <c r="A159" i="3" s="1"/>
  <c r="A160" i="3" s="1"/>
  <c r="A161" i="3" s="1"/>
  <c r="A162" i="3" s="1"/>
  <c r="A163" i="3" s="1"/>
  <c r="F7" i="4" l="1"/>
  <c r="J4" i="4" s="1"/>
  <c r="H7" i="4" s="1"/>
  <c r="G4" i="3" l="1"/>
  <c r="D213" i="3" l="1"/>
  <c r="G117" i="3"/>
  <c r="J71" i="3"/>
  <c r="J70" i="3"/>
  <c r="H62" i="3"/>
  <c r="J66" i="3" l="1"/>
  <c r="D71" i="3"/>
  <c r="D68" i="3"/>
  <c r="D66" i="3"/>
  <c r="J64" i="3"/>
  <c r="D75" i="3"/>
  <c r="D73" i="3"/>
  <c r="D70" i="3"/>
  <c r="D67" i="3"/>
  <c r="J65" i="3"/>
  <c r="J63" i="3"/>
  <c r="D74" i="3"/>
  <c r="D72" i="3"/>
  <c r="D69" i="3"/>
  <c r="D91" i="3" l="1"/>
  <c r="D83" i="3"/>
  <c r="D86" i="3"/>
  <c r="J80" i="3"/>
  <c r="D90" i="3"/>
  <c r="D84" i="3"/>
  <c r="J79" i="3"/>
  <c r="D89" i="3"/>
  <c r="J82" i="3"/>
  <c r="J83" i="3" s="1"/>
  <c r="D88" i="3"/>
  <c r="D82" i="3"/>
  <c r="J81" i="3"/>
  <c r="C80" i="3" s="1"/>
  <c r="D87" i="3"/>
  <c r="D85" i="3"/>
  <c r="J67" i="3"/>
  <c r="J72" i="3" s="1"/>
  <c r="C64" i="3"/>
  <c r="D80" i="3" l="1"/>
  <c r="J84" i="3"/>
  <c r="J88" i="3"/>
  <c r="J85" i="3"/>
  <c r="D64" i="3"/>
  <c r="J68" i="3"/>
  <c r="H94" i="3"/>
  <c r="J89" i="3" l="1"/>
  <c r="C81" i="3" s="1"/>
  <c r="D107" i="3"/>
  <c r="D106" i="3"/>
  <c r="D100" i="3"/>
  <c r="J97" i="3"/>
  <c r="C96" i="3" s="1"/>
  <c r="D102" i="3"/>
  <c r="D101" i="3"/>
  <c r="J95" i="3"/>
  <c r="D105" i="3"/>
  <c r="D99" i="3"/>
  <c r="J98" i="3"/>
  <c r="J99" i="3" s="1"/>
  <c r="J100" i="3" s="1"/>
  <c r="J101" i="3" s="1"/>
  <c r="D104" i="3"/>
  <c r="D98" i="3"/>
  <c r="J96" i="3"/>
  <c r="D103" i="3"/>
  <c r="J69" i="3"/>
  <c r="D81" i="3" l="1"/>
  <c r="E80" i="3"/>
  <c r="I77" i="3" s="1"/>
  <c r="G80" i="3" s="1"/>
  <c r="J104" i="3"/>
  <c r="J105" i="3" s="1"/>
  <c r="C97" i="3" s="1"/>
  <c r="D97" i="3" s="1"/>
  <c r="D96" i="3"/>
  <c r="J73" i="3"/>
  <c r="V176" i="3"/>
  <c r="V185" i="3"/>
  <c r="U194" i="3"/>
  <c r="U176" i="3"/>
  <c r="U185" i="3"/>
  <c r="V194" i="3"/>
  <c r="E96" i="3" l="1"/>
  <c r="I93" i="3" s="1"/>
  <c r="G96" i="3" s="1"/>
  <c r="C65" i="3"/>
  <c r="E64" i="3" s="1"/>
  <c r="G108" i="3" s="1"/>
  <c r="T194" i="3"/>
  <c r="U195" i="3"/>
  <c r="V195" i="3"/>
  <c r="V196" i="3" s="1"/>
  <c r="V197" i="3" s="1"/>
  <c r="V198" i="3" s="1"/>
  <c r="V199" i="3" s="1"/>
  <c r="V200" i="3" s="1"/>
  <c r="V201" i="3" s="1"/>
  <c r="T185" i="3"/>
  <c r="U186" i="3"/>
  <c r="V186" i="3"/>
  <c r="V187" i="3" s="1"/>
  <c r="V188" i="3" s="1"/>
  <c r="V189" i="3" s="1"/>
  <c r="V190" i="3" s="1"/>
  <c r="V191" i="3" s="1"/>
  <c r="V192" i="3" s="1"/>
  <c r="V177" i="3"/>
  <c r="V178" i="3" s="1"/>
  <c r="V179" i="3" s="1"/>
  <c r="V180" i="3" s="1"/>
  <c r="V181" i="3" s="1"/>
  <c r="V182" i="3" s="1"/>
  <c r="V183" i="3" s="1"/>
  <c r="U177" i="3"/>
  <c r="T176" i="3"/>
  <c r="D65" i="3" l="1"/>
  <c r="I61" i="3"/>
  <c r="G64" i="3" s="1"/>
  <c r="A194" i="3"/>
  <c r="A185" i="3"/>
  <c r="A176" i="3"/>
  <c r="T195" i="3"/>
  <c r="A195" i="3" s="1"/>
  <c r="U196" i="3"/>
  <c r="T196" i="3" s="1"/>
  <c r="T186" i="3"/>
  <c r="A186" i="3" s="1"/>
  <c r="U187" i="3"/>
  <c r="T187" i="3" s="1"/>
  <c r="U178" i="3"/>
  <c r="T177" i="3"/>
  <c r="A177" i="3" s="1"/>
  <c r="A196" i="3" l="1"/>
  <c r="A187" i="3"/>
  <c r="U197" i="3"/>
  <c r="T197" i="3" s="1"/>
  <c r="U188" i="3"/>
  <c r="T188" i="3" s="1"/>
  <c r="U179" i="3"/>
  <c r="T178" i="3"/>
  <c r="A178" i="3" s="1"/>
  <c r="A197" i="3" l="1"/>
  <c r="A188" i="3"/>
  <c r="U198" i="3"/>
  <c r="T198" i="3" s="1"/>
  <c r="U189" i="3"/>
  <c r="T189" i="3" s="1"/>
  <c r="U180" i="3"/>
  <c r="T179" i="3"/>
  <c r="A179" i="3" s="1"/>
  <c r="A198" i="3" l="1"/>
  <c r="A189" i="3"/>
  <c r="U199" i="3"/>
  <c r="T199" i="3" s="1"/>
  <c r="U190" i="3"/>
  <c r="T190" i="3" s="1"/>
  <c r="U181" i="3"/>
  <c r="T180" i="3"/>
  <c r="A180" i="3" s="1"/>
  <c r="A199" i="3" l="1"/>
  <c r="A190" i="3"/>
  <c r="U200" i="3"/>
  <c r="T200" i="3" s="1"/>
  <c r="U191" i="3"/>
  <c r="T191" i="3" s="1"/>
  <c r="U182" i="3"/>
  <c r="T181" i="3"/>
  <c r="A181" i="3" s="1"/>
  <c r="A200" i="3" l="1"/>
  <c r="A191" i="3"/>
  <c r="U201" i="3"/>
  <c r="T201" i="3" s="1"/>
  <c r="U192" i="3"/>
  <c r="T192" i="3" s="1"/>
  <c r="U183" i="3"/>
  <c r="T182" i="3"/>
  <c r="A182" i="3" s="1"/>
  <c r="A201" i="3" l="1"/>
  <c r="A192" i="3"/>
  <c r="T183" i="3"/>
  <c r="A1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G17" authorId="0" shapeId="0" xr:uid="{00000000-0006-0000-0000-000004000000}">
      <text>
        <r>
          <rPr>
            <b/>
            <sz val="18"/>
            <color indexed="81"/>
            <rFont val="Tahoma"/>
            <family val="2"/>
          </rPr>
          <t>From Rera</t>
        </r>
      </text>
    </comment>
    <comment ref="G20" authorId="0" shapeId="0" xr:uid="{00000000-0006-0000-0000-000005000000}">
      <text>
        <r>
          <rPr>
            <b/>
            <sz val="16"/>
            <color indexed="81"/>
            <rFont val="Tahoma"/>
            <family val="2"/>
          </rPr>
          <t>From RERA</t>
        </r>
      </text>
    </comment>
    <comment ref="G21" authorId="0" shapeId="0" xr:uid="{00000000-0006-0000-0000-000006000000}">
      <text>
        <r>
          <rPr>
            <b/>
            <sz val="16"/>
            <color indexed="81"/>
            <rFont val="Tahoma"/>
            <family val="2"/>
          </rPr>
          <t>From RERA</t>
        </r>
      </text>
    </comment>
    <comment ref="G27" authorId="0" shapeId="0" xr:uid="{00000000-0006-0000-0000-000007000000}">
      <text>
        <r>
          <rPr>
            <b/>
            <sz val="12"/>
            <color indexed="81"/>
            <rFont val="Tahoma"/>
            <family val="2"/>
          </rPr>
          <t>SACHIN:</t>
        </r>
        <r>
          <rPr>
            <sz val="12"/>
            <color indexed="81"/>
            <rFont val="Tahoma"/>
            <family val="2"/>
          </rPr>
          <t xml:space="preserve">
Road size should be in metre</t>
        </r>
      </text>
    </comment>
    <comment ref="G115" authorId="0" shapeId="0" xr:uid="{00000000-0006-0000-0000-000008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<sst xmlns="http://schemas.openxmlformats.org/spreadsheetml/2006/main" count="658" uniqueCount="366">
  <si>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</si>
  <si>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</si>
  <si>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</si>
  <si>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</si>
  <si>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</si>
  <si>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</si>
  <si>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</si>
  <si>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</si>
  <si>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</si>
  <si>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</si>
  <si>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</si>
  <si>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</si>
  <si>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</si>
  <si>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</si>
  <si>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</si>
  <si>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</si>
  <si>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</si>
  <si>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</si>
  <si>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</si>
  <si>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</si>
  <si>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</si>
  <si>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</si>
  <si>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</si>
  <si>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</si>
  <si>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</si>
  <si>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</si>
  <si>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</si>
  <si>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</si>
  <si>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</si>
  <si>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</si>
  <si>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</si>
  <si>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</si>
  <si>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</si>
  <si>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</si>
  <si>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</si>
  <si>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</si>
  <si>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</si>
  <si>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</si>
  <si>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</si>
  <si>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</si>
  <si>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</si>
  <si>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</si>
  <si>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</si>
  <si>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</si>
  <si>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</si>
  <si>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</si>
  <si>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</si>
  <si>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</si>
  <si>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</si>
  <si>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</si>
  <si>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</si>
  <si>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</si>
  <si>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</si>
  <si>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</si>
  <si>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</si>
  <si>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</si>
  <si>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</si>
  <si>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</si>
  <si>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</si>
  <si>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</si>
  <si>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</si>
  <si>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</si>
  <si>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</si>
  <si>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</si>
  <si>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</si>
  <si>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</si>
  <si>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</si>
  <si>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</si>
  <si>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</si>
  <si>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</si>
  <si>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</si>
  <si>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</si>
  <si>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</si>
  <si>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</si>
  <si>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</si>
  <si>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</si>
  <si>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</si>
  <si>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</si>
  <si>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</si>
  <si>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</si>
  <si>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</si>
  <si>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</si>
  <si>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</si>
  <si>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</si>
  <si>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</si>
  <si>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</si>
  <si>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</si>
  <si>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</si>
  <si>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</si>
  <si>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</si>
  <si>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</si>
  <si>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</si>
  <si>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</si>
  <si>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</si>
  <si>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</si>
  <si>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</si>
  <si>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</si>
  <si>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</si>
  <si>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</si>
  <si>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</si>
  <si>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</si>
  <si>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</si>
  <si>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</si>
  <si>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</si>
  <si>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</si>
  <si>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</si>
  <si>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</si>
  <si>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</si>
  <si>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</si>
  <si>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</si>
  <si>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</si>
  <si>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</si>
  <si>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</si>
  <si>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</si>
  <si>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</si>
  <si>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</si>
  <si>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</si>
  <si>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</si>
  <si>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</si>
  <si>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</si>
  <si>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</si>
  <si>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</si>
  <si>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</si>
  <si>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</si>
  <si>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</si>
  <si>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</si>
  <si>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</si>
  <si>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</si>
  <si>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</si>
  <si>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</si>
  <si>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</si>
  <si>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</si>
  <si>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</si>
  <si>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</si>
  <si>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</si>
  <si>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</si>
  <si>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</si>
  <si>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</si>
  <si>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</si>
  <si>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</si>
  <si>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</si>
  <si>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</si>
  <si>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</si>
  <si>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</si>
  <si>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</si>
  <si>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</si>
  <si>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</si>
  <si>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</si>
  <si>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</si>
  <si>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</si>
  <si>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</si>
  <si>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</si>
  <si>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</si>
  <si>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</si>
  <si>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</si>
  <si>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</si>
  <si>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</si>
  <si>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</si>
  <si>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</si>
  <si>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</si>
  <si>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</si>
  <si>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</si>
  <si>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</si>
  <si>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</si>
  <si>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</si>
  <si>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</si>
  <si>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</si>
  <si>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</si>
  <si>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</si>
  <si>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</si>
  <si>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</si>
  <si>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</si>
  <si>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</si>
  <si>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</si>
  <si>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</si>
  <si>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</si>
  <si>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</si>
  <si>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</si>
  <si>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</si>
  <si>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</si>
  <si>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</si>
  <si>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</si>
  <si>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</si>
  <si>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</si>
  <si>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</si>
  <si>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</si>
  <si>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</si>
  <si>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</si>
  <si>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</si>
  <si>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</si>
  <si>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</si>
  <si>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</si>
  <si>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</si>
  <si>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</si>
  <si>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</si>
  <si>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</si>
  <si>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</si>
  <si>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</si>
  <si>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</si>
  <si>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</si>
  <si>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</si>
  <si>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</si>
  <si>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</si>
  <si>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</si>
  <si>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</si>
  <si>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</si>
  <si>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</si>
  <si>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</si>
  <si>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</si>
  <si>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</si>
  <si>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</si>
  <si>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</si>
  <si>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</si>
  <si>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</si>
  <si>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</si>
  <si>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</si>
  <si>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</si>
  <si>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</si>
  <si>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</si>
  <si>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</si>
  <si>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</si>
  <si>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</si>
  <si>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</si>
  <si>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</si>
  <si>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</si>
  <si>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</si>
  <si>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</si>
  <si>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</si>
  <si>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</si>
  <si>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</si>
  <si>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</si>
  <si>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</si>
  <si>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</si>
  <si>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</si>
  <si>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</si>
  <si>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</si>
  <si>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</si>
  <si>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</si>
  <si>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</si>
  <si>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</si>
  <si>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</si>
  <si>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</si>
  <si>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</si>
  <si>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</si>
  <si>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</si>
  <si>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</si>
  <si>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</si>
  <si>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</si>
  <si>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</si>
  <si>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</si>
  <si>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</si>
  <si>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</si>
  <si>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</si>
  <si>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</si>
  <si>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</si>
  <si>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</si>
  <si>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</si>
  <si>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</si>
  <si>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</si>
  <si>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</si>
  <si>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</si>
  <si>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</si>
  <si>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</si>
  <si>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</si>
  <si>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</si>
  <si>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</si>
  <si>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</si>
  <si>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</si>
  <si>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</si>
  <si>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</si>
  <si>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</si>
  <si>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</si>
  <si>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</si>
  <si>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</si>
  <si>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</si>
  <si>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</si>
  <si>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</si>
  <si>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</si>
  <si>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</si>
  <si>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</si>
  <si>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</si>
  <si>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</si>
  <si>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</si>
  <si>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</si>
  <si>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</si>
  <si>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</si>
  <si>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</si>
  <si>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</si>
  <si>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</si>
  <si>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</si>
  <si>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</si>
  <si>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</si>
  <si>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</si>
  <si>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</si>
  <si>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</si>
  <si>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</si>
  <si>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</si>
  <si>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</si>
  <si>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</si>
  <si>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</si>
  <si>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</si>
  <si>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</si>
  <si>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</si>
  <si>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</si>
  <si>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</si>
  <si>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</si>
  <si>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</si>
  <si>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Sky Galaxy Bldg No.1</t>
  </si>
  <si>
    <t>Ms. Rupali Munagekar</t>
  </si>
  <si>
    <t>17/09/2025 at 02:41PM</t>
  </si>
  <si>
    <t>Mr. Om Patel 7611991155</t>
  </si>
  <si>
    <t>Atree Developers</t>
  </si>
  <si>
    <t xml:space="preserve">Shop No. 2, A-Wing, Krishna Residency, Ambika Nagar, Badlapur(MCI), Ambernath, Thane- 421503 </t>
  </si>
  <si>
    <t>Proposed Build Plan On Bearing S No. 71, H. No. 1, Mouje - Yeranjad, Tal- Amnernath, Dist- Thane</t>
  </si>
  <si>
    <t>Sky Galaxy Bldg No 1,  S.NO 71, H NO 1, Yeranjad at Badlapur (M Cl), 
Ambarnath, Thane, 421503</t>
  </si>
  <si>
    <t>Sky Galaxy Bldg No.1, Survey No.71, H.No.1, near Krishna Dham, Internal Road,
Yeranjad, Yeranjad, Badlapur East, Ambernath, Thane - 421503.</t>
  </si>
  <si>
    <t>Approved Layout &amp; Floor Plans, CC, RERA certificate</t>
  </si>
  <si>
    <t>Kulgaon Badlapur Municipal Council</t>
  </si>
  <si>
    <t>P51700054404</t>
  </si>
  <si>
    <t>ICICI BANK LIMITED
IFSC Code- ICIC0002787</t>
  </si>
  <si>
    <t>19.182189,73.252752</t>
  </si>
  <si>
    <t>https://maps.app.goo.gl/vsPRunCUWTygD6KJ9</t>
  </si>
  <si>
    <t>Vitrified tiles flooring, Granite Kitchen Platform, Decorative Entrance, etc.</t>
  </si>
  <si>
    <t>15m</t>
  </si>
  <si>
    <t>Concrete</t>
  </si>
  <si>
    <t>3.5 KM from Badlapur Bus Stand</t>
  </si>
  <si>
    <t>About 2.6KM from New Life Multispeciality Hospital</t>
  </si>
  <si>
    <t>About 0.07KM from KBMC Marathi School</t>
  </si>
  <si>
    <t>1. Approx. 0.35KM from Hanuman Super Market.
2. Approx. 4.5KM from DMart.</t>
  </si>
  <si>
    <t>4.4KM from Badlapur West Railway Station
9.20KM from Ambernath  Railway Station</t>
  </si>
  <si>
    <t>Adj. S. No.71/2</t>
  </si>
  <si>
    <t>15.00 M/W D.P Road</t>
  </si>
  <si>
    <t>9.00M/W Existing Municipal Road</t>
  </si>
  <si>
    <t>Adj. S. No.121</t>
  </si>
  <si>
    <t>Open Plot</t>
  </si>
  <si>
    <t>Internal Road</t>
  </si>
  <si>
    <t xml:space="preserve">Building No. 1 </t>
  </si>
  <si>
    <t>Gr/St + 1st to 7th Floor</t>
  </si>
  <si>
    <t>KBNP/NRV/BD/2259-62</t>
  </si>
  <si>
    <t>KBNP/NRV/BP/2259/2022-2023 Unique No.62</t>
  </si>
  <si>
    <t>Building No.1 = Gr/St + 1st to 7th Floor</t>
  </si>
  <si>
    <t>https://igreval.maharashtra.gov.in/eASR2.0/eASRCommon.aspx?hDistName=Thane</t>
  </si>
  <si>
    <t>Ground Floor For Commercial, Entrance Lobby, Meter Room, Fitness Center/Creche/Soc. Office, Driver Room &amp; Parking</t>
  </si>
  <si>
    <t>Building No.1</t>
  </si>
  <si>
    <t>Shop</t>
  </si>
  <si>
    <t>2nd, 3rd, 4th, 6th, 8th, 7th Floor</t>
  </si>
  <si>
    <t>2nd to 7th Floor</t>
  </si>
  <si>
    <t>1st Floor For Residential</t>
  </si>
  <si>
    <t>1.5BHK</t>
  </si>
  <si>
    <t>1BHK</t>
  </si>
  <si>
    <t>Shops</t>
  </si>
  <si>
    <t>Flats</t>
  </si>
  <si>
    <t>Construction work is in process at the time of Visit.</t>
  </si>
  <si>
    <t>Flats = 70     &amp; 
Shop = 20</t>
  </si>
  <si>
    <t xml:space="preserve">As per RERA Site Flats = 70 &amp; Shop = 20 </t>
  </si>
  <si>
    <t>RERA Carpet area</t>
  </si>
  <si>
    <t>Balcony  + AP Area</t>
  </si>
  <si>
    <t>As per RERA 1 st arch letter &amp; Engg letter</t>
  </si>
  <si>
    <t>https://www.squareyards.com/thane-residential-property/atree-sky-galaxy/246004/project</t>
  </si>
  <si>
    <t>As per AXIS rate</t>
  </si>
  <si>
    <t>Mr. Sudhir Bhosale</t>
  </si>
  <si>
    <t xml:space="preserve">We considered Gross carpet area = Net carpet + Balcony + A.P Area.
</t>
  </si>
  <si>
    <t xml:space="preserve">Krishna Dham </t>
  </si>
  <si>
    <t>5500 to 6000</t>
  </si>
  <si>
    <t>Rate of Shop Per Sq. Ft. 
(on Carpet area)</t>
  </si>
  <si>
    <t>10000 to 11000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</si>
</sst>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6"/>
      <color rgb="FFFF0000"/>
      <name val="Times New Roman"/>
      <family val="1"/>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220">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4" fillId="4"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4" fontId="4" fillId="4" borderId="1" xfId="0" applyNumberFormat="1" applyFont="1" applyFill="1" applyBorder="1" applyAlignment="1">
      <alignment horizontal="center" vertical="top" wrapText="1"/>
    </xf>
    <xf numFmtId="0" fontId="3" fillId="4" borderId="1" xfId="1" applyFont="1" applyFill="1" applyBorder="1" applyAlignment="1" applyProtection="1">
      <alignment horizontal="center" vertical="center" wrapText="1"/>
      <protection hidden="1"/>
    </xf>
    <xf numFmtId="0" fontId="26" fillId="0" borderId="0" xfId="2" applyAlignment="1">
      <alignment vertical="top"/>
    </xf>
    <xf numFmtId="1" fontId="8" fillId="0" borderId="1" xfId="1" applyNumberFormat="1" applyFont="1" applyBorder="1" applyAlignment="1">
      <alignment horizontal="center" vertical="top" wrapText="1"/>
    </xf>
    <xf numFmtId="2" fontId="3" fillId="0" borderId="0" xfId="0" applyNumberFormat="1" applyFont="1" applyAlignment="1">
      <alignment horizontal="center" vertical="top"/>
    </xf>
    <xf numFmtId="20" fontId="3" fillId="0" borderId="0" xfId="0" applyNumberFormat="1" applyFont="1" applyAlignment="1">
      <alignment vertical="top"/>
    </xf>
    <xf numFmtId="1" fontId="3" fillId="0" borderId="0" xfId="0" applyNumberFormat="1" applyFont="1" applyAlignment="1">
      <alignment horizontal="left" vertical="top"/>
    </xf>
    <xf numFmtId="0" fontId="9" fillId="0" borderId="0" xfId="0" applyFont="1" applyAlignment="1">
      <alignment vertical="top"/>
    </xf>
    <xf numFmtId="0" fontId="22" fillId="0" borderId="0" xfId="0" applyFont="1" applyAlignment="1">
      <alignment vertical="top"/>
    </xf>
    <xf numFmtId="2" fontId="3" fillId="0" borderId="0" xfId="0" applyNumberFormat="1" applyFont="1" applyAlignment="1">
      <alignment vertical="top"/>
    </xf>
    <xf numFmtId="0" fontId="9" fillId="0" borderId="0" xfId="0" applyFont="1" applyAlignment="1">
      <alignment horizontal="center" vertical="top"/>
    </xf>
    <xf numFmtId="0" fontId="9" fillId="0" borderId="14" xfId="1" applyFont="1" applyBorder="1" applyProtection="1">
      <protection hidden="1"/>
    </xf>
    <xf numFmtId="0" fontId="9" fillId="0" borderId="0" xfId="1" applyFont="1" applyProtection="1">
      <protection hidden="1"/>
    </xf>
    <xf numFmtId="0" fontId="9" fillId="0" borderId="0" xfId="0" applyFont="1" applyProtection="1">
      <protection hidden="1"/>
    </xf>
    <xf numFmtId="0" fontId="9" fillId="0" borderId="16" xfId="0" applyFont="1" applyBorder="1" applyProtection="1">
      <protection hidden="1"/>
    </xf>
    <xf numFmtId="0" fontId="9" fillId="0" borderId="0" xfId="0" applyFont="1" applyAlignment="1" applyProtection="1">
      <alignment horizontal="center"/>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12"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7" xfId="1" applyNumberFormat="1" applyFont="1" applyFill="1" applyBorder="1" applyAlignment="1">
      <alignment horizontal="center" vertical="top" wrapText="1"/>
    </xf>
    <xf numFmtId="1" fontId="5" fillId="4" borderId="9" xfId="1" applyNumberFormat="1" applyFont="1" applyFill="1" applyBorder="1" applyAlignment="1">
      <alignment horizontal="center"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0" applyFont="1" applyFill="1" applyBorder="1" applyAlignment="1">
      <alignment horizontal="left" vertical="top" wrapText="1"/>
    </xf>
    <xf numFmtId="0" fontId="3" fillId="4" borderId="1" xfId="0" applyFont="1" applyFill="1" applyBorder="1" applyAlignment="1">
      <alignment horizontal="left" vertical="top" wrapText="1"/>
    </xf>
    <xf numFmtId="0" fontId="27" fillId="4" borderId="1" xfId="2"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5" fillId="4" borderId="20" xfId="1" applyNumberFormat="1" applyFont="1" applyFill="1" applyBorder="1" applyAlignment="1">
      <alignment horizontal="center" vertical="top" wrapText="1"/>
    </xf>
    <xf numFmtId="1" fontId="5" fillId="4" borderId="21" xfId="1" applyNumberFormat="1" applyFont="1" applyFill="1" applyBorder="1" applyAlignment="1">
      <alignment horizontal="center" vertical="top" wrapText="1"/>
    </xf>
    <xf numFmtId="1" fontId="5" fillId="4" borderId="22" xfId="1" applyNumberFormat="1" applyFont="1" applyFill="1" applyBorder="1" applyAlignment="1">
      <alignment horizontal="center" vertical="top" wrapText="1"/>
    </xf>
    <xf numFmtId="1" fontId="5" fillId="4" borderId="23" xfId="1" applyNumberFormat="1"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3" fillId="4" borderId="2" xfId="0" applyFont="1" applyFill="1" applyBorder="1" applyAlignment="1">
      <alignment horizontal="left" vertical="top"/>
    </xf>
    <xf numFmtId="0" fontId="3" fillId="4" borderId="5" xfId="0" applyFont="1" applyFill="1" applyBorder="1" applyAlignment="1">
      <alignment horizontal="left" vertical="top"/>
    </xf>
    <xf numFmtId="0" fontId="4" fillId="0" borderId="3" xfId="0" applyFont="1" applyBorder="1" applyAlignment="1">
      <alignment horizontal="left" vertical="top" wrapText="1"/>
    </xf>
    <xf numFmtId="0" fontId="3" fillId="4" borderId="3" xfId="0" applyFont="1" applyFill="1" applyBorder="1" applyAlignment="1">
      <alignment horizontal="left" vertical="top"/>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11.jpeg"/><Relationship Id="rId18" Type="http://schemas.openxmlformats.org/officeDocument/2006/relationships/image" Target="../media/image16.png"/><Relationship Id="rId26" Type="http://schemas.openxmlformats.org/officeDocument/2006/relationships/image" Target="../media/image24.png"/><Relationship Id="rId3" Type="http://schemas.openxmlformats.org/officeDocument/2006/relationships/image" Target="../media/image3.png"/><Relationship Id="rId21" Type="http://schemas.openxmlformats.org/officeDocument/2006/relationships/image" Target="../media/image19.png"/><Relationship Id="rId7" Type="http://schemas.openxmlformats.org/officeDocument/2006/relationships/image" Target="../media/image5.jpeg"/><Relationship Id="rId12" Type="http://schemas.openxmlformats.org/officeDocument/2006/relationships/image" Target="../media/image10.jpeg"/><Relationship Id="rId17" Type="http://schemas.openxmlformats.org/officeDocument/2006/relationships/image" Target="../media/image15.jpeg"/><Relationship Id="rId25" Type="http://schemas.openxmlformats.org/officeDocument/2006/relationships/image" Target="../media/image23.png"/><Relationship Id="rId2" Type="http://schemas.openxmlformats.org/officeDocument/2006/relationships/image" Target="../media/image2.png"/><Relationship Id="rId16" Type="http://schemas.openxmlformats.org/officeDocument/2006/relationships/image" Target="../media/image14.jpeg"/><Relationship Id="rId20" Type="http://schemas.openxmlformats.org/officeDocument/2006/relationships/image" Target="../media/image18.png"/><Relationship Id="rId1" Type="http://schemas.openxmlformats.org/officeDocument/2006/relationships/image" Target="../media/image1.png"/><Relationship Id="rId6" Type="http://schemas.microsoft.com/office/2007/relationships/hdphoto" Target="../media/hdphoto2.wdp"/><Relationship Id="rId11" Type="http://schemas.openxmlformats.org/officeDocument/2006/relationships/image" Target="../media/image9.jpeg"/><Relationship Id="rId24" Type="http://schemas.openxmlformats.org/officeDocument/2006/relationships/image" Target="../media/image22.png"/><Relationship Id="rId5" Type="http://schemas.openxmlformats.org/officeDocument/2006/relationships/image" Target="../media/image4.png"/><Relationship Id="rId15" Type="http://schemas.openxmlformats.org/officeDocument/2006/relationships/image" Target="../media/image13.jpeg"/><Relationship Id="rId23" Type="http://schemas.openxmlformats.org/officeDocument/2006/relationships/image" Target="../media/image21.png"/><Relationship Id="rId10" Type="http://schemas.openxmlformats.org/officeDocument/2006/relationships/image" Target="../media/image8.jpeg"/><Relationship Id="rId19" Type="http://schemas.openxmlformats.org/officeDocument/2006/relationships/image" Target="../media/image17.png"/><Relationship Id="rId4" Type="http://schemas.microsoft.com/office/2007/relationships/hdphoto" Target="../media/hdphoto1.wdp"/><Relationship Id="rId9" Type="http://schemas.openxmlformats.org/officeDocument/2006/relationships/image" Target="../media/image7.jpeg"/><Relationship Id="rId14" Type="http://schemas.openxmlformats.org/officeDocument/2006/relationships/image" Target="../media/image12.jpeg"/><Relationship Id="rId22" Type="http://schemas.openxmlformats.org/officeDocument/2006/relationships/image" Target="../media/image20.png"/><Relationship Id="rId27" Type="http://schemas.openxmlformats.org/officeDocument/2006/relationships/image" Target="../media/image2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8</xdr:col>
      <xdr:colOff>722780</xdr:colOff>
      <xdr:row>126</xdr:row>
      <xdr:rowOff>38421</xdr:rowOff>
    </xdr:from>
    <xdr:to>
      <xdr:col>23</xdr:col>
      <xdr:colOff>514746</xdr:colOff>
      <xdr:row>136</xdr:row>
      <xdr:rowOff>178760</xdr:rowOff>
    </xdr:to>
    <xdr:pic>
      <xdr:nvPicPr>
        <xdr:cNvPr id="2" name="Picture 1">
          <a:extLst>
            <a:ext uri="{FF2B5EF4-FFF2-40B4-BE49-F238E27FC236}">
              <a16:creationId xmlns:a16="http://schemas.microsoft.com/office/drawing/2014/main" id="{92581A48-D627-41E1-83E3-1D54DA46F601}"/>
            </a:ext>
          </a:extLst>
        </xdr:cNvPr>
        <xdr:cNvPicPr>
          <a:picLocks noChangeAspect="1"/>
        </xdr:cNvPicPr>
      </xdr:nvPicPr>
      <xdr:blipFill>
        <a:blip xmlns:r="http://schemas.openxmlformats.org/officeDocument/2006/relationships" r:embed="rId1"/>
        <a:stretch>
          <a:fillRect/>
        </a:stretch>
      </xdr:blipFill>
      <xdr:spPr>
        <a:xfrm>
          <a:off x="10084494" y="30164635"/>
          <a:ext cx="9085645" cy="3719017"/>
        </a:xfrm>
        <a:prstGeom prst="rect">
          <a:avLst/>
        </a:prstGeom>
      </xdr:spPr>
    </xdr:pic>
    <xdr:clientData/>
  </xdr:twoCellAnchor>
  <xdr:twoCellAnchor editAs="oneCell">
    <xdr:from>
      <xdr:col>8</xdr:col>
      <xdr:colOff>1809749</xdr:colOff>
      <xdr:row>129</xdr:row>
      <xdr:rowOff>190499</xdr:rowOff>
    </xdr:from>
    <xdr:to>
      <xdr:col>12</xdr:col>
      <xdr:colOff>275172</xdr:colOff>
      <xdr:row>154</xdr:row>
      <xdr:rowOff>13607</xdr:rowOff>
    </xdr:to>
    <xdr:pic>
      <xdr:nvPicPr>
        <xdr:cNvPr id="3" name="Picture 2">
          <a:extLst>
            <a:ext uri="{FF2B5EF4-FFF2-40B4-BE49-F238E27FC236}">
              <a16:creationId xmlns:a16="http://schemas.microsoft.com/office/drawing/2014/main" id="{775D16FE-EC8C-4C95-8AF9-09DC1FC4D2C8}"/>
            </a:ext>
          </a:extLst>
        </xdr:cNvPr>
        <xdr:cNvPicPr>
          <a:picLocks noChangeAspect="1"/>
        </xdr:cNvPicPr>
      </xdr:nvPicPr>
      <xdr:blipFill>
        <a:blip xmlns:r="http://schemas.openxmlformats.org/officeDocument/2006/relationships" r:embed="rId2"/>
        <a:stretch>
          <a:fillRect/>
        </a:stretch>
      </xdr:blipFill>
      <xdr:spPr>
        <a:xfrm>
          <a:off x="11171463" y="31214785"/>
          <a:ext cx="2751673" cy="7157358"/>
        </a:xfrm>
        <a:prstGeom prst="rect">
          <a:avLst/>
        </a:prstGeom>
      </xdr:spPr>
    </xdr:pic>
    <xdr:clientData/>
  </xdr:twoCellAnchor>
  <xdr:twoCellAnchor editAs="oneCell">
    <xdr:from>
      <xdr:col>2</xdr:col>
      <xdr:colOff>353785</xdr:colOff>
      <xdr:row>287</xdr:row>
      <xdr:rowOff>100980</xdr:rowOff>
    </xdr:from>
    <xdr:to>
      <xdr:col>5</xdr:col>
      <xdr:colOff>830036</xdr:colOff>
      <xdr:row>304</xdr:row>
      <xdr:rowOff>4069</xdr:rowOff>
    </xdr:to>
    <xdr:pic>
      <xdr:nvPicPr>
        <xdr:cNvPr id="4" name="Picture 3">
          <a:extLst>
            <a:ext uri="{FF2B5EF4-FFF2-40B4-BE49-F238E27FC236}">
              <a16:creationId xmlns:a16="http://schemas.microsoft.com/office/drawing/2014/main" id="{D2031945-B9C1-4023-9E39-596267078646}"/>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Lst>
        </a:blip>
        <a:stretch>
          <a:fillRect/>
        </a:stretch>
      </xdr:blipFill>
      <xdr:spPr>
        <a:xfrm>
          <a:off x="2694214" y="69960051"/>
          <a:ext cx="3986893" cy="4298197"/>
        </a:xfrm>
        <a:prstGeom prst="rect">
          <a:avLst/>
        </a:prstGeom>
        <a:ln>
          <a:solidFill>
            <a:schemeClr val="tx1"/>
          </a:solidFill>
        </a:ln>
      </xdr:spPr>
    </xdr:pic>
    <xdr:clientData/>
  </xdr:twoCellAnchor>
  <xdr:twoCellAnchor>
    <xdr:from>
      <xdr:col>1</xdr:col>
      <xdr:colOff>857250</xdr:colOff>
      <xdr:row>260</xdr:row>
      <xdr:rowOff>21160</xdr:rowOff>
    </xdr:from>
    <xdr:to>
      <xdr:col>6</xdr:col>
      <xdr:colOff>340178</xdr:colOff>
      <xdr:row>286</xdr:row>
      <xdr:rowOff>-1</xdr:rowOff>
    </xdr:to>
    <xdr:grpSp>
      <xdr:nvGrpSpPr>
        <xdr:cNvPr id="5" name="Group 4">
          <a:extLst>
            <a:ext uri="{FF2B5EF4-FFF2-40B4-BE49-F238E27FC236}">
              <a16:creationId xmlns:a16="http://schemas.microsoft.com/office/drawing/2014/main" id="{355700A0-9E40-4FF1-80E8-3C4FD80E34B7}"/>
            </a:ext>
          </a:extLst>
        </xdr:cNvPr>
        <xdr:cNvGrpSpPr/>
      </xdr:nvGrpSpPr>
      <xdr:grpSpPr>
        <a:xfrm>
          <a:off x="2027464" y="58994517"/>
          <a:ext cx="5334000" cy="6700768"/>
          <a:chOff x="1537666" y="4096058"/>
          <a:chExt cx="3782668" cy="4248361"/>
        </a:xfrm>
      </xdr:grpSpPr>
      <xdr:pic>
        <xdr:nvPicPr>
          <xdr:cNvPr id="6" name="Picture 5">
            <a:extLst>
              <a:ext uri="{FF2B5EF4-FFF2-40B4-BE49-F238E27FC236}">
                <a16:creationId xmlns:a16="http://schemas.microsoft.com/office/drawing/2014/main" id="{79832976-D167-4D3D-988E-3D90D853CF33}"/>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contrast="40000"/>
                    </a14:imgEffect>
                  </a14:imgLayer>
                </a14:imgProps>
              </a:ext>
            </a:extLst>
          </a:blip>
          <a:stretch>
            <a:fillRect/>
          </a:stretch>
        </xdr:blipFill>
        <xdr:spPr>
          <a:xfrm>
            <a:off x="1537666" y="4096058"/>
            <a:ext cx="3782668" cy="4248361"/>
          </a:xfrm>
          <a:prstGeom prst="rect">
            <a:avLst/>
          </a:prstGeom>
          <a:ln>
            <a:solidFill>
              <a:schemeClr val="tx1"/>
            </a:solidFill>
          </a:ln>
        </xdr:spPr>
      </xdr:pic>
      <xdr:sp macro="" textlink="">
        <xdr:nvSpPr>
          <xdr:cNvPr id="7" name="Freeform 10">
            <a:extLst>
              <a:ext uri="{FF2B5EF4-FFF2-40B4-BE49-F238E27FC236}">
                <a16:creationId xmlns:a16="http://schemas.microsoft.com/office/drawing/2014/main" id="{7AAC72EA-6193-4796-89D2-4F2B073576E0}"/>
              </a:ext>
            </a:extLst>
          </xdr:cNvPr>
          <xdr:cNvSpPr/>
        </xdr:nvSpPr>
        <xdr:spPr>
          <a:xfrm>
            <a:off x="2622550" y="5270500"/>
            <a:ext cx="1181100" cy="1905000"/>
          </a:xfrm>
          <a:custGeom>
            <a:avLst/>
            <a:gdLst>
              <a:gd name="connsiteX0" fmla="*/ 1168400 w 1206500"/>
              <a:gd name="connsiteY0" fmla="*/ 6350 h 1905000"/>
              <a:gd name="connsiteX1" fmla="*/ 25400 w 1206500"/>
              <a:gd name="connsiteY1" fmla="*/ 0 h 1905000"/>
              <a:gd name="connsiteX2" fmla="*/ 0 w 1206500"/>
              <a:gd name="connsiteY2" fmla="*/ 1892300 h 1905000"/>
              <a:gd name="connsiteX3" fmla="*/ 641350 w 1206500"/>
              <a:gd name="connsiteY3" fmla="*/ 1905000 h 1905000"/>
              <a:gd name="connsiteX4" fmla="*/ 635000 w 1206500"/>
              <a:gd name="connsiteY4" fmla="*/ 742950 h 1905000"/>
              <a:gd name="connsiteX5" fmla="*/ 1206500 w 1206500"/>
              <a:gd name="connsiteY5" fmla="*/ 742950 h 1905000"/>
              <a:gd name="connsiteX6" fmla="*/ 1168400 w 1206500"/>
              <a:gd name="connsiteY6" fmla="*/ 6350 h 1905000"/>
              <a:gd name="connsiteX0" fmla="*/ 1168400 w 1181100"/>
              <a:gd name="connsiteY0" fmla="*/ 6350 h 1905000"/>
              <a:gd name="connsiteX1" fmla="*/ 25400 w 1181100"/>
              <a:gd name="connsiteY1" fmla="*/ 0 h 1905000"/>
              <a:gd name="connsiteX2" fmla="*/ 0 w 1181100"/>
              <a:gd name="connsiteY2" fmla="*/ 1892300 h 1905000"/>
              <a:gd name="connsiteX3" fmla="*/ 641350 w 1181100"/>
              <a:gd name="connsiteY3" fmla="*/ 1905000 h 1905000"/>
              <a:gd name="connsiteX4" fmla="*/ 635000 w 1181100"/>
              <a:gd name="connsiteY4" fmla="*/ 742950 h 1905000"/>
              <a:gd name="connsiteX5" fmla="*/ 1181100 w 1181100"/>
              <a:gd name="connsiteY5" fmla="*/ 749300 h 1905000"/>
              <a:gd name="connsiteX6" fmla="*/ 1168400 w 1181100"/>
              <a:gd name="connsiteY6" fmla="*/ 6350 h 1905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81100" h="1905000">
                <a:moveTo>
                  <a:pt x="1168400" y="6350"/>
                </a:moveTo>
                <a:lnTo>
                  <a:pt x="25400" y="0"/>
                </a:lnTo>
                <a:lnTo>
                  <a:pt x="0" y="1892300"/>
                </a:lnTo>
                <a:lnTo>
                  <a:pt x="641350" y="1905000"/>
                </a:lnTo>
                <a:cubicBezTo>
                  <a:pt x="639233" y="1517650"/>
                  <a:pt x="637117" y="1130300"/>
                  <a:pt x="635000" y="742950"/>
                </a:cubicBezTo>
                <a:lnTo>
                  <a:pt x="1181100" y="749300"/>
                </a:lnTo>
                <a:lnTo>
                  <a:pt x="1168400" y="6350"/>
                </a:lnTo>
                <a:close/>
              </a:path>
            </a:pathLst>
          </a:cu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 name="TextBox 7">
            <a:extLst>
              <a:ext uri="{FF2B5EF4-FFF2-40B4-BE49-F238E27FC236}">
                <a16:creationId xmlns:a16="http://schemas.microsoft.com/office/drawing/2014/main" id="{350F8B3D-9439-409B-A3BF-7686A3E92C21}"/>
              </a:ext>
            </a:extLst>
          </xdr:cNvPr>
          <xdr:cNvSpPr txBox="1"/>
        </xdr:nvSpPr>
        <xdr:spPr>
          <a:xfrm>
            <a:off x="2622550" y="5052881"/>
            <a:ext cx="131445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C00000"/>
                </a:solidFill>
                <a:latin typeface="Times New Roman" panose="02020603050405020304" pitchFamily="18" charset="0"/>
                <a:cs typeface="Times New Roman" panose="02020603050405020304" pitchFamily="18" charset="0"/>
              </a:rPr>
              <a:t>Building No.1</a:t>
            </a:r>
            <a:endParaRPr lang="en-IN" sz="1200" b="1">
              <a:solidFill>
                <a:srgbClr val="C00000"/>
              </a:solidFill>
              <a:latin typeface="Times New Roman" panose="02020603050405020304" pitchFamily="18" charset="0"/>
              <a:cs typeface="Times New Roman" panose="02020603050405020304" pitchFamily="18" charset="0"/>
            </a:endParaRPr>
          </a:p>
        </xdr:txBody>
      </xdr:sp>
    </xdr:grpSp>
    <xdr:clientData/>
  </xdr:twoCellAnchor>
  <xdr:twoCellAnchor>
    <xdr:from>
      <xdr:col>0</xdr:col>
      <xdr:colOff>340179</xdr:colOff>
      <xdr:row>214</xdr:row>
      <xdr:rowOff>244927</xdr:rowOff>
    </xdr:from>
    <xdr:to>
      <xdr:col>7</xdr:col>
      <xdr:colOff>802822</xdr:colOff>
      <xdr:row>256</xdr:row>
      <xdr:rowOff>136071</xdr:rowOff>
    </xdr:to>
    <xdr:grpSp>
      <xdr:nvGrpSpPr>
        <xdr:cNvPr id="15" name="Group 14">
          <a:extLst>
            <a:ext uri="{FF2B5EF4-FFF2-40B4-BE49-F238E27FC236}">
              <a16:creationId xmlns:a16="http://schemas.microsoft.com/office/drawing/2014/main" id="{B902CE52-2ED0-4026-8BE6-C22AEF3D777A}"/>
            </a:ext>
          </a:extLst>
        </xdr:cNvPr>
        <xdr:cNvGrpSpPr/>
      </xdr:nvGrpSpPr>
      <xdr:grpSpPr>
        <a:xfrm>
          <a:off x="340179" y="47325641"/>
          <a:ext cx="8654143" cy="10749644"/>
          <a:chOff x="54973" y="295468"/>
          <a:chExt cx="6942352" cy="9192530"/>
        </a:xfrm>
      </xdr:grpSpPr>
      <xdr:pic>
        <xdr:nvPicPr>
          <xdr:cNvPr id="16" name="Picture 15">
            <a:extLst>
              <a:ext uri="{FF2B5EF4-FFF2-40B4-BE49-F238E27FC236}">
                <a16:creationId xmlns:a16="http://schemas.microsoft.com/office/drawing/2014/main" id="{9075A7E4-B009-4AF7-B7C4-E29FD188B8F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693911" y="295468"/>
            <a:ext cx="4303414" cy="2880000"/>
          </a:xfrm>
          <a:prstGeom prst="rect">
            <a:avLst/>
          </a:prstGeom>
          <a:ln>
            <a:solidFill>
              <a:schemeClr val="tx1"/>
            </a:solidFill>
          </a:ln>
        </xdr:spPr>
      </xdr:pic>
      <xdr:pic>
        <xdr:nvPicPr>
          <xdr:cNvPr id="17" name="Picture 16">
            <a:extLst>
              <a:ext uri="{FF2B5EF4-FFF2-40B4-BE49-F238E27FC236}">
                <a16:creationId xmlns:a16="http://schemas.microsoft.com/office/drawing/2014/main" id="{938F041E-3781-4484-8E5D-E80F09E8C3AB}"/>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4974" y="301851"/>
            <a:ext cx="2454624" cy="2880000"/>
          </a:xfrm>
          <a:prstGeom prst="rect">
            <a:avLst/>
          </a:prstGeom>
          <a:ln>
            <a:solidFill>
              <a:schemeClr val="tx1"/>
            </a:solidFill>
          </a:ln>
        </xdr:spPr>
      </xdr:pic>
      <xdr:pic>
        <xdr:nvPicPr>
          <xdr:cNvPr id="18" name="Picture 17">
            <a:extLst>
              <a:ext uri="{FF2B5EF4-FFF2-40B4-BE49-F238E27FC236}">
                <a16:creationId xmlns:a16="http://schemas.microsoft.com/office/drawing/2014/main" id="{718F9A16-7C42-4D09-A16A-62B8BEC8478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54973" y="3363900"/>
            <a:ext cx="1624518" cy="2160000"/>
          </a:xfrm>
          <a:prstGeom prst="rect">
            <a:avLst/>
          </a:prstGeom>
          <a:ln>
            <a:solidFill>
              <a:schemeClr val="tx1"/>
            </a:solidFill>
          </a:ln>
        </xdr:spPr>
      </xdr:pic>
      <xdr:pic>
        <xdr:nvPicPr>
          <xdr:cNvPr id="19" name="Picture 18">
            <a:extLst>
              <a:ext uri="{FF2B5EF4-FFF2-40B4-BE49-F238E27FC236}">
                <a16:creationId xmlns:a16="http://schemas.microsoft.com/office/drawing/2014/main" id="{D879A57A-A5BF-4D4B-A9DA-BBCAF1B6E501}"/>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600195" y="3363900"/>
            <a:ext cx="1624518" cy="2160000"/>
          </a:xfrm>
          <a:prstGeom prst="rect">
            <a:avLst/>
          </a:prstGeom>
          <a:ln>
            <a:solidFill>
              <a:schemeClr val="tx1"/>
            </a:solidFill>
          </a:ln>
        </xdr:spPr>
      </xdr:pic>
      <xdr:pic>
        <xdr:nvPicPr>
          <xdr:cNvPr id="20" name="Picture 19">
            <a:extLst>
              <a:ext uri="{FF2B5EF4-FFF2-40B4-BE49-F238E27FC236}">
                <a16:creationId xmlns:a16="http://schemas.microsoft.com/office/drawing/2014/main" id="{B76D82FE-EBCE-43FE-ADA8-0FA50B7303B1}"/>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827584" y="3363900"/>
            <a:ext cx="1624518" cy="2160000"/>
          </a:xfrm>
          <a:prstGeom prst="rect">
            <a:avLst/>
          </a:prstGeom>
          <a:ln>
            <a:solidFill>
              <a:schemeClr val="tx1"/>
            </a:solidFill>
          </a:ln>
        </xdr:spPr>
      </xdr:pic>
      <xdr:pic>
        <xdr:nvPicPr>
          <xdr:cNvPr id="21" name="Picture 20">
            <a:extLst>
              <a:ext uri="{FF2B5EF4-FFF2-40B4-BE49-F238E27FC236}">
                <a16:creationId xmlns:a16="http://schemas.microsoft.com/office/drawing/2014/main" id="{F57704BC-5300-433D-B7FB-9C983831483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372805" y="3363900"/>
            <a:ext cx="1624520" cy="2160000"/>
          </a:xfrm>
          <a:prstGeom prst="rect">
            <a:avLst/>
          </a:prstGeom>
          <a:ln>
            <a:solidFill>
              <a:schemeClr val="tx1"/>
            </a:solidFill>
          </a:ln>
        </xdr:spPr>
      </xdr:pic>
      <xdr:pic>
        <xdr:nvPicPr>
          <xdr:cNvPr id="22" name="Picture 21">
            <a:extLst>
              <a:ext uri="{FF2B5EF4-FFF2-40B4-BE49-F238E27FC236}">
                <a16:creationId xmlns:a16="http://schemas.microsoft.com/office/drawing/2014/main" id="{BA9BBC84-9AF4-4949-AC85-7961071B612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89192" y="5705949"/>
            <a:ext cx="1489143" cy="1980000"/>
          </a:xfrm>
          <a:prstGeom prst="rect">
            <a:avLst/>
          </a:prstGeom>
          <a:ln>
            <a:solidFill>
              <a:schemeClr val="tx1"/>
            </a:solidFill>
          </a:ln>
        </xdr:spPr>
      </xdr:pic>
      <xdr:pic>
        <xdr:nvPicPr>
          <xdr:cNvPr id="23" name="Picture 22">
            <a:extLst>
              <a:ext uri="{FF2B5EF4-FFF2-40B4-BE49-F238E27FC236}">
                <a16:creationId xmlns:a16="http://schemas.microsoft.com/office/drawing/2014/main" id="{1B98EC84-4ADF-4989-9B22-4940860C0928}"/>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847845" y="5705949"/>
            <a:ext cx="2626605" cy="1980000"/>
          </a:xfrm>
          <a:prstGeom prst="rect">
            <a:avLst/>
          </a:prstGeom>
          <a:ln>
            <a:solidFill>
              <a:schemeClr val="tx1"/>
            </a:solidFill>
          </a:ln>
        </xdr:spPr>
      </xdr:pic>
      <xdr:pic>
        <xdr:nvPicPr>
          <xdr:cNvPr id="24" name="Picture 23">
            <a:extLst>
              <a:ext uri="{FF2B5EF4-FFF2-40B4-BE49-F238E27FC236}">
                <a16:creationId xmlns:a16="http://schemas.microsoft.com/office/drawing/2014/main" id="{3D3AB688-E7EB-40CA-A249-74E43E5A1264}"/>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227494" y="5705949"/>
            <a:ext cx="1489142" cy="1980000"/>
          </a:xfrm>
          <a:prstGeom prst="rect">
            <a:avLst/>
          </a:prstGeom>
          <a:ln>
            <a:solidFill>
              <a:schemeClr val="tx1"/>
            </a:solidFill>
          </a:ln>
        </xdr:spPr>
      </xdr:pic>
      <xdr:pic>
        <xdr:nvPicPr>
          <xdr:cNvPr id="25" name="Picture 24">
            <a:extLst>
              <a:ext uri="{FF2B5EF4-FFF2-40B4-BE49-F238E27FC236}">
                <a16:creationId xmlns:a16="http://schemas.microsoft.com/office/drawing/2014/main" id="{F61D7B74-4305-4A2C-BC03-0BF2B84C160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911645" y="7867998"/>
            <a:ext cx="1213313" cy="1620000"/>
          </a:xfrm>
          <a:prstGeom prst="rect">
            <a:avLst/>
          </a:prstGeom>
          <a:ln>
            <a:solidFill>
              <a:schemeClr val="tx1"/>
            </a:solidFill>
          </a:ln>
        </xdr:spPr>
      </xdr:pic>
      <xdr:pic>
        <xdr:nvPicPr>
          <xdr:cNvPr id="26" name="Picture 25">
            <a:extLst>
              <a:ext uri="{FF2B5EF4-FFF2-40B4-BE49-F238E27FC236}">
                <a16:creationId xmlns:a16="http://schemas.microsoft.com/office/drawing/2014/main" id="{92982C00-468D-4D59-9708-ACDB550E0E04}"/>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261733" y="7867998"/>
            <a:ext cx="2149041" cy="1620000"/>
          </a:xfrm>
          <a:prstGeom prst="rect">
            <a:avLst/>
          </a:prstGeom>
          <a:ln>
            <a:solidFill>
              <a:schemeClr val="tx1"/>
            </a:solidFill>
          </a:ln>
        </xdr:spPr>
      </xdr:pic>
    </xdr:grpSp>
    <xdr:clientData/>
  </xdr:twoCellAnchor>
  <xdr:twoCellAnchor editAs="oneCell">
    <xdr:from>
      <xdr:col>8</xdr:col>
      <xdr:colOff>1932214</xdr:colOff>
      <xdr:row>16</xdr:row>
      <xdr:rowOff>353785</xdr:rowOff>
    </xdr:from>
    <xdr:to>
      <xdr:col>28</xdr:col>
      <xdr:colOff>232797</xdr:colOff>
      <xdr:row>20</xdr:row>
      <xdr:rowOff>431653</xdr:rowOff>
    </xdr:to>
    <xdr:pic>
      <xdr:nvPicPr>
        <xdr:cNvPr id="27" name="Picture 26">
          <a:extLst>
            <a:ext uri="{FF2B5EF4-FFF2-40B4-BE49-F238E27FC236}">
              <a16:creationId xmlns:a16="http://schemas.microsoft.com/office/drawing/2014/main" id="{69A39BDA-DF5B-4325-8DC5-8152CB75667B}"/>
            </a:ext>
          </a:extLst>
        </xdr:cNvPr>
        <xdr:cNvPicPr>
          <a:picLocks noChangeAspect="1"/>
        </xdr:cNvPicPr>
      </xdr:nvPicPr>
      <xdr:blipFill>
        <a:blip xmlns:r="http://schemas.openxmlformats.org/officeDocument/2006/relationships" r:embed="rId18"/>
        <a:stretch>
          <a:fillRect/>
        </a:stretch>
      </xdr:blipFill>
      <xdr:spPr>
        <a:xfrm>
          <a:off x="11293928" y="7742464"/>
          <a:ext cx="10574226" cy="2200582"/>
        </a:xfrm>
        <a:prstGeom prst="rect">
          <a:avLst/>
        </a:prstGeom>
      </xdr:spPr>
    </xdr:pic>
    <xdr:clientData/>
  </xdr:twoCellAnchor>
  <xdr:twoCellAnchor editAs="oneCell">
    <xdr:from>
      <xdr:col>8</xdr:col>
      <xdr:colOff>244929</xdr:colOff>
      <xdr:row>50</xdr:row>
      <xdr:rowOff>108858</xdr:rowOff>
    </xdr:from>
    <xdr:to>
      <xdr:col>15</xdr:col>
      <xdr:colOff>351933</xdr:colOff>
      <xdr:row>60</xdr:row>
      <xdr:rowOff>192132</xdr:rowOff>
    </xdr:to>
    <xdr:pic>
      <xdr:nvPicPr>
        <xdr:cNvPr id="28" name="Picture 27">
          <a:extLst>
            <a:ext uri="{FF2B5EF4-FFF2-40B4-BE49-F238E27FC236}">
              <a16:creationId xmlns:a16="http://schemas.microsoft.com/office/drawing/2014/main" id="{A3272221-FD8C-408F-AA99-85274F80CED0}"/>
            </a:ext>
          </a:extLst>
        </xdr:cNvPr>
        <xdr:cNvPicPr>
          <a:picLocks noChangeAspect="1"/>
        </xdr:cNvPicPr>
      </xdr:nvPicPr>
      <xdr:blipFill>
        <a:blip xmlns:r="http://schemas.openxmlformats.org/officeDocument/2006/relationships" r:embed="rId19"/>
        <a:stretch>
          <a:fillRect/>
        </a:stretch>
      </xdr:blipFill>
      <xdr:spPr>
        <a:xfrm>
          <a:off x="9606643" y="19322144"/>
          <a:ext cx="6230219" cy="1933845"/>
        </a:xfrm>
        <a:prstGeom prst="rect">
          <a:avLst/>
        </a:prstGeom>
      </xdr:spPr>
    </xdr:pic>
    <xdr:clientData/>
  </xdr:twoCellAnchor>
  <xdr:twoCellAnchor editAs="oneCell">
    <xdr:from>
      <xdr:col>8</xdr:col>
      <xdr:colOff>394608</xdr:colOff>
      <xdr:row>59</xdr:row>
      <xdr:rowOff>217714</xdr:rowOff>
    </xdr:from>
    <xdr:to>
      <xdr:col>16</xdr:col>
      <xdr:colOff>3607</xdr:colOff>
      <xdr:row>62</xdr:row>
      <xdr:rowOff>123921</xdr:rowOff>
    </xdr:to>
    <xdr:pic>
      <xdr:nvPicPr>
        <xdr:cNvPr id="29" name="Picture 28">
          <a:extLst>
            <a:ext uri="{FF2B5EF4-FFF2-40B4-BE49-F238E27FC236}">
              <a16:creationId xmlns:a16="http://schemas.microsoft.com/office/drawing/2014/main" id="{153824C6-06E2-4272-8BA8-8C96B248AB05}"/>
            </a:ext>
          </a:extLst>
        </xdr:cNvPr>
        <xdr:cNvPicPr>
          <a:picLocks noChangeAspect="1"/>
        </xdr:cNvPicPr>
      </xdr:nvPicPr>
      <xdr:blipFill>
        <a:blip xmlns:r="http://schemas.openxmlformats.org/officeDocument/2006/relationships" r:embed="rId20"/>
        <a:stretch>
          <a:fillRect/>
        </a:stretch>
      </xdr:blipFill>
      <xdr:spPr>
        <a:xfrm>
          <a:off x="9756322" y="22941643"/>
          <a:ext cx="6344535" cy="695422"/>
        </a:xfrm>
        <a:prstGeom prst="rect">
          <a:avLst/>
        </a:prstGeom>
      </xdr:spPr>
    </xdr:pic>
    <xdr:clientData/>
  </xdr:twoCellAnchor>
  <xdr:twoCellAnchor editAs="oneCell">
    <xdr:from>
      <xdr:col>8</xdr:col>
      <xdr:colOff>394607</xdr:colOff>
      <xdr:row>35</xdr:row>
      <xdr:rowOff>95251</xdr:rowOff>
    </xdr:from>
    <xdr:to>
      <xdr:col>13</xdr:col>
      <xdr:colOff>535463</xdr:colOff>
      <xdr:row>50</xdr:row>
      <xdr:rowOff>199154</xdr:rowOff>
    </xdr:to>
    <xdr:pic>
      <xdr:nvPicPr>
        <xdr:cNvPr id="30" name="Picture 29">
          <a:extLst>
            <a:ext uri="{FF2B5EF4-FFF2-40B4-BE49-F238E27FC236}">
              <a16:creationId xmlns:a16="http://schemas.microsoft.com/office/drawing/2014/main" id="{9A748890-F16E-4DF9-A7AA-453C5ABE443A}"/>
            </a:ext>
          </a:extLst>
        </xdr:cNvPr>
        <xdr:cNvPicPr>
          <a:picLocks noChangeAspect="1"/>
        </xdr:cNvPicPr>
      </xdr:nvPicPr>
      <xdr:blipFill>
        <a:blip xmlns:r="http://schemas.openxmlformats.org/officeDocument/2006/relationships" r:embed="rId21"/>
        <a:stretch>
          <a:fillRect/>
        </a:stretch>
      </xdr:blipFill>
      <xdr:spPr>
        <a:xfrm>
          <a:off x="9756321" y="17185822"/>
          <a:ext cx="5039428" cy="3505689"/>
        </a:xfrm>
        <a:prstGeom prst="rect">
          <a:avLst/>
        </a:prstGeom>
      </xdr:spPr>
    </xdr:pic>
    <xdr:clientData/>
  </xdr:twoCellAnchor>
  <xdr:twoCellAnchor editAs="oneCell">
    <xdr:from>
      <xdr:col>9</xdr:col>
      <xdr:colOff>27212</xdr:colOff>
      <xdr:row>152</xdr:row>
      <xdr:rowOff>81640</xdr:rowOff>
    </xdr:from>
    <xdr:to>
      <xdr:col>15</xdr:col>
      <xdr:colOff>299354</xdr:colOff>
      <xdr:row>167</xdr:row>
      <xdr:rowOff>198864</xdr:rowOff>
    </xdr:to>
    <xdr:pic>
      <xdr:nvPicPr>
        <xdr:cNvPr id="31" name="Picture 30">
          <a:extLst>
            <a:ext uri="{FF2B5EF4-FFF2-40B4-BE49-F238E27FC236}">
              <a16:creationId xmlns:a16="http://schemas.microsoft.com/office/drawing/2014/main" id="{5A961C68-9780-47AB-A583-7EC380F57380}"/>
            </a:ext>
          </a:extLst>
        </xdr:cNvPr>
        <xdr:cNvPicPr>
          <a:picLocks noChangeAspect="1"/>
        </xdr:cNvPicPr>
      </xdr:nvPicPr>
      <xdr:blipFill>
        <a:blip xmlns:r="http://schemas.openxmlformats.org/officeDocument/2006/relationships" r:embed="rId22"/>
        <a:stretch>
          <a:fillRect/>
        </a:stretch>
      </xdr:blipFill>
      <xdr:spPr>
        <a:xfrm>
          <a:off x="11647712" y="37923104"/>
          <a:ext cx="4136571" cy="3995259"/>
        </a:xfrm>
        <a:prstGeom prst="rect">
          <a:avLst/>
        </a:prstGeom>
      </xdr:spPr>
    </xdr:pic>
    <xdr:clientData/>
  </xdr:twoCellAnchor>
  <xdr:twoCellAnchor editAs="oneCell">
    <xdr:from>
      <xdr:col>10</xdr:col>
      <xdr:colOff>217714</xdr:colOff>
      <xdr:row>161</xdr:row>
      <xdr:rowOff>163286</xdr:rowOff>
    </xdr:from>
    <xdr:to>
      <xdr:col>16</xdr:col>
      <xdr:colOff>653143</xdr:colOff>
      <xdr:row>203</xdr:row>
      <xdr:rowOff>173675</xdr:rowOff>
    </xdr:to>
    <xdr:pic>
      <xdr:nvPicPr>
        <xdr:cNvPr id="32" name="Picture 31">
          <a:extLst>
            <a:ext uri="{FF2B5EF4-FFF2-40B4-BE49-F238E27FC236}">
              <a16:creationId xmlns:a16="http://schemas.microsoft.com/office/drawing/2014/main" id="{06126CA2-0A93-48FB-B466-D42E0888B24F}"/>
            </a:ext>
          </a:extLst>
        </xdr:cNvPr>
        <xdr:cNvPicPr>
          <a:picLocks noChangeAspect="1"/>
        </xdr:cNvPicPr>
      </xdr:nvPicPr>
      <xdr:blipFill>
        <a:blip xmlns:r="http://schemas.openxmlformats.org/officeDocument/2006/relationships" r:embed="rId23"/>
        <a:stretch>
          <a:fillRect/>
        </a:stretch>
      </xdr:blipFill>
      <xdr:spPr>
        <a:xfrm>
          <a:off x="12641035" y="40331572"/>
          <a:ext cx="4109358" cy="3888425"/>
        </a:xfrm>
        <a:prstGeom prst="rect">
          <a:avLst/>
        </a:prstGeom>
      </xdr:spPr>
    </xdr:pic>
    <xdr:clientData/>
  </xdr:twoCellAnchor>
  <xdr:twoCellAnchor editAs="oneCell">
    <xdr:from>
      <xdr:col>8</xdr:col>
      <xdr:colOff>353786</xdr:colOff>
      <xdr:row>9</xdr:row>
      <xdr:rowOff>95250</xdr:rowOff>
    </xdr:from>
    <xdr:to>
      <xdr:col>17</xdr:col>
      <xdr:colOff>441924</xdr:colOff>
      <xdr:row>10</xdr:row>
      <xdr:rowOff>257277</xdr:rowOff>
    </xdr:to>
    <xdr:pic>
      <xdr:nvPicPr>
        <xdr:cNvPr id="33" name="Picture 32">
          <a:extLst>
            <a:ext uri="{FF2B5EF4-FFF2-40B4-BE49-F238E27FC236}">
              <a16:creationId xmlns:a16="http://schemas.microsoft.com/office/drawing/2014/main" id="{7479F8D0-2391-42CD-AAB7-1BFCB8FE6910}"/>
            </a:ext>
          </a:extLst>
        </xdr:cNvPr>
        <xdr:cNvPicPr>
          <a:picLocks noChangeAspect="1"/>
        </xdr:cNvPicPr>
      </xdr:nvPicPr>
      <xdr:blipFill>
        <a:blip xmlns:r="http://schemas.openxmlformats.org/officeDocument/2006/relationships" r:embed="rId24"/>
        <a:stretch>
          <a:fillRect/>
        </a:stretch>
      </xdr:blipFill>
      <xdr:spPr>
        <a:xfrm>
          <a:off x="9715500" y="4299857"/>
          <a:ext cx="7544853" cy="733527"/>
        </a:xfrm>
        <a:prstGeom prst="rect">
          <a:avLst/>
        </a:prstGeom>
      </xdr:spPr>
    </xdr:pic>
    <xdr:clientData/>
  </xdr:twoCellAnchor>
  <xdr:twoCellAnchor editAs="oneCell">
    <xdr:from>
      <xdr:col>8</xdr:col>
      <xdr:colOff>449036</xdr:colOff>
      <xdr:row>64</xdr:row>
      <xdr:rowOff>108856</xdr:rowOff>
    </xdr:from>
    <xdr:to>
      <xdr:col>14</xdr:col>
      <xdr:colOff>338143</xdr:colOff>
      <xdr:row>73</xdr:row>
      <xdr:rowOff>70956</xdr:rowOff>
    </xdr:to>
    <xdr:pic>
      <xdr:nvPicPr>
        <xdr:cNvPr id="34" name="Picture 33">
          <a:extLst>
            <a:ext uri="{FF2B5EF4-FFF2-40B4-BE49-F238E27FC236}">
              <a16:creationId xmlns:a16="http://schemas.microsoft.com/office/drawing/2014/main" id="{0D9AAD1F-FCE3-4421-BCEF-5C4A4745737D}"/>
            </a:ext>
          </a:extLst>
        </xdr:cNvPr>
        <xdr:cNvPicPr>
          <a:picLocks noChangeAspect="1"/>
        </xdr:cNvPicPr>
      </xdr:nvPicPr>
      <xdr:blipFill>
        <a:blip xmlns:r="http://schemas.openxmlformats.org/officeDocument/2006/relationships" r:embed="rId25"/>
        <a:stretch>
          <a:fillRect/>
        </a:stretch>
      </xdr:blipFill>
      <xdr:spPr>
        <a:xfrm>
          <a:off x="9810750" y="24139070"/>
          <a:ext cx="5400000" cy="2397779"/>
        </a:xfrm>
        <a:prstGeom prst="rect">
          <a:avLst/>
        </a:prstGeom>
      </xdr:spPr>
    </xdr:pic>
    <xdr:clientData/>
  </xdr:twoCellAnchor>
  <xdr:twoCellAnchor>
    <xdr:from>
      <xdr:col>1</xdr:col>
      <xdr:colOff>612322</xdr:colOff>
      <xdr:row>311</xdr:row>
      <xdr:rowOff>40821</xdr:rowOff>
    </xdr:from>
    <xdr:to>
      <xdr:col>6</xdr:col>
      <xdr:colOff>161250</xdr:colOff>
      <xdr:row>337</xdr:row>
      <xdr:rowOff>24291</xdr:rowOff>
    </xdr:to>
    <xdr:grpSp>
      <xdr:nvGrpSpPr>
        <xdr:cNvPr id="35" name="Group 34">
          <a:extLst>
            <a:ext uri="{FF2B5EF4-FFF2-40B4-BE49-F238E27FC236}">
              <a16:creationId xmlns:a16="http://schemas.microsoft.com/office/drawing/2014/main" id="{A5801138-4134-4EC2-9030-FE26D6727BAC}"/>
            </a:ext>
          </a:extLst>
        </xdr:cNvPr>
        <xdr:cNvGrpSpPr/>
      </xdr:nvGrpSpPr>
      <xdr:grpSpPr>
        <a:xfrm>
          <a:off x="1782536" y="72199500"/>
          <a:ext cx="5400000" cy="6705398"/>
          <a:chOff x="729000" y="533399"/>
          <a:chExt cx="5400000" cy="6705399"/>
        </a:xfrm>
      </xdr:grpSpPr>
      <xdr:pic>
        <xdr:nvPicPr>
          <xdr:cNvPr id="36" name="Picture 35">
            <a:extLst>
              <a:ext uri="{FF2B5EF4-FFF2-40B4-BE49-F238E27FC236}">
                <a16:creationId xmlns:a16="http://schemas.microsoft.com/office/drawing/2014/main" id="{980E7FFC-1F72-4DBB-A813-B3EF2DC09F79}"/>
              </a:ext>
            </a:extLst>
          </xdr:cNvPr>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a:xfrm>
            <a:off x="729000" y="533399"/>
            <a:ext cx="5400000" cy="3769813"/>
          </a:xfrm>
          <a:prstGeom prst="rect">
            <a:avLst/>
          </a:prstGeom>
          <a:ln>
            <a:solidFill>
              <a:schemeClr val="tx1"/>
            </a:solidFill>
          </a:ln>
        </xdr:spPr>
      </xdr:pic>
      <xdr:sp macro="" textlink="">
        <xdr:nvSpPr>
          <xdr:cNvPr id="37" name="Rectangle 36">
            <a:extLst>
              <a:ext uri="{FF2B5EF4-FFF2-40B4-BE49-F238E27FC236}">
                <a16:creationId xmlns:a16="http://schemas.microsoft.com/office/drawing/2014/main" id="{10716F12-2FD6-4858-9634-860B309FF4A4}"/>
              </a:ext>
            </a:extLst>
          </xdr:cNvPr>
          <xdr:cNvSpPr/>
        </xdr:nvSpPr>
        <xdr:spPr>
          <a:xfrm rot="380239">
            <a:off x="3291591" y="1881507"/>
            <a:ext cx="582156" cy="73660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8" name="TextBox 36">
            <a:extLst>
              <a:ext uri="{FF2B5EF4-FFF2-40B4-BE49-F238E27FC236}">
                <a16:creationId xmlns:a16="http://schemas.microsoft.com/office/drawing/2014/main" id="{C5AEE607-7A9E-4C52-B5D8-8A44B46712FB}"/>
              </a:ext>
            </a:extLst>
          </xdr:cNvPr>
          <xdr:cNvSpPr txBox="1"/>
        </xdr:nvSpPr>
        <xdr:spPr>
          <a:xfrm>
            <a:off x="3810735" y="2338718"/>
            <a:ext cx="12100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Sky Galaxy</a:t>
            </a:r>
            <a:endParaRPr lang="en-IN" b="1">
              <a:solidFill>
                <a:srgbClr val="FFFF00"/>
              </a:solidFill>
            </a:endParaRPr>
          </a:p>
        </xdr:txBody>
      </xdr:sp>
      <xdr:pic>
        <xdr:nvPicPr>
          <xdr:cNvPr id="39" name="Picture 38">
            <a:extLst>
              <a:ext uri="{FF2B5EF4-FFF2-40B4-BE49-F238E27FC236}">
                <a16:creationId xmlns:a16="http://schemas.microsoft.com/office/drawing/2014/main" id="{56CA8AD5-9536-485A-B036-C3B6499317F3}"/>
              </a:ext>
            </a:extLst>
          </xdr:cNvPr>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a:xfrm>
            <a:off x="1629000" y="4572000"/>
            <a:ext cx="3600000" cy="2666798"/>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307126</xdr:colOff>
      <xdr:row>18</xdr:row>
      <xdr:rowOff>171000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 y="0"/>
          <a:ext cx="6403125"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squareyards.com/thane-residential-property/atree-sky-galaxy/246004/project" TargetMode="External"/><Relationship Id="rId7" Type="http://schemas.openxmlformats.org/officeDocument/2006/relationships/vmlDrawing" Target="../drawings/vmlDrawing2.vml"/><Relationship Id="rId2" Type="http://schemas.openxmlformats.org/officeDocument/2006/relationships/hyperlink" Target="https://igreval.maharashtra.gov.in/eASR2.0/eASRCommon.aspx?hDistName=Thane" TargetMode="External"/><Relationship Id="rId1" Type="http://schemas.openxmlformats.org/officeDocument/2006/relationships/hyperlink" Target="https://maps.app.goo.gl/vsPRunCUWTygD6KJ9"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50"/>
  <sheetViews>
    <sheetView tabSelected="1" view="pageBreakPreview" topLeftCell="A75" zoomScale="70" zoomScaleNormal="85" zoomScaleSheetLayoutView="70" zoomScalePageLayoutView="70" workbookViewId="0">
      <selection activeCell="I4" sqref="I4"/>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6" width="9.140625" style="1"/>
    <col min="17" max="17" width="10.7109375" style="1" bestFit="1" customWidth="1"/>
    <col min="18" max="19" width="9.140625" style="1"/>
    <col min="20" max="22" width="0" style="1" hidden="1" customWidth="1"/>
    <col min="23" max="25" width="9.140625" style="1"/>
    <col min="26" max="26" width="7.85546875" style="1" customWidth="1"/>
    <col min="27" max="16384" width="9.140625" style="1"/>
  </cols>
  <sheetData>
    <row r="1" spans="1:11" ht="20.25" x14ac:dyDescent="0.25">
      <c r="A1" s="156" t="s">
        <v>38</v>
      </c>
      <c r="B1" s="157"/>
      <c r="C1" s="157"/>
      <c r="D1" s="157"/>
      <c r="E1" s="157"/>
      <c r="F1" s="157"/>
      <c r="G1" s="157"/>
      <c r="H1" s="158"/>
    </row>
    <row r="2" spans="1:11" ht="42" customHeight="1" x14ac:dyDescent="0.25">
      <c r="A2" s="132" t="s">
        <v>10</v>
      </c>
      <c r="B2" s="132"/>
      <c r="C2" s="122" t="s">
        <v>87</v>
      </c>
      <c r="D2" s="122"/>
      <c r="E2" s="132" t="s">
        <v>12</v>
      </c>
      <c r="F2" s="132"/>
      <c r="G2" s="183">
        <v>45916</v>
      </c>
      <c r="H2" s="122"/>
      <c r="J2" s="195"/>
      <c r="K2" s="196"/>
    </row>
    <row r="3" spans="1:11" ht="42.75" customHeight="1" x14ac:dyDescent="0.25">
      <c r="A3" s="132" t="s">
        <v>39</v>
      </c>
      <c r="B3" s="132"/>
      <c r="C3" s="197" t="s">
        <v>307</v>
      </c>
      <c r="D3" s="197"/>
      <c r="E3" s="132" t="s">
        <v>159</v>
      </c>
      <c r="F3" s="132"/>
      <c r="G3" s="122" t="s">
        <v>309</v>
      </c>
      <c r="H3" s="122"/>
    </row>
    <row r="4" spans="1:11" ht="43.5" customHeight="1" x14ac:dyDescent="0.25">
      <c r="A4" s="132" t="s">
        <v>36</v>
      </c>
      <c r="B4" s="132"/>
      <c r="C4" s="122" t="s">
        <v>310</v>
      </c>
      <c r="D4" s="122"/>
      <c r="E4" s="132" t="s">
        <v>33</v>
      </c>
      <c r="F4" s="132"/>
      <c r="G4" s="122" t="str">
        <f ca="1">TEXT(TODAY(),"DD/MM/YYYY")</f>
        <v>19/09/2025</v>
      </c>
      <c r="H4" s="122"/>
    </row>
    <row r="5" spans="1:11" ht="20.25" x14ac:dyDescent="0.25">
      <c r="A5" s="120" t="s">
        <v>40</v>
      </c>
      <c r="B5" s="120"/>
      <c r="C5" s="120"/>
      <c r="D5" s="120"/>
      <c r="E5" s="120"/>
      <c r="F5" s="120"/>
      <c r="G5" s="120"/>
      <c r="H5" s="120"/>
    </row>
    <row r="6" spans="1:11" ht="43.5" customHeight="1" x14ac:dyDescent="0.25">
      <c r="A6" s="132" t="s">
        <v>29</v>
      </c>
      <c r="B6" s="132"/>
      <c r="C6" s="122" t="s">
        <v>93</v>
      </c>
      <c r="D6" s="122"/>
      <c r="E6" s="132" t="s">
        <v>35</v>
      </c>
      <c r="F6" s="132"/>
      <c r="G6" s="123" t="s">
        <v>308</v>
      </c>
      <c r="H6" s="123"/>
    </row>
    <row r="7" spans="1:11" ht="23.25" customHeight="1" x14ac:dyDescent="0.25">
      <c r="A7" s="132" t="s">
        <v>42</v>
      </c>
      <c r="B7" s="132"/>
      <c r="C7" s="122" t="s">
        <v>311</v>
      </c>
      <c r="D7" s="122"/>
      <c r="E7" s="132" t="s">
        <v>43</v>
      </c>
      <c r="F7" s="132"/>
      <c r="G7" s="122" t="s">
        <v>311</v>
      </c>
      <c r="H7" s="122"/>
    </row>
    <row r="8" spans="1:11" ht="48.75" customHeight="1" x14ac:dyDescent="0.25">
      <c r="A8" s="132" t="s">
        <v>44</v>
      </c>
      <c r="B8" s="132"/>
      <c r="C8" s="122" t="s">
        <v>312</v>
      </c>
      <c r="D8" s="122"/>
      <c r="E8" s="122"/>
      <c r="F8" s="122"/>
      <c r="G8" s="122"/>
      <c r="H8" s="122"/>
      <c r="J8" s="98"/>
      <c r="K8" s="98"/>
    </row>
    <row r="9" spans="1:11" ht="45" customHeight="1" x14ac:dyDescent="0.25">
      <c r="A9" s="161" t="s">
        <v>150</v>
      </c>
      <c r="B9" s="47" t="s">
        <v>41</v>
      </c>
      <c r="C9" s="122" t="s">
        <v>314</v>
      </c>
      <c r="D9" s="190"/>
      <c r="E9" s="190"/>
      <c r="F9" s="190"/>
      <c r="G9" s="190"/>
      <c r="H9" s="190"/>
      <c r="K9" s="98"/>
    </row>
    <row r="10" spans="1:11" ht="45" customHeight="1" x14ac:dyDescent="0.25">
      <c r="A10" s="161"/>
      <c r="B10" s="47" t="s">
        <v>11</v>
      </c>
      <c r="C10" s="122" t="s">
        <v>313</v>
      </c>
      <c r="D10" s="122"/>
      <c r="E10" s="122"/>
      <c r="F10" s="122"/>
      <c r="G10" s="122"/>
      <c r="H10" s="122"/>
    </row>
    <row r="11" spans="1:11" ht="42" customHeight="1" x14ac:dyDescent="0.25">
      <c r="A11" s="161"/>
      <c r="B11" s="47" t="s">
        <v>5</v>
      </c>
      <c r="C11" s="122" t="s">
        <v>315</v>
      </c>
      <c r="D11" s="122"/>
      <c r="E11" s="122"/>
      <c r="F11" s="122"/>
      <c r="G11" s="122"/>
      <c r="H11" s="122"/>
    </row>
    <row r="12" spans="1:11" ht="40.5" customHeight="1" x14ac:dyDescent="0.25">
      <c r="A12" s="132" t="s">
        <v>34</v>
      </c>
      <c r="B12" s="132"/>
      <c r="C12" s="123" t="s">
        <v>316</v>
      </c>
      <c r="D12" s="123"/>
      <c r="E12" s="123"/>
      <c r="F12" s="123"/>
      <c r="G12" s="123"/>
      <c r="H12" s="123"/>
    </row>
    <row r="13" spans="1:11" ht="20.100000000000001" customHeight="1" x14ac:dyDescent="0.25">
      <c r="A13" s="120" t="s">
        <v>45</v>
      </c>
      <c r="B13" s="120"/>
      <c r="C13" s="120"/>
      <c r="D13" s="120"/>
      <c r="E13" s="120"/>
      <c r="F13" s="120"/>
      <c r="G13" s="120"/>
      <c r="H13" s="120"/>
    </row>
    <row r="14" spans="1:11" ht="41.25" customHeight="1" x14ac:dyDescent="0.25">
      <c r="A14" s="132" t="s">
        <v>27</v>
      </c>
      <c r="B14" s="132" t="s">
        <v>4</v>
      </c>
      <c r="C14" s="122" t="s">
        <v>88</v>
      </c>
      <c r="D14" s="122"/>
      <c r="E14" s="132" t="s">
        <v>46</v>
      </c>
      <c r="F14" s="132" t="s">
        <v>4</v>
      </c>
      <c r="G14" s="122" t="s">
        <v>317</v>
      </c>
      <c r="H14" s="122"/>
    </row>
    <row r="15" spans="1:11" ht="41.25" customHeight="1" x14ac:dyDescent="0.25">
      <c r="A15" s="132" t="s">
        <v>47</v>
      </c>
      <c r="B15" s="132" t="s">
        <v>4</v>
      </c>
      <c r="C15" s="122" t="s">
        <v>318</v>
      </c>
      <c r="D15" s="122"/>
      <c r="E15" s="132" t="s">
        <v>48</v>
      </c>
      <c r="F15" s="132" t="s">
        <v>4</v>
      </c>
      <c r="G15" s="183">
        <v>46387</v>
      </c>
      <c r="H15" s="122"/>
    </row>
    <row r="16" spans="1:11" ht="20.25" x14ac:dyDescent="0.25">
      <c r="A16" s="132" t="s">
        <v>49</v>
      </c>
      <c r="B16" s="132" t="s">
        <v>4</v>
      </c>
      <c r="C16" s="183">
        <v>45310</v>
      </c>
      <c r="D16" s="122"/>
      <c r="E16" s="132" t="s">
        <v>50</v>
      </c>
      <c r="F16" s="132" t="s">
        <v>4</v>
      </c>
      <c r="G16" s="182">
        <v>45231</v>
      </c>
      <c r="H16" s="122"/>
      <c r="I16" s="101" t="s">
        <v>357</v>
      </c>
    </row>
    <row r="17" spans="1:12" ht="41.25" customHeight="1" x14ac:dyDescent="0.25">
      <c r="A17" s="132" t="s">
        <v>51</v>
      </c>
      <c r="B17" s="132" t="s">
        <v>4</v>
      </c>
      <c r="C17" s="183">
        <v>46387</v>
      </c>
      <c r="D17" s="122"/>
      <c r="E17" s="132" t="s">
        <v>52</v>
      </c>
      <c r="F17" s="132" t="s">
        <v>4</v>
      </c>
      <c r="G17" s="122" t="s">
        <v>319</v>
      </c>
      <c r="H17" s="122"/>
    </row>
    <row r="18" spans="1:12" ht="41.25" customHeight="1" x14ac:dyDescent="0.25">
      <c r="A18" s="132" t="s">
        <v>53</v>
      </c>
      <c r="B18" s="132" t="s">
        <v>4</v>
      </c>
      <c r="C18" s="122"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22"/>
      <c r="E18" s="132" t="s">
        <v>96</v>
      </c>
      <c r="F18" s="132" t="s">
        <v>4</v>
      </c>
      <c r="G18" s="122">
        <v>2800</v>
      </c>
      <c r="H18" s="122"/>
    </row>
    <row r="19" spans="1:12" ht="41.25" customHeight="1" x14ac:dyDescent="0.25">
      <c r="A19" s="132" t="s">
        <v>54</v>
      </c>
      <c r="B19" s="132" t="s">
        <v>4</v>
      </c>
      <c r="C19" s="122">
        <f>3080/G19</f>
        <v>1.1000000000000001</v>
      </c>
      <c r="D19" s="122"/>
      <c r="E19" s="132" t="s">
        <v>243</v>
      </c>
      <c r="F19" s="132" t="s">
        <v>4</v>
      </c>
      <c r="G19" s="122">
        <v>2800</v>
      </c>
      <c r="H19" s="122"/>
    </row>
    <row r="20" spans="1:12" ht="41.25" customHeight="1" x14ac:dyDescent="0.25">
      <c r="A20" s="132" t="s">
        <v>94</v>
      </c>
      <c r="B20" s="132" t="s">
        <v>4</v>
      </c>
      <c r="C20" s="122">
        <v>3490.76</v>
      </c>
      <c r="D20" s="122"/>
      <c r="E20" s="132" t="s">
        <v>95</v>
      </c>
      <c r="F20" s="132" t="s">
        <v>4</v>
      </c>
      <c r="G20" s="122">
        <v>3490.76</v>
      </c>
      <c r="H20" s="122"/>
    </row>
    <row r="21" spans="1:12" ht="41.25" customHeight="1" x14ac:dyDescent="0.25">
      <c r="A21" s="132" t="s">
        <v>56</v>
      </c>
      <c r="B21" s="132" t="s">
        <v>4</v>
      </c>
      <c r="C21" s="122" t="s">
        <v>353</v>
      </c>
      <c r="D21" s="122"/>
      <c r="E21" s="132" t="s">
        <v>55</v>
      </c>
      <c r="F21" s="132" t="s">
        <v>4</v>
      </c>
      <c r="G21" s="122" t="s">
        <v>354</v>
      </c>
      <c r="H21" s="122"/>
    </row>
    <row r="22" spans="1:12" ht="20.25" x14ac:dyDescent="0.25">
      <c r="A22" s="132" t="s">
        <v>163</v>
      </c>
      <c r="B22" s="132" t="s">
        <v>4</v>
      </c>
      <c r="C22" s="122" t="s">
        <v>320</v>
      </c>
      <c r="D22" s="122"/>
      <c r="E22" s="132" t="s">
        <v>164</v>
      </c>
      <c r="F22" s="132" t="s">
        <v>4</v>
      </c>
      <c r="G22" s="122" t="s">
        <v>362</v>
      </c>
      <c r="H22" s="122"/>
    </row>
    <row r="23" spans="1:12" ht="24.75" customHeight="1" x14ac:dyDescent="0.25">
      <c r="A23" s="132" t="s">
        <v>161</v>
      </c>
      <c r="B23" s="132" t="s">
        <v>4</v>
      </c>
      <c r="C23" s="124" t="s">
        <v>321</v>
      </c>
      <c r="D23" s="122"/>
      <c r="E23" s="122"/>
      <c r="F23" s="122"/>
      <c r="G23" s="122"/>
      <c r="H23" s="122"/>
      <c r="K23" s="98"/>
      <c r="L23" s="98"/>
    </row>
    <row r="24" spans="1:12" ht="20.25" x14ac:dyDescent="0.25">
      <c r="A24" s="132" t="s">
        <v>25</v>
      </c>
      <c r="B24" s="132" t="s">
        <v>4</v>
      </c>
      <c r="C24" s="123" t="s">
        <v>322</v>
      </c>
      <c r="D24" s="123"/>
      <c r="E24" s="123"/>
      <c r="F24" s="123"/>
      <c r="G24" s="123"/>
      <c r="H24" s="123"/>
      <c r="L24" s="98"/>
    </row>
    <row r="25" spans="1:12" ht="24" customHeight="1" x14ac:dyDescent="0.25">
      <c r="A25" s="120" t="s">
        <v>20</v>
      </c>
      <c r="B25" s="120"/>
      <c r="C25" s="120"/>
      <c r="D25" s="120"/>
      <c r="E25" s="120"/>
      <c r="F25" s="120"/>
      <c r="G25" s="120"/>
      <c r="H25" s="120"/>
    </row>
    <row r="26" spans="1:12" ht="23.25" customHeight="1" x14ac:dyDescent="0.25">
      <c r="A26" s="132" t="s">
        <v>26</v>
      </c>
      <c r="B26" s="132" t="s">
        <v>4</v>
      </c>
      <c r="C26" s="122" t="str">
        <f>IF(AND(G26="Upper"),"Developed","Developing")</f>
        <v>Developing</v>
      </c>
      <c r="D26" s="122"/>
      <c r="E26" s="132" t="s">
        <v>13</v>
      </c>
      <c r="F26" s="132" t="s">
        <v>4</v>
      </c>
      <c r="G26" s="123" t="s">
        <v>165</v>
      </c>
      <c r="H26" s="123"/>
    </row>
    <row r="27" spans="1:12" ht="20.25" x14ac:dyDescent="0.25">
      <c r="A27" s="132" t="s">
        <v>14</v>
      </c>
      <c r="B27" s="132" t="s">
        <v>4</v>
      </c>
      <c r="C27" s="123" t="s">
        <v>324</v>
      </c>
      <c r="D27" s="123"/>
      <c r="E27" s="132" t="s">
        <v>151</v>
      </c>
      <c r="F27" s="132" t="s">
        <v>4</v>
      </c>
      <c r="G27" s="123" t="s">
        <v>323</v>
      </c>
      <c r="H27" s="123"/>
    </row>
    <row r="28" spans="1:12" ht="43.5" customHeight="1" x14ac:dyDescent="0.25">
      <c r="A28" s="132" t="s">
        <v>23</v>
      </c>
      <c r="B28" s="132" t="s">
        <v>4</v>
      </c>
      <c r="C28" s="122" t="s">
        <v>98</v>
      </c>
      <c r="D28" s="122"/>
      <c r="E28" s="132" t="s">
        <v>16</v>
      </c>
      <c r="F28" s="132" t="s">
        <v>4</v>
      </c>
      <c r="G28" s="123" t="s">
        <v>325</v>
      </c>
      <c r="H28" s="123"/>
    </row>
    <row r="29" spans="1:12" ht="43.5" customHeight="1" x14ac:dyDescent="0.25">
      <c r="A29" s="132" t="s">
        <v>107</v>
      </c>
      <c r="B29" s="132" t="s">
        <v>4</v>
      </c>
      <c r="C29" s="123" t="s">
        <v>327</v>
      </c>
      <c r="D29" s="123"/>
      <c r="E29" s="132" t="s">
        <v>108</v>
      </c>
      <c r="F29" s="132" t="s">
        <v>4</v>
      </c>
      <c r="G29" s="123" t="s">
        <v>326</v>
      </c>
      <c r="H29" s="123"/>
    </row>
    <row r="30" spans="1:12" ht="84" customHeight="1" x14ac:dyDescent="0.25">
      <c r="A30" s="132" t="s">
        <v>17</v>
      </c>
      <c r="B30" s="132" t="s">
        <v>4</v>
      </c>
      <c r="C30" s="123" t="s">
        <v>328</v>
      </c>
      <c r="D30" s="123"/>
      <c r="E30" s="132" t="s">
        <v>15</v>
      </c>
      <c r="F30" s="132" t="s">
        <v>4</v>
      </c>
      <c r="G30" s="123" t="s">
        <v>329</v>
      </c>
      <c r="H30" s="123"/>
    </row>
    <row r="31" spans="1:12" ht="20.25" x14ac:dyDescent="0.25">
      <c r="A31" s="132" t="s">
        <v>113</v>
      </c>
      <c r="B31" s="132" t="s">
        <v>4</v>
      </c>
      <c r="C31" s="122" t="s">
        <v>114</v>
      </c>
      <c r="D31" s="122"/>
      <c r="E31" s="132" t="s">
        <v>115</v>
      </c>
      <c r="F31" s="132" t="s">
        <v>4</v>
      </c>
      <c r="G31" s="122" t="s">
        <v>114</v>
      </c>
      <c r="H31" s="122"/>
    </row>
    <row r="32" spans="1:12" ht="21.75" customHeight="1" x14ac:dyDescent="0.25">
      <c r="A32" s="132" t="s">
        <v>116</v>
      </c>
      <c r="B32" s="132" t="s">
        <v>4</v>
      </c>
      <c r="C32" s="122" t="s">
        <v>114</v>
      </c>
      <c r="D32" s="122"/>
      <c r="E32" s="122"/>
      <c r="F32" s="122"/>
      <c r="G32" s="122"/>
      <c r="H32" s="122"/>
    </row>
    <row r="33" spans="1:15" ht="20.25" x14ac:dyDescent="0.25">
      <c r="A33" s="162" t="s">
        <v>37</v>
      </c>
      <c r="B33" s="162"/>
      <c r="C33" s="162"/>
      <c r="D33" s="162"/>
      <c r="E33" s="162"/>
      <c r="F33" s="162"/>
      <c r="G33" s="162"/>
      <c r="H33" s="162"/>
    </row>
    <row r="34" spans="1:15" ht="43.5" customHeight="1" x14ac:dyDescent="0.25">
      <c r="A34" s="132" t="s">
        <v>18</v>
      </c>
      <c r="B34" s="132"/>
      <c r="C34" s="122" t="s">
        <v>99</v>
      </c>
      <c r="D34" s="122"/>
      <c r="E34" s="132" t="s">
        <v>19</v>
      </c>
      <c r="F34" s="132" t="s">
        <v>4</v>
      </c>
      <c r="G34" s="122" t="s">
        <v>100</v>
      </c>
      <c r="H34" s="122"/>
    </row>
    <row r="35" spans="1:15" ht="43.5" customHeight="1" x14ac:dyDescent="0.25">
      <c r="A35" s="132" t="s">
        <v>22</v>
      </c>
      <c r="B35" s="132"/>
      <c r="C35" s="122" t="s">
        <v>100</v>
      </c>
      <c r="D35" s="122"/>
      <c r="E35" s="132" t="s">
        <v>32</v>
      </c>
      <c r="F35" s="132" t="s">
        <v>4</v>
      </c>
      <c r="G35" s="123" t="s">
        <v>100</v>
      </c>
      <c r="H35" s="123"/>
    </row>
    <row r="36" spans="1:15" ht="20.25" x14ac:dyDescent="0.25">
      <c r="A36" s="132" t="s">
        <v>31</v>
      </c>
      <c r="B36" s="132"/>
      <c r="C36" s="122" t="s">
        <v>101</v>
      </c>
      <c r="D36" s="122"/>
      <c r="E36" s="132" t="s">
        <v>21</v>
      </c>
      <c r="F36" s="132" t="s">
        <v>4</v>
      </c>
      <c r="G36" s="122" t="s">
        <v>102</v>
      </c>
      <c r="H36" s="122"/>
    </row>
    <row r="37" spans="1:15" ht="20.25" x14ac:dyDescent="0.25">
      <c r="A37" s="120" t="s">
        <v>0</v>
      </c>
      <c r="B37" s="120"/>
      <c r="C37" s="120"/>
      <c r="D37" s="120"/>
      <c r="E37" s="120"/>
      <c r="F37" s="120"/>
      <c r="G37" s="120"/>
      <c r="H37" s="120"/>
    </row>
    <row r="38" spans="1:15" ht="20.25" x14ac:dyDescent="0.25">
      <c r="A38" s="130" t="s">
        <v>0</v>
      </c>
      <c r="B38" s="130"/>
      <c r="C38" s="130" t="s">
        <v>229</v>
      </c>
      <c r="D38" s="130"/>
      <c r="E38" s="130"/>
      <c r="F38" s="130" t="s">
        <v>7</v>
      </c>
      <c r="G38" s="130"/>
      <c r="H38" s="130"/>
      <c r="J38" s="199" t="s">
        <v>1</v>
      </c>
      <c r="K38" s="200"/>
      <c r="L38" s="48" t="s">
        <v>6</v>
      </c>
      <c r="M38" s="199" t="s">
        <v>2</v>
      </c>
      <c r="N38" s="200"/>
      <c r="O38" s="48" t="s">
        <v>3</v>
      </c>
    </row>
    <row r="39" spans="1:15" ht="20.25" x14ac:dyDescent="0.25">
      <c r="A39" s="161" t="s">
        <v>2</v>
      </c>
      <c r="B39" s="161"/>
      <c r="C39" s="198" t="s">
        <v>330</v>
      </c>
      <c r="D39" s="198"/>
      <c r="E39" s="198"/>
      <c r="F39" s="198" t="s">
        <v>334</v>
      </c>
      <c r="G39" s="198"/>
      <c r="H39" s="198"/>
    </row>
    <row r="40" spans="1:15" ht="20.25" x14ac:dyDescent="0.25">
      <c r="A40" s="161" t="s">
        <v>3</v>
      </c>
      <c r="B40" s="161"/>
      <c r="C40" s="198" t="s">
        <v>331</v>
      </c>
      <c r="D40" s="198"/>
      <c r="E40" s="198"/>
      <c r="F40" s="198" t="s">
        <v>335</v>
      </c>
      <c r="G40" s="198"/>
      <c r="H40" s="198"/>
    </row>
    <row r="41" spans="1:15" ht="20.25" x14ac:dyDescent="0.25">
      <c r="A41" s="161" t="s">
        <v>1</v>
      </c>
      <c r="B41" s="161"/>
      <c r="C41" s="198" t="s">
        <v>332</v>
      </c>
      <c r="D41" s="198"/>
      <c r="E41" s="198"/>
      <c r="F41" s="198" t="s">
        <v>335</v>
      </c>
      <c r="G41" s="198"/>
      <c r="H41" s="198"/>
    </row>
    <row r="42" spans="1:15" ht="20.25" x14ac:dyDescent="0.25">
      <c r="A42" s="161" t="s">
        <v>6</v>
      </c>
      <c r="B42" s="161"/>
      <c r="C42" s="198" t="s">
        <v>333</v>
      </c>
      <c r="D42" s="198"/>
      <c r="E42" s="198"/>
      <c r="F42" s="198" t="s">
        <v>334</v>
      </c>
      <c r="G42" s="198"/>
      <c r="H42" s="198"/>
    </row>
    <row r="43" spans="1:15" ht="42.75" customHeight="1" x14ac:dyDescent="0.25">
      <c r="A43" s="132" t="s">
        <v>230</v>
      </c>
      <c r="B43" s="132"/>
      <c r="C43" s="122" t="s">
        <v>98</v>
      </c>
      <c r="D43" s="122"/>
      <c r="E43" s="122"/>
      <c r="F43" s="122"/>
      <c r="G43" s="122"/>
      <c r="H43" s="122"/>
    </row>
    <row r="44" spans="1:15" ht="20.25" x14ac:dyDescent="0.25">
      <c r="A44" s="120" t="s">
        <v>57</v>
      </c>
      <c r="B44" s="120"/>
      <c r="C44" s="120"/>
      <c r="D44" s="120"/>
      <c r="E44" s="120"/>
      <c r="F44" s="120"/>
      <c r="G44" s="120"/>
      <c r="H44" s="120"/>
    </row>
    <row r="45" spans="1:15" ht="21" customHeight="1" x14ac:dyDescent="0.25">
      <c r="A45" s="130" t="s">
        <v>58</v>
      </c>
      <c r="B45" s="130"/>
      <c r="C45" s="48" t="s">
        <v>59</v>
      </c>
      <c r="D45" s="130" t="s">
        <v>149</v>
      </c>
      <c r="E45" s="130"/>
      <c r="F45" s="130"/>
      <c r="G45" s="130" t="s">
        <v>60</v>
      </c>
      <c r="H45" s="130"/>
    </row>
    <row r="46" spans="1:15" ht="20.25" x14ac:dyDescent="0.25">
      <c r="A46" s="131" t="s">
        <v>336</v>
      </c>
      <c r="B46" s="131"/>
      <c r="C46" s="46" t="s">
        <v>89</v>
      </c>
      <c r="D46" s="122" t="s">
        <v>337</v>
      </c>
      <c r="E46" s="122"/>
      <c r="F46" s="122"/>
      <c r="G46" s="122" t="s">
        <v>337</v>
      </c>
      <c r="H46" s="122"/>
    </row>
    <row r="47" spans="1:15" ht="20.25" hidden="1" x14ac:dyDescent="0.25">
      <c r="A47" s="131" t="s">
        <v>304</v>
      </c>
      <c r="B47" s="131"/>
      <c r="C47" s="46" t="s">
        <v>89</v>
      </c>
      <c r="D47" s="122"/>
      <c r="E47" s="122"/>
      <c r="F47" s="122"/>
      <c r="G47" s="122"/>
      <c r="H47" s="122"/>
    </row>
    <row r="48" spans="1:15" ht="20.25" hidden="1" x14ac:dyDescent="0.25">
      <c r="A48" s="131" t="s">
        <v>305</v>
      </c>
      <c r="B48" s="131"/>
      <c r="C48" s="46" t="s">
        <v>89</v>
      </c>
      <c r="D48" s="122"/>
      <c r="E48" s="122"/>
      <c r="F48" s="122"/>
      <c r="G48" s="122"/>
      <c r="H48" s="122"/>
    </row>
    <row r="49" spans="1:10" ht="20.25" hidden="1" x14ac:dyDescent="0.25">
      <c r="A49" s="131" t="s">
        <v>306</v>
      </c>
      <c r="B49" s="131"/>
      <c r="C49" s="46" t="s">
        <v>89</v>
      </c>
      <c r="D49" s="122"/>
      <c r="E49" s="122"/>
      <c r="F49" s="122"/>
      <c r="G49" s="122"/>
      <c r="H49" s="122"/>
    </row>
    <row r="50" spans="1:10" ht="20.25" x14ac:dyDescent="0.25">
      <c r="A50" s="120" t="s">
        <v>61</v>
      </c>
      <c r="B50" s="120"/>
      <c r="C50" s="120"/>
      <c r="D50" s="120"/>
      <c r="E50" s="120"/>
      <c r="F50" s="120"/>
      <c r="G50" s="120"/>
      <c r="H50" s="120"/>
    </row>
    <row r="51" spans="1:10" ht="42.75" customHeight="1" x14ac:dyDescent="0.25">
      <c r="A51" s="132" t="s">
        <v>62</v>
      </c>
      <c r="B51" s="132" t="s">
        <v>4</v>
      </c>
      <c r="C51" s="123" t="s">
        <v>98</v>
      </c>
      <c r="D51" s="123"/>
      <c r="E51" s="123"/>
      <c r="F51" s="123"/>
      <c r="G51" s="123"/>
      <c r="H51" s="123"/>
    </row>
    <row r="52" spans="1:10" ht="20.25" x14ac:dyDescent="0.25">
      <c r="A52" s="132" t="s">
        <v>63</v>
      </c>
      <c r="B52" s="132" t="s">
        <v>4</v>
      </c>
      <c r="C52" s="122" t="s">
        <v>338</v>
      </c>
      <c r="D52" s="122"/>
      <c r="E52" s="122"/>
      <c r="F52" s="122"/>
      <c r="G52" s="63" t="s">
        <v>231</v>
      </c>
      <c r="H52" s="93">
        <v>45184</v>
      </c>
    </row>
    <row r="53" spans="1:10" ht="20.25" x14ac:dyDescent="0.25">
      <c r="A53" s="132" t="s">
        <v>64</v>
      </c>
      <c r="B53" s="132" t="s">
        <v>4</v>
      </c>
      <c r="C53" s="122" t="s">
        <v>338</v>
      </c>
      <c r="D53" s="122"/>
      <c r="E53" s="122"/>
      <c r="F53" s="122"/>
      <c r="G53" s="63" t="s">
        <v>231</v>
      </c>
      <c r="H53" s="93">
        <v>45184</v>
      </c>
    </row>
    <row r="54" spans="1:10" ht="20.25" x14ac:dyDescent="0.25">
      <c r="A54" s="132" t="s">
        <v>244</v>
      </c>
      <c r="B54" s="132"/>
      <c r="C54" s="122" t="s">
        <v>339</v>
      </c>
      <c r="D54" s="122"/>
      <c r="E54" s="122"/>
      <c r="F54" s="122"/>
      <c r="G54" s="63" t="s">
        <v>231</v>
      </c>
      <c r="H54" s="93">
        <v>45184</v>
      </c>
    </row>
    <row r="55" spans="1:10" ht="20.25" x14ac:dyDescent="0.25">
      <c r="A55" s="132"/>
      <c r="B55" s="132"/>
      <c r="C55" s="165" t="s">
        <v>340</v>
      </c>
      <c r="D55" s="166"/>
      <c r="E55" s="166"/>
      <c r="F55" s="166"/>
      <c r="G55" s="166"/>
      <c r="H55" s="167"/>
    </row>
    <row r="56" spans="1:10" ht="46.5" hidden="1" customHeight="1" x14ac:dyDescent="0.25">
      <c r="A56" s="132" t="s">
        <v>65</v>
      </c>
      <c r="B56" s="132" t="s">
        <v>4</v>
      </c>
      <c r="C56" s="122"/>
      <c r="D56" s="122"/>
      <c r="E56" s="122"/>
      <c r="F56" s="122"/>
      <c r="G56" s="63" t="s">
        <v>232</v>
      </c>
      <c r="H56" s="90"/>
    </row>
    <row r="57" spans="1:10" ht="45" hidden="1" customHeight="1" x14ac:dyDescent="0.25">
      <c r="A57" s="132" t="s">
        <v>67</v>
      </c>
      <c r="B57" s="132" t="s">
        <v>4</v>
      </c>
      <c r="C57" s="122"/>
      <c r="D57" s="122"/>
      <c r="E57" s="122"/>
      <c r="F57" s="122"/>
      <c r="G57" s="63" t="s">
        <v>232</v>
      </c>
      <c r="H57" s="90"/>
    </row>
    <row r="58" spans="1:10" ht="46.5" hidden="1" customHeight="1" x14ac:dyDescent="0.25">
      <c r="A58" s="132" t="s">
        <v>66</v>
      </c>
      <c r="B58" s="132" t="s">
        <v>4</v>
      </c>
      <c r="C58" s="122"/>
      <c r="D58" s="122"/>
      <c r="E58" s="122"/>
      <c r="F58" s="122"/>
      <c r="G58" s="63" t="s">
        <v>232</v>
      </c>
      <c r="H58" s="90"/>
    </row>
    <row r="59" spans="1:10" ht="45" hidden="1" customHeight="1" x14ac:dyDescent="0.25">
      <c r="A59" s="132" t="s">
        <v>68</v>
      </c>
      <c r="B59" s="132" t="s">
        <v>4</v>
      </c>
      <c r="C59" s="122"/>
      <c r="D59" s="122"/>
      <c r="E59" s="122"/>
      <c r="F59" s="122"/>
      <c r="G59" s="63" t="s">
        <v>232</v>
      </c>
      <c r="H59" s="90"/>
    </row>
    <row r="60" spans="1:10" ht="21" thickBot="1" x14ac:dyDescent="0.3">
      <c r="A60" s="120" t="s">
        <v>69</v>
      </c>
      <c r="B60" s="120"/>
      <c r="C60" s="120"/>
      <c r="D60" s="120"/>
      <c r="E60" s="120"/>
      <c r="F60" s="120"/>
      <c r="G60" s="120"/>
      <c r="H60" s="120"/>
    </row>
    <row r="61" spans="1:10" ht="20.25" customHeight="1" x14ac:dyDescent="0.3">
      <c r="A61" s="121" t="str">
        <f>CONCATENATE((IF(OR(A46="",A46="NA"),"",A46)),"= ",(IF(OR(D46="",D46="NA"),"",D46)),".")</f>
        <v>Building No. 1 = Gr/St + 1st to 7th Floor.</v>
      </c>
      <c r="B61" s="121"/>
      <c r="C61" s="121"/>
      <c r="D61" s="30" t="s">
        <v>117</v>
      </c>
      <c r="E61" s="128" t="s">
        <v>104</v>
      </c>
      <c r="F61" s="128"/>
      <c r="G61" s="30" t="s">
        <v>118</v>
      </c>
      <c r="H61" s="30" t="s">
        <v>119</v>
      </c>
      <c r="I61" s="16"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 RCC Slab, Brickwork, Internal Plaster, External Plaster, External Plumbing, Elevation and Waterproofing, Flooring &amp; Fitting upto 4 Floor, Wooden Work upto 1 Floor Completed</v>
      </c>
      <c r="J61" s="18"/>
    </row>
    <row r="62" spans="1:10" ht="20.25" x14ac:dyDescent="0.3">
      <c r="A62" s="121"/>
      <c r="B62" s="121"/>
      <c r="C62" s="121"/>
      <c r="D62" s="94">
        <f>IF(AND(ISNUMBER(SEARCH("1B",A61))),1,IF(AND(ISNUMBER(SEARCH("2B",A61))),2,IF(AND(ISNUMBER(SEARCH("3B",A61))),3,IF(AND(ISNUMBER(SEARCH("4B",A61))),4,IF(ISNUMBER(SEARCH("5B",A61)),5,0)))))</f>
        <v>0</v>
      </c>
      <c r="E62" s="128">
        <v>1</v>
      </c>
      <c r="F62" s="128"/>
      <c r="G62" s="94">
        <v>0</v>
      </c>
      <c r="H62" s="30">
        <f ca="1">--TRIM(RIGHT(SUBSTITUTE(LEFT(A61,_xlfn.AGGREGATE(16,6,FIND({0,1,2,3,4,5,6,7,8,9},A61,ROW(INDIRECT("1:"&amp;LEN(A61)))),1))," ",REPT(" ",LEN(A61))),LEN(A61)))</f>
        <v>7</v>
      </c>
      <c r="I62" s="17" t="s">
        <v>123</v>
      </c>
      <c r="J62" s="18"/>
    </row>
    <row r="63" spans="1:10" ht="20.25" customHeight="1" x14ac:dyDescent="0.3">
      <c r="A63" s="129" t="s">
        <v>121</v>
      </c>
      <c r="B63" s="129"/>
      <c r="C63" s="45" t="s">
        <v>133</v>
      </c>
      <c r="D63" s="28" t="s">
        <v>134</v>
      </c>
      <c r="E63" s="129" t="s">
        <v>122</v>
      </c>
      <c r="F63" s="129"/>
      <c r="G63" s="29" t="s">
        <v>120</v>
      </c>
      <c r="H63" s="29"/>
      <c r="I63" s="20" t="s">
        <v>135</v>
      </c>
      <c r="J63" s="19">
        <f ca="1">H62*25%</f>
        <v>1.75</v>
      </c>
    </row>
    <row r="64" spans="1:10" ht="20.25" customHeight="1" x14ac:dyDescent="0.3">
      <c r="A64" s="127" t="s">
        <v>136</v>
      </c>
      <c r="B64" s="127"/>
      <c r="C64" s="38">
        <f ca="1">J65</f>
        <v>7</v>
      </c>
      <c r="D64" s="5">
        <f ca="1">((100/H62)*C64)/100</f>
        <v>1</v>
      </c>
      <c r="E64" s="184">
        <f ca="1">(((C64/H62*10)+(C65/H62*15)+(25/(E62+G62+H62)*C66)+(5/(H62)*C67)+(2.5/(H62)*C68)+(2.5/(H62)*C69)+(5/H62*C70)+(10/H62*C71)+(2.5/H62*C72)+(2.5/H62*C73)+(10/H62*C74)+(10/H62*C75))/100)</f>
        <v>0.71071428571428574</v>
      </c>
      <c r="F64" s="185"/>
      <c r="G64" s="127" t="str">
        <f ca="1">I61</f>
        <v>Excavation work Completed. Plinth work completed, RCC Slab, Brickwork, Internal Plaster, External Plaster, External Plumbing, Elevation and Waterproofing, Flooring &amp; Fitting upto 4 Floor, Wooden Work upto 1 Floor Completed</v>
      </c>
      <c r="H64" s="127"/>
      <c r="I64" s="20" t="s">
        <v>124</v>
      </c>
      <c r="J64" s="24">
        <f ca="1">H62*50%</f>
        <v>3.5</v>
      </c>
    </row>
    <row r="65" spans="1:13" ht="20.25" x14ac:dyDescent="0.3">
      <c r="A65" s="127" t="s">
        <v>105</v>
      </c>
      <c r="B65" s="127"/>
      <c r="C65" s="40">
        <f ca="1">J73</f>
        <v>7</v>
      </c>
      <c r="D65" s="5">
        <f ca="1">((100/H62)*C65)/100</f>
        <v>1</v>
      </c>
      <c r="E65" s="186"/>
      <c r="F65" s="187"/>
      <c r="G65" s="127"/>
      <c r="H65" s="127"/>
      <c r="I65" s="20" t="s">
        <v>125</v>
      </c>
      <c r="J65" s="24">
        <f ca="1">H62</f>
        <v>7</v>
      </c>
    </row>
    <row r="66" spans="1:13" ht="21" customHeight="1" x14ac:dyDescent="0.35">
      <c r="A66" s="127" t="s">
        <v>137</v>
      </c>
      <c r="B66" s="127"/>
      <c r="C66" s="38">
        <v>8</v>
      </c>
      <c r="D66" s="5">
        <f ca="1">((100/(E62+G62+H62))*C66)/100</f>
        <v>1</v>
      </c>
      <c r="E66" s="186"/>
      <c r="F66" s="187"/>
      <c r="G66" s="127"/>
      <c r="H66" s="127"/>
      <c r="I66" s="20" t="s">
        <v>126</v>
      </c>
      <c r="J66" s="25">
        <f ca="1">(IF(D62&gt;1,(H62/(D62+2)),H62*0.2))</f>
        <v>1.4000000000000001</v>
      </c>
    </row>
    <row r="67" spans="1:13" ht="21" customHeight="1" x14ac:dyDescent="0.35">
      <c r="A67" s="127" t="s">
        <v>138</v>
      </c>
      <c r="B67" s="127"/>
      <c r="C67" s="38">
        <v>7</v>
      </c>
      <c r="D67" s="5">
        <f ca="1">((100/H62)*C67)/100</f>
        <v>1</v>
      </c>
      <c r="E67" s="186"/>
      <c r="F67" s="187"/>
      <c r="G67" s="127"/>
      <c r="H67" s="127"/>
      <c r="I67" s="20" t="s">
        <v>127</v>
      </c>
      <c r="J67" s="25">
        <f ca="1">(IF(D62&gt;1,(H62/(D62+2)+J66),H62*0.2+J66))</f>
        <v>2.8000000000000003</v>
      </c>
    </row>
    <row r="68" spans="1:13" ht="21" customHeight="1" x14ac:dyDescent="0.35">
      <c r="A68" s="125" t="s">
        <v>139</v>
      </c>
      <c r="B68" s="126"/>
      <c r="C68" s="38">
        <v>7</v>
      </c>
      <c r="D68" s="5">
        <f ca="1">((100/H62)*C68)/100</f>
        <v>1</v>
      </c>
      <c r="E68" s="186"/>
      <c r="F68" s="187"/>
      <c r="G68" s="127"/>
      <c r="H68" s="127"/>
      <c r="I68" s="20" t="s">
        <v>140</v>
      </c>
      <c r="J68" s="25">
        <f>(IF(D62&gt;1,(H62/(D62+2)+J67),0))</f>
        <v>0</v>
      </c>
    </row>
    <row r="69" spans="1:13" ht="21" customHeight="1" x14ac:dyDescent="0.35">
      <c r="A69" s="125" t="s">
        <v>170</v>
      </c>
      <c r="B69" s="126"/>
      <c r="C69" s="38">
        <v>7</v>
      </c>
      <c r="D69" s="5">
        <f ca="1">((100/H62)*C69)/100</f>
        <v>1</v>
      </c>
      <c r="E69" s="186"/>
      <c r="F69" s="187"/>
      <c r="G69" s="127"/>
      <c r="H69" s="127"/>
      <c r="I69" s="20" t="s">
        <v>141</v>
      </c>
      <c r="J69" s="25">
        <f>(IF(D62&gt;2,(H62/(D62+2)+J68),0))</f>
        <v>0</v>
      </c>
    </row>
    <row r="70" spans="1:13" ht="21" x14ac:dyDescent="0.35">
      <c r="A70" s="125" t="s">
        <v>167</v>
      </c>
      <c r="B70" s="126"/>
      <c r="C70" s="38">
        <v>7</v>
      </c>
      <c r="D70" s="5">
        <f ca="1">((100/(H62))*C70)/100</f>
        <v>1</v>
      </c>
      <c r="E70" s="186"/>
      <c r="F70" s="187"/>
      <c r="G70" s="127"/>
      <c r="H70" s="127"/>
      <c r="I70" s="20" t="s">
        <v>143</v>
      </c>
      <c r="J70" s="26">
        <f>(IF(D62&gt;3,(H62/(D62+2)+J69),0))</f>
        <v>0</v>
      </c>
    </row>
    <row r="71" spans="1:13" ht="21" x14ac:dyDescent="0.35">
      <c r="A71" s="127" t="s">
        <v>142</v>
      </c>
      <c r="B71" s="127"/>
      <c r="C71" s="38">
        <v>4</v>
      </c>
      <c r="D71" s="5">
        <f ca="1">((100/(H62))*C71)/100</f>
        <v>0.57142857142857151</v>
      </c>
      <c r="E71" s="186"/>
      <c r="F71" s="187"/>
      <c r="G71" s="127"/>
      <c r="H71" s="127"/>
      <c r="I71" s="20" t="s">
        <v>144</v>
      </c>
      <c r="J71" s="25">
        <f>(IF(D62&gt;4,(H62/(D62+2)+J70),0))</f>
        <v>0</v>
      </c>
    </row>
    <row r="72" spans="1:13" ht="21" customHeight="1" x14ac:dyDescent="0.35">
      <c r="A72" s="127" t="s">
        <v>169</v>
      </c>
      <c r="B72" s="127"/>
      <c r="C72" s="38">
        <v>1</v>
      </c>
      <c r="D72" s="5">
        <f ca="1">((100/H62)*C72)/100</f>
        <v>0.14285714285714288</v>
      </c>
      <c r="E72" s="186"/>
      <c r="F72" s="187"/>
      <c r="G72" s="127"/>
      <c r="H72" s="127"/>
      <c r="I72" s="20" t="s">
        <v>128</v>
      </c>
      <c r="J72" s="25">
        <f ca="1">(IF(D62=1,(H62/(D62+3)+J67),IF(D62=0,(H62*0.3+J67),IF(D62&gt;1,0))))</f>
        <v>4.9000000000000004</v>
      </c>
    </row>
    <row r="73" spans="1:13" ht="21.75" thickBot="1" x14ac:dyDescent="0.4">
      <c r="A73" s="127" t="s">
        <v>168</v>
      </c>
      <c r="B73" s="127"/>
      <c r="C73" s="38">
        <v>0</v>
      </c>
      <c r="D73" s="5">
        <f ca="1">((100/H62)*C73)/100</f>
        <v>0</v>
      </c>
      <c r="E73" s="186"/>
      <c r="F73" s="187"/>
      <c r="G73" s="127"/>
      <c r="H73" s="127"/>
      <c r="I73" s="22" t="s">
        <v>129</v>
      </c>
      <c r="J73" s="27">
        <f ca="1">(IF(D62&gt;1.5,(H62/(D62+2)+J67+MAX(0,J68-J67)+MAX(0,J69-J68)+MAX(0,J70-J69)+MAX(0,J71-J70)+MAX(0,J72-J71)),IF(D62=1,(H62/(D62+3)+J72),IF(D62=0,H62*0.3+J72))))</f>
        <v>7</v>
      </c>
    </row>
    <row r="74" spans="1:13" ht="20.25" x14ac:dyDescent="0.25">
      <c r="A74" s="127" t="s">
        <v>145</v>
      </c>
      <c r="B74" s="127"/>
      <c r="C74" s="38">
        <v>0</v>
      </c>
      <c r="D74" s="5">
        <f ca="1">((100/(H62))*C74)/100</f>
        <v>0</v>
      </c>
      <c r="E74" s="186"/>
      <c r="F74" s="187"/>
      <c r="G74" s="127"/>
      <c r="H74" s="127"/>
    </row>
    <row r="75" spans="1:13" ht="20.25" x14ac:dyDescent="0.25">
      <c r="A75" s="127" t="s">
        <v>146</v>
      </c>
      <c r="B75" s="127"/>
      <c r="C75" s="38">
        <v>0</v>
      </c>
      <c r="D75" s="5">
        <f ca="1">((100/(H62))*C75)/100</f>
        <v>0</v>
      </c>
      <c r="E75" s="188"/>
      <c r="F75" s="189"/>
      <c r="G75" s="127"/>
      <c r="H75" s="127"/>
      <c r="I75" s="103" t="s">
        <v>359</v>
      </c>
      <c r="M75" s="95" t="s">
        <v>341</v>
      </c>
    </row>
    <row r="76" spans="1:13" ht="21" hidden="1" thickBot="1" x14ac:dyDescent="0.3">
      <c r="A76" s="120" t="s">
        <v>69</v>
      </c>
      <c r="B76" s="120"/>
      <c r="C76" s="120"/>
      <c r="D76" s="120"/>
      <c r="E76" s="120"/>
      <c r="F76" s="120"/>
      <c r="G76" s="120"/>
      <c r="H76" s="120"/>
      <c r="I76" s="100"/>
    </row>
    <row r="77" spans="1:13" ht="20.25" hidden="1" customHeight="1" x14ac:dyDescent="0.3">
      <c r="A77" s="121" t="str">
        <f>CONCATENATE((IF(OR(A47="",A47="NA"),"",A47)),"= ",(IF(OR(D47="",D47="NA"),"",D47)),".")</f>
        <v>Tower 2 = .</v>
      </c>
      <c r="B77" s="121"/>
      <c r="C77" s="121"/>
      <c r="D77" s="32" t="s">
        <v>117</v>
      </c>
      <c r="E77" s="128" t="s">
        <v>104</v>
      </c>
      <c r="F77" s="128"/>
      <c r="G77" s="32" t="s">
        <v>118</v>
      </c>
      <c r="H77" s="32" t="s">
        <v>119</v>
      </c>
      <c r="I77" s="104"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v>
      </c>
      <c r="J77" s="18"/>
    </row>
    <row r="78" spans="1:13" ht="20.25" hidden="1" x14ac:dyDescent="0.3">
      <c r="A78" s="121"/>
      <c r="B78" s="121"/>
      <c r="C78" s="121"/>
      <c r="D78" s="64">
        <f>IF(AND(ISNUMBER(SEARCH("1B",A77))),1,IF(AND(ISNUMBER(SEARCH("2B",A77))),2,IF(AND(ISNUMBER(SEARCH("3B",A77))),3,IF(AND(ISNUMBER(SEARCH("4B",A77))),4,IF(ISNUMBER(SEARCH("5B",A77)),5,0)))))</f>
        <v>0</v>
      </c>
      <c r="E78" s="128">
        <v>1</v>
      </c>
      <c r="F78" s="128"/>
      <c r="G78" s="64">
        <v>0</v>
      </c>
      <c r="H78" s="32">
        <f ca="1">--TRIM(RIGHT(SUBSTITUTE(LEFT(A77,_xlfn.AGGREGATE(16,6,FIND({0,1,2,3,4,5,6,7,8,9},A77,ROW(INDIRECT("1:"&amp;LEN(A77)))),1))," ",REPT(" ",LEN(A77))),LEN(A77)))</f>
        <v>2</v>
      </c>
      <c r="I78" s="105" t="s">
        <v>123</v>
      </c>
      <c r="J78" s="18"/>
    </row>
    <row r="79" spans="1:13" ht="20.25" hidden="1" customHeight="1" x14ac:dyDescent="0.3">
      <c r="A79" s="129" t="s">
        <v>121</v>
      </c>
      <c r="B79" s="129"/>
      <c r="C79" s="45" t="s">
        <v>133</v>
      </c>
      <c r="D79" s="33" t="s">
        <v>134</v>
      </c>
      <c r="E79" s="129" t="s">
        <v>122</v>
      </c>
      <c r="F79" s="129"/>
      <c r="G79" s="29" t="s">
        <v>120</v>
      </c>
      <c r="H79" s="29"/>
      <c r="I79" s="106" t="s">
        <v>135</v>
      </c>
      <c r="J79" s="19">
        <f ca="1">H78*25%</f>
        <v>0.5</v>
      </c>
    </row>
    <row r="80" spans="1:13" ht="20.25" hidden="1" customHeight="1" x14ac:dyDescent="0.3">
      <c r="A80" s="127" t="s">
        <v>136</v>
      </c>
      <c r="B80" s="127"/>
      <c r="C80" s="38">
        <f ca="1">J81</f>
        <v>2</v>
      </c>
      <c r="D80" s="34">
        <f ca="1">((100/H78)*C80)/100</f>
        <v>1</v>
      </c>
      <c r="E80" s="184">
        <f ca="1">(((C80/H78*10)+(C81/H78*15)+(25/(E78+G78+H78)*C82)+(5/(H78)*C83)+(2.5/(H78)*C84)+(2.5/(H78)*C85)+(5/H78*C86)+(10/H78*C87)+(2.5/H78*C88)+(2.5/H78*C89)+(10/H78*C90)+(10/H78*C91))/100)</f>
        <v>0.25</v>
      </c>
      <c r="F80" s="185"/>
      <c r="G80" s="127" t="str">
        <f ca="1">I77</f>
        <v>Excavation work Completed. Plinth work completed</v>
      </c>
      <c r="H80" s="127"/>
      <c r="I80" s="106" t="s">
        <v>124</v>
      </c>
      <c r="J80" s="24">
        <f ca="1">H78*50%</f>
        <v>1</v>
      </c>
    </row>
    <row r="81" spans="1:10" ht="20.25" hidden="1" x14ac:dyDescent="0.3">
      <c r="A81" s="127" t="s">
        <v>105</v>
      </c>
      <c r="B81" s="127"/>
      <c r="C81" s="40">
        <f ca="1">J89</f>
        <v>2</v>
      </c>
      <c r="D81" s="34">
        <f ca="1">((100/H78)*C81)/100</f>
        <v>1</v>
      </c>
      <c r="E81" s="186"/>
      <c r="F81" s="187"/>
      <c r="G81" s="127"/>
      <c r="H81" s="127"/>
      <c r="I81" s="106" t="s">
        <v>125</v>
      </c>
      <c r="J81" s="24">
        <f ca="1">H78</f>
        <v>2</v>
      </c>
    </row>
    <row r="82" spans="1:10" ht="21" hidden="1" customHeight="1" x14ac:dyDescent="0.35">
      <c r="A82" s="127" t="s">
        <v>137</v>
      </c>
      <c r="B82" s="127"/>
      <c r="C82" s="38">
        <v>0</v>
      </c>
      <c r="D82" s="34">
        <f ca="1">((100/(E78+G78+H78))*C82)/100</f>
        <v>0</v>
      </c>
      <c r="E82" s="186"/>
      <c r="F82" s="187"/>
      <c r="G82" s="127"/>
      <c r="H82" s="127"/>
      <c r="I82" s="106" t="s">
        <v>126</v>
      </c>
      <c r="J82" s="25">
        <f ca="1">(IF(D78&gt;1,(H78/(D78+2)),H78*0.2))</f>
        <v>0.4</v>
      </c>
    </row>
    <row r="83" spans="1:10" ht="21" hidden="1" customHeight="1" x14ac:dyDescent="0.35">
      <c r="A83" s="127" t="s">
        <v>138</v>
      </c>
      <c r="B83" s="127"/>
      <c r="C83" s="38">
        <v>0</v>
      </c>
      <c r="D83" s="34">
        <f ca="1">((100/H78)*C83)/100</f>
        <v>0</v>
      </c>
      <c r="E83" s="186"/>
      <c r="F83" s="187"/>
      <c r="G83" s="127"/>
      <c r="H83" s="127"/>
      <c r="I83" s="106" t="s">
        <v>127</v>
      </c>
      <c r="J83" s="25">
        <f ca="1">(IF(D78&gt;1,(H78/(D78+2)+J82),H78*0.2+J82))</f>
        <v>0.8</v>
      </c>
    </row>
    <row r="84" spans="1:10" ht="21" hidden="1" customHeight="1" x14ac:dyDescent="0.35">
      <c r="A84" s="125" t="s">
        <v>139</v>
      </c>
      <c r="B84" s="126"/>
      <c r="C84" s="38">
        <v>0</v>
      </c>
      <c r="D84" s="34">
        <f ca="1">((100/H78)*C84)/100</f>
        <v>0</v>
      </c>
      <c r="E84" s="186"/>
      <c r="F84" s="187"/>
      <c r="G84" s="127"/>
      <c r="H84" s="127"/>
      <c r="I84" s="106" t="s">
        <v>140</v>
      </c>
      <c r="J84" s="25">
        <f>(IF(D78&gt;1,(H78/(D78+2)+J83),0))</f>
        <v>0</v>
      </c>
    </row>
    <row r="85" spans="1:10" ht="21" hidden="1" customHeight="1" x14ac:dyDescent="0.35">
      <c r="A85" s="125" t="s">
        <v>170</v>
      </c>
      <c r="B85" s="126"/>
      <c r="C85" s="38">
        <v>0</v>
      </c>
      <c r="D85" s="34">
        <f ca="1">((100/H78)*C85)/100</f>
        <v>0</v>
      </c>
      <c r="E85" s="186"/>
      <c r="F85" s="187"/>
      <c r="G85" s="127"/>
      <c r="H85" s="127"/>
      <c r="I85" s="106" t="s">
        <v>141</v>
      </c>
      <c r="J85" s="25">
        <f>(IF(D78&gt;2,(H78/(D78+2)+J84),0))</f>
        <v>0</v>
      </c>
    </row>
    <row r="86" spans="1:10" ht="57.75" hidden="1" customHeight="1" x14ac:dyDescent="0.35">
      <c r="A86" s="125" t="s">
        <v>167</v>
      </c>
      <c r="B86" s="126"/>
      <c r="C86" s="38">
        <v>0</v>
      </c>
      <c r="D86" s="34">
        <f ca="1">((100/(H78))*C86)/100</f>
        <v>0</v>
      </c>
      <c r="E86" s="186"/>
      <c r="F86" s="187"/>
      <c r="G86" s="127"/>
      <c r="H86" s="127"/>
      <c r="I86" s="106" t="s">
        <v>143</v>
      </c>
      <c r="J86" s="26">
        <f>(IF(D78&gt;3,(H78/(D78+2)+J85),0))</f>
        <v>0</v>
      </c>
    </row>
    <row r="87" spans="1:10" ht="21" hidden="1" x14ac:dyDescent="0.35">
      <c r="A87" s="127" t="s">
        <v>142</v>
      </c>
      <c r="B87" s="127"/>
      <c r="C87" s="38">
        <v>0</v>
      </c>
      <c r="D87" s="34">
        <f ca="1">((100/(H78))*C87)/100</f>
        <v>0</v>
      </c>
      <c r="E87" s="186"/>
      <c r="F87" s="187"/>
      <c r="G87" s="127"/>
      <c r="H87" s="127"/>
      <c r="I87" s="106" t="s">
        <v>144</v>
      </c>
      <c r="J87" s="25">
        <f>(IF(D78&gt;4,(H78/(D78+2)+J86),0))</f>
        <v>0</v>
      </c>
    </row>
    <row r="88" spans="1:10" ht="21" hidden="1" customHeight="1" x14ac:dyDescent="0.35">
      <c r="A88" s="127" t="s">
        <v>169</v>
      </c>
      <c r="B88" s="127"/>
      <c r="C88" s="38">
        <v>0</v>
      </c>
      <c r="D88" s="34">
        <f ca="1">((100/H78)*C88)/100</f>
        <v>0</v>
      </c>
      <c r="E88" s="186"/>
      <c r="F88" s="187"/>
      <c r="G88" s="127"/>
      <c r="H88" s="127"/>
      <c r="I88" s="106" t="s">
        <v>128</v>
      </c>
      <c r="J88" s="25">
        <f ca="1">(IF(D78=1,(H78/(D78+3)+J83),IF(D78=0,(H78*0.3+J83),IF(D78&gt;1,0))))</f>
        <v>1.4</v>
      </c>
    </row>
    <row r="89" spans="1:10" ht="21.75" hidden="1" thickBot="1" x14ac:dyDescent="0.4">
      <c r="A89" s="127" t="s">
        <v>168</v>
      </c>
      <c r="B89" s="127"/>
      <c r="C89" s="38">
        <v>0</v>
      </c>
      <c r="D89" s="34">
        <f ca="1">((100/H78)*C89)/100</f>
        <v>0</v>
      </c>
      <c r="E89" s="186"/>
      <c r="F89" s="187"/>
      <c r="G89" s="127"/>
      <c r="H89" s="127"/>
      <c r="I89" s="107" t="s">
        <v>129</v>
      </c>
      <c r="J89" s="27">
        <f ca="1">(IF(D78&gt;1.5,(H78/(D78+2)+J83+MAX(0,J84-J83)+MAX(0,J85-J84)+MAX(0,J86-J85)+MAX(0,J87-J86)+MAX(0,J88-J87)),IF(D78=1,(H78/(D78+3)+J88),IF(D78=0,H78*0.3+J88))))</f>
        <v>2</v>
      </c>
    </row>
    <row r="90" spans="1:10" ht="20.25" hidden="1" x14ac:dyDescent="0.25">
      <c r="A90" s="127" t="s">
        <v>145</v>
      </c>
      <c r="B90" s="127"/>
      <c r="C90" s="38">
        <v>0</v>
      </c>
      <c r="D90" s="34">
        <f ca="1">((100/(H78))*C90)/100</f>
        <v>0</v>
      </c>
      <c r="E90" s="186"/>
      <c r="F90" s="187"/>
      <c r="G90" s="127"/>
      <c r="H90" s="127"/>
      <c r="I90" s="100"/>
    </row>
    <row r="91" spans="1:10" ht="20.25" hidden="1" x14ac:dyDescent="0.25">
      <c r="A91" s="127" t="s">
        <v>146</v>
      </c>
      <c r="B91" s="127"/>
      <c r="C91" s="38">
        <v>0</v>
      </c>
      <c r="D91" s="34">
        <f ca="1">((100/(H78))*C91)/100</f>
        <v>0</v>
      </c>
      <c r="E91" s="188"/>
      <c r="F91" s="189"/>
      <c r="G91" s="127"/>
      <c r="H91" s="127"/>
      <c r="I91" s="100"/>
    </row>
    <row r="92" spans="1:10" ht="21" hidden="1" thickBot="1" x14ac:dyDescent="0.3">
      <c r="A92" s="120" t="s">
        <v>69</v>
      </c>
      <c r="B92" s="120"/>
      <c r="C92" s="120"/>
      <c r="D92" s="120"/>
      <c r="E92" s="120"/>
      <c r="F92" s="120"/>
      <c r="G92" s="120"/>
      <c r="H92" s="120"/>
      <c r="I92" s="100"/>
    </row>
    <row r="93" spans="1:10" ht="20.25" hidden="1" customHeight="1" x14ac:dyDescent="0.3">
      <c r="A93" s="121" t="str">
        <f>CONCATENATE((IF(OR(A48="",A48="NA"),"",A48)),"= ",(IF(OR(D48="",D48="NA"),"",D48)),".")</f>
        <v>Tower 3 = .</v>
      </c>
      <c r="B93" s="121"/>
      <c r="C93" s="121"/>
      <c r="D93" s="38" t="s">
        <v>117</v>
      </c>
      <c r="E93" s="128" t="s">
        <v>104</v>
      </c>
      <c r="F93" s="128"/>
      <c r="G93" s="38" t="s">
        <v>118</v>
      </c>
      <c r="H93" s="38" t="s">
        <v>119</v>
      </c>
      <c r="I93" s="104"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v>
      </c>
      <c r="J93" s="18"/>
    </row>
    <row r="94" spans="1:10" ht="20.25" hidden="1" x14ac:dyDescent="0.3">
      <c r="A94" s="121"/>
      <c r="B94" s="121"/>
      <c r="C94" s="121"/>
      <c r="D94" s="64">
        <f>IF(AND(ISNUMBER(SEARCH("1B",A93))),1,IF(AND(ISNUMBER(SEARCH("2B",A93))),2,IF(AND(ISNUMBER(SEARCH("3B",A93))),3,IF(AND(ISNUMBER(SEARCH("4B",A93))),4,IF(ISNUMBER(SEARCH("5B",A93)),5,0)))))</f>
        <v>0</v>
      </c>
      <c r="E94" s="128">
        <v>1</v>
      </c>
      <c r="F94" s="128"/>
      <c r="G94" s="64">
        <v>0</v>
      </c>
      <c r="H94" s="38">
        <f ca="1">--TRIM(RIGHT(SUBSTITUTE(LEFT(A93,_xlfn.AGGREGATE(16,6,FIND({0,1,2,3,4,5,6,7,8,9},A93,ROW(INDIRECT("1:"&amp;LEN(A93)))),1))," ",REPT(" ",LEN(A93))),LEN(A93)))</f>
        <v>3</v>
      </c>
      <c r="I94" s="105" t="s">
        <v>123</v>
      </c>
      <c r="J94" s="18"/>
    </row>
    <row r="95" spans="1:10" ht="20.25" hidden="1" customHeight="1" x14ac:dyDescent="0.3">
      <c r="A95" s="129" t="s">
        <v>121</v>
      </c>
      <c r="B95" s="129"/>
      <c r="C95" s="45" t="s">
        <v>133</v>
      </c>
      <c r="D95" s="45" t="s">
        <v>134</v>
      </c>
      <c r="E95" s="129" t="s">
        <v>122</v>
      </c>
      <c r="F95" s="129"/>
      <c r="G95" s="29" t="s">
        <v>120</v>
      </c>
      <c r="H95" s="29"/>
      <c r="I95" s="106" t="s">
        <v>135</v>
      </c>
      <c r="J95" s="19">
        <f ca="1">H94*25%</f>
        <v>0.75</v>
      </c>
    </row>
    <row r="96" spans="1:10" ht="20.25" hidden="1" customHeight="1" x14ac:dyDescent="0.3">
      <c r="A96" s="127" t="s">
        <v>136</v>
      </c>
      <c r="B96" s="127"/>
      <c r="C96" s="38">
        <f ca="1">J97</f>
        <v>3</v>
      </c>
      <c r="D96" s="39">
        <f ca="1">((100/H94)*C96)/100</f>
        <v>1</v>
      </c>
      <c r="E96" s="184">
        <f ca="1">(((C96/H94*10)+(C97/H94*15)+(25/(E94+G94+H94)*C98)+(5/(H94)*C99)+(2.5/(H94)*C100)+(2.5/(H94)*C101)+(5/H94*C102)+(10/H94*C103)+(2.5/H94*C104)+(2.5/H94*C105)+(10/H94*C106)+(10/H94*C107))/100)</f>
        <v>0.25</v>
      </c>
      <c r="F96" s="185"/>
      <c r="G96" s="127" t="str">
        <f ca="1">I93</f>
        <v>Excavation work Completed. Plinth work completed</v>
      </c>
      <c r="H96" s="127"/>
      <c r="I96" s="106" t="s">
        <v>124</v>
      </c>
      <c r="J96" s="24">
        <f ca="1">H94*50%</f>
        <v>1.5</v>
      </c>
    </row>
    <row r="97" spans="1:11" ht="20.25" hidden="1" x14ac:dyDescent="0.3">
      <c r="A97" s="127" t="s">
        <v>105</v>
      </c>
      <c r="B97" s="127"/>
      <c r="C97" s="40">
        <f ca="1">J105</f>
        <v>3</v>
      </c>
      <c r="D97" s="39">
        <f ca="1">((100/H94)*C97)/100</f>
        <v>1</v>
      </c>
      <c r="E97" s="186"/>
      <c r="F97" s="187"/>
      <c r="G97" s="127"/>
      <c r="H97" s="127"/>
      <c r="I97" s="106" t="s">
        <v>125</v>
      </c>
      <c r="J97" s="24">
        <f ca="1">H94</f>
        <v>3</v>
      </c>
    </row>
    <row r="98" spans="1:11" ht="21" hidden="1" customHeight="1" x14ac:dyDescent="0.35">
      <c r="A98" s="127" t="s">
        <v>137</v>
      </c>
      <c r="B98" s="127"/>
      <c r="C98" s="38">
        <v>0</v>
      </c>
      <c r="D98" s="39">
        <f ca="1">((100/(E94+G94+H94))*C98)/100</f>
        <v>0</v>
      </c>
      <c r="E98" s="186"/>
      <c r="F98" s="187"/>
      <c r="G98" s="127"/>
      <c r="H98" s="127"/>
      <c r="I98" s="106" t="s">
        <v>126</v>
      </c>
      <c r="J98" s="25">
        <f ca="1">(IF(D94&gt;1,(H94/(D94+2)),H94*0.2))</f>
        <v>0.60000000000000009</v>
      </c>
    </row>
    <row r="99" spans="1:11" ht="21" hidden="1" customHeight="1" x14ac:dyDescent="0.35">
      <c r="A99" s="127" t="s">
        <v>138</v>
      </c>
      <c r="B99" s="127"/>
      <c r="C99" s="38">
        <v>0</v>
      </c>
      <c r="D99" s="39">
        <f ca="1">((100/H94)*C99)/100</f>
        <v>0</v>
      </c>
      <c r="E99" s="186"/>
      <c r="F99" s="187"/>
      <c r="G99" s="127"/>
      <c r="H99" s="127"/>
      <c r="I99" s="106" t="s">
        <v>127</v>
      </c>
      <c r="J99" s="25">
        <f ca="1">(IF(D94&gt;1,(H94/(D94+2)+J98),H94*0.2+J98))</f>
        <v>1.2000000000000002</v>
      </c>
    </row>
    <row r="100" spans="1:11" ht="21" hidden="1" customHeight="1" x14ac:dyDescent="0.35">
      <c r="A100" s="125" t="s">
        <v>139</v>
      </c>
      <c r="B100" s="126"/>
      <c r="C100" s="38">
        <v>0</v>
      </c>
      <c r="D100" s="39">
        <f ca="1">((100/H94)*C100)/100</f>
        <v>0</v>
      </c>
      <c r="E100" s="186"/>
      <c r="F100" s="187"/>
      <c r="G100" s="127"/>
      <c r="H100" s="127"/>
      <c r="I100" s="106" t="s">
        <v>140</v>
      </c>
      <c r="J100" s="25">
        <f>(IF(D94&gt;1,(H94/(D94+2)+J99),0))</f>
        <v>0</v>
      </c>
    </row>
    <row r="101" spans="1:11" ht="21" hidden="1" customHeight="1" x14ac:dyDescent="0.35">
      <c r="A101" s="125" t="s">
        <v>170</v>
      </c>
      <c r="B101" s="126"/>
      <c r="C101" s="38">
        <v>0</v>
      </c>
      <c r="D101" s="39">
        <f ca="1">((100/H94)*C101)/100</f>
        <v>0</v>
      </c>
      <c r="E101" s="186"/>
      <c r="F101" s="187"/>
      <c r="G101" s="127"/>
      <c r="H101" s="127"/>
      <c r="I101" s="106" t="s">
        <v>141</v>
      </c>
      <c r="J101" s="25">
        <f>(IF(D94&gt;2,(H94/(D94+2)+J100),0))</f>
        <v>0</v>
      </c>
    </row>
    <row r="102" spans="1:11" ht="57.75" hidden="1" customHeight="1" x14ac:dyDescent="0.35">
      <c r="A102" s="125" t="s">
        <v>167</v>
      </c>
      <c r="B102" s="126"/>
      <c r="C102" s="38">
        <v>0</v>
      </c>
      <c r="D102" s="39">
        <f ca="1">((100/(H94))*C102)/100</f>
        <v>0</v>
      </c>
      <c r="E102" s="186"/>
      <c r="F102" s="187"/>
      <c r="G102" s="127"/>
      <c r="H102" s="127"/>
      <c r="I102" s="106" t="s">
        <v>143</v>
      </c>
      <c r="J102" s="26">
        <f>(IF(D94&gt;3,(H94/(D94+2)+J101),0))</f>
        <v>0</v>
      </c>
    </row>
    <row r="103" spans="1:11" ht="21" hidden="1" x14ac:dyDescent="0.35">
      <c r="A103" s="127" t="s">
        <v>142</v>
      </c>
      <c r="B103" s="127"/>
      <c r="C103" s="38">
        <v>0</v>
      </c>
      <c r="D103" s="39">
        <f ca="1">((100/(H94))*C103)/100</f>
        <v>0</v>
      </c>
      <c r="E103" s="186"/>
      <c r="F103" s="187"/>
      <c r="G103" s="127"/>
      <c r="H103" s="127"/>
      <c r="I103" s="106" t="s">
        <v>144</v>
      </c>
      <c r="J103" s="25">
        <f>(IF(D94&gt;4,(H94/(D94+2)+J102),0))</f>
        <v>0</v>
      </c>
    </row>
    <row r="104" spans="1:11" ht="21" hidden="1" customHeight="1" x14ac:dyDescent="0.35">
      <c r="A104" s="127" t="s">
        <v>169</v>
      </c>
      <c r="B104" s="127"/>
      <c r="C104" s="38">
        <v>0</v>
      </c>
      <c r="D104" s="39">
        <f ca="1">((100/H94)*C104)/100</f>
        <v>0</v>
      </c>
      <c r="E104" s="186"/>
      <c r="F104" s="187"/>
      <c r="G104" s="127"/>
      <c r="H104" s="127"/>
      <c r="I104" s="106" t="s">
        <v>128</v>
      </c>
      <c r="J104" s="25">
        <f ca="1">(IF(D94=1,(H94/(D94+3)+J99),IF(D94=0,(H94*0.3+J99),IF(D94&gt;1,0))))</f>
        <v>2.1</v>
      </c>
    </row>
    <row r="105" spans="1:11" ht="21.75" hidden="1" thickBot="1" x14ac:dyDescent="0.4">
      <c r="A105" s="127" t="s">
        <v>168</v>
      </c>
      <c r="B105" s="127"/>
      <c r="C105" s="38">
        <v>0</v>
      </c>
      <c r="D105" s="39">
        <f ca="1">((100/H94)*C105)/100</f>
        <v>0</v>
      </c>
      <c r="E105" s="186"/>
      <c r="F105" s="187"/>
      <c r="G105" s="127"/>
      <c r="H105" s="127"/>
      <c r="I105" s="107" t="s">
        <v>129</v>
      </c>
      <c r="J105" s="27">
        <f ca="1">(IF(D94&gt;1.5,(H94/(D94+2)+J99+MAX(0,J100-J99)+MAX(0,J101-J100)+MAX(0,J102-J101)+MAX(0,J103-J102)+MAX(0,J104-J103)),IF(D94=1,(H94/(D94+3)+J104),IF(D94=0,H94*0.3+J104))))</f>
        <v>3</v>
      </c>
    </row>
    <row r="106" spans="1:11" ht="20.25" hidden="1" x14ac:dyDescent="0.25">
      <c r="A106" s="127" t="s">
        <v>145</v>
      </c>
      <c r="B106" s="127"/>
      <c r="C106" s="38">
        <v>0</v>
      </c>
      <c r="D106" s="39">
        <f ca="1">((100/(H94))*C106)/100</f>
        <v>0</v>
      </c>
      <c r="E106" s="186"/>
      <c r="F106" s="187"/>
      <c r="G106" s="127"/>
      <c r="H106" s="127"/>
      <c r="I106" s="100"/>
    </row>
    <row r="107" spans="1:11" ht="20.25" hidden="1" x14ac:dyDescent="0.25">
      <c r="A107" s="127" t="s">
        <v>146</v>
      </c>
      <c r="B107" s="127"/>
      <c r="C107" s="38">
        <v>0</v>
      </c>
      <c r="D107" s="39">
        <f ca="1">((100/(H94))*C107)/100</f>
        <v>0</v>
      </c>
      <c r="E107" s="188"/>
      <c r="F107" s="189"/>
      <c r="G107" s="127"/>
      <c r="H107" s="127"/>
      <c r="I107" s="100"/>
    </row>
    <row r="108" spans="1:11" ht="36.75" customHeight="1" x14ac:dyDescent="0.3">
      <c r="A108" s="109" t="s">
        <v>130</v>
      </c>
      <c r="B108" s="110"/>
      <c r="C108" s="110"/>
      <c r="D108" s="110"/>
      <c r="E108" s="110"/>
      <c r="F108" s="110"/>
      <c r="G108" s="135">
        <f ca="1">AVERAGE(E64)</f>
        <v>0.71071428571428574</v>
      </c>
      <c r="H108" s="136"/>
      <c r="I108" s="108">
        <f>4000*1.45</f>
        <v>5800</v>
      </c>
      <c r="J108" s="21"/>
      <c r="K108" s="21"/>
    </row>
    <row r="109" spans="1:11" ht="20.25" x14ac:dyDescent="0.25">
      <c r="A109" s="156" t="s">
        <v>73</v>
      </c>
      <c r="B109" s="157"/>
      <c r="C109" s="157"/>
      <c r="D109" s="157"/>
      <c r="E109" s="157"/>
      <c r="F109" s="157"/>
      <c r="G109" s="157"/>
      <c r="H109" s="158"/>
      <c r="I109" s="102">
        <f>1947000/316</f>
        <v>6161.3924050632913</v>
      </c>
      <c r="K109" s="95" t="s">
        <v>358</v>
      </c>
    </row>
    <row r="110" spans="1:11" ht="54.75" customHeight="1" x14ac:dyDescent="0.25">
      <c r="A110" s="159" t="s">
        <v>74</v>
      </c>
      <c r="B110" s="160"/>
      <c r="C110" s="153" t="s">
        <v>109</v>
      </c>
      <c r="D110" s="154"/>
      <c r="E110" s="159" t="s">
        <v>147</v>
      </c>
      <c r="F110" s="160" t="s">
        <v>4</v>
      </c>
      <c r="G110" s="190" t="s">
        <v>160</v>
      </c>
      <c r="H110" s="190"/>
      <c r="I110" s="102">
        <f>3001000/487</f>
        <v>6162.2176591375774</v>
      </c>
    </row>
    <row r="111" spans="1:11" ht="44.25" customHeight="1" x14ac:dyDescent="0.25">
      <c r="A111" s="159" t="s">
        <v>157</v>
      </c>
      <c r="B111" s="160"/>
      <c r="C111" s="201" t="s">
        <v>363</v>
      </c>
      <c r="D111" s="202"/>
      <c r="E111" s="159" t="s">
        <v>158</v>
      </c>
      <c r="F111" s="160" t="s">
        <v>4</v>
      </c>
      <c r="G111" s="122" t="s">
        <v>148</v>
      </c>
      <c r="H111" s="122"/>
    </row>
    <row r="112" spans="1:11" ht="32.25" customHeight="1" x14ac:dyDescent="0.25">
      <c r="A112" s="159" t="s">
        <v>75</v>
      </c>
      <c r="B112" s="160"/>
      <c r="C112" s="192">
        <v>200000</v>
      </c>
      <c r="D112" s="194"/>
      <c r="E112" s="159" t="s">
        <v>103</v>
      </c>
      <c r="F112" s="160" t="s">
        <v>4</v>
      </c>
      <c r="G112" s="153" t="s">
        <v>110</v>
      </c>
      <c r="H112" s="154"/>
    </row>
    <row r="113" spans="1:150 16226:16383" ht="44.25" customHeight="1" x14ac:dyDescent="0.25">
      <c r="A113" s="159" t="s">
        <v>364</v>
      </c>
      <c r="B113" s="160"/>
      <c r="C113" s="201" t="s">
        <v>365</v>
      </c>
      <c r="D113" s="204"/>
      <c r="E113" s="204"/>
      <c r="F113" s="204"/>
      <c r="G113" s="204"/>
      <c r="H113" s="202"/>
    </row>
    <row r="114" spans="1:150 16226:16383" ht="20.25" x14ac:dyDescent="0.25">
      <c r="A114" s="156" t="s">
        <v>72</v>
      </c>
      <c r="B114" s="157"/>
      <c r="C114" s="157"/>
      <c r="D114" s="157"/>
      <c r="E114" s="157"/>
      <c r="F114" s="157"/>
      <c r="G114" s="157"/>
      <c r="H114" s="158"/>
    </row>
    <row r="115" spans="1:150 16226:16383" ht="20.25" customHeight="1" x14ac:dyDescent="0.25">
      <c r="A115" s="159" t="s">
        <v>8</v>
      </c>
      <c r="B115" s="203"/>
      <c r="C115" s="203"/>
      <c r="D115" s="203"/>
      <c r="E115" s="203"/>
      <c r="F115" s="160"/>
      <c r="G115" s="138">
        <f>5750/10.764</f>
        <v>534.18803418803418</v>
      </c>
      <c r="H115" s="139"/>
    </row>
    <row r="116" spans="1:150 16226:16383" ht="20.25" customHeight="1" x14ac:dyDescent="0.25">
      <c r="A116" s="159" t="s">
        <v>28</v>
      </c>
      <c r="B116" s="203"/>
      <c r="C116" s="203"/>
      <c r="D116" s="203"/>
      <c r="E116" s="203"/>
      <c r="F116" s="160" t="s">
        <v>4</v>
      </c>
      <c r="G116" s="155">
        <f>36500/10.764</f>
        <v>3390.932738758826</v>
      </c>
      <c r="H116" s="155"/>
    </row>
    <row r="117" spans="1:150 16226:16383" ht="20.25" customHeight="1" x14ac:dyDescent="0.25">
      <c r="A117" s="159" t="s">
        <v>111</v>
      </c>
      <c r="B117" s="203"/>
      <c r="C117" s="203"/>
      <c r="D117" s="203"/>
      <c r="E117" s="203"/>
      <c r="F117" s="160" t="s">
        <v>4</v>
      </c>
      <c r="G117" s="155">
        <f>G115*0.8</f>
        <v>427.35042735042737</v>
      </c>
      <c r="H117" s="155"/>
    </row>
    <row r="118" spans="1:150 16226:16383" ht="20.25" x14ac:dyDescent="0.25">
      <c r="A118" s="147" t="s">
        <v>245</v>
      </c>
      <c r="B118" s="148"/>
      <c r="C118" s="148"/>
      <c r="D118" s="148"/>
      <c r="E118" s="148"/>
      <c r="F118" s="148"/>
      <c r="G118" s="148"/>
      <c r="H118" s="149"/>
      <c r="J118" s="1">
        <f>6500/1.45</f>
        <v>4482.7586206896549</v>
      </c>
    </row>
    <row r="119" spans="1:150 16226:16383" s="3" customFormat="1" ht="20.25" x14ac:dyDescent="0.25">
      <c r="A119" s="114" t="s">
        <v>154</v>
      </c>
      <c r="B119" s="115"/>
      <c r="C119" s="114" t="s">
        <v>155</v>
      </c>
      <c r="D119" s="115"/>
      <c r="E119" s="114" t="s">
        <v>153</v>
      </c>
      <c r="F119" s="115"/>
      <c r="G119" s="114" t="s">
        <v>166</v>
      </c>
      <c r="H119" s="115"/>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x14ac:dyDescent="0.25">
      <c r="A120" s="116" t="s">
        <v>350</v>
      </c>
      <c r="B120" s="117"/>
      <c r="C120" s="116" t="s">
        <v>97</v>
      </c>
      <c r="D120" s="117"/>
      <c r="E120" s="116">
        <f>COUNT(E133:E152)</f>
        <v>20</v>
      </c>
      <c r="F120" s="117"/>
      <c r="G120" s="116">
        <f>SUM(H133:H152)</f>
        <v>3353.3089199999986</v>
      </c>
      <c r="H120" s="117"/>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hidden="1" x14ac:dyDescent="0.25">
      <c r="A121" s="116"/>
      <c r="B121" s="117"/>
      <c r="C121" s="116"/>
      <c r="D121" s="117"/>
      <c r="E121" s="116"/>
      <c r="F121" s="117"/>
      <c r="G121" s="116"/>
      <c r="H121" s="117"/>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x14ac:dyDescent="0.25">
      <c r="A122" s="114" t="s">
        <v>156</v>
      </c>
      <c r="B122" s="115"/>
      <c r="C122" s="114" t="s">
        <v>97</v>
      </c>
      <c r="D122" s="115"/>
      <c r="E122" s="114">
        <f>E120</f>
        <v>20</v>
      </c>
      <c r="F122" s="115"/>
      <c r="G122" s="114">
        <f>G120</f>
        <v>3353.3089199999986</v>
      </c>
      <c r="H122" s="115"/>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ht="20.25" x14ac:dyDescent="0.25">
      <c r="A123" s="147" t="s">
        <v>233</v>
      </c>
      <c r="B123" s="148"/>
      <c r="C123" s="148"/>
      <c r="D123" s="148"/>
      <c r="E123" s="148"/>
      <c r="F123" s="148"/>
      <c r="G123" s="148"/>
      <c r="H123" s="149"/>
    </row>
    <row r="124" spans="1:150 16226:16383" s="3" customFormat="1" ht="20.25" x14ac:dyDescent="0.25">
      <c r="A124" s="114" t="s">
        <v>154</v>
      </c>
      <c r="B124" s="115"/>
      <c r="C124" s="114" t="s">
        <v>155</v>
      </c>
      <c r="D124" s="115"/>
      <c r="E124" s="114" t="s">
        <v>153</v>
      </c>
      <c r="F124" s="115"/>
      <c r="G124" s="114" t="s">
        <v>166</v>
      </c>
      <c r="H124" s="115"/>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116" t="s">
        <v>351</v>
      </c>
      <c r="B125" s="117"/>
      <c r="C125" s="116" t="s">
        <v>97</v>
      </c>
      <c r="D125" s="117"/>
      <c r="E125" s="116">
        <f>COUNT(E154:E163)+COUNT(E165:E174)*6</f>
        <v>70</v>
      </c>
      <c r="F125" s="117"/>
      <c r="G125" s="116">
        <f>SUM(H154:H163)+SUM(H165:H174)*6</f>
        <v>30487.853136000002</v>
      </c>
      <c r="H125" s="117"/>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hidden="1" x14ac:dyDescent="0.25">
      <c r="A126" s="116"/>
      <c r="B126" s="117"/>
      <c r="C126" s="116"/>
      <c r="D126" s="117"/>
      <c r="E126" s="116"/>
      <c r="F126" s="117"/>
      <c r="G126" s="116"/>
      <c r="H126" s="117"/>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thickBot="1" x14ac:dyDescent="0.3">
      <c r="A127" s="118" t="s">
        <v>156</v>
      </c>
      <c r="B127" s="119"/>
      <c r="C127" s="118" t="s">
        <v>97</v>
      </c>
      <c r="D127" s="119"/>
      <c r="E127" s="118">
        <f>E125</f>
        <v>70</v>
      </c>
      <c r="F127" s="119"/>
      <c r="G127" s="118">
        <f>G125</f>
        <v>30487.853136000002</v>
      </c>
      <c r="H127" s="11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8.5" customHeight="1" thickBot="1" x14ac:dyDescent="0.3">
      <c r="A128" s="143" t="s">
        <v>246</v>
      </c>
      <c r="B128" s="144"/>
      <c r="C128" s="145" t="s">
        <v>97</v>
      </c>
      <c r="D128" s="144"/>
      <c r="E128" s="145">
        <f>SUM(E122,E127)</f>
        <v>90</v>
      </c>
      <c r="F128" s="144"/>
      <c r="G128" s="145">
        <f>SUM(G122,G127)</f>
        <v>33841.162056000001</v>
      </c>
      <c r="H128" s="146"/>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ht="20.25" x14ac:dyDescent="0.25">
      <c r="A129" s="111" t="s">
        <v>152</v>
      </c>
      <c r="B129" s="112"/>
      <c r="C129" s="112"/>
      <c r="D129" s="112"/>
      <c r="E129" s="112"/>
      <c r="F129" s="112"/>
      <c r="G129" s="112"/>
      <c r="H129" s="113"/>
    </row>
    <row r="130" spans="1:150 16226:16383" ht="66" customHeight="1" x14ac:dyDescent="0.25">
      <c r="A130" s="65" t="s">
        <v>234</v>
      </c>
      <c r="B130" s="44" t="s">
        <v>235</v>
      </c>
      <c r="C130" s="96" t="s">
        <v>236</v>
      </c>
      <c r="D130" s="31" t="s">
        <v>90</v>
      </c>
      <c r="E130" s="44" t="s">
        <v>355</v>
      </c>
      <c r="F130" s="43" t="s">
        <v>356</v>
      </c>
      <c r="G130" s="31" t="s">
        <v>92</v>
      </c>
      <c r="H130" s="31" t="s">
        <v>91</v>
      </c>
    </row>
    <row r="131" spans="1:150 16226:16383" s="3" customFormat="1" ht="20.25" x14ac:dyDescent="0.25">
      <c r="A131" s="140" t="s">
        <v>343</v>
      </c>
      <c r="B131" s="141"/>
      <c r="C131" s="141"/>
      <c r="D131" s="141"/>
      <c r="E131" s="141"/>
      <c r="F131" s="141"/>
      <c r="G131" s="141"/>
      <c r="H131" s="142"/>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42.75" customHeight="1" x14ac:dyDescent="0.25">
      <c r="A132" s="140" t="s">
        <v>342</v>
      </c>
      <c r="B132" s="141"/>
      <c r="C132" s="141"/>
      <c r="D132" s="141"/>
      <c r="E132" s="141"/>
      <c r="F132" s="141"/>
      <c r="G132" s="141"/>
      <c r="H132" s="142"/>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137">
        <v>1</v>
      </c>
      <c r="B133" s="137"/>
      <c r="C133" s="66" t="s">
        <v>97</v>
      </c>
      <c r="D133" s="66" t="s">
        <v>344</v>
      </c>
      <c r="E133" s="92">
        <f>(18.56)*10.764</f>
        <v>199.77983999999998</v>
      </c>
      <c r="F133" s="91">
        <v>0</v>
      </c>
      <c r="G133" s="91">
        <v>0</v>
      </c>
      <c r="H133" s="91">
        <f>E133+F133+(IF(G133&lt;101,G133,IF(G133&lt;201,G133/2,IF(G133&lt;=301,G133/3,G133/4))))</f>
        <v>199.77983999999998</v>
      </c>
      <c r="I133" s="97">
        <f>6.75*2.75</f>
        <v>18.5625</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133">
        <f>A133+1</f>
        <v>2</v>
      </c>
      <c r="B134" s="134"/>
      <c r="C134" s="66" t="s">
        <v>97</v>
      </c>
      <c r="D134" s="66" t="s">
        <v>344</v>
      </c>
      <c r="E134" s="92">
        <f>(9.57)*10.764</f>
        <v>103.01147999999999</v>
      </c>
      <c r="F134" s="91">
        <v>0</v>
      </c>
      <c r="G134" s="91">
        <v>0</v>
      </c>
      <c r="H134" s="91">
        <f t="shared" ref="H134:H140" si="0">E134+F134+(IF(G134&lt;101,G134,IF(G134&lt;201,G134/2,IF(G134&lt;=301,G134/3,G134/4))))</f>
        <v>103.01147999999999</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133">
        <f t="shared" ref="A135:A152" si="1">A134+1</f>
        <v>3</v>
      </c>
      <c r="B135" s="134"/>
      <c r="C135" s="66" t="s">
        <v>97</v>
      </c>
      <c r="D135" s="66" t="s">
        <v>344</v>
      </c>
      <c r="E135" s="92">
        <f>(18.56)*10.764</f>
        <v>199.77983999999998</v>
      </c>
      <c r="F135" s="91">
        <v>0</v>
      </c>
      <c r="G135" s="91">
        <v>0</v>
      </c>
      <c r="H135" s="91">
        <f t="shared" si="0"/>
        <v>199.77983999999998</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133">
        <f t="shared" si="1"/>
        <v>4</v>
      </c>
      <c r="B136" s="134"/>
      <c r="C136" s="66" t="s">
        <v>97</v>
      </c>
      <c r="D136" s="66" t="s">
        <v>344</v>
      </c>
      <c r="E136" s="92">
        <f>(18.56)*10.764</f>
        <v>199.77983999999998</v>
      </c>
      <c r="F136" s="91">
        <v>0</v>
      </c>
      <c r="G136" s="91">
        <v>0</v>
      </c>
      <c r="H136" s="91">
        <f t="shared" si="0"/>
        <v>199.77983999999998</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133">
        <f t="shared" si="1"/>
        <v>5</v>
      </c>
      <c r="B137" s="134"/>
      <c r="C137" s="66" t="s">
        <v>97</v>
      </c>
      <c r="D137" s="66" t="s">
        <v>344</v>
      </c>
      <c r="E137" s="92">
        <f>(12.45)*10.764</f>
        <v>134.01179999999999</v>
      </c>
      <c r="F137" s="91">
        <v>0</v>
      </c>
      <c r="G137" s="91">
        <v>0</v>
      </c>
      <c r="H137" s="91">
        <f t="shared" si="0"/>
        <v>134.01179999999999</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133">
        <f t="shared" si="1"/>
        <v>6</v>
      </c>
      <c r="B138" s="134"/>
      <c r="C138" s="66" t="s">
        <v>97</v>
      </c>
      <c r="D138" s="66" t="s">
        <v>344</v>
      </c>
      <c r="E138" s="92">
        <f>(18.56)*10.764</f>
        <v>199.77983999999998</v>
      </c>
      <c r="F138" s="91">
        <v>0</v>
      </c>
      <c r="G138" s="91">
        <v>0</v>
      </c>
      <c r="H138" s="91">
        <f t="shared" si="0"/>
        <v>199.77983999999998</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133">
        <f t="shared" si="1"/>
        <v>7</v>
      </c>
      <c r="B139" s="134"/>
      <c r="C139" s="66" t="s">
        <v>97</v>
      </c>
      <c r="D139" s="66" t="s">
        <v>344</v>
      </c>
      <c r="E139" s="92">
        <f>(18.56)*10.764</f>
        <v>199.77983999999998</v>
      </c>
      <c r="F139" s="91">
        <v>0</v>
      </c>
      <c r="G139" s="91">
        <v>0</v>
      </c>
      <c r="H139" s="91">
        <f t="shared" si="0"/>
        <v>199.77983999999998</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133">
        <f t="shared" si="1"/>
        <v>8</v>
      </c>
      <c r="B140" s="134"/>
      <c r="C140" s="66" t="s">
        <v>97</v>
      </c>
      <c r="D140" s="66" t="s">
        <v>344</v>
      </c>
      <c r="E140" s="92">
        <f>(12.45)*10.764</f>
        <v>134.01179999999999</v>
      </c>
      <c r="F140" s="91">
        <v>0</v>
      </c>
      <c r="G140" s="91">
        <v>0</v>
      </c>
      <c r="H140" s="91">
        <f t="shared" si="0"/>
        <v>134.01179999999999</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133">
        <f t="shared" si="1"/>
        <v>9</v>
      </c>
      <c r="B141" s="134"/>
      <c r="C141" s="66" t="s">
        <v>97</v>
      </c>
      <c r="D141" s="66" t="s">
        <v>344</v>
      </c>
      <c r="E141" s="92">
        <f>(18.56)*10.764</f>
        <v>199.77983999999998</v>
      </c>
      <c r="F141" s="91">
        <v>0</v>
      </c>
      <c r="G141" s="91">
        <v>0</v>
      </c>
      <c r="H141" s="91">
        <f t="shared" ref="H141:H152" si="2">E141+F141+(IF(G141&lt;101,G141,IF(G141&lt;201,G141/2,IF(G141&lt;=301,G141/3,G141/4))))</f>
        <v>199.77983999999998</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133">
        <f t="shared" si="1"/>
        <v>10</v>
      </c>
      <c r="B142" s="134"/>
      <c r="C142" s="66" t="s">
        <v>97</v>
      </c>
      <c r="D142" s="66" t="s">
        <v>344</v>
      </c>
      <c r="E142" s="92">
        <f>(18.56)*10.764</f>
        <v>199.77983999999998</v>
      </c>
      <c r="F142" s="91">
        <v>0</v>
      </c>
      <c r="G142" s="91">
        <v>0</v>
      </c>
      <c r="H142" s="91">
        <f t="shared" si="2"/>
        <v>199.77983999999998</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133">
        <f t="shared" si="1"/>
        <v>11</v>
      </c>
      <c r="B143" s="134"/>
      <c r="C143" s="66" t="s">
        <v>97</v>
      </c>
      <c r="D143" s="66" t="s">
        <v>344</v>
      </c>
      <c r="E143" s="92">
        <f>(14.38)*10.764</f>
        <v>154.78631999999999</v>
      </c>
      <c r="F143" s="91">
        <v>0</v>
      </c>
      <c r="G143" s="91">
        <v>0</v>
      </c>
      <c r="H143" s="91">
        <f t="shared" si="2"/>
        <v>154.78631999999999</v>
      </c>
      <c r="I143" s="97">
        <f>6.75*2.13</f>
        <v>14.3775</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133">
        <f t="shared" si="1"/>
        <v>12</v>
      </c>
      <c r="B144" s="134"/>
      <c r="C144" s="66" t="s">
        <v>97</v>
      </c>
      <c r="D144" s="66" t="s">
        <v>344</v>
      </c>
      <c r="E144" s="92">
        <f>(18.46)*10.764</f>
        <v>198.70344</v>
      </c>
      <c r="F144" s="91">
        <v>0</v>
      </c>
      <c r="G144" s="91">
        <v>0</v>
      </c>
      <c r="H144" s="91">
        <f t="shared" si="2"/>
        <v>198.70344</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133">
        <f t="shared" si="1"/>
        <v>13</v>
      </c>
      <c r="B145" s="134"/>
      <c r="C145" s="66" t="s">
        <v>97</v>
      </c>
      <c r="D145" s="66" t="s">
        <v>344</v>
      </c>
      <c r="E145" s="92">
        <f>(18.91)*10.764</f>
        <v>203.54723999999999</v>
      </c>
      <c r="F145" s="91">
        <v>0</v>
      </c>
      <c r="G145" s="91">
        <v>0</v>
      </c>
      <c r="H145" s="91">
        <f t="shared" si="2"/>
        <v>203.54723999999999</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133">
        <f t="shared" si="1"/>
        <v>14</v>
      </c>
      <c r="B146" s="134"/>
      <c r="C146" s="66" t="s">
        <v>97</v>
      </c>
      <c r="D146" s="66" t="s">
        <v>344</v>
      </c>
      <c r="E146" s="92">
        <f>(9.94)*10.764</f>
        <v>106.99415999999999</v>
      </c>
      <c r="F146" s="91">
        <v>0</v>
      </c>
      <c r="G146" s="91">
        <v>0</v>
      </c>
      <c r="H146" s="91">
        <f t="shared" si="2"/>
        <v>106.99415999999999</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133">
        <f t="shared" si="1"/>
        <v>15</v>
      </c>
      <c r="B147" s="134"/>
      <c r="C147" s="66" t="s">
        <v>97</v>
      </c>
      <c r="D147" s="66" t="s">
        <v>344</v>
      </c>
      <c r="E147" s="92">
        <f>(15.51)*10.764</f>
        <v>166.94963999999999</v>
      </c>
      <c r="F147" s="91">
        <v>0</v>
      </c>
      <c r="G147" s="91">
        <v>0</v>
      </c>
      <c r="H147" s="91">
        <f t="shared" si="2"/>
        <v>166.94963999999999</v>
      </c>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133">
        <f t="shared" si="1"/>
        <v>16</v>
      </c>
      <c r="B148" s="134"/>
      <c r="C148" s="66" t="s">
        <v>97</v>
      </c>
      <c r="D148" s="66" t="s">
        <v>344</v>
      </c>
      <c r="E148" s="92">
        <f>(13.73)*10.764</f>
        <v>147.78971999999999</v>
      </c>
      <c r="F148" s="91">
        <v>0</v>
      </c>
      <c r="G148" s="91">
        <v>0</v>
      </c>
      <c r="H148" s="91">
        <f t="shared" si="2"/>
        <v>147.78971999999999</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133">
        <f t="shared" si="1"/>
        <v>17</v>
      </c>
      <c r="B149" s="134"/>
      <c r="C149" s="66" t="s">
        <v>97</v>
      </c>
      <c r="D149" s="66" t="s">
        <v>344</v>
      </c>
      <c r="E149" s="92">
        <f>(14.56)*10.764</f>
        <v>156.72384</v>
      </c>
      <c r="F149" s="91">
        <v>0</v>
      </c>
      <c r="G149" s="91">
        <v>0</v>
      </c>
      <c r="H149" s="91">
        <f t="shared" si="2"/>
        <v>156.72384</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133">
        <f t="shared" si="1"/>
        <v>18</v>
      </c>
      <c r="B150" s="134"/>
      <c r="C150" s="66" t="s">
        <v>97</v>
      </c>
      <c r="D150" s="66" t="s">
        <v>344</v>
      </c>
      <c r="E150" s="92">
        <f>(15.51)*10.764</f>
        <v>166.94963999999999</v>
      </c>
      <c r="F150" s="91">
        <v>0</v>
      </c>
      <c r="G150" s="91">
        <v>0</v>
      </c>
      <c r="H150" s="91">
        <f t="shared" si="2"/>
        <v>166.94963999999999</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133">
        <f t="shared" si="1"/>
        <v>19</v>
      </c>
      <c r="B151" s="134"/>
      <c r="C151" s="66" t="s">
        <v>97</v>
      </c>
      <c r="D151" s="66" t="s">
        <v>344</v>
      </c>
      <c r="E151" s="92">
        <f>(12.41)*10.764</f>
        <v>133.58123999999998</v>
      </c>
      <c r="F151" s="91">
        <v>0</v>
      </c>
      <c r="G151" s="91">
        <v>0</v>
      </c>
      <c r="H151" s="91">
        <f t="shared" si="2"/>
        <v>133.58123999999998</v>
      </c>
      <c r="I151" s="97">
        <f>2.2*5.64</f>
        <v>12.407999999999999</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133">
        <f t="shared" si="1"/>
        <v>20</v>
      </c>
      <c r="B152" s="134"/>
      <c r="C152" s="66" t="s">
        <v>97</v>
      </c>
      <c r="D152" s="66" t="s">
        <v>344</v>
      </c>
      <c r="E152" s="92">
        <f>(13.73)*10.764</f>
        <v>147.78971999999999</v>
      </c>
      <c r="F152" s="91">
        <v>0</v>
      </c>
      <c r="G152" s="91">
        <v>0</v>
      </c>
      <c r="H152" s="91">
        <f t="shared" si="2"/>
        <v>147.78971999999999</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x14ac:dyDescent="0.25">
      <c r="A153" s="140" t="s">
        <v>347</v>
      </c>
      <c r="B153" s="141"/>
      <c r="C153" s="141"/>
      <c r="D153" s="141"/>
      <c r="E153" s="141"/>
      <c r="F153" s="141"/>
      <c r="G153" s="141"/>
      <c r="H153" s="142"/>
      <c r="I153" s="4">
        <v>1</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137">
        <v>1</v>
      </c>
      <c r="B154" s="137"/>
      <c r="C154" s="66" t="s">
        <v>97</v>
      </c>
      <c r="D154" s="66" t="s">
        <v>348</v>
      </c>
      <c r="E154" s="42">
        <f>(45.26)*10.764</f>
        <v>487.17863999999997</v>
      </c>
      <c r="F154" s="41">
        <v>0</v>
      </c>
      <c r="G154" s="41">
        <f>(22.97)*10.764</f>
        <v>247.24907999999996</v>
      </c>
      <c r="H154" s="6">
        <f>E154+F154+(IF(G154&lt;101,G154,IF(G154&lt;201,G154/2,IF(G154&lt;=301,G154/3,G154/4))))</f>
        <v>569.59499999999991</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133">
        <f>A154+1</f>
        <v>2</v>
      </c>
      <c r="B155" s="134"/>
      <c r="C155" s="66" t="s">
        <v>97</v>
      </c>
      <c r="D155" s="66" t="s">
        <v>349</v>
      </c>
      <c r="E155" s="42">
        <f>(33.13)*10.764</f>
        <v>356.61131999999998</v>
      </c>
      <c r="F155" s="41">
        <v>0</v>
      </c>
      <c r="G155" s="41">
        <f>(14.61)*10.764</f>
        <v>157.26203999999998</v>
      </c>
      <c r="H155" s="41">
        <f t="shared" ref="H155:H161" si="3">E155+F155+(IF(G155&lt;101,G155,IF(G155&lt;201,G155/2,IF(G155&lt;=301,G155/3,G155/4))))</f>
        <v>435.24233999999996</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133">
        <f t="shared" ref="A156:A163" si="4">A155+1</f>
        <v>3</v>
      </c>
      <c r="B156" s="134"/>
      <c r="C156" s="66" t="s">
        <v>97</v>
      </c>
      <c r="D156" s="66" t="s">
        <v>349</v>
      </c>
      <c r="E156" s="42">
        <f>(33.13)*10.764</f>
        <v>356.61131999999998</v>
      </c>
      <c r="F156" s="41">
        <f>(0.9*(2.75+2.2)+0.75*2.75)*10.764</f>
        <v>70.15437</v>
      </c>
      <c r="G156" s="41">
        <v>0</v>
      </c>
      <c r="H156" s="41">
        <f t="shared" si="3"/>
        <v>426.76568999999995</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133">
        <f t="shared" si="4"/>
        <v>4</v>
      </c>
      <c r="B157" s="134"/>
      <c r="C157" s="66" t="s">
        <v>97</v>
      </c>
      <c r="D157" s="66" t="s">
        <v>349</v>
      </c>
      <c r="E157" s="42">
        <f>(29.32)*10.764</f>
        <v>315.60048</v>
      </c>
      <c r="F157" s="41">
        <f>((2.89)+0.75*2.5+0.9*2.2)*10.764</f>
        <v>72.603180000000009</v>
      </c>
      <c r="G157" s="41">
        <v>0</v>
      </c>
      <c r="H157" s="41">
        <f t="shared" si="3"/>
        <v>388.20366000000001</v>
      </c>
      <c r="I157" s="1">
        <f>2099000/H157</f>
        <v>5406.9557200980535</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133">
        <f t="shared" si="4"/>
        <v>5</v>
      </c>
      <c r="B158" s="134"/>
      <c r="C158" s="66" t="s">
        <v>97</v>
      </c>
      <c r="D158" s="66" t="s">
        <v>349</v>
      </c>
      <c r="E158" s="42">
        <f>(29.32)*10.764</f>
        <v>315.60048</v>
      </c>
      <c r="F158" s="41">
        <f>((2.89)+0.75*2.75+0.9*2.2)*10.764</f>
        <v>74.621430000000004</v>
      </c>
      <c r="G158" s="41">
        <v>0</v>
      </c>
      <c r="H158" s="41">
        <f t="shared" si="3"/>
        <v>390.22190999999998</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133">
        <f t="shared" si="4"/>
        <v>6</v>
      </c>
      <c r="B159" s="134"/>
      <c r="C159" s="66" t="s">
        <v>97</v>
      </c>
      <c r="D159" s="66" t="s">
        <v>349</v>
      </c>
      <c r="E159" s="42">
        <f>(29.18)*10.764</f>
        <v>314.09351999999996</v>
      </c>
      <c r="F159" s="41">
        <f>((3.02)+0.75*2.75+0.9*2.2)*10.764</f>
        <v>76.020749999999992</v>
      </c>
      <c r="G159" s="41">
        <v>0</v>
      </c>
      <c r="H159" s="41">
        <f t="shared" si="3"/>
        <v>390.11426999999992</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133">
        <f t="shared" si="4"/>
        <v>7</v>
      </c>
      <c r="B160" s="134"/>
      <c r="C160" s="66" t="s">
        <v>97</v>
      </c>
      <c r="D160" s="66" t="s">
        <v>349</v>
      </c>
      <c r="E160" s="42">
        <f>(29.18)*10.764</f>
        <v>314.09351999999996</v>
      </c>
      <c r="F160" s="41">
        <f>(3.02)*10.764</f>
        <v>32.507280000000002</v>
      </c>
      <c r="G160" s="41">
        <f>(13.08)*10.764</f>
        <v>140.79311999999999</v>
      </c>
      <c r="H160" s="41">
        <f t="shared" si="3"/>
        <v>416.99735999999996</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133">
        <f t="shared" si="4"/>
        <v>8</v>
      </c>
      <c r="B161" s="134"/>
      <c r="C161" s="66" t="s">
        <v>97</v>
      </c>
      <c r="D161" s="66" t="s">
        <v>349</v>
      </c>
      <c r="E161" s="42">
        <f>(29.32)*10.764</f>
        <v>315.60048</v>
      </c>
      <c r="F161" s="41">
        <f>(2.89)*10.764</f>
        <v>31.107959999999999</v>
      </c>
      <c r="G161" s="41">
        <f>(13.08)*10.764</f>
        <v>140.79311999999999</v>
      </c>
      <c r="H161" s="41">
        <f t="shared" si="3"/>
        <v>417.10500000000002</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133">
        <f t="shared" si="4"/>
        <v>9</v>
      </c>
      <c r="B162" s="134"/>
      <c r="C162" s="66" t="s">
        <v>97</v>
      </c>
      <c r="D162" s="66" t="s">
        <v>349</v>
      </c>
      <c r="E162" s="92">
        <f>(29.32)*10.764</f>
        <v>315.60048</v>
      </c>
      <c r="F162" s="91">
        <f>(2.89)*10.764</f>
        <v>31.107959999999999</v>
      </c>
      <c r="G162" s="91">
        <f>(13.08)*10.764</f>
        <v>140.79311999999999</v>
      </c>
      <c r="H162" s="91">
        <f t="shared" ref="H162:H163" si="5">E162+F162+(IF(G162&lt;101,G162,IF(G162&lt;201,G162/2,IF(G162&lt;=301,G162/3,G162/4))))</f>
        <v>417.10500000000002</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133">
        <f t="shared" si="4"/>
        <v>10</v>
      </c>
      <c r="B163" s="134"/>
      <c r="C163" s="66" t="s">
        <v>97</v>
      </c>
      <c r="D163" s="66" t="s">
        <v>348</v>
      </c>
      <c r="E163" s="92">
        <f>(45.79)*10.764</f>
        <v>492.88355999999999</v>
      </c>
      <c r="F163" s="91">
        <v>0</v>
      </c>
      <c r="G163" s="91">
        <f>(37.83)*10.764</f>
        <v>407.20211999999998</v>
      </c>
      <c r="H163" s="91">
        <f t="shared" si="5"/>
        <v>594.68408999999997</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x14ac:dyDescent="0.25">
      <c r="A164" s="140" t="s">
        <v>346</v>
      </c>
      <c r="B164" s="141"/>
      <c r="C164" s="141"/>
      <c r="D164" s="141"/>
      <c r="E164" s="141"/>
      <c r="F164" s="141"/>
      <c r="G164" s="141"/>
      <c r="H164" s="142"/>
      <c r="I164" s="4">
        <v>6</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x14ac:dyDescent="0.25">
      <c r="A165" s="137">
        <v>1</v>
      </c>
      <c r="B165" s="137"/>
      <c r="C165" s="66" t="s">
        <v>97</v>
      </c>
      <c r="D165" s="66" t="s">
        <v>348</v>
      </c>
      <c r="E165" s="92">
        <f>(45.26)*10.764</f>
        <v>487.17863999999997</v>
      </c>
      <c r="F165" s="91">
        <f>(2.2*1.1+2.43*0.9+2.6*1.1)*10.764</f>
        <v>80.374788000000009</v>
      </c>
      <c r="G165" s="91">
        <v>0</v>
      </c>
      <c r="H165" s="91">
        <f>E165+F165+(IF(G165&lt;101,G165,IF(G165&lt;201,G165/2,IF(G165&lt;=301,G165/3,G165/4))))</f>
        <v>567.55342799999994</v>
      </c>
      <c r="I165" s="99">
        <f>3000000/H165</f>
        <v>5285.8459697295675</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x14ac:dyDescent="0.25">
      <c r="A166" s="133">
        <f>A165+1</f>
        <v>2</v>
      </c>
      <c r="B166" s="134"/>
      <c r="C166" s="66" t="s">
        <v>97</v>
      </c>
      <c r="D166" s="66" t="s">
        <v>349</v>
      </c>
      <c r="E166" s="92">
        <f>(33.13)*10.764</f>
        <v>356.61131999999998</v>
      </c>
      <c r="F166" s="91">
        <f>(2.75*0.75+0.9*(2.2+2.75))*10.764</f>
        <v>70.15437</v>
      </c>
      <c r="G166" s="91">
        <v>0</v>
      </c>
      <c r="H166" s="91">
        <f t="shared" ref="H166:H174" si="6">E166+F166+(IF(G166&lt;101,G166,IF(G166&lt;201,G166/2,IF(G166&lt;=301,G166/3,G166/4))))</f>
        <v>426.76568999999995</v>
      </c>
      <c r="I166" s="99">
        <f>2200000/H166</f>
        <v>5155.0535845559662</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x14ac:dyDescent="0.25">
      <c r="A167" s="133">
        <f t="shared" ref="A167:A174" si="7">A166+1</f>
        <v>3</v>
      </c>
      <c r="B167" s="134"/>
      <c r="C167" s="66" t="s">
        <v>97</v>
      </c>
      <c r="D167" s="66" t="s">
        <v>349</v>
      </c>
      <c r="E167" s="92">
        <f>(33.13)*10.764</f>
        <v>356.61131999999998</v>
      </c>
      <c r="F167" s="91">
        <f>(2.75*0.75+0.9*(2.2+2.75))*10.764</f>
        <v>70.15437</v>
      </c>
      <c r="G167" s="91">
        <v>0</v>
      </c>
      <c r="H167" s="91">
        <f t="shared" si="6"/>
        <v>426.76568999999995</v>
      </c>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133">
        <f t="shared" si="7"/>
        <v>4</v>
      </c>
      <c r="B168" s="134"/>
      <c r="C168" s="66" t="s">
        <v>97</v>
      </c>
      <c r="D168" s="66" t="s">
        <v>349</v>
      </c>
      <c r="E168" s="92">
        <f>(29.32)*10.764</f>
        <v>315.60048</v>
      </c>
      <c r="F168" s="91">
        <f>(2.89+0.75*2.5+0.9*2.2)*10.764</f>
        <v>72.603180000000009</v>
      </c>
      <c r="G168" s="91">
        <v>0</v>
      </c>
      <c r="H168" s="91">
        <f t="shared" si="6"/>
        <v>388.20366000000001</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133">
        <f t="shared" si="7"/>
        <v>5</v>
      </c>
      <c r="B169" s="134"/>
      <c r="C169" s="66" t="s">
        <v>97</v>
      </c>
      <c r="D169" s="66" t="s">
        <v>349</v>
      </c>
      <c r="E169" s="92">
        <f>(29.32)*10.764</f>
        <v>315.60048</v>
      </c>
      <c r="F169" s="91">
        <f>(2.89+0.75*2.75+0.9*2.2)*10.764</f>
        <v>74.621430000000004</v>
      </c>
      <c r="G169" s="91">
        <v>0</v>
      </c>
      <c r="H169" s="91">
        <f t="shared" si="6"/>
        <v>390.22190999999998</v>
      </c>
      <c r="I169" s="1">
        <f>1947000/H169</f>
        <v>4989.4686846261402</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133">
        <f t="shared" si="7"/>
        <v>6</v>
      </c>
      <c r="B170" s="134"/>
      <c r="C170" s="66" t="s">
        <v>97</v>
      </c>
      <c r="D170" s="66" t="s">
        <v>349</v>
      </c>
      <c r="E170" s="92">
        <f>(29.18)*10.764</f>
        <v>314.09351999999996</v>
      </c>
      <c r="F170" s="91">
        <f>(3.02+0.75*2.75+0.9*2.2)*10.764</f>
        <v>76.020749999999992</v>
      </c>
      <c r="G170" s="91">
        <v>0</v>
      </c>
      <c r="H170" s="91">
        <f t="shared" si="6"/>
        <v>390.11426999999992</v>
      </c>
      <c r="I170" s="99">
        <f>4.27*2.75+2.45*2.2+3.35*2.75+1.2*(1.5+0.9)+1.05*0.9+1.2*1.2-2.75</f>
        <v>28.86</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133">
        <f t="shared" si="7"/>
        <v>7</v>
      </c>
      <c r="B171" s="134"/>
      <c r="C171" s="66" t="s">
        <v>97</v>
      </c>
      <c r="D171" s="66" t="s">
        <v>349</v>
      </c>
      <c r="E171" s="92">
        <f>(29.18)*10.764</f>
        <v>314.09351999999996</v>
      </c>
      <c r="F171" s="91">
        <f>(3.02+0.75*2.75+0.9*2.2)*10.764</f>
        <v>76.020749999999992</v>
      </c>
      <c r="G171" s="91">
        <v>0</v>
      </c>
      <c r="H171" s="91">
        <f t="shared" si="6"/>
        <v>390.11426999999992</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133">
        <f t="shared" si="7"/>
        <v>8</v>
      </c>
      <c r="B172" s="134"/>
      <c r="C172" s="66" t="s">
        <v>97</v>
      </c>
      <c r="D172" s="66" t="s">
        <v>349</v>
      </c>
      <c r="E172" s="92">
        <f>(29.32)*10.764</f>
        <v>315.60048</v>
      </c>
      <c r="F172" s="91">
        <f>(2.89+0.75*2.75+0.9*2.2)*10.764</f>
        <v>74.621430000000004</v>
      </c>
      <c r="G172" s="91">
        <v>0</v>
      </c>
      <c r="H172" s="91">
        <f t="shared" si="6"/>
        <v>390.22190999999998</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133">
        <f t="shared" si="7"/>
        <v>9</v>
      </c>
      <c r="B173" s="134"/>
      <c r="C173" s="66" t="s">
        <v>97</v>
      </c>
      <c r="D173" s="66" t="s">
        <v>349</v>
      </c>
      <c r="E173" s="92">
        <f>(29.32)*10.764</f>
        <v>315.60048</v>
      </c>
      <c r="F173" s="91">
        <f>(2.89+0.75*2.75+0.9*2.2)*10.764</f>
        <v>74.621430000000004</v>
      </c>
      <c r="G173" s="91">
        <v>0</v>
      </c>
      <c r="H173" s="91">
        <f t="shared" si="6"/>
        <v>390.22190999999998</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133">
        <f t="shared" si="7"/>
        <v>10</v>
      </c>
      <c r="B174" s="134"/>
      <c r="C174" s="66" t="s">
        <v>97</v>
      </c>
      <c r="D174" s="66" t="s">
        <v>348</v>
      </c>
      <c r="E174" s="92">
        <f>(45.79)*10.764</f>
        <v>492.88355999999999</v>
      </c>
      <c r="F174" s="91">
        <f>(0.75*(2.75*3)+0.9*2.13)*10.764</f>
        <v>87.236837999999992</v>
      </c>
      <c r="G174" s="91">
        <v>0</v>
      </c>
      <c r="H174" s="91">
        <f t="shared" si="6"/>
        <v>580.12039800000002</v>
      </c>
      <c r="I174" s="1">
        <f>3038000/H174</f>
        <v>5236.8439559679127</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hidden="1" x14ac:dyDescent="0.25">
      <c r="A175" s="150" t="s">
        <v>345</v>
      </c>
      <c r="B175" s="151"/>
      <c r="C175" s="151"/>
      <c r="D175" s="151"/>
      <c r="E175" s="151"/>
      <c r="F175" s="151"/>
      <c r="G175" s="151"/>
      <c r="H175" s="152"/>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hidden="1" customHeight="1" x14ac:dyDescent="0.25">
      <c r="A176" s="137" t="str">
        <f ca="1">T176</f>
        <v>201,..,701</v>
      </c>
      <c r="B176" s="137"/>
      <c r="C176" s="66"/>
      <c r="D176" s="66"/>
      <c r="E176" s="42">
        <v>0</v>
      </c>
      <c r="F176" s="41">
        <v>0</v>
      </c>
      <c r="G176" s="41">
        <v>0</v>
      </c>
      <c r="H176" s="41">
        <f>E176+F176+(IF(G176&lt;101,G176,IF(G176&lt;201,G176/2,IF(G176&lt;=301,G176/3,G176/4))))</f>
        <v>0</v>
      </c>
      <c r="I176" s="1"/>
      <c r="J176" s="1"/>
      <c r="K176" s="1"/>
      <c r="L176" s="1"/>
      <c r="M176" s="1"/>
      <c r="N176" s="1"/>
      <c r="O176" s="1"/>
      <c r="P176" s="1"/>
      <c r="Q176" s="1"/>
      <c r="R176" s="1"/>
      <c r="S176" s="1"/>
      <c r="T176" s="23" t="str">
        <f t="shared" ref="T176:T183" ca="1" si="8">U176&amp;""&amp;",..,"&amp;""&amp;V176</f>
        <v>201,..,701</v>
      </c>
      <c r="U176" s="23">
        <f ca="1">(SUMPRODUCT(MID(0&amp;(LEFT(A175,SUM(LEN(A175)-LEN(SUBSTITUTE(A175,{"0","1","2","3"},""))))), LARGE(INDEX(ISNUMBER(--MID((LEFT(A175,SUM(LEN(A175)-LEN(SUBSTITUTE(A175,{"0","1","2","3"},""))))), ROW(INDIRECT("1:"&amp;LEN((LEFT(A175,SUM(LEN(A175)-LEN(SUBSTITUTE(A175,{"0","1","2","3"},"")))))))), 1)) * ROW(INDIRECT("1:"&amp;LEN((LEFT(A175,SUM(LEN(A175)-LEN(SUBSTITUTE(A175,{"0","1","2","3"},"")))))))), 0), ROW(INDIRECT("1:"&amp;LEN((LEFT(A175,SUM(LEN(A175)-LEN(SUBSTITUTE(A175,{"0","1","2","3"},"")))))))))+1, 1) * 10^ROW(INDIRECT("1:"&amp;LEN((LEFT(A175,SUM(LEN(A175)-LEN(SUBSTITUTE(A175,{"0","1","2","3"},""))))))))/10))*100+1</f>
        <v>201</v>
      </c>
      <c r="V176" s="23">
        <f ca="1">(SUMPRODUCT(MID(0&amp;(--TRIM(RIGHT(SUBSTITUTE(LEFT(A175,_xlfn.AGGREGATE(16,6,FIND({0,1,2,3,4,5,6,7,8,9},A175,ROW(INDIRECT("1:"&amp;LEN(A175)))),1)),"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",LEN(A175))),LEN(A175)))))))/10))*100+1</f>
        <v>701</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hidden="1" customHeight="1" x14ac:dyDescent="0.25">
      <c r="A177" s="137" t="str">
        <f t="shared" ref="A177:A183" ca="1" si="9">T177</f>
        <v>202,..,702</v>
      </c>
      <c r="B177" s="137"/>
      <c r="C177" s="66"/>
      <c r="D177" s="66"/>
      <c r="E177" s="42"/>
      <c r="F177" s="41"/>
      <c r="G177" s="41"/>
      <c r="H177" s="41">
        <f t="shared" ref="H177:H183" si="10">E177+F177+(IF(G177&lt;101,G177,IF(G177&lt;201,G177/2,IF(G177&lt;=301,G177/3,G177/4))))</f>
        <v>0</v>
      </c>
      <c r="I177" s="1"/>
      <c r="J177" s="1"/>
      <c r="K177" s="1"/>
      <c r="L177" s="1"/>
      <c r="M177" s="1"/>
      <c r="N177" s="1"/>
      <c r="O177" s="1"/>
      <c r="P177" s="1"/>
      <c r="Q177" s="1"/>
      <c r="R177" s="1"/>
      <c r="S177" s="1"/>
      <c r="T177" s="23" t="str">
        <f t="shared" ca="1" si="8"/>
        <v>202,..,702</v>
      </c>
      <c r="U177" s="23">
        <f ca="1">U176+1</f>
        <v>202</v>
      </c>
      <c r="V177" s="23">
        <f ca="1">V176+1</f>
        <v>702</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hidden="1" customHeight="1" x14ac:dyDescent="0.25">
      <c r="A178" s="137" t="str">
        <f t="shared" ca="1" si="9"/>
        <v>203,..,703</v>
      </c>
      <c r="B178" s="137"/>
      <c r="C178" s="66"/>
      <c r="D178" s="66"/>
      <c r="E178" s="42"/>
      <c r="F178" s="41"/>
      <c r="G178" s="41"/>
      <c r="H178" s="41">
        <f t="shared" si="10"/>
        <v>0</v>
      </c>
      <c r="I178" s="1"/>
      <c r="J178" s="1"/>
      <c r="K178" s="1"/>
      <c r="L178" s="1"/>
      <c r="M178" s="1"/>
      <c r="N178" s="1"/>
      <c r="O178" s="1"/>
      <c r="P178" s="1"/>
      <c r="Q178" s="1"/>
      <c r="R178" s="1"/>
      <c r="S178" s="1"/>
      <c r="T178" s="23" t="str">
        <f t="shared" ca="1" si="8"/>
        <v>203,..,703</v>
      </c>
      <c r="U178" s="23">
        <f t="shared" ref="U178:U183" ca="1" si="11">U177+1</f>
        <v>203</v>
      </c>
      <c r="V178" s="23">
        <f t="shared" ref="V178:V183" ca="1" si="12">V177+1</f>
        <v>703</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hidden="1" customHeight="1" x14ac:dyDescent="0.25">
      <c r="A179" s="137" t="str">
        <f t="shared" ca="1" si="9"/>
        <v>204,..,704</v>
      </c>
      <c r="B179" s="137"/>
      <c r="C179" s="66"/>
      <c r="D179" s="66"/>
      <c r="E179" s="42"/>
      <c r="F179" s="41"/>
      <c r="G179" s="41"/>
      <c r="H179" s="41">
        <f t="shared" si="10"/>
        <v>0</v>
      </c>
      <c r="I179" s="1"/>
      <c r="J179" s="1"/>
      <c r="K179" s="1"/>
      <c r="L179" s="1"/>
      <c r="M179" s="1"/>
      <c r="N179" s="1"/>
      <c r="O179" s="1"/>
      <c r="P179" s="1"/>
      <c r="Q179" s="1"/>
      <c r="R179" s="1"/>
      <c r="S179" s="1"/>
      <c r="T179" s="23" t="str">
        <f t="shared" ca="1" si="8"/>
        <v>204,..,704</v>
      </c>
      <c r="U179" s="23">
        <f t="shared" ca="1" si="11"/>
        <v>204</v>
      </c>
      <c r="V179" s="23">
        <f t="shared" ca="1" si="12"/>
        <v>704</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hidden="1" customHeight="1" x14ac:dyDescent="0.25">
      <c r="A180" s="137" t="str">
        <f t="shared" ca="1" si="9"/>
        <v>205,..,705</v>
      </c>
      <c r="B180" s="137"/>
      <c r="C180" s="66"/>
      <c r="D180" s="66"/>
      <c r="E180" s="42"/>
      <c r="F180" s="41"/>
      <c r="G180" s="41"/>
      <c r="H180" s="41">
        <f t="shared" si="10"/>
        <v>0</v>
      </c>
      <c r="I180" s="1"/>
      <c r="J180" s="1"/>
      <c r="K180" s="1"/>
      <c r="L180" s="1"/>
      <c r="M180" s="1"/>
      <c r="N180" s="1"/>
      <c r="O180" s="1"/>
      <c r="P180" s="1"/>
      <c r="Q180" s="1"/>
      <c r="R180" s="1"/>
      <c r="S180" s="1"/>
      <c r="T180" s="23" t="str">
        <f t="shared" ca="1" si="8"/>
        <v>205,..,705</v>
      </c>
      <c r="U180" s="23">
        <f t="shared" ca="1" si="11"/>
        <v>205</v>
      </c>
      <c r="V180" s="23">
        <f t="shared" ca="1" si="12"/>
        <v>705</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hidden="1" customHeight="1" x14ac:dyDescent="0.25">
      <c r="A181" s="137" t="str">
        <f t="shared" ca="1" si="9"/>
        <v>206,..,706</v>
      </c>
      <c r="B181" s="137"/>
      <c r="C181" s="66"/>
      <c r="D181" s="66"/>
      <c r="E181" s="42"/>
      <c r="F181" s="41"/>
      <c r="G181" s="41"/>
      <c r="H181" s="41">
        <f t="shared" si="10"/>
        <v>0</v>
      </c>
      <c r="I181" s="1"/>
      <c r="J181" s="1"/>
      <c r="K181" s="1"/>
      <c r="L181" s="1"/>
      <c r="M181" s="1"/>
      <c r="N181" s="1"/>
      <c r="O181" s="1"/>
      <c r="P181" s="1"/>
      <c r="Q181" s="1"/>
      <c r="R181" s="1"/>
      <c r="S181" s="1"/>
      <c r="T181" s="23" t="str">
        <f t="shared" ca="1" si="8"/>
        <v>206,..,706</v>
      </c>
      <c r="U181" s="23">
        <f t="shared" ca="1" si="11"/>
        <v>206</v>
      </c>
      <c r="V181" s="23">
        <f t="shared" ca="1" si="12"/>
        <v>706</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hidden="1" customHeight="1" x14ac:dyDescent="0.25">
      <c r="A182" s="137" t="str">
        <f t="shared" ca="1" si="9"/>
        <v>207,..,707</v>
      </c>
      <c r="B182" s="137"/>
      <c r="C182" s="66"/>
      <c r="D182" s="66"/>
      <c r="E182" s="42"/>
      <c r="F182" s="41"/>
      <c r="G182" s="41"/>
      <c r="H182" s="41">
        <f t="shared" si="10"/>
        <v>0</v>
      </c>
      <c r="I182" s="1"/>
      <c r="J182" s="1"/>
      <c r="K182" s="1"/>
      <c r="L182" s="1"/>
      <c r="M182" s="1"/>
      <c r="N182" s="1"/>
      <c r="O182" s="1"/>
      <c r="P182" s="1"/>
      <c r="Q182" s="1"/>
      <c r="R182" s="1"/>
      <c r="S182" s="1"/>
      <c r="T182" s="23" t="str">
        <f t="shared" ca="1" si="8"/>
        <v>207,..,707</v>
      </c>
      <c r="U182" s="23">
        <f t="shared" ca="1" si="11"/>
        <v>207</v>
      </c>
      <c r="V182" s="23">
        <f t="shared" ca="1" si="12"/>
        <v>707</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hidden="1" customHeight="1" x14ac:dyDescent="0.25">
      <c r="A183" s="137" t="str">
        <f t="shared" ca="1" si="9"/>
        <v>208,..,708</v>
      </c>
      <c r="B183" s="137"/>
      <c r="C183" s="66"/>
      <c r="D183" s="66"/>
      <c r="E183" s="42"/>
      <c r="F183" s="41"/>
      <c r="G183" s="41"/>
      <c r="H183" s="41">
        <f t="shared" si="10"/>
        <v>0</v>
      </c>
      <c r="I183" s="1"/>
      <c r="J183" s="1"/>
      <c r="K183" s="1"/>
      <c r="L183" s="1"/>
      <c r="M183" s="1"/>
      <c r="N183" s="1"/>
      <c r="O183" s="1"/>
      <c r="P183" s="1"/>
      <c r="Q183" s="1"/>
      <c r="R183" s="1"/>
      <c r="S183" s="1"/>
      <c r="T183" s="23" t="str">
        <f t="shared" ca="1" si="8"/>
        <v>208,..,708</v>
      </c>
      <c r="U183" s="23">
        <f t="shared" ca="1" si="11"/>
        <v>208</v>
      </c>
      <c r="V183" s="23">
        <f t="shared" ca="1" si="12"/>
        <v>708</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hidden="1" x14ac:dyDescent="0.25">
      <c r="A184" s="150" t="s">
        <v>131</v>
      </c>
      <c r="B184" s="151"/>
      <c r="C184" s="151"/>
      <c r="D184" s="151"/>
      <c r="E184" s="151"/>
      <c r="F184" s="151"/>
      <c r="G184" s="151"/>
      <c r="H184" s="152"/>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hidden="1" customHeight="1" x14ac:dyDescent="0.25">
      <c r="A185" s="137" t="str">
        <f ca="1">T185</f>
        <v>201 to 501</v>
      </c>
      <c r="B185" s="137"/>
      <c r="C185" s="66"/>
      <c r="D185" s="66"/>
      <c r="E185" s="42">
        <v>0</v>
      </c>
      <c r="F185" s="41">
        <v>0</v>
      </c>
      <c r="G185" s="41">
        <v>0</v>
      </c>
      <c r="H185" s="41">
        <f>E185+F185+(IF(G185&lt;101,G185,IF(G185&lt;201,G185/2,IF(G185&lt;=301,G185/3,G185/4))))</f>
        <v>0</v>
      </c>
      <c r="I185" s="1"/>
      <c r="J185" s="1"/>
      <c r="K185" s="1"/>
      <c r="L185" s="1"/>
      <c r="M185" s="1"/>
      <c r="N185" s="1"/>
      <c r="O185" s="1"/>
      <c r="P185" s="1"/>
      <c r="Q185" s="1"/>
      <c r="R185" s="1"/>
      <c r="S185" s="1"/>
      <c r="T185" s="23" t="str">
        <f ca="1">U185&amp;""&amp;" to "&amp;""&amp;V185</f>
        <v>201 to 501</v>
      </c>
      <c r="U185" s="23">
        <f ca="1">(SUMPRODUCT(MID(0&amp;(LEFT(A184,SUM(LEN(A184)-LEN(SUBSTITUTE(A184,{"0","1","2","3"},""))))), LARGE(INDEX(ISNUMBER(--MID((LEFT(A184,SUM(LEN(A184)-LEN(SUBSTITUTE(A184,{"0","1","2","3"},""))))), ROW(INDIRECT("1:"&amp;LEN((LEFT(A184,SUM(LEN(A184)-LEN(SUBSTITUTE(A184,{"0","1","2","3"},"")))))))), 1)) * ROW(INDIRECT("1:"&amp;LEN((LEFT(A184,SUM(LEN(A184)-LEN(SUBSTITUTE(A184,{"0","1","2","3"},"")))))))), 0), ROW(INDIRECT("1:"&amp;LEN((LEFT(A184,SUM(LEN(A184)-LEN(SUBSTITUTE(A184,{"0","1","2","3"},"")))))))))+1, 1) * 10^ROW(INDIRECT("1:"&amp;LEN((LEFT(A184,SUM(LEN(A184)-LEN(SUBSTITUTE(A184,{"0","1","2","3"},""))))))))/10))*100+1</f>
        <v>201</v>
      </c>
      <c r="V185" s="23">
        <f ca="1">(SUMPRODUCT(MID(0&amp;(--TRIM(RIGHT(SUBSTITUTE(LEFT(A184,_xlfn.AGGREGATE(16,6,FIND({0,1,2,3,4,5,6,7,8,9},A184,ROW(INDIRECT("1:"&amp;LEN(A184)))),1)),"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",LEN(A184))),LEN(A184)))))))/10))*100+1</f>
        <v>501</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hidden="1" customHeight="1" x14ac:dyDescent="0.25">
      <c r="A186" s="137" t="str">
        <f t="shared" ref="A186:A192" ca="1" si="13">T186</f>
        <v>202 to 502</v>
      </c>
      <c r="B186" s="137"/>
      <c r="C186" s="66"/>
      <c r="D186" s="66"/>
      <c r="E186" s="42"/>
      <c r="F186" s="41"/>
      <c r="G186" s="41"/>
      <c r="H186" s="41">
        <f t="shared" ref="H186:H192" si="14">E186+F186+(IF(G186&lt;101,G186,IF(G186&lt;201,G186/2,IF(G186&lt;=301,G186/3,G186/4))))</f>
        <v>0</v>
      </c>
      <c r="I186" s="1"/>
      <c r="J186" s="1"/>
      <c r="K186" s="1"/>
      <c r="L186" s="1"/>
      <c r="M186" s="1"/>
      <c r="N186" s="1"/>
      <c r="O186" s="1"/>
      <c r="P186" s="1"/>
      <c r="Q186" s="1"/>
      <c r="R186" s="1"/>
      <c r="S186" s="1"/>
      <c r="T186" s="23" t="str">
        <f t="shared" ref="T186:T192" ca="1" si="15">U186&amp;""&amp;" to "&amp;""&amp;V186</f>
        <v>202 to 502</v>
      </c>
      <c r="U186" s="23">
        <f ca="1">U185+1</f>
        <v>202</v>
      </c>
      <c r="V186" s="23">
        <f ca="1">V185+1</f>
        <v>502</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hidden="1" customHeight="1" x14ac:dyDescent="0.25">
      <c r="A187" s="137" t="str">
        <f t="shared" ca="1" si="13"/>
        <v>203 to 503</v>
      </c>
      <c r="B187" s="137"/>
      <c r="C187" s="66"/>
      <c r="D187" s="66"/>
      <c r="E187" s="42"/>
      <c r="F187" s="41"/>
      <c r="G187" s="41"/>
      <c r="H187" s="41">
        <f t="shared" si="14"/>
        <v>0</v>
      </c>
      <c r="I187" s="1"/>
      <c r="J187" s="1"/>
      <c r="K187" s="1"/>
      <c r="L187" s="1"/>
      <c r="M187" s="1"/>
      <c r="N187" s="1"/>
      <c r="O187" s="1"/>
      <c r="P187" s="1"/>
      <c r="Q187" s="1"/>
      <c r="R187" s="1"/>
      <c r="S187" s="1"/>
      <c r="T187" s="23" t="str">
        <f t="shared" ca="1" si="15"/>
        <v>203 to 503</v>
      </c>
      <c r="U187" s="23">
        <f t="shared" ref="U187:U192" ca="1" si="16">U186+1</f>
        <v>203</v>
      </c>
      <c r="V187" s="23">
        <f t="shared" ref="V187:V192" ca="1" si="17">V186+1</f>
        <v>503</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hidden="1" customHeight="1" x14ac:dyDescent="0.25">
      <c r="A188" s="137" t="str">
        <f t="shared" ca="1" si="13"/>
        <v>204 to 504</v>
      </c>
      <c r="B188" s="137"/>
      <c r="C188" s="66"/>
      <c r="D188" s="66"/>
      <c r="E188" s="42"/>
      <c r="F188" s="41"/>
      <c r="G188" s="41"/>
      <c r="H188" s="41">
        <f t="shared" si="14"/>
        <v>0</v>
      </c>
      <c r="I188" s="1"/>
      <c r="J188" s="1"/>
      <c r="K188" s="1"/>
      <c r="L188" s="1"/>
      <c r="M188" s="1"/>
      <c r="N188" s="1"/>
      <c r="O188" s="1"/>
      <c r="P188" s="1"/>
      <c r="Q188" s="1"/>
      <c r="R188" s="1"/>
      <c r="S188" s="1"/>
      <c r="T188" s="23" t="str">
        <f t="shared" ca="1" si="15"/>
        <v>204 to 504</v>
      </c>
      <c r="U188" s="23">
        <f t="shared" ca="1" si="16"/>
        <v>204</v>
      </c>
      <c r="V188" s="23">
        <f t="shared" ca="1" si="17"/>
        <v>504</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hidden="1" customHeight="1" x14ac:dyDescent="0.25">
      <c r="A189" s="137" t="str">
        <f t="shared" ca="1" si="13"/>
        <v>205 to 505</v>
      </c>
      <c r="B189" s="137"/>
      <c r="C189" s="66"/>
      <c r="D189" s="66"/>
      <c r="E189" s="42"/>
      <c r="F189" s="41"/>
      <c r="G189" s="41"/>
      <c r="H189" s="41">
        <f t="shared" si="14"/>
        <v>0</v>
      </c>
      <c r="I189" s="1"/>
      <c r="J189" s="1"/>
      <c r="K189" s="1"/>
      <c r="L189" s="1"/>
      <c r="M189" s="1"/>
      <c r="N189" s="1"/>
      <c r="O189" s="1"/>
      <c r="P189" s="1"/>
      <c r="Q189" s="1"/>
      <c r="R189" s="1"/>
      <c r="S189" s="1"/>
      <c r="T189" s="23" t="str">
        <f t="shared" ca="1" si="15"/>
        <v>205 to 505</v>
      </c>
      <c r="U189" s="23">
        <f t="shared" ca="1" si="16"/>
        <v>205</v>
      </c>
      <c r="V189" s="23">
        <f t="shared" ca="1" si="17"/>
        <v>505</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hidden="1" customHeight="1" x14ac:dyDescent="0.25">
      <c r="A190" s="137" t="str">
        <f t="shared" ca="1" si="13"/>
        <v>206 to 506</v>
      </c>
      <c r="B190" s="137"/>
      <c r="C190" s="66"/>
      <c r="D190" s="66"/>
      <c r="E190" s="42"/>
      <c r="F190" s="41"/>
      <c r="G190" s="41"/>
      <c r="H190" s="41">
        <f t="shared" si="14"/>
        <v>0</v>
      </c>
      <c r="I190" s="1"/>
      <c r="J190" s="1"/>
      <c r="K190" s="1"/>
      <c r="L190" s="1"/>
      <c r="M190" s="1"/>
      <c r="N190" s="1"/>
      <c r="O190" s="1"/>
      <c r="P190" s="1"/>
      <c r="Q190" s="1"/>
      <c r="R190" s="1"/>
      <c r="S190" s="1"/>
      <c r="T190" s="23" t="str">
        <f t="shared" ca="1" si="15"/>
        <v>206 to 506</v>
      </c>
      <c r="U190" s="23">
        <f t="shared" ca="1" si="16"/>
        <v>206</v>
      </c>
      <c r="V190" s="23">
        <f t="shared" ca="1" si="17"/>
        <v>506</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hidden="1" customHeight="1" x14ac:dyDescent="0.25">
      <c r="A191" s="137" t="str">
        <f t="shared" ca="1" si="13"/>
        <v>207 to 507</v>
      </c>
      <c r="B191" s="137"/>
      <c r="C191" s="66"/>
      <c r="D191" s="66"/>
      <c r="E191" s="42"/>
      <c r="F191" s="41"/>
      <c r="G191" s="41"/>
      <c r="H191" s="41">
        <f t="shared" si="14"/>
        <v>0</v>
      </c>
      <c r="I191" s="1"/>
      <c r="J191" s="1"/>
      <c r="K191" s="1"/>
      <c r="L191" s="1"/>
      <c r="M191" s="1"/>
      <c r="N191" s="1"/>
      <c r="O191" s="1"/>
      <c r="P191" s="1"/>
      <c r="Q191" s="1"/>
      <c r="R191" s="1"/>
      <c r="S191" s="1"/>
      <c r="T191" s="23" t="str">
        <f t="shared" ca="1" si="15"/>
        <v>207 to 507</v>
      </c>
      <c r="U191" s="23">
        <f t="shared" ca="1" si="16"/>
        <v>207</v>
      </c>
      <c r="V191" s="23">
        <f t="shared" ca="1" si="17"/>
        <v>507</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hidden="1" customHeight="1" x14ac:dyDescent="0.25">
      <c r="A192" s="137" t="str">
        <f t="shared" ca="1" si="13"/>
        <v>208 to 508</v>
      </c>
      <c r="B192" s="137"/>
      <c r="C192" s="66"/>
      <c r="D192" s="66"/>
      <c r="E192" s="42"/>
      <c r="F192" s="41"/>
      <c r="G192" s="41"/>
      <c r="H192" s="41">
        <f t="shared" si="14"/>
        <v>0</v>
      </c>
      <c r="I192" s="1"/>
      <c r="J192" s="1"/>
      <c r="K192" s="1"/>
      <c r="L192" s="1"/>
      <c r="M192" s="1"/>
      <c r="N192" s="1"/>
      <c r="O192" s="1"/>
      <c r="P192" s="1"/>
      <c r="Q192" s="1"/>
      <c r="R192" s="1"/>
      <c r="S192" s="1"/>
      <c r="T192" s="23" t="str">
        <f t="shared" ca="1" si="15"/>
        <v>208 to 508</v>
      </c>
      <c r="U192" s="23">
        <f t="shared" ca="1" si="16"/>
        <v>208</v>
      </c>
      <c r="V192" s="23">
        <f t="shared" ca="1" si="17"/>
        <v>508</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hidden="1" x14ac:dyDescent="0.25">
      <c r="A193" s="150" t="s">
        <v>132</v>
      </c>
      <c r="B193" s="151"/>
      <c r="C193" s="151"/>
      <c r="D193" s="151"/>
      <c r="E193" s="151"/>
      <c r="F193" s="151"/>
      <c r="G193" s="151"/>
      <c r="H193" s="152"/>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hidden="1" customHeight="1" x14ac:dyDescent="0.25">
      <c r="A194" s="137" t="str">
        <f ca="1">T194</f>
        <v>201 &amp; 501</v>
      </c>
      <c r="B194" s="137"/>
      <c r="C194" s="66"/>
      <c r="D194" s="66"/>
      <c r="E194" s="42">
        <v>0</v>
      </c>
      <c r="F194" s="41">
        <v>0</v>
      </c>
      <c r="G194" s="41">
        <v>0</v>
      </c>
      <c r="H194" s="41">
        <f>E194+F194+(IF(G194&lt;101,G194,IF(G194&lt;201,G194/2,IF(G194&lt;=301,G194/3,G194/4))))</f>
        <v>0</v>
      </c>
      <c r="I194" s="1"/>
      <c r="J194" s="1"/>
      <c r="K194" s="1"/>
      <c r="L194" s="1"/>
      <c r="M194" s="1"/>
      <c r="N194" s="1"/>
      <c r="O194" s="1"/>
      <c r="P194" s="1"/>
      <c r="Q194" s="1"/>
      <c r="R194" s="1"/>
      <c r="S194" s="1"/>
      <c r="T194" s="23" t="str">
        <f ca="1">U194&amp;""&amp;" &amp; "&amp;""&amp;V194</f>
        <v>201 &amp; 501</v>
      </c>
      <c r="U194" s="23">
        <f ca="1">(SUMPRODUCT(MID(0&amp;(LEFT(A193,SUM(LEN(A193)-LEN(SUBSTITUTE(A193,{"0","1","2","3"},""))))), LARGE(INDEX(ISNUMBER(--MID((LEFT(A193,SUM(LEN(A193)-LEN(SUBSTITUTE(A193,{"0","1","2","3"},""))))), ROW(INDIRECT("1:"&amp;LEN((LEFT(A193,SUM(LEN(A193)-LEN(SUBSTITUTE(A193,{"0","1","2","3"},"")))))))), 1)) * ROW(INDIRECT("1:"&amp;LEN((LEFT(A193,SUM(LEN(A193)-LEN(SUBSTITUTE(A193,{"0","1","2","3"},"")))))))), 0), ROW(INDIRECT("1:"&amp;LEN((LEFT(A193,SUM(LEN(A193)-LEN(SUBSTITUTE(A193,{"0","1","2","3"},"")))))))))+1, 1) * 10^ROW(INDIRECT("1:"&amp;LEN((LEFT(A193,SUM(LEN(A193)-LEN(SUBSTITUTE(A193,{"0","1","2","3"},""))))))))/10))*100+1</f>
        <v>201</v>
      </c>
      <c r="V194" s="23">
        <f ca="1">(SUMPRODUCT(MID(0&amp;(--TRIM(RIGHT(SUBSTITUTE(LEFT(A193,_xlfn.AGGREGATE(16,6,FIND({0,1,2,3,4,5,6,7,8,9},A193,ROW(INDIRECT("1:"&amp;LEN(A193)))),1)),"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",LEN(A193))),LEN(A193)))))))/10))*100+1</f>
        <v>501</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hidden="1" customHeight="1" x14ac:dyDescent="0.25">
      <c r="A195" s="137" t="str">
        <f t="shared" ref="A195:A201" ca="1" si="18">T195</f>
        <v>202 &amp; 502</v>
      </c>
      <c r="B195" s="137"/>
      <c r="C195" s="66"/>
      <c r="D195" s="66"/>
      <c r="E195" s="42"/>
      <c r="F195" s="41"/>
      <c r="G195" s="41"/>
      <c r="H195" s="41">
        <f t="shared" ref="H195:H201" si="19">E195+F195+(IF(G195&lt;101,G195,IF(G195&lt;201,G195/2,IF(G195&lt;=301,G195/3,G195/4))))</f>
        <v>0</v>
      </c>
      <c r="I195" s="1"/>
      <c r="J195" s="1"/>
      <c r="K195" s="1"/>
      <c r="L195" s="1"/>
      <c r="M195" s="1"/>
      <c r="N195" s="1"/>
      <c r="O195" s="1"/>
      <c r="P195" s="1"/>
      <c r="Q195" s="1"/>
      <c r="R195" s="1"/>
      <c r="S195" s="1"/>
      <c r="T195" s="23" t="str">
        <f t="shared" ref="T195:T201" ca="1" si="20">U195&amp;""&amp;" &amp; "&amp;""&amp;V195</f>
        <v>202 &amp; 502</v>
      </c>
      <c r="U195" s="23">
        <f ca="1">U194+1</f>
        <v>202</v>
      </c>
      <c r="V195" s="23">
        <f ca="1">V194+1</f>
        <v>502</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hidden="1" customHeight="1" x14ac:dyDescent="0.25">
      <c r="A196" s="137" t="str">
        <f t="shared" ca="1" si="18"/>
        <v>203 &amp; 503</v>
      </c>
      <c r="B196" s="137"/>
      <c r="C196" s="66"/>
      <c r="D196" s="66"/>
      <c r="E196" s="42"/>
      <c r="F196" s="41"/>
      <c r="G196" s="41"/>
      <c r="H196" s="41">
        <f t="shared" si="19"/>
        <v>0</v>
      </c>
      <c r="I196" s="1"/>
      <c r="J196" s="1"/>
      <c r="K196" s="1"/>
      <c r="L196" s="1"/>
      <c r="M196" s="1"/>
      <c r="N196" s="1"/>
      <c r="O196" s="1"/>
      <c r="P196" s="1"/>
      <c r="Q196" s="1"/>
      <c r="R196" s="1"/>
      <c r="S196" s="1"/>
      <c r="T196" s="23" t="str">
        <f t="shared" ca="1" si="20"/>
        <v>203 &amp; 503</v>
      </c>
      <c r="U196" s="23">
        <f t="shared" ref="U196:U201" ca="1" si="21">U195+1</f>
        <v>203</v>
      </c>
      <c r="V196" s="23">
        <f t="shared" ref="V196:V201" ca="1" si="22">V195+1</f>
        <v>503</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hidden="1" customHeight="1" x14ac:dyDescent="0.25">
      <c r="A197" s="137" t="str">
        <f t="shared" ca="1" si="18"/>
        <v>204 &amp; 504</v>
      </c>
      <c r="B197" s="137"/>
      <c r="C197" s="66"/>
      <c r="D197" s="66"/>
      <c r="E197" s="42"/>
      <c r="F197" s="41"/>
      <c r="G197" s="41"/>
      <c r="H197" s="41">
        <f t="shared" si="19"/>
        <v>0</v>
      </c>
      <c r="I197" s="1"/>
      <c r="J197" s="1"/>
      <c r="K197" s="1"/>
      <c r="L197" s="1"/>
      <c r="M197" s="1"/>
      <c r="N197" s="1"/>
      <c r="O197" s="1"/>
      <c r="P197" s="1"/>
      <c r="Q197" s="1"/>
      <c r="R197" s="1"/>
      <c r="S197" s="1"/>
      <c r="T197" s="23" t="str">
        <f t="shared" ca="1" si="20"/>
        <v>204 &amp; 504</v>
      </c>
      <c r="U197" s="23">
        <f t="shared" ca="1" si="21"/>
        <v>204</v>
      </c>
      <c r="V197" s="23">
        <f t="shared" ca="1" si="22"/>
        <v>504</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hidden="1" customHeight="1" x14ac:dyDescent="0.25">
      <c r="A198" s="137" t="str">
        <f t="shared" ca="1" si="18"/>
        <v>205 &amp; 505</v>
      </c>
      <c r="B198" s="137"/>
      <c r="C198" s="66"/>
      <c r="D198" s="66"/>
      <c r="E198" s="42"/>
      <c r="F198" s="41"/>
      <c r="G198" s="41"/>
      <c r="H198" s="41">
        <f t="shared" si="19"/>
        <v>0</v>
      </c>
      <c r="I198" s="1"/>
      <c r="J198" s="1"/>
      <c r="K198" s="1"/>
      <c r="L198" s="1"/>
      <c r="M198" s="1"/>
      <c r="N198" s="1"/>
      <c r="O198" s="1"/>
      <c r="P198" s="1"/>
      <c r="Q198" s="1"/>
      <c r="R198" s="1"/>
      <c r="S198" s="1"/>
      <c r="T198" s="23" t="str">
        <f t="shared" ca="1" si="20"/>
        <v>205 &amp; 505</v>
      </c>
      <c r="U198" s="23">
        <f t="shared" ca="1" si="21"/>
        <v>205</v>
      </c>
      <c r="V198" s="23">
        <f t="shared" ca="1" si="22"/>
        <v>505</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hidden="1" customHeight="1" x14ac:dyDescent="0.25">
      <c r="A199" s="137" t="str">
        <f t="shared" ca="1" si="18"/>
        <v>206 &amp; 506</v>
      </c>
      <c r="B199" s="137"/>
      <c r="C199" s="66"/>
      <c r="D199" s="66"/>
      <c r="E199" s="42"/>
      <c r="F199" s="41"/>
      <c r="G199" s="41"/>
      <c r="H199" s="41">
        <f t="shared" si="19"/>
        <v>0</v>
      </c>
      <c r="I199" s="1"/>
      <c r="J199" s="1"/>
      <c r="K199" s="1"/>
      <c r="L199" s="1"/>
      <c r="M199" s="1"/>
      <c r="N199" s="1"/>
      <c r="O199" s="1"/>
      <c r="P199" s="1"/>
      <c r="Q199" s="1"/>
      <c r="R199" s="1"/>
      <c r="S199" s="1"/>
      <c r="T199" s="23" t="str">
        <f t="shared" ca="1" si="20"/>
        <v>206 &amp; 506</v>
      </c>
      <c r="U199" s="23">
        <f t="shared" ca="1" si="21"/>
        <v>206</v>
      </c>
      <c r="V199" s="23">
        <f t="shared" ca="1" si="22"/>
        <v>506</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hidden="1" customHeight="1" x14ac:dyDescent="0.25">
      <c r="A200" s="137" t="str">
        <f t="shared" ca="1" si="18"/>
        <v>207 &amp; 507</v>
      </c>
      <c r="B200" s="137"/>
      <c r="C200" s="66"/>
      <c r="D200" s="66"/>
      <c r="E200" s="42"/>
      <c r="F200" s="41"/>
      <c r="G200" s="41"/>
      <c r="H200" s="41">
        <f t="shared" si="19"/>
        <v>0</v>
      </c>
      <c r="I200" s="1"/>
      <c r="J200" s="1"/>
      <c r="K200" s="1"/>
      <c r="L200" s="1"/>
      <c r="M200" s="1"/>
      <c r="N200" s="1"/>
      <c r="O200" s="1"/>
      <c r="P200" s="1"/>
      <c r="Q200" s="1"/>
      <c r="R200" s="1"/>
      <c r="S200" s="1"/>
      <c r="T200" s="23" t="str">
        <f t="shared" ca="1" si="20"/>
        <v>207 &amp; 507</v>
      </c>
      <c r="U200" s="23">
        <f t="shared" ca="1" si="21"/>
        <v>207</v>
      </c>
      <c r="V200" s="23">
        <f t="shared" ca="1" si="22"/>
        <v>507</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hidden="1" customHeight="1" x14ac:dyDescent="0.25">
      <c r="A201" s="137" t="str">
        <f t="shared" ca="1" si="18"/>
        <v>208 &amp; 508</v>
      </c>
      <c r="B201" s="137"/>
      <c r="C201" s="66"/>
      <c r="D201" s="66"/>
      <c r="E201" s="42"/>
      <c r="F201" s="41"/>
      <c r="G201" s="41"/>
      <c r="H201" s="41">
        <f t="shared" si="19"/>
        <v>0</v>
      </c>
      <c r="I201" s="1"/>
      <c r="J201" s="1"/>
      <c r="K201" s="1"/>
      <c r="L201" s="1"/>
      <c r="M201" s="1"/>
      <c r="N201" s="1"/>
      <c r="O201" s="1"/>
      <c r="P201" s="1"/>
      <c r="Q201" s="1"/>
      <c r="R201" s="1"/>
      <c r="S201" s="1"/>
      <c r="T201" s="23" t="str">
        <f t="shared" ca="1" si="20"/>
        <v>208 &amp; 508</v>
      </c>
      <c r="U201" s="23">
        <f t="shared" ca="1" si="21"/>
        <v>208</v>
      </c>
      <c r="V201" s="23">
        <f t="shared" ca="1" si="22"/>
        <v>508</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ht="20.25" x14ac:dyDescent="0.25">
      <c r="A202" s="120" t="s">
        <v>70</v>
      </c>
      <c r="B202" s="120"/>
      <c r="C202" s="120"/>
      <c r="D202" s="120"/>
      <c r="E202" s="120"/>
      <c r="F202" s="120"/>
      <c r="G202" s="120"/>
      <c r="H202" s="120"/>
    </row>
    <row r="203" spans="1:150 16226:16383" ht="20.25" x14ac:dyDescent="0.25">
      <c r="A203" s="48" t="s">
        <v>237</v>
      </c>
      <c r="B203" s="192" t="s">
        <v>352</v>
      </c>
      <c r="C203" s="193"/>
      <c r="D203" s="193"/>
      <c r="E203" s="193"/>
      <c r="F203" s="193"/>
      <c r="G203" s="193"/>
      <c r="H203" s="194"/>
    </row>
    <row r="204" spans="1:150 16226:16383" ht="20.25" x14ac:dyDescent="0.25">
      <c r="A204" s="48" t="s">
        <v>237</v>
      </c>
      <c r="B204" s="165" t="s">
        <v>238</v>
      </c>
      <c r="C204" s="166"/>
      <c r="D204" s="166"/>
      <c r="E204" s="166"/>
      <c r="F204" s="166"/>
      <c r="G204" s="166"/>
      <c r="H204" s="167"/>
    </row>
    <row r="205" spans="1:150 16226:16383" ht="20.25" x14ac:dyDescent="0.25">
      <c r="A205" s="48" t="s">
        <v>237</v>
      </c>
      <c r="B205" s="165" t="s">
        <v>361</v>
      </c>
      <c r="C205" s="166"/>
      <c r="D205" s="166"/>
      <c r="E205" s="166"/>
      <c r="F205" s="166"/>
      <c r="G205" s="166"/>
      <c r="H205" s="167"/>
    </row>
    <row r="206" spans="1:150 16226:16383" ht="20.25" x14ac:dyDescent="0.25">
      <c r="A206" s="48" t="s">
        <v>237</v>
      </c>
      <c r="B206" s="165" t="s">
        <v>239</v>
      </c>
      <c r="C206" s="166"/>
      <c r="D206" s="166"/>
      <c r="E206" s="166"/>
      <c r="F206" s="166"/>
      <c r="G206" s="166"/>
      <c r="H206" s="167"/>
    </row>
    <row r="207" spans="1:150 16226:16383" ht="20.25" x14ac:dyDescent="0.25">
      <c r="A207" s="48" t="s">
        <v>237</v>
      </c>
      <c r="B207" s="165" t="s">
        <v>240</v>
      </c>
      <c r="C207" s="166"/>
      <c r="D207" s="166"/>
      <c r="E207" s="166"/>
      <c r="F207" s="166"/>
      <c r="G207" s="166"/>
      <c r="H207" s="167"/>
    </row>
    <row r="208" spans="1:150 16226:16383" ht="46.5" hidden="1" customHeight="1" x14ac:dyDescent="0.25">
      <c r="A208" s="48" t="s">
        <v>237</v>
      </c>
      <c r="B208" s="191" t="s">
        <v>241</v>
      </c>
      <c r="C208" s="166"/>
      <c r="D208" s="166"/>
      <c r="E208" s="166"/>
      <c r="F208" s="166"/>
      <c r="G208" s="166"/>
      <c r="H208" s="167"/>
    </row>
    <row r="209" spans="1:8" ht="24.75" hidden="1" customHeight="1" x14ac:dyDescent="0.25">
      <c r="A209" s="48" t="s">
        <v>237</v>
      </c>
      <c r="B209" s="191" t="s">
        <v>242</v>
      </c>
      <c r="C209" s="166"/>
      <c r="D209" s="166"/>
      <c r="E209" s="166"/>
      <c r="F209" s="166"/>
      <c r="G209" s="166"/>
      <c r="H209" s="167"/>
    </row>
    <row r="210" spans="1:8" ht="46.5" hidden="1" customHeight="1" x14ac:dyDescent="0.25">
      <c r="A210" s="2" t="s">
        <v>237</v>
      </c>
      <c r="B210" s="191" t="s">
        <v>241</v>
      </c>
      <c r="C210" s="166"/>
      <c r="D210" s="166"/>
      <c r="E210" s="166"/>
      <c r="F210" s="166"/>
      <c r="G210" s="166"/>
      <c r="H210" s="167"/>
    </row>
    <row r="211" spans="1:8" ht="20.25" x14ac:dyDescent="0.25">
      <c r="A211" s="164" t="s">
        <v>76</v>
      </c>
      <c r="B211" s="164"/>
      <c r="C211" s="164"/>
      <c r="D211" s="164"/>
      <c r="E211" s="164"/>
      <c r="F211" s="164"/>
      <c r="G211" s="164"/>
      <c r="H211" s="164"/>
    </row>
    <row r="212" spans="1:8" ht="20.25" x14ac:dyDescent="0.25">
      <c r="A212" s="132" t="s">
        <v>71</v>
      </c>
      <c r="B212" s="132"/>
      <c r="C212" s="132"/>
      <c r="D212" s="165" t="str">
        <f>C3</f>
        <v>Sky Galaxy Bldg No.1</v>
      </c>
      <c r="E212" s="166"/>
      <c r="F212" s="166"/>
      <c r="G212" s="166"/>
      <c r="H212" s="167"/>
    </row>
    <row r="213" spans="1:8" ht="40.5" customHeight="1" x14ac:dyDescent="0.25">
      <c r="A213" s="132" t="s">
        <v>106</v>
      </c>
      <c r="B213" s="132"/>
      <c r="C213" s="132"/>
      <c r="D213" s="165" t="str">
        <f>C9</f>
        <v>Sky Galaxy Bldg No 1,  S.NO 71, H NO 1, Yeranjad at Badlapur (M Cl), 
Ambarnath, Thane, 421503</v>
      </c>
      <c r="E213" s="166"/>
      <c r="F213" s="166"/>
      <c r="G213" s="166"/>
      <c r="H213" s="167"/>
    </row>
    <row r="214" spans="1:8" ht="20.25" customHeight="1" x14ac:dyDescent="0.25">
      <c r="A214" s="177" t="s">
        <v>112</v>
      </c>
      <c r="B214" s="177"/>
      <c r="C214" s="177"/>
      <c r="D214" s="165" t="str">
        <f>G3</f>
        <v>17/09/2025 at 02:41PM</v>
      </c>
      <c r="E214" s="166"/>
      <c r="F214" s="166"/>
      <c r="G214" s="166"/>
      <c r="H214" s="167"/>
    </row>
    <row r="215" spans="1:8" ht="20.25" x14ac:dyDescent="0.25">
      <c r="A215" s="10"/>
      <c r="B215" s="11"/>
      <c r="C215" s="11"/>
      <c r="D215" s="11"/>
      <c r="E215" s="11"/>
      <c r="F215" s="11"/>
      <c r="G215" s="11"/>
      <c r="H215" s="7"/>
    </row>
    <row r="216" spans="1:8" ht="20.25" x14ac:dyDescent="0.25">
      <c r="A216" s="12"/>
      <c r="B216" s="13"/>
      <c r="C216" s="13"/>
      <c r="D216" s="13"/>
      <c r="E216" s="13"/>
      <c r="F216" s="13"/>
      <c r="G216" s="13"/>
      <c r="H216" s="8"/>
    </row>
    <row r="217" spans="1:8" ht="20.25" x14ac:dyDescent="0.25">
      <c r="A217" s="12"/>
      <c r="B217" s="13"/>
      <c r="C217" s="13"/>
      <c r="D217" s="13"/>
      <c r="E217" s="13"/>
      <c r="F217" s="13"/>
      <c r="G217" s="13"/>
      <c r="H217" s="8"/>
    </row>
    <row r="218" spans="1:8" ht="20.25" x14ac:dyDescent="0.25">
      <c r="A218" s="12"/>
      <c r="B218" s="13"/>
      <c r="C218" s="13"/>
      <c r="D218" s="13"/>
      <c r="E218" s="13"/>
      <c r="F218" s="13"/>
      <c r="G218" s="13"/>
      <c r="H218" s="8"/>
    </row>
    <row r="219" spans="1:8" ht="20.25" x14ac:dyDescent="0.25">
      <c r="A219" s="12"/>
      <c r="B219" s="13"/>
      <c r="C219" s="13"/>
      <c r="D219" s="13"/>
      <c r="E219" s="13"/>
      <c r="F219" s="13"/>
      <c r="G219" s="13"/>
      <c r="H219" s="8"/>
    </row>
    <row r="220" spans="1:8" ht="20.25" x14ac:dyDescent="0.25">
      <c r="A220" s="12"/>
      <c r="B220" s="13"/>
      <c r="C220" s="13"/>
      <c r="D220" s="13"/>
      <c r="E220" s="13"/>
      <c r="F220" s="13"/>
      <c r="G220" s="13"/>
      <c r="H220" s="8"/>
    </row>
    <row r="221" spans="1:8" ht="20.25" x14ac:dyDescent="0.25">
      <c r="A221" s="12"/>
      <c r="B221" s="13"/>
      <c r="C221" s="13"/>
      <c r="D221" s="13"/>
      <c r="E221" s="13"/>
      <c r="F221" s="13"/>
      <c r="G221" s="13"/>
      <c r="H221" s="8"/>
    </row>
    <row r="222" spans="1:8" ht="20.25" x14ac:dyDescent="0.25">
      <c r="A222" s="12"/>
      <c r="B222" s="13"/>
      <c r="C222" s="13"/>
      <c r="D222" s="13"/>
      <c r="E222" s="13"/>
      <c r="F222" s="13"/>
      <c r="G222" s="13"/>
      <c r="H222" s="8"/>
    </row>
    <row r="223" spans="1:8" ht="20.25" x14ac:dyDescent="0.25">
      <c r="A223" s="12"/>
      <c r="B223" s="13"/>
      <c r="C223" s="13"/>
      <c r="D223" s="13"/>
      <c r="E223" s="13"/>
      <c r="F223" s="13"/>
      <c r="G223" s="13"/>
      <c r="H223" s="8"/>
    </row>
    <row r="224" spans="1:8" ht="20.25" x14ac:dyDescent="0.25">
      <c r="A224" s="12"/>
      <c r="B224" s="13"/>
      <c r="C224" s="13"/>
      <c r="D224" s="13"/>
      <c r="E224" s="13"/>
      <c r="F224" s="13"/>
      <c r="G224" s="13"/>
      <c r="H224" s="8"/>
    </row>
    <row r="225" spans="1:8" ht="20.25" x14ac:dyDescent="0.25">
      <c r="A225" s="12"/>
      <c r="B225" s="13"/>
      <c r="C225" s="13"/>
      <c r="D225" s="13"/>
      <c r="E225" s="13"/>
      <c r="F225" s="13"/>
      <c r="G225" s="13"/>
      <c r="H225" s="8"/>
    </row>
    <row r="226" spans="1:8" ht="20.25" x14ac:dyDescent="0.25">
      <c r="A226" s="12"/>
      <c r="B226" s="13"/>
      <c r="C226" s="13"/>
      <c r="D226" s="13"/>
      <c r="E226" s="13"/>
      <c r="F226" s="13"/>
      <c r="G226" s="13"/>
      <c r="H226" s="8"/>
    </row>
    <row r="227" spans="1:8" ht="20.25" x14ac:dyDescent="0.25">
      <c r="A227" s="12"/>
      <c r="B227" s="13"/>
      <c r="C227" s="13"/>
      <c r="D227" s="13"/>
      <c r="E227" s="13"/>
      <c r="F227" s="13"/>
      <c r="G227" s="13"/>
      <c r="H227" s="8"/>
    </row>
    <row r="228" spans="1:8" ht="20.25" x14ac:dyDescent="0.25">
      <c r="A228" s="12"/>
      <c r="B228" s="13"/>
      <c r="C228" s="13"/>
      <c r="D228" s="13"/>
      <c r="E228" s="13"/>
      <c r="F228" s="13"/>
      <c r="G228" s="13"/>
      <c r="H228" s="8"/>
    </row>
    <row r="229" spans="1:8" ht="20.25" x14ac:dyDescent="0.25">
      <c r="A229" s="12"/>
      <c r="B229" s="13"/>
      <c r="C229" s="13"/>
      <c r="D229" s="13"/>
      <c r="E229" s="13"/>
      <c r="F229" s="13"/>
      <c r="G229" s="13"/>
      <c r="H229" s="8"/>
    </row>
    <row r="230" spans="1:8" ht="20.25" x14ac:dyDescent="0.25">
      <c r="A230" s="12"/>
      <c r="B230" s="13"/>
      <c r="C230" s="13"/>
      <c r="D230" s="13"/>
      <c r="E230" s="13"/>
      <c r="F230" s="13"/>
      <c r="G230" s="13"/>
      <c r="H230" s="8"/>
    </row>
    <row r="231" spans="1:8" ht="20.25" x14ac:dyDescent="0.25">
      <c r="A231" s="12"/>
      <c r="B231" s="13"/>
      <c r="C231" s="13"/>
      <c r="D231" s="13"/>
      <c r="E231" s="13"/>
      <c r="F231" s="13"/>
      <c r="G231" s="13"/>
      <c r="H231" s="8"/>
    </row>
    <row r="232" spans="1:8" ht="20.25" x14ac:dyDescent="0.25">
      <c r="A232" s="12"/>
      <c r="B232" s="13"/>
      <c r="C232" s="13"/>
      <c r="D232" s="13"/>
      <c r="E232" s="13"/>
      <c r="F232" s="13"/>
      <c r="G232" s="13"/>
      <c r="H232" s="8"/>
    </row>
    <row r="233" spans="1:8" ht="20.25" x14ac:dyDescent="0.25">
      <c r="A233" s="12"/>
      <c r="B233" s="13"/>
      <c r="C233" s="13"/>
      <c r="D233" s="13"/>
      <c r="E233" s="13"/>
      <c r="F233" s="13"/>
      <c r="G233" s="13"/>
      <c r="H233" s="8"/>
    </row>
    <row r="234" spans="1:8" ht="20.25" x14ac:dyDescent="0.25">
      <c r="A234" s="12"/>
      <c r="B234" s="13"/>
      <c r="C234" s="13"/>
      <c r="D234" s="13"/>
      <c r="E234" s="13"/>
      <c r="F234" s="13"/>
      <c r="G234" s="13"/>
      <c r="H234" s="8"/>
    </row>
    <row r="235" spans="1:8" ht="20.25" x14ac:dyDescent="0.25">
      <c r="A235" s="12"/>
      <c r="B235" s="13"/>
      <c r="C235" s="13"/>
      <c r="D235" s="13"/>
      <c r="E235" s="13"/>
      <c r="F235" s="13"/>
      <c r="G235" s="13"/>
      <c r="H235" s="8"/>
    </row>
    <row r="236" spans="1:8" ht="20.25" x14ac:dyDescent="0.25">
      <c r="A236" s="12"/>
      <c r="B236" s="13"/>
      <c r="C236" s="13"/>
      <c r="D236" s="13"/>
      <c r="E236" s="13"/>
      <c r="F236" s="13"/>
      <c r="G236" s="13"/>
      <c r="H236" s="8"/>
    </row>
    <row r="237" spans="1:8" ht="20.25" x14ac:dyDescent="0.25">
      <c r="A237" s="12"/>
      <c r="B237" s="13"/>
      <c r="C237" s="13"/>
      <c r="D237" s="13"/>
      <c r="E237" s="13"/>
      <c r="F237" s="13"/>
      <c r="G237" s="13"/>
      <c r="H237" s="8"/>
    </row>
    <row r="238" spans="1:8" ht="20.25" x14ac:dyDescent="0.25">
      <c r="A238" s="12"/>
      <c r="B238" s="13"/>
      <c r="C238" s="13"/>
      <c r="D238" s="13"/>
      <c r="E238" s="13"/>
      <c r="F238" s="13"/>
      <c r="G238" s="13"/>
      <c r="H238" s="8"/>
    </row>
    <row r="239" spans="1:8" ht="20.25" x14ac:dyDescent="0.25">
      <c r="A239" s="12"/>
      <c r="B239" s="13"/>
      <c r="C239" s="13"/>
      <c r="D239" s="13"/>
      <c r="E239" s="13"/>
      <c r="F239" s="13"/>
      <c r="G239" s="13"/>
      <c r="H239" s="8"/>
    </row>
    <row r="240" spans="1:8" ht="20.25" x14ac:dyDescent="0.25">
      <c r="A240" s="12"/>
      <c r="B240" s="13"/>
      <c r="C240" s="13"/>
      <c r="D240" s="13"/>
      <c r="E240" s="13"/>
      <c r="F240" s="13"/>
      <c r="G240" s="13"/>
      <c r="H240" s="8"/>
    </row>
    <row r="241" spans="1:8" ht="20.25" x14ac:dyDescent="0.25">
      <c r="A241" s="12"/>
      <c r="B241" s="13"/>
      <c r="C241" s="13"/>
      <c r="D241" s="13"/>
      <c r="E241" s="13"/>
      <c r="F241" s="13"/>
      <c r="G241" s="13"/>
      <c r="H241" s="8"/>
    </row>
    <row r="242" spans="1:8" ht="20.25" x14ac:dyDescent="0.25">
      <c r="A242" s="12"/>
      <c r="B242" s="13"/>
      <c r="C242" s="13"/>
      <c r="D242" s="13"/>
      <c r="E242" s="13"/>
      <c r="F242" s="13"/>
      <c r="G242" s="13"/>
      <c r="H242" s="8"/>
    </row>
    <row r="243" spans="1:8" ht="20.25" x14ac:dyDescent="0.25">
      <c r="A243" s="12"/>
      <c r="B243" s="13"/>
      <c r="C243" s="13"/>
      <c r="D243" s="13"/>
      <c r="E243" s="13"/>
      <c r="F243" s="13"/>
      <c r="G243" s="13"/>
      <c r="H243" s="8"/>
    </row>
    <row r="244" spans="1:8" ht="20.25" x14ac:dyDescent="0.25">
      <c r="A244" s="12"/>
      <c r="B244" s="13"/>
      <c r="C244" s="13"/>
      <c r="D244" s="13"/>
      <c r="E244" s="13"/>
      <c r="F244" s="13"/>
      <c r="G244" s="13"/>
      <c r="H244" s="8"/>
    </row>
    <row r="245" spans="1:8" ht="20.25" x14ac:dyDescent="0.25">
      <c r="A245" s="12"/>
      <c r="B245" s="13"/>
      <c r="C245" s="13"/>
      <c r="D245" s="13"/>
      <c r="E245" s="13"/>
      <c r="F245" s="13"/>
      <c r="G245" s="13"/>
      <c r="H245" s="8"/>
    </row>
    <row r="246" spans="1:8" ht="20.25" x14ac:dyDescent="0.25">
      <c r="A246" s="12"/>
      <c r="B246" s="13"/>
      <c r="C246" s="13"/>
      <c r="D246" s="13"/>
      <c r="E246" s="13"/>
      <c r="F246" s="13"/>
      <c r="G246" s="13"/>
      <c r="H246" s="8"/>
    </row>
    <row r="247" spans="1:8" ht="20.25" x14ac:dyDescent="0.25">
      <c r="A247" s="12"/>
      <c r="B247" s="13"/>
      <c r="C247" s="13"/>
      <c r="D247" s="13"/>
      <c r="E247" s="13"/>
      <c r="F247" s="13"/>
      <c r="G247" s="13"/>
      <c r="H247" s="8"/>
    </row>
    <row r="248" spans="1:8" ht="20.25" x14ac:dyDescent="0.25">
      <c r="A248" s="12"/>
      <c r="B248" s="13"/>
      <c r="C248" s="13"/>
      <c r="D248" s="13"/>
      <c r="E248" s="13"/>
      <c r="F248" s="13"/>
      <c r="G248" s="13"/>
      <c r="H248" s="8"/>
    </row>
    <row r="249" spans="1:8" ht="20.25" x14ac:dyDescent="0.25">
      <c r="A249" s="12"/>
      <c r="B249" s="13"/>
      <c r="C249" s="13"/>
      <c r="D249" s="13"/>
      <c r="E249" s="13"/>
      <c r="F249" s="13"/>
      <c r="G249" s="13"/>
      <c r="H249" s="8"/>
    </row>
    <row r="250" spans="1:8" ht="20.25" x14ac:dyDescent="0.25">
      <c r="A250" s="12"/>
      <c r="B250" s="13"/>
      <c r="C250" s="13"/>
      <c r="D250" s="13"/>
      <c r="E250" s="13"/>
      <c r="F250" s="13"/>
      <c r="G250" s="13"/>
      <c r="H250" s="8"/>
    </row>
    <row r="251" spans="1:8" ht="20.25" x14ac:dyDescent="0.25">
      <c r="A251" s="12"/>
      <c r="B251" s="13"/>
      <c r="C251" s="13"/>
      <c r="D251" s="13"/>
      <c r="E251" s="13"/>
      <c r="F251" s="13"/>
      <c r="G251" s="13"/>
      <c r="H251" s="8"/>
    </row>
    <row r="252" spans="1:8" ht="20.25" x14ac:dyDescent="0.25">
      <c r="A252" s="12"/>
      <c r="B252" s="13"/>
      <c r="C252" s="13"/>
      <c r="D252" s="13"/>
      <c r="E252" s="13"/>
      <c r="F252" s="13"/>
      <c r="G252" s="13"/>
      <c r="H252" s="8"/>
    </row>
    <row r="253" spans="1:8" ht="20.25" x14ac:dyDescent="0.25">
      <c r="A253" s="12"/>
      <c r="B253" s="13"/>
      <c r="C253" s="13"/>
      <c r="D253" s="13"/>
      <c r="E253" s="13"/>
      <c r="F253" s="13"/>
      <c r="G253" s="13"/>
      <c r="H253" s="8"/>
    </row>
    <row r="254" spans="1:8" ht="20.25" x14ac:dyDescent="0.25">
      <c r="A254" s="12"/>
      <c r="B254" s="13"/>
      <c r="C254" s="13"/>
      <c r="D254" s="13"/>
      <c r="E254" s="13"/>
      <c r="F254" s="13"/>
      <c r="G254" s="13"/>
      <c r="H254" s="8"/>
    </row>
    <row r="255" spans="1:8" ht="20.25" x14ac:dyDescent="0.25">
      <c r="A255" s="12"/>
      <c r="B255" s="13"/>
      <c r="C255" s="13"/>
      <c r="D255" s="13"/>
      <c r="E255" s="13"/>
      <c r="F255" s="13"/>
      <c r="G255" s="13"/>
      <c r="H255" s="8"/>
    </row>
    <row r="256" spans="1:8" ht="20.25" x14ac:dyDescent="0.25">
      <c r="A256" s="12"/>
      <c r="B256" s="13"/>
      <c r="C256" s="13"/>
      <c r="D256" s="13"/>
      <c r="E256" s="13"/>
      <c r="F256" s="13"/>
      <c r="G256" s="13"/>
      <c r="H256" s="8"/>
    </row>
    <row r="257" spans="1:8" ht="20.25" x14ac:dyDescent="0.25">
      <c r="A257" s="12"/>
      <c r="B257" s="13"/>
      <c r="C257" s="13"/>
      <c r="D257" s="13"/>
      <c r="E257" s="13"/>
      <c r="F257" s="13"/>
      <c r="G257" s="13"/>
      <c r="H257" s="8"/>
    </row>
    <row r="258" spans="1:8" ht="20.25" x14ac:dyDescent="0.25">
      <c r="A258" s="14"/>
      <c r="B258" s="15"/>
      <c r="C258" s="15"/>
      <c r="D258" s="15"/>
      <c r="E258" s="15"/>
      <c r="F258" s="15"/>
      <c r="G258" s="15"/>
      <c r="H258" s="9"/>
    </row>
    <row r="259" spans="1:8" ht="20.25" x14ac:dyDescent="0.25">
      <c r="A259" s="120" t="s">
        <v>162</v>
      </c>
      <c r="B259" s="120"/>
      <c r="C259" s="120"/>
      <c r="D259" s="120"/>
      <c r="E259" s="120"/>
      <c r="F259" s="120"/>
      <c r="G259" s="120"/>
      <c r="H259" s="120"/>
    </row>
    <row r="260" spans="1:8" ht="20.25" x14ac:dyDescent="0.25">
      <c r="A260" s="10"/>
      <c r="B260" s="11"/>
      <c r="C260" s="11"/>
      <c r="D260" s="11"/>
      <c r="E260" s="11"/>
      <c r="F260" s="11"/>
      <c r="G260" s="11"/>
      <c r="H260" s="7"/>
    </row>
    <row r="261" spans="1:8" ht="20.25" x14ac:dyDescent="0.25">
      <c r="A261" s="12"/>
      <c r="B261" s="67"/>
      <c r="C261" s="67"/>
      <c r="D261" s="67"/>
      <c r="E261" s="67"/>
      <c r="F261" s="67"/>
      <c r="G261" s="67"/>
      <c r="H261" s="8"/>
    </row>
    <row r="262" spans="1:8" ht="20.25" x14ac:dyDescent="0.25">
      <c r="A262" s="12"/>
      <c r="B262" s="67"/>
      <c r="C262" s="67"/>
      <c r="D262" s="67"/>
      <c r="E262" s="67"/>
      <c r="F262" s="67"/>
      <c r="G262" s="67"/>
      <c r="H262" s="8"/>
    </row>
    <row r="263" spans="1:8" ht="20.25" x14ac:dyDescent="0.25">
      <c r="A263" s="12"/>
      <c r="B263" s="67"/>
      <c r="C263" s="67"/>
      <c r="D263" s="67"/>
      <c r="E263" s="67"/>
      <c r="F263" s="67"/>
      <c r="G263" s="67"/>
      <c r="H263" s="8"/>
    </row>
    <row r="264" spans="1:8" ht="20.25" x14ac:dyDescent="0.25">
      <c r="A264" s="12"/>
      <c r="B264" s="67"/>
      <c r="C264" s="67"/>
      <c r="D264" s="67"/>
      <c r="E264" s="67"/>
      <c r="F264" s="67"/>
      <c r="G264" s="67"/>
      <c r="H264" s="8"/>
    </row>
    <row r="265" spans="1:8" ht="20.25" x14ac:dyDescent="0.25">
      <c r="A265" s="12"/>
      <c r="B265" s="67"/>
      <c r="C265" s="67"/>
      <c r="D265" s="67"/>
      <c r="E265" s="67"/>
      <c r="F265" s="67"/>
      <c r="G265" s="67"/>
      <c r="H265" s="8"/>
    </row>
    <row r="266" spans="1:8" ht="20.25" x14ac:dyDescent="0.25">
      <c r="A266" s="12"/>
      <c r="B266" s="67"/>
      <c r="C266" s="67"/>
      <c r="D266" s="67"/>
      <c r="E266" s="67"/>
      <c r="F266" s="67"/>
      <c r="G266" s="67"/>
      <c r="H266" s="8"/>
    </row>
    <row r="267" spans="1:8" ht="20.25" x14ac:dyDescent="0.25">
      <c r="A267" s="12"/>
      <c r="B267" s="67"/>
      <c r="C267" s="67"/>
      <c r="D267" s="67"/>
      <c r="E267" s="67"/>
      <c r="F267" s="67"/>
      <c r="G267" s="67"/>
      <c r="H267" s="8"/>
    </row>
    <row r="268" spans="1:8" ht="20.25" x14ac:dyDescent="0.25">
      <c r="A268" s="12"/>
      <c r="B268" s="67"/>
      <c r="C268" s="67"/>
      <c r="D268" s="67"/>
      <c r="E268" s="67"/>
      <c r="F268" s="67"/>
      <c r="G268" s="67"/>
      <c r="H268" s="8"/>
    </row>
    <row r="269" spans="1:8" ht="20.25" x14ac:dyDescent="0.25">
      <c r="A269" s="12"/>
      <c r="B269" s="67"/>
      <c r="C269" s="67"/>
      <c r="D269" s="67"/>
      <c r="E269" s="67"/>
      <c r="F269" s="67"/>
      <c r="G269" s="67"/>
      <c r="H269" s="8"/>
    </row>
    <row r="270" spans="1:8" ht="20.25" x14ac:dyDescent="0.25">
      <c r="A270" s="12"/>
      <c r="B270" s="67"/>
      <c r="C270" s="67"/>
      <c r="D270" s="67"/>
      <c r="E270" s="67"/>
      <c r="F270" s="67"/>
      <c r="G270" s="67"/>
      <c r="H270" s="8"/>
    </row>
    <row r="271" spans="1:8" ht="20.25" x14ac:dyDescent="0.25">
      <c r="A271" s="12"/>
      <c r="B271" s="67"/>
      <c r="C271" s="67"/>
      <c r="D271" s="67"/>
      <c r="E271" s="67"/>
      <c r="F271" s="67"/>
      <c r="G271" s="67"/>
      <c r="H271" s="8"/>
    </row>
    <row r="272" spans="1:8" ht="20.25" x14ac:dyDescent="0.25">
      <c r="A272" s="12"/>
      <c r="B272" s="67"/>
      <c r="C272" s="67"/>
      <c r="D272" s="67"/>
      <c r="E272" s="67"/>
      <c r="F272" s="67"/>
      <c r="G272" s="67"/>
      <c r="H272" s="8"/>
    </row>
    <row r="273" spans="1:8" ht="20.25" x14ac:dyDescent="0.25">
      <c r="A273" s="12"/>
      <c r="B273" s="67"/>
      <c r="C273" s="67"/>
      <c r="D273" s="67"/>
      <c r="E273" s="67"/>
      <c r="F273" s="67"/>
      <c r="G273" s="67"/>
      <c r="H273" s="8"/>
    </row>
    <row r="274" spans="1:8" ht="20.25" x14ac:dyDescent="0.25">
      <c r="A274" s="12"/>
      <c r="B274" s="67"/>
      <c r="C274" s="67"/>
      <c r="D274" s="67"/>
      <c r="E274" s="67"/>
      <c r="F274" s="67"/>
      <c r="G274" s="67"/>
      <c r="H274" s="8"/>
    </row>
    <row r="275" spans="1:8" ht="20.25" x14ac:dyDescent="0.25">
      <c r="A275" s="12"/>
      <c r="B275" s="67"/>
      <c r="C275" s="67"/>
      <c r="D275" s="67"/>
      <c r="E275" s="67"/>
      <c r="F275" s="67"/>
      <c r="G275" s="67"/>
      <c r="H275" s="8"/>
    </row>
    <row r="276" spans="1:8" ht="20.25" x14ac:dyDescent="0.25">
      <c r="A276" s="12"/>
      <c r="B276" s="67"/>
      <c r="C276" s="67"/>
      <c r="D276" s="67"/>
      <c r="E276" s="67"/>
      <c r="F276" s="67"/>
      <c r="G276" s="67"/>
      <c r="H276" s="8"/>
    </row>
    <row r="277" spans="1:8" ht="20.25" x14ac:dyDescent="0.25">
      <c r="A277" s="12"/>
      <c r="B277" s="67"/>
      <c r="C277" s="67"/>
      <c r="D277" s="67"/>
      <c r="E277" s="67"/>
      <c r="F277" s="67"/>
      <c r="G277" s="67"/>
      <c r="H277" s="8"/>
    </row>
    <row r="278" spans="1:8" ht="20.25" x14ac:dyDescent="0.25">
      <c r="A278" s="12"/>
      <c r="B278" s="67"/>
      <c r="C278" s="67"/>
      <c r="D278" s="67"/>
      <c r="E278" s="67"/>
      <c r="F278" s="67"/>
      <c r="G278" s="67"/>
      <c r="H278" s="8"/>
    </row>
    <row r="279" spans="1:8" ht="20.25" x14ac:dyDescent="0.25">
      <c r="A279" s="12"/>
      <c r="B279" s="67"/>
      <c r="C279" s="67"/>
      <c r="D279" s="67"/>
      <c r="E279" s="67"/>
      <c r="F279" s="67"/>
      <c r="G279" s="67"/>
      <c r="H279" s="8"/>
    </row>
    <row r="280" spans="1:8" ht="20.25" x14ac:dyDescent="0.25">
      <c r="A280" s="12"/>
      <c r="B280" s="67"/>
      <c r="C280" s="67"/>
      <c r="D280" s="67"/>
      <c r="E280" s="67"/>
      <c r="F280" s="67"/>
      <c r="G280" s="67"/>
      <c r="H280" s="8"/>
    </row>
    <row r="281" spans="1:8" ht="20.25" x14ac:dyDescent="0.25">
      <c r="A281" s="12"/>
      <c r="B281" s="67"/>
      <c r="C281" s="67"/>
      <c r="D281" s="67"/>
      <c r="E281" s="67"/>
      <c r="F281" s="67"/>
      <c r="G281" s="67"/>
      <c r="H281" s="8"/>
    </row>
    <row r="282" spans="1:8" ht="20.25" x14ac:dyDescent="0.25">
      <c r="A282" s="12"/>
      <c r="B282" s="67"/>
      <c r="C282" s="67"/>
      <c r="D282" s="67"/>
      <c r="E282" s="67"/>
      <c r="F282" s="67"/>
      <c r="G282" s="67"/>
      <c r="H282" s="8"/>
    </row>
    <row r="283" spans="1:8" ht="20.25" x14ac:dyDescent="0.25">
      <c r="A283" s="12"/>
      <c r="B283" s="67"/>
      <c r="C283" s="67"/>
      <c r="D283" s="67"/>
      <c r="E283" s="67"/>
      <c r="F283" s="67"/>
      <c r="G283" s="67"/>
      <c r="H283" s="8"/>
    </row>
    <row r="284" spans="1:8" ht="20.25" x14ac:dyDescent="0.25">
      <c r="A284" s="12"/>
      <c r="B284" s="67"/>
      <c r="C284" s="67"/>
      <c r="D284" s="67"/>
      <c r="E284" s="67"/>
      <c r="F284" s="67"/>
      <c r="G284" s="67"/>
      <c r="H284" s="8"/>
    </row>
    <row r="285" spans="1:8" ht="20.25" x14ac:dyDescent="0.25">
      <c r="A285" s="12"/>
      <c r="B285" s="67"/>
      <c r="C285" s="67"/>
      <c r="D285" s="67"/>
      <c r="E285" s="67"/>
      <c r="F285" s="67"/>
      <c r="G285" s="67"/>
      <c r="H285" s="8"/>
    </row>
    <row r="286" spans="1:8" ht="20.25" x14ac:dyDescent="0.25">
      <c r="A286" s="12"/>
      <c r="B286" s="67"/>
      <c r="C286" s="67"/>
      <c r="D286" s="67"/>
      <c r="E286" s="67"/>
      <c r="F286" s="67"/>
      <c r="G286" s="67"/>
      <c r="H286" s="8"/>
    </row>
    <row r="287" spans="1:8" ht="20.25" x14ac:dyDescent="0.25">
      <c r="A287" s="12"/>
      <c r="B287" s="67"/>
      <c r="C287" s="67"/>
      <c r="D287" s="67"/>
      <c r="E287" s="67"/>
      <c r="F287" s="67"/>
      <c r="G287" s="67"/>
      <c r="H287" s="8"/>
    </row>
    <row r="288" spans="1:8" ht="20.25" x14ac:dyDescent="0.25">
      <c r="A288" s="12"/>
      <c r="B288" s="67"/>
      <c r="C288" s="67"/>
      <c r="D288" s="67"/>
      <c r="E288" s="67"/>
      <c r="F288" s="67"/>
      <c r="G288" s="67"/>
      <c r="H288" s="8"/>
    </row>
    <row r="289" spans="1:8" ht="20.25" x14ac:dyDescent="0.25">
      <c r="A289" s="12"/>
      <c r="B289" s="67"/>
      <c r="C289" s="67"/>
      <c r="D289" s="67"/>
      <c r="E289" s="67"/>
      <c r="F289" s="67"/>
      <c r="G289" s="67"/>
      <c r="H289" s="8"/>
    </row>
    <row r="290" spans="1:8" ht="20.25" x14ac:dyDescent="0.25">
      <c r="A290" s="12"/>
      <c r="B290" s="67"/>
      <c r="C290" s="67"/>
      <c r="D290" s="67"/>
      <c r="E290" s="67"/>
      <c r="F290" s="67"/>
      <c r="G290" s="67"/>
      <c r="H290" s="8"/>
    </row>
    <row r="291" spans="1:8" ht="20.25" x14ac:dyDescent="0.25">
      <c r="A291" s="12"/>
      <c r="B291" s="67"/>
      <c r="C291" s="67"/>
      <c r="D291" s="67"/>
      <c r="E291" s="67"/>
      <c r="F291" s="67"/>
      <c r="G291" s="67"/>
      <c r="H291" s="8"/>
    </row>
    <row r="292" spans="1:8" ht="20.25" x14ac:dyDescent="0.25">
      <c r="A292" s="12"/>
      <c r="B292" s="67"/>
      <c r="C292" s="67"/>
      <c r="D292" s="67"/>
      <c r="E292" s="67"/>
      <c r="F292" s="67"/>
      <c r="G292" s="67"/>
      <c r="H292" s="8"/>
    </row>
    <row r="293" spans="1:8" ht="20.25" x14ac:dyDescent="0.25">
      <c r="A293" s="12"/>
      <c r="B293" s="67"/>
      <c r="C293" s="67"/>
      <c r="D293" s="67"/>
      <c r="E293" s="67"/>
      <c r="F293" s="67"/>
      <c r="G293" s="67"/>
      <c r="H293" s="8"/>
    </row>
    <row r="294" spans="1:8" ht="20.25" x14ac:dyDescent="0.25">
      <c r="A294" s="12"/>
      <c r="B294" s="67"/>
      <c r="C294" s="67"/>
      <c r="D294" s="67"/>
      <c r="E294" s="67"/>
      <c r="F294" s="67"/>
      <c r="G294" s="67"/>
      <c r="H294" s="8"/>
    </row>
    <row r="295" spans="1:8" ht="20.25" x14ac:dyDescent="0.25">
      <c r="A295" s="12"/>
      <c r="B295" s="67"/>
      <c r="C295" s="67"/>
      <c r="D295" s="67"/>
      <c r="E295" s="67"/>
      <c r="F295" s="67"/>
      <c r="G295" s="67"/>
      <c r="H295" s="8"/>
    </row>
    <row r="296" spans="1:8" ht="20.25" x14ac:dyDescent="0.25">
      <c r="A296" s="12"/>
      <c r="B296" s="67"/>
      <c r="C296" s="67"/>
      <c r="D296" s="67"/>
      <c r="E296" s="67"/>
      <c r="F296" s="67"/>
      <c r="G296" s="67"/>
      <c r="H296" s="8"/>
    </row>
    <row r="297" spans="1:8" ht="20.25" x14ac:dyDescent="0.25">
      <c r="A297" s="12"/>
      <c r="B297" s="67"/>
      <c r="C297" s="67"/>
      <c r="D297" s="67"/>
      <c r="E297" s="67"/>
      <c r="F297" s="67"/>
      <c r="G297" s="67"/>
      <c r="H297" s="8"/>
    </row>
    <row r="298" spans="1:8" ht="20.25" x14ac:dyDescent="0.25">
      <c r="A298" s="12"/>
      <c r="B298" s="67"/>
      <c r="C298" s="67"/>
      <c r="D298" s="67"/>
      <c r="E298" s="67"/>
      <c r="F298" s="67"/>
      <c r="G298" s="67"/>
      <c r="H298" s="8"/>
    </row>
    <row r="299" spans="1:8" ht="20.25" x14ac:dyDescent="0.25">
      <c r="A299" s="12"/>
      <c r="B299" s="67"/>
      <c r="C299" s="67"/>
      <c r="D299" s="67"/>
      <c r="E299" s="67"/>
      <c r="F299" s="67"/>
      <c r="G299" s="67"/>
      <c r="H299" s="8"/>
    </row>
    <row r="300" spans="1:8" ht="20.25" x14ac:dyDescent="0.25">
      <c r="A300" s="12"/>
      <c r="B300" s="67"/>
      <c r="C300" s="67"/>
      <c r="D300" s="67"/>
      <c r="E300" s="67"/>
      <c r="F300" s="67"/>
      <c r="G300" s="67"/>
      <c r="H300" s="8"/>
    </row>
    <row r="301" spans="1:8" ht="20.25" x14ac:dyDescent="0.25">
      <c r="A301" s="12"/>
      <c r="B301" s="67"/>
      <c r="C301" s="67"/>
      <c r="D301" s="67"/>
      <c r="E301" s="67"/>
      <c r="F301" s="67"/>
      <c r="G301" s="67"/>
      <c r="H301" s="8"/>
    </row>
    <row r="302" spans="1:8" ht="20.25" x14ac:dyDescent="0.25">
      <c r="A302" s="12"/>
      <c r="B302" s="67"/>
      <c r="C302" s="67"/>
      <c r="D302" s="67"/>
      <c r="E302" s="67"/>
      <c r="F302" s="67"/>
      <c r="G302" s="67"/>
      <c r="H302" s="8"/>
    </row>
    <row r="303" spans="1:8" ht="20.25" x14ac:dyDescent="0.25">
      <c r="A303" s="12"/>
      <c r="B303" s="67"/>
      <c r="C303" s="67"/>
      <c r="D303" s="67"/>
      <c r="E303" s="67"/>
      <c r="F303" s="67"/>
      <c r="G303" s="67"/>
      <c r="H303" s="8"/>
    </row>
    <row r="304" spans="1:8" ht="20.25" x14ac:dyDescent="0.25">
      <c r="A304" s="12"/>
      <c r="B304" s="67"/>
      <c r="C304" s="67"/>
      <c r="D304" s="67"/>
      <c r="E304" s="67"/>
      <c r="F304" s="67"/>
      <c r="G304" s="67"/>
      <c r="H304" s="8"/>
    </row>
    <row r="305" spans="1:8" ht="20.25" x14ac:dyDescent="0.25">
      <c r="A305" s="12"/>
      <c r="B305" s="67"/>
      <c r="C305" s="67"/>
      <c r="D305" s="67"/>
      <c r="E305" s="67"/>
      <c r="F305" s="67"/>
      <c r="G305" s="67"/>
      <c r="H305" s="8"/>
    </row>
    <row r="306" spans="1:8" ht="20.25" x14ac:dyDescent="0.25">
      <c r="A306" s="12"/>
      <c r="B306" s="67"/>
      <c r="C306" s="67"/>
      <c r="D306" s="67"/>
      <c r="E306" s="67"/>
      <c r="F306" s="67"/>
      <c r="G306" s="67"/>
      <c r="H306" s="8"/>
    </row>
    <row r="307" spans="1:8" ht="20.25" x14ac:dyDescent="0.25">
      <c r="A307" s="12"/>
      <c r="B307" s="67"/>
      <c r="C307" s="67"/>
      <c r="D307" s="67"/>
      <c r="E307" s="67"/>
      <c r="F307" s="67"/>
      <c r="G307" s="67"/>
      <c r="H307" s="8"/>
    </row>
    <row r="308" spans="1:8" ht="20.25" x14ac:dyDescent="0.25">
      <c r="A308" s="14"/>
      <c r="B308" s="15"/>
      <c r="C308" s="15"/>
      <c r="D308" s="15"/>
      <c r="E308" s="15"/>
      <c r="F308" s="15"/>
      <c r="G308" s="15"/>
      <c r="H308" s="9"/>
    </row>
    <row r="309" spans="1:8" ht="20.25" x14ac:dyDescent="0.25">
      <c r="A309" s="156" t="s">
        <v>77</v>
      </c>
      <c r="B309" s="157"/>
      <c r="C309" s="157"/>
      <c r="D309" s="157"/>
      <c r="E309" s="157"/>
      <c r="F309" s="157"/>
      <c r="G309" s="157"/>
      <c r="H309" s="158"/>
    </row>
    <row r="310" spans="1:8" ht="20.25" x14ac:dyDescent="0.25">
      <c r="A310" s="10"/>
      <c r="B310" s="11"/>
      <c r="C310" s="11"/>
      <c r="D310" s="11"/>
      <c r="E310" s="11"/>
      <c r="F310" s="11"/>
      <c r="G310" s="11"/>
      <c r="H310" s="7"/>
    </row>
    <row r="311" spans="1:8" ht="20.25" x14ac:dyDescent="0.25">
      <c r="A311" s="12"/>
      <c r="B311" s="13"/>
      <c r="C311" s="13"/>
      <c r="D311" s="13"/>
      <c r="E311" s="13"/>
      <c r="F311" s="13"/>
      <c r="G311" s="13"/>
      <c r="H311" s="8"/>
    </row>
    <row r="312" spans="1:8" ht="20.25" x14ac:dyDescent="0.25">
      <c r="A312" s="12"/>
      <c r="B312" s="13"/>
      <c r="C312" s="13"/>
      <c r="D312" s="13"/>
      <c r="E312" s="13"/>
      <c r="F312" s="13"/>
      <c r="G312" s="13"/>
      <c r="H312" s="8"/>
    </row>
    <row r="313" spans="1:8" ht="20.25" x14ac:dyDescent="0.25">
      <c r="A313" s="12"/>
      <c r="B313" s="13"/>
      <c r="C313" s="13"/>
      <c r="D313" s="13"/>
      <c r="E313" s="13"/>
      <c r="F313" s="13"/>
      <c r="G313" s="13"/>
      <c r="H313" s="8"/>
    </row>
    <row r="314" spans="1:8" ht="20.25" x14ac:dyDescent="0.25">
      <c r="A314" s="12"/>
      <c r="B314" s="13"/>
      <c r="C314" s="13"/>
      <c r="D314" s="13"/>
      <c r="E314" s="13"/>
      <c r="F314" s="13"/>
      <c r="G314" s="13"/>
      <c r="H314" s="8"/>
    </row>
    <row r="315" spans="1:8" ht="20.25" x14ac:dyDescent="0.25">
      <c r="A315" s="12"/>
      <c r="B315" s="13"/>
      <c r="C315" s="13"/>
      <c r="D315" s="13"/>
      <c r="E315" s="13"/>
      <c r="F315" s="13"/>
      <c r="G315" s="13"/>
      <c r="H315" s="8"/>
    </row>
    <row r="316" spans="1:8" ht="20.25" x14ac:dyDescent="0.25">
      <c r="A316" s="12"/>
      <c r="B316" s="13"/>
      <c r="C316" s="13"/>
      <c r="D316" s="13"/>
      <c r="E316" s="13"/>
      <c r="F316" s="13"/>
      <c r="G316" s="13"/>
      <c r="H316" s="8"/>
    </row>
    <row r="317" spans="1:8" ht="20.25" x14ac:dyDescent="0.25">
      <c r="A317" s="12"/>
      <c r="B317" s="13"/>
      <c r="C317" s="13"/>
      <c r="D317" s="13"/>
      <c r="E317" s="13"/>
      <c r="F317" s="13"/>
      <c r="G317" s="13"/>
      <c r="H317" s="8"/>
    </row>
    <row r="318" spans="1:8" ht="20.25" x14ac:dyDescent="0.25">
      <c r="A318" s="12"/>
      <c r="B318" s="13"/>
      <c r="C318" s="13"/>
      <c r="D318" s="13"/>
      <c r="E318" s="13"/>
      <c r="F318" s="13"/>
      <c r="G318" s="13"/>
      <c r="H318" s="8"/>
    </row>
    <row r="319" spans="1:8" ht="20.25" x14ac:dyDescent="0.25">
      <c r="A319" s="12"/>
      <c r="B319" s="13"/>
      <c r="C319" s="13"/>
      <c r="D319" s="13"/>
      <c r="E319" s="13"/>
      <c r="F319" s="13"/>
      <c r="G319" s="13"/>
      <c r="H319" s="8"/>
    </row>
    <row r="320" spans="1:8" ht="20.25" x14ac:dyDescent="0.25">
      <c r="A320" s="12"/>
      <c r="B320" s="13"/>
      <c r="C320" s="13"/>
      <c r="D320" s="13"/>
      <c r="E320" s="13"/>
      <c r="F320" s="13"/>
      <c r="G320" s="13"/>
      <c r="H320" s="8"/>
    </row>
    <row r="321" spans="1:8" ht="20.25" x14ac:dyDescent="0.25">
      <c r="A321" s="12"/>
      <c r="B321" s="13"/>
      <c r="C321" s="13"/>
      <c r="D321" s="13"/>
      <c r="E321" s="13"/>
      <c r="F321" s="13"/>
      <c r="G321" s="13"/>
      <c r="H321" s="8"/>
    </row>
    <row r="322" spans="1:8" ht="20.25" x14ac:dyDescent="0.25">
      <c r="A322" s="12"/>
      <c r="B322" s="13"/>
      <c r="C322" s="13"/>
      <c r="D322" s="13"/>
      <c r="E322" s="13"/>
      <c r="F322" s="13"/>
      <c r="G322" s="13"/>
      <c r="H322" s="8"/>
    </row>
    <row r="323" spans="1:8" ht="20.25" x14ac:dyDescent="0.25">
      <c r="A323" s="12"/>
      <c r="B323" s="13"/>
      <c r="C323" s="13"/>
      <c r="D323" s="13"/>
      <c r="E323" s="13"/>
      <c r="F323" s="13"/>
      <c r="G323" s="13"/>
      <c r="H323" s="8"/>
    </row>
    <row r="324" spans="1:8" ht="20.25" x14ac:dyDescent="0.25">
      <c r="A324" s="12"/>
      <c r="B324" s="13"/>
      <c r="C324" s="13"/>
      <c r="D324" s="13"/>
      <c r="E324" s="13"/>
      <c r="F324" s="13"/>
      <c r="G324" s="13"/>
      <c r="H324" s="8"/>
    </row>
    <row r="325" spans="1:8" ht="20.25" x14ac:dyDescent="0.25">
      <c r="A325" s="12"/>
      <c r="B325" s="13"/>
      <c r="C325" s="13"/>
      <c r="D325" s="13"/>
      <c r="E325" s="13"/>
      <c r="F325" s="13"/>
      <c r="G325" s="13"/>
      <c r="H325" s="8"/>
    </row>
    <row r="326" spans="1:8" ht="20.25" x14ac:dyDescent="0.25">
      <c r="A326" s="12"/>
      <c r="B326" s="13"/>
      <c r="C326" s="13"/>
      <c r="D326" s="13"/>
      <c r="E326" s="13"/>
      <c r="F326" s="13"/>
      <c r="G326" s="13"/>
      <c r="H326" s="8"/>
    </row>
    <row r="327" spans="1:8" ht="20.25" x14ac:dyDescent="0.25">
      <c r="A327" s="12"/>
      <c r="B327" s="13"/>
      <c r="C327" s="13"/>
      <c r="D327" s="13"/>
      <c r="E327" s="13"/>
      <c r="F327" s="13"/>
      <c r="G327" s="13"/>
      <c r="H327" s="8"/>
    </row>
    <row r="328" spans="1:8" ht="20.25" x14ac:dyDescent="0.25">
      <c r="A328" s="12"/>
      <c r="B328" s="13"/>
      <c r="C328" s="13"/>
      <c r="D328" s="13"/>
      <c r="E328" s="13"/>
      <c r="F328" s="13"/>
      <c r="G328" s="13"/>
      <c r="H328" s="8"/>
    </row>
    <row r="329" spans="1:8" ht="20.25" x14ac:dyDescent="0.25">
      <c r="A329" s="12"/>
      <c r="B329" s="13"/>
      <c r="C329" s="13"/>
      <c r="D329" s="13"/>
      <c r="E329" s="13"/>
      <c r="F329" s="13"/>
      <c r="G329" s="13"/>
      <c r="H329" s="8"/>
    </row>
    <row r="330" spans="1:8" ht="20.25" x14ac:dyDescent="0.25">
      <c r="A330" s="12"/>
      <c r="B330" s="13"/>
      <c r="C330" s="13"/>
      <c r="D330" s="13"/>
      <c r="E330" s="13"/>
      <c r="F330" s="13"/>
      <c r="G330" s="13"/>
      <c r="H330" s="8"/>
    </row>
    <row r="331" spans="1:8" ht="20.25" x14ac:dyDescent="0.25">
      <c r="A331" s="12"/>
      <c r="B331" s="13"/>
      <c r="C331" s="13"/>
      <c r="D331" s="13"/>
      <c r="E331" s="13"/>
      <c r="F331" s="13"/>
      <c r="G331" s="13"/>
      <c r="H331" s="8"/>
    </row>
    <row r="332" spans="1:8" ht="20.25" x14ac:dyDescent="0.25">
      <c r="A332" s="12"/>
      <c r="B332" s="13"/>
      <c r="C332" s="13"/>
      <c r="D332" s="13"/>
      <c r="E332" s="13"/>
      <c r="F332" s="13"/>
      <c r="G332" s="13"/>
      <c r="H332" s="8"/>
    </row>
    <row r="333" spans="1:8" ht="20.25" x14ac:dyDescent="0.25">
      <c r="A333" s="12"/>
      <c r="B333" s="13"/>
      <c r="C333" s="13"/>
      <c r="D333" s="13"/>
      <c r="E333" s="13"/>
      <c r="F333" s="13"/>
      <c r="G333" s="13"/>
      <c r="H333" s="8"/>
    </row>
    <row r="334" spans="1:8" ht="20.25" x14ac:dyDescent="0.25">
      <c r="A334" s="12"/>
      <c r="B334" s="13"/>
      <c r="C334" s="13"/>
      <c r="D334" s="13"/>
      <c r="E334" s="13"/>
      <c r="F334" s="13"/>
      <c r="G334" s="13"/>
      <c r="H334" s="8"/>
    </row>
    <row r="335" spans="1:8" ht="20.25" x14ac:dyDescent="0.25">
      <c r="A335" s="12"/>
      <c r="B335" s="13"/>
      <c r="C335" s="13"/>
      <c r="D335" s="13"/>
      <c r="E335" s="13"/>
      <c r="F335" s="13"/>
      <c r="G335" s="13"/>
      <c r="H335" s="8"/>
    </row>
    <row r="336" spans="1:8" ht="20.25" x14ac:dyDescent="0.25">
      <c r="A336" s="12"/>
      <c r="B336" s="13"/>
      <c r="C336" s="13"/>
      <c r="D336" s="13"/>
      <c r="E336" s="13"/>
      <c r="F336" s="13"/>
      <c r="G336" s="13"/>
      <c r="H336" s="8"/>
    </row>
    <row r="337" spans="1:8" ht="20.25" x14ac:dyDescent="0.25">
      <c r="A337" s="12"/>
      <c r="B337" s="13"/>
      <c r="C337" s="13"/>
      <c r="D337" s="13"/>
      <c r="E337" s="13"/>
      <c r="F337" s="13"/>
      <c r="G337" s="13"/>
      <c r="H337" s="8"/>
    </row>
    <row r="338" spans="1:8" ht="20.25" x14ac:dyDescent="0.25">
      <c r="A338" s="12"/>
      <c r="B338" s="13"/>
      <c r="C338" s="13"/>
      <c r="D338" s="13"/>
      <c r="E338" s="13"/>
      <c r="F338" s="13"/>
      <c r="G338" s="13"/>
      <c r="H338" s="8"/>
    </row>
    <row r="339" spans="1:8" ht="20.25" x14ac:dyDescent="0.25">
      <c r="A339" s="12"/>
      <c r="B339" s="13"/>
      <c r="C339" s="13"/>
      <c r="D339" s="13"/>
      <c r="E339" s="13"/>
      <c r="F339" s="13"/>
      <c r="G339" s="13"/>
      <c r="H339" s="8"/>
    </row>
    <row r="340" spans="1:8" ht="20.25" x14ac:dyDescent="0.25">
      <c r="A340" s="120" t="s">
        <v>24</v>
      </c>
      <c r="B340" s="120"/>
      <c r="C340" s="120"/>
      <c r="D340" s="120"/>
      <c r="E340" s="120"/>
      <c r="F340" s="120"/>
      <c r="G340" s="120"/>
      <c r="H340" s="120"/>
    </row>
    <row r="341" spans="1:8" ht="20.25" x14ac:dyDescent="0.25">
      <c r="A341" s="168" t="s">
        <v>78</v>
      </c>
      <c r="B341" s="169"/>
      <c r="C341" s="169"/>
      <c r="D341" s="169"/>
      <c r="E341" s="169"/>
      <c r="F341" s="169"/>
      <c r="G341" s="169"/>
      <c r="H341" s="170"/>
    </row>
    <row r="342" spans="1:8" ht="20.25" x14ac:dyDescent="0.25">
      <c r="A342" s="171" t="s">
        <v>79</v>
      </c>
      <c r="B342" s="172"/>
      <c r="C342" s="172"/>
      <c r="D342" s="172"/>
      <c r="E342" s="172"/>
      <c r="F342" s="172"/>
      <c r="G342" s="172"/>
      <c r="H342" s="173"/>
    </row>
    <row r="343" spans="1:8" ht="45" customHeight="1" x14ac:dyDescent="0.25">
      <c r="A343" s="171" t="s">
        <v>80</v>
      </c>
      <c r="B343" s="172"/>
      <c r="C343" s="172"/>
      <c r="D343" s="172"/>
      <c r="E343" s="172"/>
      <c r="F343" s="172"/>
      <c r="G343" s="172"/>
      <c r="H343" s="173"/>
    </row>
    <row r="344" spans="1:8" ht="42.75" customHeight="1" x14ac:dyDescent="0.25">
      <c r="A344" s="171" t="s">
        <v>81</v>
      </c>
      <c r="B344" s="172"/>
      <c r="C344" s="172"/>
      <c r="D344" s="172"/>
      <c r="E344" s="172"/>
      <c r="F344" s="172"/>
      <c r="G344" s="172"/>
      <c r="H344" s="173"/>
    </row>
    <row r="345" spans="1:8" ht="20.25" x14ac:dyDescent="0.25">
      <c r="A345" s="171" t="s">
        <v>82</v>
      </c>
      <c r="B345" s="172"/>
      <c r="C345" s="172"/>
      <c r="D345" s="172"/>
      <c r="E345" s="172"/>
      <c r="F345" s="172"/>
      <c r="G345" s="172"/>
      <c r="H345" s="173"/>
    </row>
    <row r="346" spans="1:8" ht="20.25" x14ac:dyDescent="0.25">
      <c r="A346" s="171" t="s">
        <v>83</v>
      </c>
      <c r="B346" s="172"/>
      <c r="C346" s="172"/>
      <c r="D346" s="172"/>
      <c r="E346" s="172"/>
      <c r="F346" s="172"/>
      <c r="G346" s="172"/>
      <c r="H346" s="173"/>
    </row>
    <row r="347" spans="1:8" ht="45" customHeight="1" x14ac:dyDescent="0.25">
      <c r="A347" s="171" t="s">
        <v>84</v>
      </c>
      <c r="B347" s="172"/>
      <c r="C347" s="172"/>
      <c r="D347" s="172"/>
      <c r="E347" s="172"/>
      <c r="F347" s="172"/>
      <c r="G347" s="172"/>
      <c r="H347" s="173"/>
    </row>
    <row r="348" spans="1:8" ht="45" customHeight="1" x14ac:dyDescent="0.25">
      <c r="A348" s="171" t="s">
        <v>85</v>
      </c>
      <c r="B348" s="172"/>
      <c r="C348" s="172"/>
      <c r="D348" s="172"/>
      <c r="E348" s="172"/>
      <c r="F348" s="172"/>
      <c r="G348" s="172"/>
      <c r="H348" s="173"/>
    </row>
    <row r="349" spans="1:8" ht="20.25" x14ac:dyDescent="0.25">
      <c r="A349" s="174" t="s">
        <v>86</v>
      </c>
      <c r="B349" s="175"/>
      <c r="C349" s="175"/>
      <c r="D349" s="175"/>
      <c r="E349" s="175"/>
      <c r="F349" s="175"/>
      <c r="G349" s="175"/>
      <c r="H349" s="176"/>
    </row>
    <row r="350" spans="1:8" ht="57" customHeight="1" x14ac:dyDescent="0.25">
      <c r="A350" s="178" t="s">
        <v>30</v>
      </c>
      <c r="B350" s="179"/>
      <c r="C350" s="180" t="s">
        <v>360</v>
      </c>
      <c r="D350" s="181"/>
      <c r="E350" s="178" t="s">
        <v>9</v>
      </c>
      <c r="F350" s="179"/>
      <c r="G350" s="163"/>
      <c r="H350" s="163"/>
    </row>
  </sheetData>
  <mergeCells count="392">
    <mergeCell ref="A131:H131"/>
    <mergeCell ref="A141:B141"/>
    <mergeCell ref="A142:B142"/>
    <mergeCell ref="A143:B143"/>
    <mergeCell ref="A144:B144"/>
    <mergeCell ref="A145:B145"/>
    <mergeCell ref="A167:B167"/>
    <mergeCell ref="A168:B168"/>
    <mergeCell ref="A169:B169"/>
    <mergeCell ref="A170:B170"/>
    <mergeCell ref="A171:B171"/>
    <mergeCell ref="A172:B172"/>
    <mergeCell ref="A173:B173"/>
    <mergeCell ref="A174:B174"/>
    <mergeCell ref="A149:B149"/>
    <mergeCell ref="A150:B150"/>
    <mergeCell ref="A151:B151"/>
    <mergeCell ref="A152:B152"/>
    <mergeCell ref="A162:B162"/>
    <mergeCell ref="A163:B163"/>
    <mergeCell ref="A164:H164"/>
    <mergeCell ref="A165:B165"/>
    <mergeCell ref="A166:B166"/>
    <mergeCell ref="A146:B146"/>
    <mergeCell ref="A147:B147"/>
    <mergeCell ref="A148:B148"/>
    <mergeCell ref="A132:H132"/>
    <mergeCell ref="A133:B133"/>
    <mergeCell ref="A134:B134"/>
    <mergeCell ref="A135:B135"/>
    <mergeCell ref="A136:B136"/>
    <mergeCell ref="A137:B137"/>
    <mergeCell ref="A138:B138"/>
    <mergeCell ref="A139:B139"/>
    <mergeCell ref="A140:B140"/>
    <mergeCell ref="A110:B110"/>
    <mergeCell ref="C110:D110"/>
    <mergeCell ref="C111:D111"/>
    <mergeCell ref="C112:D112"/>
    <mergeCell ref="E112:F112"/>
    <mergeCell ref="A115:F115"/>
    <mergeCell ref="A116:F116"/>
    <mergeCell ref="A117:F117"/>
    <mergeCell ref="C121:D121"/>
    <mergeCell ref="A111:B111"/>
    <mergeCell ref="A113:B113"/>
    <mergeCell ref="C113:H113"/>
    <mergeCell ref="A95:B95"/>
    <mergeCell ref="E95:F95"/>
    <mergeCell ref="A96:B96"/>
    <mergeCell ref="E96:F107"/>
    <mergeCell ref="G96:H107"/>
    <mergeCell ref="A97:B97"/>
    <mergeCell ref="A98:B98"/>
    <mergeCell ref="A99:B99"/>
    <mergeCell ref="A100:B100"/>
    <mergeCell ref="A101:B101"/>
    <mergeCell ref="A102:B102"/>
    <mergeCell ref="A103:B103"/>
    <mergeCell ref="A104:B104"/>
    <mergeCell ref="A105:B105"/>
    <mergeCell ref="A106:B106"/>
    <mergeCell ref="A107:B107"/>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C3:D3"/>
    <mergeCell ref="C4:D4"/>
    <mergeCell ref="E2:F2"/>
    <mergeCell ref="E14:F14"/>
    <mergeCell ref="E15:F15"/>
    <mergeCell ref="E16:F16"/>
    <mergeCell ref="E17:F17"/>
    <mergeCell ref="E18:F18"/>
    <mergeCell ref="E19:F19"/>
    <mergeCell ref="A66:B66"/>
    <mergeCell ref="A67:B67"/>
    <mergeCell ref="A69:B69"/>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A196:B196"/>
    <mergeCell ref="B209:H209"/>
    <mergeCell ref="A202:H202"/>
    <mergeCell ref="E3:F3"/>
    <mergeCell ref="E4:F4"/>
    <mergeCell ref="E80:F91"/>
    <mergeCell ref="G80:H91"/>
    <mergeCell ref="A81:B81"/>
    <mergeCell ref="A82:B82"/>
    <mergeCell ref="A83:B83"/>
    <mergeCell ref="A84:B84"/>
    <mergeCell ref="A85:B85"/>
    <mergeCell ref="A86:B86"/>
    <mergeCell ref="A87:B87"/>
    <mergeCell ref="A88:B88"/>
    <mergeCell ref="A89:B89"/>
    <mergeCell ref="A90:B90"/>
    <mergeCell ref="A91:B91"/>
    <mergeCell ref="A65:B65"/>
    <mergeCell ref="C27:D27"/>
    <mergeCell ref="A72:B72"/>
    <mergeCell ref="A73:B73"/>
    <mergeCell ref="A74:B74"/>
    <mergeCell ref="A75:B75"/>
    <mergeCell ref="A176:B176"/>
    <mergeCell ref="C126:D126"/>
    <mergeCell ref="E128:F128"/>
    <mergeCell ref="C127:D127"/>
    <mergeCell ref="A109:H109"/>
    <mergeCell ref="G110:H110"/>
    <mergeCell ref="B210:H210"/>
    <mergeCell ref="B204:H204"/>
    <mergeCell ref="B203:H203"/>
    <mergeCell ref="B207:H207"/>
    <mergeCell ref="B206:H206"/>
    <mergeCell ref="B205:H205"/>
    <mergeCell ref="B208:H208"/>
    <mergeCell ref="A189:B189"/>
    <mergeCell ref="A190:B190"/>
    <mergeCell ref="A191:B191"/>
    <mergeCell ref="A200:B200"/>
    <mergeCell ref="A201:B201"/>
    <mergeCell ref="A197:B197"/>
    <mergeCell ref="A198:B198"/>
    <mergeCell ref="A199:B199"/>
    <mergeCell ref="A193:H193"/>
    <mergeCell ref="A194:B194"/>
    <mergeCell ref="A195:B195"/>
    <mergeCell ref="D214:H214"/>
    <mergeCell ref="A259:H259"/>
    <mergeCell ref="E350:F350"/>
    <mergeCell ref="A350:B350"/>
    <mergeCell ref="C350:D350"/>
    <mergeCell ref="G14:H14"/>
    <mergeCell ref="G16:H16"/>
    <mergeCell ref="G17:H17"/>
    <mergeCell ref="G15:H15"/>
    <mergeCell ref="G18:H18"/>
    <mergeCell ref="G19:H19"/>
    <mergeCell ref="G46:H46"/>
    <mergeCell ref="G31:H31"/>
    <mergeCell ref="G22:H22"/>
    <mergeCell ref="G36:H36"/>
    <mergeCell ref="G35:H35"/>
    <mergeCell ref="E64:F75"/>
    <mergeCell ref="A188:B188"/>
    <mergeCell ref="A181:B181"/>
    <mergeCell ref="A179:B179"/>
    <mergeCell ref="E127:F127"/>
    <mergeCell ref="E125:F125"/>
    <mergeCell ref="C124:D124"/>
    <mergeCell ref="E126:F126"/>
    <mergeCell ref="G6:H6"/>
    <mergeCell ref="A5:H5"/>
    <mergeCell ref="A33:H33"/>
    <mergeCell ref="G30:H30"/>
    <mergeCell ref="G29:H29"/>
    <mergeCell ref="A13:H13"/>
    <mergeCell ref="C26:D26"/>
    <mergeCell ref="G350:H350"/>
    <mergeCell ref="A211:H211"/>
    <mergeCell ref="D213:H213"/>
    <mergeCell ref="A341:H341"/>
    <mergeCell ref="A347:H347"/>
    <mergeCell ref="A348:H348"/>
    <mergeCell ref="A349:H349"/>
    <mergeCell ref="A342:H342"/>
    <mergeCell ref="A343:H343"/>
    <mergeCell ref="A344:H344"/>
    <mergeCell ref="A345:H345"/>
    <mergeCell ref="A213:C213"/>
    <mergeCell ref="A340:H340"/>
    <mergeCell ref="A346:H346"/>
    <mergeCell ref="A309:H309"/>
    <mergeCell ref="D212:H212"/>
    <mergeCell ref="A214:C214"/>
    <mergeCell ref="G112:H112"/>
    <mergeCell ref="G117:H117"/>
    <mergeCell ref="A114:H114"/>
    <mergeCell ref="E110:F110"/>
    <mergeCell ref="A112:B112"/>
    <mergeCell ref="E111:F111"/>
    <mergeCell ref="G111:H111"/>
    <mergeCell ref="A1:H1"/>
    <mergeCell ref="A212:C212"/>
    <mergeCell ref="G27:H27"/>
    <mergeCell ref="G28:H28"/>
    <mergeCell ref="A37:H37"/>
    <mergeCell ref="A44:H44"/>
    <mergeCell ref="A50:H50"/>
    <mergeCell ref="A118:H118"/>
    <mergeCell ref="G116:H116"/>
    <mergeCell ref="G7:H7"/>
    <mergeCell ref="G47:H47"/>
    <mergeCell ref="G45:H45"/>
    <mergeCell ref="A25:H25"/>
    <mergeCell ref="G26:H26"/>
    <mergeCell ref="G20:H20"/>
    <mergeCell ref="G21:H21"/>
    <mergeCell ref="A9:A11"/>
    <mergeCell ref="A186:B186"/>
    <mergeCell ref="A187:B187"/>
    <mergeCell ref="G115:H115"/>
    <mergeCell ref="A153:H153"/>
    <mergeCell ref="A128:B128"/>
    <mergeCell ref="G128:H128"/>
    <mergeCell ref="A192:B192"/>
    <mergeCell ref="A123:H123"/>
    <mergeCell ref="A124:B124"/>
    <mergeCell ref="E124:F124"/>
    <mergeCell ref="A159:B159"/>
    <mergeCell ref="A160:B160"/>
    <mergeCell ref="A161:B161"/>
    <mergeCell ref="A154:B154"/>
    <mergeCell ref="C125:D125"/>
    <mergeCell ref="C128:D128"/>
    <mergeCell ref="A180:B180"/>
    <mergeCell ref="A182:B182"/>
    <mergeCell ref="A183:B183"/>
    <mergeCell ref="A178:B178"/>
    <mergeCell ref="A184:H184"/>
    <mergeCell ref="A185:B185"/>
    <mergeCell ref="A177:B177"/>
    <mergeCell ref="A175:H175"/>
    <mergeCell ref="A59:B59"/>
    <mergeCell ref="C56:F56"/>
    <mergeCell ref="C57:F57"/>
    <mergeCell ref="C58:F58"/>
    <mergeCell ref="C59:F59"/>
    <mergeCell ref="A155:B155"/>
    <mergeCell ref="A156:B156"/>
    <mergeCell ref="A157:B157"/>
    <mergeCell ref="A158:B158"/>
    <mergeCell ref="A76:H76"/>
    <mergeCell ref="A77:C78"/>
    <mergeCell ref="E77:F77"/>
    <mergeCell ref="G108:H108"/>
    <mergeCell ref="G64:H75"/>
    <mergeCell ref="A60:H60"/>
    <mergeCell ref="A63:B63"/>
    <mergeCell ref="A64:B64"/>
    <mergeCell ref="E63:F63"/>
    <mergeCell ref="E61:F61"/>
    <mergeCell ref="E62:F62"/>
    <mergeCell ref="A61:C62"/>
    <mergeCell ref="A70:B70"/>
    <mergeCell ref="E93:F93"/>
    <mergeCell ref="E94:F94"/>
    <mergeCell ref="A92:H92"/>
    <mergeCell ref="A93:C94"/>
    <mergeCell ref="C18:D18"/>
    <mergeCell ref="C19:D19"/>
    <mergeCell ref="C20:D20"/>
    <mergeCell ref="C21:D21"/>
    <mergeCell ref="C22:D22"/>
    <mergeCell ref="C24:H24"/>
    <mergeCell ref="C23:H23"/>
    <mergeCell ref="A68:B68"/>
    <mergeCell ref="A71:B71"/>
    <mergeCell ref="E78:F78"/>
    <mergeCell ref="A79:B79"/>
    <mergeCell ref="E79:F79"/>
    <mergeCell ref="A80:B80"/>
    <mergeCell ref="A45:B45"/>
    <mergeCell ref="A46:B46"/>
    <mergeCell ref="A47:B47"/>
    <mergeCell ref="D46:F46"/>
    <mergeCell ref="D45:F45"/>
    <mergeCell ref="D47:F47"/>
    <mergeCell ref="A48:B48"/>
    <mergeCell ref="D48:F48"/>
    <mergeCell ref="A58:B58"/>
    <mergeCell ref="A108:F108"/>
    <mergeCell ref="A129:H129"/>
    <mergeCell ref="E119:F119"/>
    <mergeCell ref="E120:F120"/>
    <mergeCell ref="E121:F121"/>
    <mergeCell ref="E122:F122"/>
    <mergeCell ref="A119:B119"/>
    <mergeCell ref="A120:B120"/>
    <mergeCell ref="A121:B121"/>
    <mergeCell ref="C119:D119"/>
    <mergeCell ref="A122:B122"/>
    <mergeCell ref="C120:D120"/>
    <mergeCell ref="G119:H119"/>
    <mergeCell ref="G120:H120"/>
    <mergeCell ref="G121:H121"/>
    <mergeCell ref="G122:H122"/>
    <mergeCell ref="C122:D122"/>
    <mergeCell ref="G124:H124"/>
    <mergeCell ref="A125:B125"/>
    <mergeCell ref="G125:H125"/>
    <mergeCell ref="A126:B126"/>
    <mergeCell ref="G126:H126"/>
    <mergeCell ref="A127:B127"/>
    <mergeCell ref="G127:H127"/>
  </mergeCells>
  <dataValidations count="7">
    <dataValidation type="list" allowBlank="1" showInputMessage="1" showErrorMessage="1" sqref="G6:H6" xr:uid="{00000000-0002-0000-0000-000000000000}">
      <formula1>"Ms. Rupali Munagekar, Mr.Vinayak,Mr. Gaurav Pawar, Mr.Manish,Mr.Vaibhav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F130" xr:uid="{00000000-0002-0000-0000-000002000000}">
      <formula1>" Balcony  + AP Area,Chajja Area,Cornice Area,AP Area,WS Area"</formula1>
    </dataValidation>
    <dataValidation type="list" allowBlank="1" showInputMessage="1" showErrorMessage="1" sqref="C27:D27" xr:uid="{00000000-0002-0000-0000-000003000000}">
      <formula1>"Bitumen,Concrete"</formula1>
    </dataValidation>
    <dataValidation type="list" allowBlank="1" showInputMessage="1" showErrorMessage="1" sqref="C51:H51 G35:H35" xr:uid="{00000000-0002-0000-0000-000004000000}">
      <formula1>"Yes,No"</formula1>
    </dataValidation>
    <dataValidation type="list" allowBlank="1" showInputMessage="1" showErrorMessage="1" sqref="C130" xr:uid="{00000000-0002-0000-0000-000005000000}">
      <formula1>"Sale /         Rehab /           PAP,Sale / Mhada,Sale / Landowner"</formula1>
    </dataValidation>
    <dataValidation type="list" allowBlank="1" showInputMessage="1" showErrorMessage="1" sqref="C112:D112" xr:uid="{00000000-0002-0000-0000-000006000000}">
      <formula1>"200000,300000,350000,400000,500000,600000,700000,800000,900000,1000000,1200000,1400000,1500000,1600000"</formula1>
    </dataValidation>
  </dataValidations>
  <hyperlinks>
    <hyperlink ref="C23" r:id="rId1" xr:uid="{00000000-0004-0000-0000-000000000000}"/>
    <hyperlink ref="M75" r:id="rId2" xr:uid="{00000000-0004-0000-0000-000001000000}"/>
    <hyperlink ref="K109" r:id="rId3" xr:uid="{00000000-0004-0000-0000-000002000000}"/>
  </hyperlinks>
  <printOptions horizontalCentered="1"/>
  <pageMargins left="0.27559055118110237" right="0.27559055118110237" top="0.70866141732283472" bottom="0.47244094488188981" header="0.15748031496062992" footer="0.15748031496062992"/>
  <pageSetup paperSize="9" scale="69" fitToHeight="0" orientation="portrait" r:id="rId4"/>
  <headerFooter>
    <oddHeader>&amp;C&amp;25&amp;G</oddHeader>
    <oddFooter>&amp;L&amp;"Times New Roman,Bold"&amp;16Ref No: &amp;F&amp;R&amp;"Times New Roman,Bold"&amp;16&amp;P</oddFooter>
  </headerFooter>
  <rowBreaks count="5" manualBreakCount="5">
    <brk id="108" max="16383" man="1"/>
    <brk id="152" max="16383" man="1"/>
    <brk id="210" max="8" man="1"/>
    <brk id="258" max="16383" man="1"/>
    <brk id="308" max="16383" man="1"/>
  </rowBreaks>
  <drawing r:id="rId5"/>
  <legacyDrawing r:id="rId6"/>
  <legacyDrawingHF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C9" sqref="C9:D9"/>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20" t="s">
        <v>69</v>
      </c>
      <c r="B3" s="120"/>
      <c r="C3" s="120"/>
      <c r="D3" s="120"/>
      <c r="E3" s="120"/>
      <c r="F3" s="120"/>
      <c r="G3" s="120"/>
      <c r="H3" s="120"/>
      <c r="I3" s="120"/>
    </row>
    <row r="4" spans="1:11" s="1" customFormat="1" ht="20.25" customHeight="1" x14ac:dyDescent="0.3">
      <c r="A4" s="214">
        <v>1</v>
      </c>
      <c r="B4" s="214"/>
      <c r="C4" s="214"/>
      <c r="D4" s="215" t="s">
        <v>4</v>
      </c>
      <c r="E4" s="36" t="s">
        <v>117</v>
      </c>
      <c r="F4" s="128" t="s">
        <v>104</v>
      </c>
      <c r="G4" s="128"/>
      <c r="H4" s="36" t="s">
        <v>118</v>
      </c>
      <c r="I4" s="36" t="s">
        <v>119</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214"/>
      <c r="B5" s="214"/>
      <c r="C5" s="214"/>
      <c r="D5" s="215"/>
      <c r="E5" s="36">
        <v>3</v>
      </c>
      <c r="F5" s="128">
        <v>1</v>
      </c>
      <c r="G5" s="128"/>
      <c r="H5" s="36">
        <v>0</v>
      </c>
      <c r="I5" s="36">
        <f ca="1">--TRIM(RIGHT(SUBSTITUTE(LEFT(A4,_xlfn.AGGREGATE(16,6,FIND({0,1,2,3,4,5,6,7,8,9},A4,ROW(INDIRECT("1:"&amp;LEN(A4)))),1))," ",REPT(" ",LEN(A4))),LEN(A4)))</f>
        <v>1</v>
      </c>
      <c r="J5" s="17" t="s">
        <v>123</v>
      </c>
      <c r="K5" s="18"/>
    </row>
    <row r="6" spans="1:11" s="1" customFormat="1" ht="20.25" customHeight="1" x14ac:dyDescent="0.3">
      <c r="A6" s="129" t="s">
        <v>121</v>
      </c>
      <c r="B6" s="129"/>
      <c r="C6" s="129" t="s">
        <v>133</v>
      </c>
      <c r="D6" s="129"/>
      <c r="E6" s="37" t="s">
        <v>134</v>
      </c>
      <c r="F6" s="129" t="s">
        <v>122</v>
      </c>
      <c r="G6" s="129"/>
      <c r="H6" s="29" t="s">
        <v>120</v>
      </c>
      <c r="I6" s="29"/>
      <c r="J6" s="20" t="s">
        <v>135</v>
      </c>
      <c r="K6" s="19">
        <f ca="1">I5*25%</f>
        <v>0.25</v>
      </c>
    </row>
    <row r="7" spans="1:11" s="1" customFormat="1" ht="20.25" customHeight="1" x14ac:dyDescent="0.3">
      <c r="A7" s="127" t="s">
        <v>136</v>
      </c>
      <c r="B7" s="127"/>
      <c r="C7" s="128">
        <f ca="1">K8</f>
        <v>1</v>
      </c>
      <c r="D7" s="128"/>
      <c r="E7" s="35">
        <f ca="1">((100/I5)*C7)/100</f>
        <v>1</v>
      </c>
      <c r="F7" s="127">
        <f ca="1">(((C7/I5*5)+(C8/I5*20)+(25/(F5+H5+I5)*C9)+(5/(I5)*C10)+(2.5/(I5)*C11)+(2.5/(I5)*C12)+(5/I5*C13)+(10/I5*C14)+(2.5/I5*C15)+(2.5/I5*C16)+(10/I5*C17)+(10/I5*C18))/100)</f>
        <v>0.25</v>
      </c>
      <c r="G7" s="127"/>
      <c r="H7" s="127" t="str">
        <f ca="1">J4</f>
        <v>Excavation work Completed. Plinth work completed</v>
      </c>
      <c r="I7" s="127"/>
      <c r="J7" s="20" t="s">
        <v>124</v>
      </c>
      <c r="K7" s="24">
        <f ca="1">I5*50%</f>
        <v>0.5</v>
      </c>
    </row>
    <row r="8" spans="1:11" s="1" customFormat="1" ht="20.25" x14ac:dyDescent="0.3">
      <c r="A8" s="127" t="s">
        <v>105</v>
      </c>
      <c r="B8" s="127"/>
      <c r="C8" s="213">
        <f ca="1">K16</f>
        <v>1</v>
      </c>
      <c r="D8" s="128"/>
      <c r="E8" s="35">
        <f ca="1">((100/I5)*C8)/100</f>
        <v>1</v>
      </c>
      <c r="F8" s="127"/>
      <c r="G8" s="127"/>
      <c r="H8" s="127"/>
      <c r="I8" s="127"/>
      <c r="J8" s="20" t="s">
        <v>125</v>
      </c>
      <c r="K8" s="24">
        <f ca="1">I5</f>
        <v>1</v>
      </c>
    </row>
    <row r="9" spans="1:11" s="1" customFormat="1" ht="21" customHeight="1" x14ac:dyDescent="0.35">
      <c r="A9" s="127" t="s">
        <v>137</v>
      </c>
      <c r="B9" s="127"/>
      <c r="C9" s="128">
        <v>0</v>
      </c>
      <c r="D9" s="128"/>
      <c r="E9" s="35">
        <f ca="1">((100/(F5+H5+I5))*C9)/100</f>
        <v>0</v>
      </c>
      <c r="F9" s="127"/>
      <c r="G9" s="127"/>
      <c r="H9" s="127"/>
      <c r="I9" s="127"/>
      <c r="J9" s="20" t="s">
        <v>126</v>
      </c>
      <c r="K9" s="25">
        <f ca="1">(IF(E5&gt;1,(I5/(E5+2)),I5*0.2))</f>
        <v>0.2</v>
      </c>
    </row>
    <row r="10" spans="1:11" s="1" customFormat="1" ht="21" customHeight="1" x14ac:dyDescent="0.35">
      <c r="A10" s="127" t="s">
        <v>138</v>
      </c>
      <c r="B10" s="127"/>
      <c r="C10" s="128">
        <v>0</v>
      </c>
      <c r="D10" s="128"/>
      <c r="E10" s="35">
        <f ca="1">((100/I5)*C10)/100</f>
        <v>0</v>
      </c>
      <c r="F10" s="127"/>
      <c r="G10" s="127"/>
      <c r="H10" s="127"/>
      <c r="I10" s="127"/>
      <c r="J10" s="20" t="s">
        <v>127</v>
      </c>
      <c r="K10" s="25">
        <f ca="1">(IF(E5&gt;1,(I5/(E5+2)+K9),I5*0.2+K9))</f>
        <v>0.4</v>
      </c>
    </row>
    <row r="11" spans="1:11" s="1" customFormat="1" ht="21" customHeight="1" x14ac:dyDescent="0.35">
      <c r="A11" s="125" t="s">
        <v>139</v>
      </c>
      <c r="B11" s="126"/>
      <c r="C11" s="128">
        <v>0</v>
      </c>
      <c r="D11" s="128"/>
      <c r="E11" s="35">
        <f ca="1">((100/I5)*C11)/100</f>
        <v>0</v>
      </c>
      <c r="F11" s="127"/>
      <c r="G11" s="127"/>
      <c r="H11" s="127"/>
      <c r="I11" s="127"/>
      <c r="J11" s="20" t="s">
        <v>140</v>
      </c>
      <c r="K11" s="25">
        <f ca="1">(IF(E5&gt;1,(I5/(E5+2)+K10),0))</f>
        <v>0.60000000000000009</v>
      </c>
    </row>
    <row r="12" spans="1:11" s="1" customFormat="1" ht="21" customHeight="1" x14ac:dyDescent="0.35">
      <c r="A12" s="125" t="s">
        <v>170</v>
      </c>
      <c r="B12" s="126"/>
      <c r="C12" s="128">
        <v>0</v>
      </c>
      <c r="D12" s="128"/>
      <c r="E12" s="35">
        <f ca="1">((100/I5)*C12)/100</f>
        <v>0</v>
      </c>
      <c r="F12" s="127"/>
      <c r="G12" s="127"/>
      <c r="H12" s="127"/>
      <c r="I12" s="127"/>
      <c r="J12" s="20" t="s">
        <v>141</v>
      </c>
      <c r="K12" s="25">
        <f ca="1">(IF(E5&gt;2,(I5/(E5+2)+K11),0))</f>
        <v>0.8</v>
      </c>
    </row>
    <row r="13" spans="1:11" s="1" customFormat="1" ht="57.75" customHeight="1" x14ac:dyDescent="0.35">
      <c r="A13" s="125" t="s">
        <v>167</v>
      </c>
      <c r="B13" s="126"/>
      <c r="C13" s="128">
        <v>0</v>
      </c>
      <c r="D13" s="128"/>
      <c r="E13" s="35">
        <f ca="1">((100/(I5))*C13)/100</f>
        <v>0</v>
      </c>
      <c r="F13" s="127"/>
      <c r="G13" s="127"/>
      <c r="H13" s="127"/>
      <c r="I13" s="127"/>
      <c r="J13" s="20" t="s">
        <v>143</v>
      </c>
      <c r="K13" s="26">
        <f>(IF(E5&gt;3,(I5/(E5+2)+K12),0))</f>
        <v>0</v>
      </c>
    </row>
    <row r="14" spans="1:11" s="1" customFormat="1" ht="21" x14ac:dyDescent="0.35">
      <c r="A14" s="127" t="s">
        <v>142</v>
      </c>
      <c r="B14" s="127"/>
      <c r="C14" s="128">
        <v>0</v>
      </c>
      <c r="D14" s="128"/>
      <c r="E14" s="35">
        <f ca="1">((100/(I5))*C14)/100</f>
        <v>0</v>
      </c>
      <c r="F14" s="127"/>
      <c r="G14" s="127"/>
      <c r="H14" s="127"/>
      <c r="I14" s="127"/>
      <c r="J14" s="20" t="s">
        <v>144</v>
      </c>
      <c r="K14" s="25">
        <f>(IF(E5&gt;4,(I5/(E5+2)+K13),0))</f>
        <v>0</v>
      </c>
    </row>
    <row r="15" spans="1:11" s="1" customFormat="1" ht="21" customHeight="1" x14ac:dyDescent="0.35">
      <c r="A15" s="127" t="s">
        <v>169</v>
      </c>
      <c r="B15" s="127"/>
      <c r="C15" s="128">
        <v>0</v>
      </c>
      <c r="D15" s="128"/>
      <c r="E15" s="35">
        <f ca="1">((100/I5)*C15)/100</f>
        <v>0</v>
      </c>
      <c r="F15" s="127"/>
      <c r="G15" s="127"/>
      <c r="H15" s="127"/>
      <c r="I15" s="127"/>
      <c r="J15" s="20" t="s">
        <v>128</v>
      </c>
      <c r="K15" s="25">
        <f>(IF(E5=1,(I5/(E5+3)+K10),IF(E5=0,(I5*0.3+K10),IF(E5&gt;1,0))))</f>
        <v>0</v>
      </c>
    </row>
    <row r="16" spans="1:11" s="1" customFormat="1" ht="21.75" thickBot="1" x14ac:dyDescent="0.4">
      <c r="A16" s="127" t="s">
        <v>168</v>
      </c>
      <c r="B16" s="127"/>
      <c r="C16" s="128">
        <v>0</v>
      </c>
      <c r="D16" s="128"/>
      <c r="E16" s="35">
        <f ca="1">((100/I5)*C16)/100</f>
        <v>0</v>
      </c>
      <c r="F16" s="127"/>
      <c r="G16" s="127"/>
      <c r="H16" s="127"/>
      <c r="I16" s="127"/>
      <c r="J16" s="22" t="s">
        <v>129</v>
      </c>
      <c r="K16" s="27">
        <f ca="1">(IF(E5&gt;1.5,(I5/(E5+2)+K10+MAX(0,K11-K10)+MAX(0,K12-K11)+MAX(0,K13-K12)+MAX(0,K14-K13)+MAX(0,K15-K14)),IF(E5=1,(I5/(E5+3)+K15),IF(E5=0,I5*0.3+K15))))</f>
        <v>1</v>
      </c>
    </row>
    <row r="17" spans="1:9" s="1" customFormat="1" ht="20.25" x14ac:dyDescent="0.25">
      <c r="A17" s="127" t="s">
        <v>145</v>
      </c>
      <c r="B17" s="127"/>
      <c r="C17" s="128">
        <v>0</v>
      </c>
      <c r="D17" s="128"/>
      <c r="E17" s="35">
        <f ca="1">((100/(I5))*C17)/100</f>
        <v>0</v>
      </c>
      <c r="F17" s="127"/>
      <c r="G17" s="127"/>
      <c r="H17" s="127"/>
      <c r="I17" s="127"/>
    </row>
    <row r="18" spans="1:9" s="1" customFormat="1" ht="20.25" x14ac:dyDescent="0.25">
      <c r="A18" s="127" t="s">
        <v>146</v>
      </c>
      <c r="B18" s="127"/>
      <c r="C18" s="128">
        <v>0</v>
      </c>
      <c r="D18" s="128"/>
      <c r="E18" s="35">
        <f ca="1">((100/(I5))*C18)/100</f>
        <v>0</v>
      </c>
      <c r="F18" s="127"/>
      <c r="G18" s="127"/>
      <c r="H18" s="127"/>
      <c r="I18" s="127"/>
    </row>
    <row r="23" spans="1:9" x14ac:dyDescent="0.25">
      <c r="B23" s="212" t="s">
        <v>171</v>
      </c>
      <c r="C23" s="212"/>
      <c r="D23" s="212"/>
      <c r="E23" s="212"/>
      <c r="F23" s="212"/>
      <c r="G23" s="212"/>
    </row>
    <row r="24" spans="1:9" ht="14.45" customHeight="1" x14ac:dyDescent="0.25">
      <c r="B24" s="207" t="s">
        <v>172</v>
      </c>
      <c r="C24" s="207" t="s">
        <v>173</v>
      </c>
      <c r="D24" s="210" t="s">
        <v>174</v>
      </c>
      <c r="E24" s="211" t="s">
        <v>175</v>
      </c>
      <c r="F24" s="208" t="s">
        <v>176</v>
      </c>
      <c r="G24" s="207" t="s">
        <v>177</v>
      </c>
    </row>
    <row r="25" spans="1:9" x14ac:dyDescent="0.25">
      <c r="B25" s="207"/>
      <c r="C25" s="207"/>
      <c r="D25" s="210"/>
      <c r="E25" s="211"/>
      <c r="F25" s="208"/>
      <c r="G25" s="207"/>
    </row>
    <row r="26" spans="1:9" x14ac:dyDescent="0.25">
      <c r="B26" s="49" t="s">
        <v>178</v>
      </c>
      <c r="C26" s="50">
        <v>10</v>
      </c>
      <c r="D26" s="50">
        <v>1</v>
      </c>
      <c r="E26" s="51"/>
      <c r="F26" s="52">
        <f>((E26/D26)*0.05)*100</f>
        <v>0</v>
      </c>
      <c r="G26" s="52">
        <f t="shared" ref="G26:G37" si="0">((E26/D26)*(C26/100))*100</f>
        <v>0</v>
      </c>
    </row>
    <row r="27" spans="1:9" x14ac:dyDescent="0.25">
      <c r="B27" s="49" t="s">
        <v>179</v>
      </c>
      <c r="C27" s="51">
        <v>10</v>
      </c>
      <c r="D27" s="51">
        <v>1</v>
      </c>
      <c r="E27" s="51"/>
      <c r="F27" s="52">
        <f>((E27/D27)*0.05)*100</f>
        <v>0</v>
      </c>
      <c r="G27" s="52">
        <f t="shared" si="0"/>
        <v>0</v>
      </c>
    </row>
    <row r="28" spans="1:9" x14ac:dyDescent="0.25">
      <c r="B28" s="49" t="s">
        <v>180</v>
      </c>
      <c r="C28" s="51">
        <v>15</v>
      </c>
      <c r="D28" s="51">
        <v>1</v>
      </c>
      <c r="E28" s="51"/>
      <c r="F28" s="52">
        <f>((E28/D28)*0.15)*100</f>
        <v>0</v>
      </c>
      <c r="G28" s="52">
        <f t="shared" si="0"/>
        <v>0</v>
      </c>
    </row>
    <row r="29" spans="1:9" x14ac:dyDescent="0.25">
      <c r="B29" s="53" t="s">
        <v>181</v>
      </c>
      <c r="C29" s="51">
        <v>25</v>
      </c>
      <c r="D29" s="51">
        <v>40</v>
      </c>
      <c r="E29" s="51"/>
      <c r="F29" s="52">
        <f>((E29/D29)*0.25)*100</f>
        <v>0</v>
      </c>
      <c r="G29" s="52">
        <f t="shared" si="0"/>
        <v>0</v>
      </c>
    </row>
    <row r="30" spans="1:9" x14ac:dyDescent="0.25">
      <c r="B30" s="53" t="s">
        <v>182</v>
      </c>
      <c r="C30" s="51">
        <v>5</v>
      </c>
      <c r="D30" s="51">
        <v>39</v>
      </c>
      <c r="E30" s="51"/>
      <c r="F30" s="52">
        <f>((E30/D30)*0.05)*100</f>
        <v>0</v>
      </c>
      <c r="G30" s="52">
        <f t="shared" si="0"/>
        <v>0</v>
      </c>
    </row>
    <row r="31" spans="1:9" ht="30" x14ac:dyDescent="0.25">
      <c r="B31" s="53" t="s">
        <v>183</v>
      </c>
      <c r="C31" s="51">
        <v>2.5</v>
      </c>
      <c r="D31" s="51">
        <v>39</v>
      </c>
      <c r="E31" s="51"/>
      <c r="F31" s="52">
        <f>((E31/D31)*0.025)*100</f>
        <v>0</v>
      </c>
      <c r="G31" s="52">
        <f t="shared" si="0"/>
        <v>0</v>
      </c>
    </row>
    <row r="32" spans="1:9" ht="30" x14ac:dyDescent="0.25">
      <c r="B32" s="53" t="s">
        <v>184</v>
      </c>
      <c r="C32" s="51">
        <v>2.5</v>
      </c>
      <c r="D32" s="51">
        <v>39</v>
      </c>
      <c r="E32" s="51"/>
      <c r="F32" s="52">
        <f>((E32/D32)*0.025)*100</f>
        <v>0</v>
      </c>
      <c r="G32" s="52">
        <f t="shared" si="0"/>
        <v>0</v>
      </c>
    </row>
    <row r="33" spans="1:7" ht="45" x14ac:dyDescent="0.25">
      <c r="B33" s="54" t="s">
        <v>185</v>
      </c>
      <c r="C33" s="51">
        <v>5</v>
      </c>
      <c r="D33" s="51">
        <v>39</v>
      </c>
      <c r="E33" s="51"/>
      <c r="F33" s="52">
        <f>((E33/D33)*0.05)*100</f>
        <v>0</v>
      </c>
      <c r="G33" s="52">
        <f t="shared" si="0"/>
        <v>0</v>
      </c>
    </row>
    <row r="34" spans="1:7" ht="30" x14ac:dyDescent="0.25">
      <c r="B34" s="54" t="s">
        <v>186</v>
      </c>
      <c r="C34" s="51">
        <v>5</v>
      </c>
      <c r="D34" s="51">
        <v>39</v>
      </c>
      <c r="E34" s="51"/>
      <c r="F34" s="52">
        <f>((E34/D34)*0.1)*100</f>
        <v>0</v>
      </c>
      <c r="G34" s="52">
        <f t="shared" si="0"/>
        <v>0</v>
      </c>
    </row>
    <row r="35" spans="1:7" ht="30" x14ac:dyDescent="0.25">
      <c r="B35" s="54" t="s">
        <v>187</v>
      </c>
      <c r="C35" s="51">
        <v>5</v>
      </c>
      <c r="D35" s="51">
        <v>39</v>
      </c>
      <c r="E35" s="51"/>
      <c r="F35" s="52">
        <f>((E35/D35)*0.05)*100</f>
        <v>0</v>
      </c>
      <c r="G35" s="52">
        <f t="shared" si="0"/>
        <v>0</v>
      </c>
    </row>
    <row r="36" spans="1:7" ht="60" x14ac:dyDescent="0.25">
      <c r="B36" s="54" t="s">
        <v>188</v>
      </c>
      <c r="C36" s="51">
        <v>10</v>
      </c>
      <c r="D36" s="51">
        <v>39</v>
      </c>
      <c r="E36" s="51"/>
      <c r="F36" s="52">
        <f>((E36/D36)*0.1)*100</f>
        <v>0</v>
      </c>
      <c r="G36" s="52">
        <f t="shared" si="0"/>
        <v>0</v>
      </c>
    </row>
    <row r="37" spans="1:7" ht="45" x14ac:dyDescent="0.25">
      <c r="B37" s="54" t="s">
        <v>189</v>
      </c>
      <c r="C37" s="51">
        <v>5</v>
      </c>
      <c r="D37" s="51">
        <v>39</v>
      </c>
      <c r="E37" s="51"/>
      <c r="F37" s="52">
        <f>((E37/D37)*0.1)*100</f>
        <v>0</v>
      </c>
      <c r="G37" s="52">
        <f t="shared" si="0"/>
        <v>0</v>
      </c>
    </row>
    <row r="38" spans="1:7" ht="15.75" x14ac:dyDescent="0.25">
      <c r="B38" s="55" t="s">
        <v>190</v>
      </c>
      <c r="C38" s="56">
        <f>SUM(C26:C37)</f>
        <v>100</v>
      </c>
      <c r="D38" s="55"/>
      <c r="E38" s="55"/>
      <c r="F38" s="56">
        <f>SUM(F26:F37)</f>
        <v>0</v>
      </c>
      <c r="G38" s="56">
        <f>SUM(G26:G37)</f>
        <v>0</v>
      </c>
    </row>
    <row r="39" spans="1:7" x14ac:dyDescent="0.25">
      <c r="B39" s="208" t="s">
        <v>191</v>
      </c>
      <c r="C39" s="208"/>
      <c r="D39" s="208"/>
      <c r="E39" s="208"/>
      <c r="F39" s="208"/>
      <c r="G39" s="208"/>
    </row>
    <row r="40" spans="1:7" x14ac:dyDescent="0.25">
      <c r="B40" s="209" t="s">
        <v>192</v>
      </c>
      <c r="C40" s="209"/>
      <c r="D40" s="209"/>
      <c r="E40" s="209" t="s">
        <v>193</v>
      </c>
      <c r="F40" s="209"/>
      <c r="G40" s="209"/>
    </row>
    <row r="41" spans="1:7" x14ac:dyDescent="0.25">
      <c r="B41" s="205" t="s">
        <v>194</v>
      </c>
      <c r="C41" s="205"/>
      <c r="D41" s="205"/>
      <c r="E41" s="205" t="s">
        <v>195</v>
      </c>
      <c r="F41" s="205"/>
      <c r="G41" s="205"/>
    </row>
    <row r="42" spans="1:7" x14ac:dyDescent="0.25">
      <c r="B42" s="205" t="s">
        <v>196</v>
      </c>
      <c r="C42" s="205"/>
      <c r="D42" s="205"/>
      <c r="E42" s="205" t="s">
        <v>197</v>
      </c>
      <c r="F42" s="205"/>
      <c r="G42" s="205"/>
    </row>
    <row r="43" spans="1:7" x14ac:dyDescent="0.25">
      <c r="B43" s="206" t="s">
        <v>198</v>
      </c>
      <c r="C43" s="206"/>
      <c r="D43" s="206"/>
      <c r="E43" s="206" t="s">
        <v>199</v>
      </c>
      <c r="F43" s="206"/>
      <c r="G43" s="206"/>
    </row>
    <row r="45" spans="1:7" ht="15.75" thickBot="1" x14ac:dyDescent="0.3"/>
    <row r="46" spans="1:7" ht="17.25" thickTop="1" thickBot="1" x14ac:dyDescent="0.3">
      <c r="A46" s="57" t="s">
        <v>200</v>
      </c>
      <c r="B46" s="57" t="s">
        <v>172</v>
      </c>
      <c r="C46" s="58" t="s">
        <v>201</v>
      </c>
      <c r="D46" s="58" t="s">
        <v>202</v>
      </c>
      <c r="E46" s="58" t="s">
        <v>203</v>
      </c>
    </row>
    <row r="47" spans="1:7" ht="31.5" thickTop="1" thickBot="1" x14ac:dyDescent="0.3">
      <c r="A47" s="59">
        <v>1</v>
      </c>
      <c r="B47" s="60" t="s">
        <v>204</v>
      </c>
      <c r="C47" s="61">
        <v>0</v>
      </c>
      <c r="D47" s="62">
        <v>0.1</v>
      </c>
      <c r="E47" s="61">
        <v>0.1</v>
      </c>
    </row>
    <row r="48" spans="1:7" ht="31.5" thickTop="1" thickBot="1" x14ac:dyDescent="0.3">
      <c r="A48" s="59">
        <v>2</v>
      </c>
      <c r="B48" s="60" t="s">
        <v>205</v>
      </c>
      <c r="C48" s="61" t="s">
        <v>206</v>
      </c>
      <c r="D48" s="62" t="s">
        <v>207</v>
      </c>
      <c r="E48" s="61">
        <v>0.3</v>
      </c>
    </row>
    <row r="49" spans="1:5" ht="61.5" thickTop="1" thickBot="1" x14ac:dyDescent="0.3">
      <c r="A49" s="59">
        <v>3</v>
      </c>
      <c r="B49" s="60" t="s">
        <v>208</v>
      </c>
      <c r="C49" s="61" t="s">
        <v>209</v>
      </c>
      <c r="D49" s="62" t="s">
        <v>210</v>
      </c>
      <c r="E49" s="61">
        <v>0.45</v>
      </c>
    </row>
    <row r="50" spans="1:5" ht="76.5" thickTop="1" thickBot="1" x14ac:dyDescent="0.3">
      <c r="A50" s="59">
        <v>4</v>
      </c>
      <c r="B50" s="60" t="s">
        <v>211</v>
      </c>
      <c r="C50" s="61" t="s">
        <v>212</v>
      </c>
      <c r="D50" s="62" t="s">
        <v>213</v>
      </c>
      <c r="E50" s="61">
        <v>0.7</v>
      </c>
    </row>
    <row r="51" spans="1:5" ht="76.5" thickTop="1" thickBot="1" x14ac:dyDescent="0.3">
      <c r="A51" s="59">
        <v>5</v>
      </c>
      <c r="B51" s="60" t="s">
        <v>214</v>
      </c>
      <c r="C51" s="61" t="s">
        <v>215</v>
      </c>
      <c r="D51" s="62" t="s">
        <v>216</v>
      </c>
      <c r="E51" s="61">
        <v>0.75</v>
      </c>
    </row>
    <row r="52" spans="1:5" ht="76.5" thickTop="1" thickBot="1" x14ac:dyDescent="0.3">
      <c r="A52" s="59">
        <v>6</v>
      </c>
      <c r="B52" s="60" t="s">
        <v>217</v>
      </c>
      <c r="C52" s="61" t="s">
        <v>218</v>
      </c>
      <c r="D52" s="62" t="s">
        <v>219</v>
      </c>
      <c r="E52" s="61">
        <v>0.8</v>
      </c>
    </row>
    <row r="53" spans="1:5" ht="121.5" thickTop="1" thickBot="1" x14ac:dyDescent="0.3">
      <c r="A53" s="59">
        <v>7</v>
      </c>
      <c r="B53" s="60" t="s">
        <v>220</v>
      </c>
      <c r="C53" s="61" t="s">
        <v>221</v>
      </c>
      <c r="D53" s="62" t="s">
        <v>222</v>
      </c>
      <c r="E53" s="61">
        <v>0.85</v>
      </c>
    </row>
    <row r="54" spans="1:5" ht="211.5" thickTop="1" thickBot="1" x14ac:dyDescent="0.3">
      <c r="A54" s="59">
        <v>8</v>
      </c>
      <c r="B54" s="60" t="s">
        <v>223</v>
      </c>
      <c r="C54" s="61" t="s">
        <v>224</v>
      </c>
      <c r="D54" s="62" t="s">
        <v>225</v>
      </c>
      <c r="E54" s="61">
        <v>0.95</v>
      </c>
    </row>
    <row r="55" spans="1:5" ht="91.5" thickTop="1" thickBot="1" x14ac:dyDescent="0.3">
      <c r="A55" s="59">
        <v>9</v>
      </c>
      <c r="B55" s="60" t="s">
        <v>226</v>
      </c>
      <c r="C55" s="61" t="s">
        <v>227</v>
      </c>
      <c r="D55" s="62" t="s">
        <v>228</v>
      </c>
      <c r="E55" s="61">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N11" sqref="N11"/>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51">
        <v>1</v>
      </c>
      <c r="C2" s="70" t="s">
        <v>247</v>
      </c>
    </row>
    <row r="3" spans="2:3" x14ac:dyDescent="0.25">
      <c r="B3" s="51">
        <v>2</v>
      </c>
      <c r="C3" s="71" t="s">
        <v>248</v>
      </c>
    </row>
    <row r="4" spans="2:3" x14ac:dyDescent="0.25">
      <c r="B4" s="51">
        <v>3</v>
      </c>
      <c r="C4" s="72" t="s">
        <v>249</v>
      </c>
    </row>
    <row r="5" spans="2:3" x14ac:dyDescent="0.25">
      <c r="B5" s="51">
        <v>4</v>
      </c>
      <c r="C5" s="71" t="s">
        <v>250</v>
      </c>
    </row>
    <row r="6" spans="2:3" x14ac:dyDescent="0.25">
      <c r="B6" s="51">
        <v>5</v>
      </c>
      <c r="C6" s="72" t="s">
        <v>251</v>
      </c>
    </row>
    <row r="7" spans="2:3" ht="30" x14ac:dyDescent="0.25">
      <c r="B7" s="51">
        <v>6</v>
      </c>
      <c r="C7" s="71" t="s">
        <v>252</v>
      </c>
    </row>
    <row r="8" spans="2:3" ht="75" x14ac:dyDescent="0.25">
      <c r="B8" s="51">
        <v>7</v>
      </c>
      <c r="C8" s="71" t="s">
        <v>253</v>
      </c>
    </row>
    <row r="9" spans="2:3" x14ac:dyDescent="0.25">
      <c r="B9" s="51">
        <v>8</v>
      </c>
      <c r="C9" s="72" t="s">
        <v>254</v>
      </c>
    </row>
    <row r="10" spans="2:3" x14ac:dyDescent="0.25">
      <c r="B10" s="51">
        <v>9</v>
      </c>
      <c r="C10" s="72" t="s">
        <v>255</v>
      </c>
    </row>
    <row r="11" spans="2:3" x14ac:dyDescent="0.25">
      <c r="B11" s="51">
        <v>10</v>
      </c>
      <c r="C11" s="72" t="s">
        <v>256</v>
      </c>
    </row>
    <row r="12" spans="2:3" x14ac:dyDescent="0.25">
      <c r="B12" s="51">
        <v>11</v>
      </c>
      <c r="C12" s="72" t="s">
        <v>257</v>
      </c>
    </row>
    <row r="13" spans="2:3" x14ac:dyDescent="0.25">
      <c r="B13" s="51">
        <v>12</v>
      </c>
      <c r="C13" s="72" t="s">
        <v>258</v>
      </c>
    </row>
    <row r="14" spans="2:3" x14ac:dyDescent="0.25">
      <c r="B14" s="51">
        <v>13</v>
      </c>
      <c r="C14" s="72" t="s">
        <v>259</v>
      </c>
    </row>
    <row r="15" spans="2:3" x14ac:dyDescent="0.25">
      <c r="B15" s="51">
        <v>14</v>
      </c>
      <c r="C15" s="72" t="s">
        <v>249</v>
      </c>
    </row>
    <row r="16" spans="2:3" x14ac:dyDescent="0.25">
      <c r="B16" s="51">
        <v>15</v>
      </c>
      <c r="C16" s="72" t="s">
        <v>241</v>
      </c>
    </row>
    <row r="17" spans="2:3" x14ac:dyDescent="0.25">
      <c r="B17" s="73">
        <v>16</v>
      </c>
      <c r="C17" s="74" t="s">
        <v>260</v>
      </c>
    </row>
    <row r="18" spans="2:3" x14ac:dyDescent="0.25">
      <c r="B18" s="75">
        <v>17</v>
      </c>
      <c r="C18" s="74" t="s">
        <v>261</v>
      </c>
    </row>
    <row r="19" spans="2:3" x14ac:dyDescent="0.25">
      <c r="B19" s="76">
        <v>18</v>
      </c>
      <c r="C19" s="51" t="s">
        <v>262</v>
      </c>
    </row>
    <row r="20" spans="2:3" x14ac:dyDescent="0.25">
      <c r="B20" s="75">
        <v>19</v>
      </c>
      <c r="C20" s="51" t="s">
        <v>263</v>
      </c>
    </row>
    <row r="21" spans="2:3" x14ac:dyDescent="0.25">
      <c r="B21" s="77">
        <v>20</v>
      </c>
      <c r="C21" s="51" t="s">
        <v>264</v>
      </c>
    </row>
    <row r="22" spans="2:3" x14ac:dyDescent="0.25">
      <c r="B22" s="75">
        <v>21</v>
      </c>
      <c r="C22" s="51" t="s">
        <v>262</v>
      </c>
    </row>
    <row r="23" spans="2:3" s="79" customFormat="1" ht="30" x14ac:dyDescent="0.25">
      <c r="B23" s="78">
        <v>22</v>
      </c>
      <c r="C23" s="70" t="s">
        <v>265</v>
      </c>
    </row>
    <row r="24" spans="2:3" s="79" customFormat="1" ht="30" x14ac:dyDescent="0.25">
      <c r="B24" s="80">
        <v>23</v>
      </c>
      <c r="C24" s="70" t="s">
        <v>266</v>
      </c>
    </row>
    <row r="25" spans="2:3" x14ac:dyDescent="0.25">
      <c r="B25" s="77">
        <v>24</v>
      </c>
      <c r="C25" s="51" t="s">
        <v>267</v>
      </c>
    </row>
    <row r="26" spans="2:3" x14ac:dyDescent="0.25">
      <c r="B26" s="75">
        <v>25</v>
      </c>
      <c r="C26" s="51" t="s">
        <v>268</v>
      </c>
    </row>
    <row r="27" spans="2:3" x14ac:dyDescent="0.25">
      <c r="B27" s="80">
        <v>26</v>
      </c>
      <c r="C27" s="77" t="s">
        <v>269</v>
      </c>
    </row>
    <row r="28" spans="2:3" x14ac:dyDescent="0.25">
      <c r="B28" s="81">
        <v>27</v>
      </c>
      <c r="C28" s="51" t="s">
        <v>270</v>
      </c>
    </row>
    <row r="29" spans="2:3" ht="60" x14ac:dyDescent="0.25">
      <c r="B29" s="82">
        <v>28</v>
      </c>
      <c r="C29" s="71" t="s">
        <v>271</v>
      </c>
    </row>
    <row r="30" spans="2:3" x14ac:dyDescent="0.25">
      <c r="B30" s="80">
        <v>29</v>
      </c>
      <c r="C30" s="51" t="s">
        <v>272</v>
      </c>
    </row>
    <row r="31" spans="2:3" ht="30" x14ac:dyDescent="0.25">
      <c r="B31" s="83">
        <v>30</v>
      </c>
      <c r="C31" s="71" t="s">
        <v>300</v>
      </c>
    </row>
    <row r="32" spans="2:3" x14ac:dyDescent="0.25">
      <c r="B32" s="80">
        <v>31</v>
      </c>
      <c r="C32" s="51" t="s">
        <v>301</v>
      </c>
    </row>
    <row r="33" spans="2:3" x14ac:dyDescent="0.25">
      <c r="B33" s="80">
        <v>32</v>
      </c>
      <c r="C33" s="51" t="s">
        <v>302</v>
      </c>
    </row>
    <row r="34" spans="2:3" ht="30" x14ac:dyDescent="0.25">
      <c r="B34" s="83">
        <v>33</v>
      </c>
      <c r="C34" s="74" t="s">
        <v>303</v>
      </c>
    </row>
    <row r="35" spans="2:3" x14ac:dyDescent="0.25">
      <c r="B35" s="80">
        <v>34</v>
      </c>
      <c r="C35" s="51"/>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RowHeight="15" x14ac:dyDescent="0.25"/>
  <cols>
    <col min="1" max="1" width="9.140625" style="84"/>
    <col min="2" max="2" width="12.28515625" style="84" customWidth="1"/>
    <col min="3" max="16384" width="9.140625" style="84"/>
  </cols>
  <sheetData>
    <row r="2" spans="1:12" x14ac:dyDescent="0.25">
      <c r="B2" s="85" t="s">
        <v>273</v>
      </c>
      <c r="C2" s="216"/>
      <c r="D2" s="216"/>
    </row>
    <row r="3" spans="1:12" x14ac:dyDescent="0.25">
      <c r="D3" s="86"/>
      <c r="E3" s="86"/>
      <c r="F3" s="86"/>
      <c r="G3" s="86"/>
      <c r="H3" s="86"/>
      <c r="I3" s="86"/>
    </row>
    <row r="4" spans="1:12" x14ac:dyDescent="0.25">
      <c r="A4" s="85" t="s">
        <v>274</v>
      </c>
      <c r="B4" s="69" t="s">
        <v>275</v>
      </c>
      <c r="C4" s="217" t="s">
        <v>276</v>
      </c>
      <c r="D4" s="217"/>
      <c r="E4" s="217"/>
      <c r="F4" s="69"/>
      <c r="G4" s="218" t="s">
        <v>277</v>
      </c>
      <c r="H4" s="218"/>
      <c r="I4" s="218"/>
      <c r="J4" s="219" t="s">
        <v>278</v>
      </c>
      <c r="K4" s="219"/>
      <c r="L4" s="219"/>
    </row>
    <row r="5" spans="1:12" x14ac:dyDescent="0.25">
      <c r="A5" s="85"/>
      <c r="B5" s="69"/>
      <c r="C5" s="69" t="s">
        <v>279</v>
      </c>
      <c r="D5" s="69" t="s">
        <v>280</v>
      </c>
      <c r="E5" s="69" t="s">
        <v>281</v>
      </c>
      <c r="F5" s="69"/>
      <c r="G5" s="69" t="s">
        <v>279</v>
      </c>
      <c r="H5" s="69" t="s">
        <v>280</v>
      </c>
      <c r="I5" s="69" t="s">
        <v>281</v>
      </c>
      <c r="J5" s="69" t="s">
        <v>279</v>
      </c>
      <c r="K5" s="69" t="s">
        <v>280</v>
      </c>
      <c r="L5" s="69" t="s">
        <v>281</v>
      </c>
    </row>
    <row r="6" spans="1:12" x14ac:dyDescent="0.25">
      <c r="B6" s="68" t="s">
        <v>282</v>
      </c>
      <c r="C6" s="68"/>
      <c r="D6" s="68"/>
      <c r="E6" s="68">
        <f>C6*D6</f>
        <v>0</v>
      </c>
      <c r="F6" s="68" t="s">
        <v>283</v>
      </c>
      <c r="G6" s="68"/>
      <c r="H6" s="68"/>
      <c r="I6" s="68">
        <f>G6*H6</f>
        <v>0</v>
      </c>
      <c r="J6" s="68"/>
      <c r="K6" s="68"/>
      <c r="L6" s="68">
        <f>J6*K6</f>
        <v>0</v>
      </c>
    </row>
    <row r="7" spans="1:12" x14ac:dyDescent="0.25">
      <c r="B7" s="68"/>
      <c r="C7" s="68"/>
      <c r="D7" s="68"/>
      <c r="E7" s="68">
        <f t="shared" ref="E7:E41" si="0">C7*D7</f>
        <v>0</v>
      </c>
      <c r="F7" s="68" t="s">
        <v>283</v>
      </c>
      <c r="G7" s="68"/>
      <c r="H7" s="68"/>
      <c r="I7" s="68">
        <f t="shared" ref="I7:I35" si="1">G7*H7</f>
        <v>0</v>
      </c>
      <c r="J7" s="68"/>
      <c r="K7" s="68"/>
      <c r="L7" s="68">
        <f t="shared" ref="L7:L35" si="2">J7*K7</f>
        <v>0</v>
      </c>
    </row>
    <row r="8" spans="1:12" x14ac:dyDescent="0.25">
      <c r="B8" s="68"/>
      <c r="C8" s="68"/>
      <c r="D8" s="68"/>
      <c r="E8" s="68">
        <f t="shared" si="0"/>
        <v>0</v>
      </c>
      <c r="F8" s="68"/>
      <c r="G8" s="68"/>
      <c r="H8" s="68"/>
      <c r="I8" s="68">
        <f t="shared" si="1"/>
        <v>0</v>
      </c>
      <c r="J8" s="68"/>
      <c r="K8" s="68"/>
      <c r="L8" s="68">
        <f t="shared" si="2"/>
        <v>0</v>
      </c>
    </row>
    <row r="9" spans="1:12" x14ac:dyDescent="0.25">
      <c r="B9" s="68"/>
      <c r="C9" s="68"/>
      <c r="D9" s="68"/>
      <c r="E9" s="68">
        <f t="shared" si="0"/>
        <v>0</v>
      </c>
      <c r="F9" s="68" t="s">
        <v>284</v>
      </c>
      <c r="G9" s="68"/>
      <c r="H9" s="68"/>
      <c r="I9" s="68">
        <f t="shared" si="1"/>
        <v>0</v>
      </c>
      <c r="J9" s="68"/>
      <c r="K9" s="68"/>
      <c r="L9" s="68">
        <f t="shared" si="2"/>
        <v>0</v>
      </c>
    </row>
    <row r="10" spans="1:12" x14ac:dyDescent="0.25">
      <c r="B10" s="68" t="s">
        <v>285</v>
      </c>
      <c r="C10" s="68"/>
      <c r="D10" s="68"/>
      <c r="E10" s="68">
        <f t="shared" si="0"/>
        <v>0</v>
      </c>
      <c r="F10" s="68" t="s">
        <v>284</v>
      </c>
      <c r="G10" s="68"/>
      <c r="H10" s="68"/>
      <c r="I10" s="68">
        <f t="shared" si="1"/>
        <v>0</v>
      </c>
      <c r="J10" s="68"/>
      <c r="K10" s="68"/>
      <c r="L10" s="68">
        <f t="shared" si="2"/>
        <v>0</v>
      </c>
    </row>
    <row r="11" spans="1:12" x14ac:dyDescent="0.25">
      <c r="B11" s="68"/>
      <c r="C11" s="68"/>
      <c r="D11" s="68"/>
      <c r="E11" s="68">
        <f t="shared" si="0"/>
        <v>0</v>
      </c>
      <c r="F11" s="68" t="s">
        <v>286</v>
      </c>
      <c r="G11" s="68"/>
      <c r="H11" s="68"/>
      <c r="I11" s="68">
        <f t="shared" si="1"/>
        <v>0</v>
      </c>
      <c r="J11" s="68"/>
      <c r="K11" s="68"/>
      <c r="L11" s="68">
        <f t="shared" si="2"/>
        <v>0</v>
      </c>
    </row>
    <row r="12" spans="1:12" x14ac:dyDescent="0.25">
      <c r="B12" s="68"/>
      <c r="C12" s="68"/>
      <c r="D12" s="68"/>
      <c r="E12" s="68">
        <f t="shared" si="0"/>
        <v>0</v>
      </c>
      <c r="F12" s="68"/>
      <c r="G12" s="68"/>
      <c r="H12" s="68"/>
      <c r="I12" s="68">
        <f t="shared" si="1"/>
        <v>0</v>
      </c>
      <c r="J12" s="68"/>
      <c r="K12" s="68"/>
      <c r="L12" s="68">
        <f t="shared" si="2"/>
        <v>0</v>
      </c>
    </row>
    <row r="13" spans="1:12" x14ac:dyDescent="0.25">
      <c r="B13" s="68"/>
      <c r="C13" s="68"/>
      <c r="D13" s="68"/>
      <c r="E13" s="68">
        <f t="shared" si="0"/>
        <v>0</v>
      </c>
      <c r="F13" s="68"/>
      <c r="G13" s="68"/>
      <c r="H13" s="68"/>
      <c r="I13" s="68">
        <f t="shared" si="1"/>
        <v>0</v>
      </c>
      <c r="J13" s="68"/>
      <c r="K13" s="68"/>
      <c r="L13" s="68">
        <f t="shared" si="2"/>
        <v>0</v>
      </c>
    </row>
    <row r="14" spans="1:12" x14ac:dyDescent="0.25">
      <c r="B14" s="68" t="s">
        <v>287</v>
      </c>
      <c r="C14" s="68"/>
      <c r="D14" s="68"/>
      <c r="E14" s="68">
        <f t="shared" si="0"/>
        <v>0</v>
      </c>
      <c r="F14" s="68" t="s">
        <v>284</v>
      </c>
      <c r="G14" s="68"/>
      <c r="H14" s="68"/>
      <c r="I14" s="68">
        <f t="shared" si="1"/>
        <v>0</v>
      </c>
      <c r="J14" s="68"/>
      <c r="K14" s="68"/>
      <c r="L14" s="68">
        <f t="shared" si="2"/>
        <v>0</v>
      </c>
    </row>
    <row r="15" spans="1:12" x14ac:dyDescent="0.25">
      <c r="B15" s="68"/>
      <c r="C15" s="68"/>
      <c r="D15" s="68"/>
      <c r="E15" s="68">
        <f t="shared" si="0"/>
        <v>0</v>
      </c>
      <c r="F15" s="68" t="s">
        <v>286</v>
      </c>
      <c r="G15" s="68"/>
      <c r="H15" s="68"/>
      <c r="I15" s="68">
        <f t="shared" si="1"/>
        <v>0</v>
      </c>
      <c r="J15" s="68"/>
      <c r="K15" s="68"/>
      <c r="L15" s="68">
        <f t="shared" si="2"/>
        <v>0</v>
      </c>
    </row>
    <row r="16" spans="1:12" x14ac:dyDescent="0.25">
      <c r="B16" s="68"/>
      <c r="C16" s="68"/>
      <c r="D16" s="68"/>
      <c r="E16" s="68">
        <f t="shared" si="0"/>
        <v>0</v>
      </c>
      <c r="F16" s="68"/>
      <c r="G16" s="68"/>
      <c r="H16" s="68"/>
      <c r="I16" s="68">
        <f t="shared" si="1"/>
        <v>0</v>
      </c>
      <c r="J16" s="68"/>
      <c r="K16" s="68"/>
      <c r="L16" s="68">
        <f t="shared" si="2"/>
        <v>0</v>
      </c>
    </row>
    <row r="17" spans="2:12" x14ac:dyDescent="0.25">
      <c r="B17" s="68"/>
      <c r="C17" s="68"/>
      <c r="D17" s="68"/>
      <c r="E17" s="68">
        <f t="shared" si="0"/>
        <v>0</v>
      </c>
      <c r="F17" s="68"/>
      <c r="G17" s="68"/>
      <c r="H17" s="68"/>
      <c r="I17" s="68">
        <f t="shared" si="1"/>
        <v>0</v>
      </c>
      <c r="J17" s="68"/>
      <c r="K17" s="68"/>
      <c r="L17" s="68">
        <f t="shared" si="2"/>
        <v>0</v>
      </c>
    </row>
    <row r="18" spans="2:12" x14ac:dyDescent="0.25">
      <c r="B18" s="68" t="s">
        <v>288</v>
      </c>
      <c r="C18" s="68"/>
      <c r="D18" s="68"/>
      <c r="E18" s="68">
        <f t="shared" si="0"/>
        <v>0</v>
      </c>
      <c r="F18" s="68" t="s">
        <v>284</v>
      </c>
      <c r="G18" s="68"/>
      <c r="H18" s="68"/>
      <c r="I18" s="68">
        <f t="shared" si="1"/>
        <v>0</v>
      </c>
      <c r="J18" s="68"/>
      <c r="K18" s="68"/>
      <c r="L18" s="68">
        <f t="shared" si="2"/>
        <v>0</v>
      </c>
    </row>
    <row r="19" spans="2:12" x14ac:dyDescent="0.25">
      <c r="B19" s="68"/>
      <c r="C19" s="68"/>
      <c r="D19" s="68"/>
      <c r="E19" s="68">
        <f t="shared" si="0"/>
        <v>0</v>
      </c>
      <c r="F19" s="68" t="s">
        <v>286</v>
      </c>
      <c r="G19" s="68"/>
      <c r="H19" s="68"/>
      <c r="I19" s="68">
        <f t="shared" si="1"/>
        <v>0</v>
      </c>
      <c r="J19" s="68"/>
      <c r="K19" s="68"/>
      <c r="L19" s="68">
        <f t="shared" si="2"/>
        <v>0</v>
      </c>
    </row>
    <row r="20" spans="2:12" x14ac:dyDescent="0.25">
      <c r="B20" s="68"/>
      <c r="C20" s="68"/>
      <c r="D20" s="68"/>
      <c r="E20" s="68">
        <f t="shared" si="0"/>
        <v>0</v>
      </c>
      <c r="F20" s="68"/>
      <c r="G20" s="68"/>
      <c r="H20" s="68"/>
      <c r="I20" s="68">
        <f t="shared" si="1"/>
        <v>0</v>
      </c>
      <c r="J20" s="68"/>
      <c r="K20" s="68"/>
      <c r="L20" s="68">
        <f t="shared" si="2"/>
        <v>0</v>
      </c>
    </row>
    <row r="21" spans="2:12" x14ac:dyDescent="0.25">
      <c r="B21" s="68" t="s">
        <v>289</v>
      </c>
      <c r="C21" s="68"/>
      <c r="D21" s="68"/>
      <c r="E21" s="68">
        <f t="shared" si="0"/>
        <v>0</v>
      </c>
      <c r="F21" s="68" t="s">
        <v>284</v>
      </c>
      <c r="G21" s="68"/>
      <c r="H21" s="68"/>
      <c r="I21" s="68">
        <f t="shared" si="1"/>
        <v>0</v>
      </c>
      <c r="J21" s="68"/>
      <c r="K21" s="68"/>
      <c r="L21" s="68">
        <f t="shared" si="2"/>
        <v>0</v>
      </c>
    </row>
    <row r="22" spans="2:12" x14ac:dyDescent="0.25">
      <c r="B22" s="68"/>
      <c r="C22" s="68"/>
      <c r="D22" s="68"/>
      <c r="E22" s="68">
        <f t="shared" si="0"/>
        <v>0</v>
      </c>
      <c r="F22" s="68" t="s">
        <v>286</v>
      </c>
      <c r="G22" s="68"/>
      <c r="H22" s="68"/>
      <c r="I22" s="68">
        <f t="shared" si="1"/>
        <v>0</v>
      </c>
      <c r="J22" s="68"/>
      <c r="K22" s="68"/>
      <c r="L22" s="68">
        <f t="shared" si="2"/>
        <v>0</v>
      </c>
    </row>
    <row r="23" spans="2:12" x14ac:dyDescent="0.25">
      <c r="B23" s="68"/>
      <c r="C23" s="68"/>
      <c r="D23" s="68"/>
      <c r="E23" s="68">
        <f t="shared" si="0"/>
        <v>0</v>
      </c>
      <c r="F23" s="68"/>
      <c r="G23" s="68"/>
      <c r="H23" s="68"/>
      <c r="I23" s="68">
        <f t="shared" si="1"/>
        <v>0</v>
      </c>
      <c r="J23" s="68"/>
      <c r="K23" s="68"/>
      <c r="L23" s="68">
        <f t="shared" si="2"/>
        <v>0</v>
      </c>
    </row>
    <row r="24" spans="2:12" x14ac:dyDescent="0.25">
      <c r="B24" s="68" t="s">
        <v>290</v>
      </c>
      <c r="C24" s="68"/>
      <c r="D24" s="68"/>
      <c r="E24" s="68">
        <f t="shared" si="0"/>
        <v>0</v>
      </c>
      <c r="F24" s="68" t="s">
        <v>291</v>
      </c>
      <c r="G24" s="68"/>
      <c r="H24" s="68"/>
      <c r="I24" s="68">
        <f t="shared" si="1"/>
        <v>0</v>
      </c>
      <c r="J24" s="68"/>
      <c r="K24" s="68"/>
      <c r="L24" s="68">
        <f t="shared" si="2"/>
        <v>0</v>
      </c>
    </row>
    <row r="25" spans="2:12" x14ac:dyDescent="0.25">
      <c r="B25" s="68"/>
      <c r="C25" s="68"/>
      <c r="D25" s="68"/>
      <c r="E25" s="68">
        <f t="shared" si="0"/>
        <v>0</v>
      </c>
      <c r="F25" s="68" t="s">
        <v>291</v>
      </c>
      <c r="G25" s="68"/>
      <c r="H25" s="68"/>
      <c r="I25" s="68">
        <f t="shared" si="1"/>
        <v>0</v>
      </c>
      <c r="J25" s="68"/>
      <c r="K25" s="68"/>
      <c r="L25" s="68">
        <f t="shared" si="2"/>
        <v>0</v>
      </c>
    </row>
    <row r="26" spans="2:12" x14ac:dyDescent="0.25">
      <c r="B26" s="68"/>
      <c r="C26" s="68"/>
      <c r="D26" s="68"/>
      <c r="E26" s="68">
        <f t="shared" si="0"/>
        <v>0</v>
      </c>
      <c r="F26" s="68" t="s">
        <v>291</v>
      </c>
      <c r="G26" s="68"/>
      <c r="H26" s="68"/>
      <c r="I26" s="68">
        <f t="shared" si="1"/>
        <v>0</v>
      </c>
      <c r="J26" s="68"/>
      <c r="K26" s="68"/>
      <c r="L26" s="68">
        <f t="shared" si="2"/>
        <v>0</v>
      </c>
    </row>
    <row r="27" spans="2:12" x14ac:dyDescent="0.25">
      <c r="B27" s="68"/>
      <c r="C27" s="68"/>
      <c r="D27" s="68"/>
      <c r="E27" s="68">
        <f t="shared" si="0"/>
        <v>0</v>
      </c>
      <c r="F27" s="68" t="s">
        <v>291</v>
      </c>
      <c r="G27" s="68"/>
      <c r="H27" s="68"/>
      <c r="I27" s="68">
        <f t="shared" si="1"/>
        <v>0</v>
      </c>
      <c r="J27" s="68"/>
      <c r="K27" s="68"/>
      <c r="L27" s="68">
        <f t="shared" si="2"/>
        <v>0</v>
      </c>
    </row>
    <row r="28" spans="2:12" x14ac:dyDescent="0.25">
      <c r="B28" s="68" t="s">
        <v>292</v>
      </c>
      <c r="C28" s="68"/>
      <c r="D28" s="68"/>
      <c r="E28" s="68">
        <f t="shared" si="0"/>
        <v>0</v>
      </c>
      <c r="F28" s="68" t="s">
        <v>291</v>
      </c>
      <c r="G28" s="68"/>
      <c r="H28" s="68"/>
      <c r="I28" s="68">
        <f t="shared" si="1"/>
        <v>0</v>
      </c>
      <c r="J28" s="68"/>
      <c r="K28" s="68"/>
      <c r="L28" s="68">
        <f t="shared" si="2"/>
        <v>0</v>
      </c>
    </row>
    <row r="29" spans="2:12" x14ac:dyDescent="0.25">
      <c r="B29" s="68" t="s">
        <v>293</v>
      </c>
      <c r="C29" s="68"/>
      <c r="D29" s="68"/>
      <c r="E29" s="68">
        <f t="shared" si="0"/>
        <v>0</v>
      </c>
      <c r="F29" s="68" t="s">
        <v>291</v>
      </c>
      <c r="G29" s="68"/>
      <c r="H29" s="68"/>
      <c r="I29" s="68">
        <f t="shared" si="1"/>
        <v>0</v>
      </c>
      <c r="J29" s="68"/>
      <c r="K29" s="68"/>
      <c r="L29" s="68">
        <f t="shared" si="2"/>
        <v>0</v>
      </c>
    </row>
    <row r="30" spans="2:12" x14ac:dyDescent="0.25">
      <c r="B30" s="68" t="s">
        <v>294</v>
      </c>
      <c r="C30" s="68"/>
      <c r="D30" s="68"/>
      <c r="E30" s="68">
        <f t="shared" si="0"/>
        <v>0</v>
      </c>
      <c r="F30" s="68"/>
      <c r="G30" s="68"/>
      <c r="H30" s="68"/>
      <c r="I30" s="68">
        <f t="shared" si="1"/>
        <v>0</v>
      </c>
      <c r="J30" s="68"/>
      <c r="K30" s="68"/>
      <c r="L30" s="68">
        <f t="shared" si="2"/>
        <v>0</v>
      </c>
    </row>
    <row r="31" spans="2:12" x14ac:dyDescent="0.25">
      <c r="B31" s="68"/>
      <c r="C31" s="68"/>
      <c r="D31" s="68"/>
      <c r="E31" s="68">
        <f t="shared" si="0"/>
        <v>0</v>
      </c>
      <c r="F31" s="68"/>
      <c r="G31" s="68"/>
      <c r="H31" s="68"/>
      <c r="I31" s="68">
        <f t="shared" si="1"/>
        <v>0</v>
      </c>
      <c r="J31" s="68"/>
      <c r="K31" s="68"/>
      <c r="L31" s="68">
        <f t="shared" si="2"/>
        <v>0</v>
      </c>
    </row>
    <row r="32" spans="2:12" x14ac:dyDescent="0.25">
      <c r="B32" s="68"/>
      <c r="C32" s="68"/>
      <c r="D32" s="68"/>
      <c r="E32" s="68">
        <f t="shared" si="0"/>
        <v>0</v>
      </c>
      <c r="F32" s="68"/>
      <c r="G32" s="68"/>
      <c r="H32" s="68"/>
      <c r="I32" s="68">
        <f t="shared" si="1"/>
        <v>0</v>
      </c>
      <c r="J32" s="68"/>
      <c r="K32" s="68"/>
      <c r="L32" s="68">
        <f t="shared" si="2"/>
        <v>0</v>
      </c>
    </row>
    <row r="33" spans="2:12" x14ac:dyDescent="0.25">
      <c r="B33" s="68" t="s">
        <v>295</v>
      </c>
      <c r="C33" s="68"/>
      <c r="D33" s="68"/>
      <c r="E33" s="68">
        <f t="shared" si="0"/>
        <v>0</v>
      </c>
      <c r="F33" s="68"/>
      <c r="G33" s="68"/>
      <c r="H33" s="68"/>
      <c r="I33" s="68">
        <f t="shared" si="1"/>
        <v>0</v>
      </c>
      <c r="J33" s="68"/>
      <c r="K33" s="68"/>
      <c r="L33" s="68">
        <f t="shared" si="2"/>
        <v>0</v>
      </c>
    </row>
    <row r="34" spans="2:12" x14ac:dyDescent="0.25">
      <c r="B34" s="68" t="s">
        <v>296</v>
      </c>
      <c r="C34" s="68"/>
      <c r="D34" s="68"/>
      <c r="E34" s="68">
        <f t="shared" si="0"/>
        <v>0</v>
      </c>
      <c r="F34" s="68"/>
      <c r="G34" s="68"/>
      <c r="H34" s="68"/>
      <c r="I34" s="68">
        <f t="shared" si="1"/>
        <v>0</v>
      </c>
      <c r="J34" s="68"/>
      <c r="K34" s="68"/>
      <c r="L34" s="68">
        <f t="shared" si="2"/>
        <v>0</v>
      </c>
    </row>
    <row r="35" spans="2:12" x14ac:dyDescent="0.25">
      <c r="B35" s="68" t="s">
        <v>297</v>
      </c>
      <c r="C35" s="68"/>
      <c r="D35" s="68"/>
      <c r="E35" s="68">
        <f t="shared" si="0"/>
        <v>0</v>
      </c>
      <c r="F35" s="68"/>
      <c r="G35" s="68"/>
      <c r="H35" s="68"/>
      <c r="I35" s="68">
        <f t="shared" si="1"/>
        <v>0</v>
      </c>
      <c r="J35" s="68"/>
      <c r="K35" s="68"/>
      <c r="L35" s="68">
        <f t="shared" si="2"/>
        <v>0</v>
      </c>
    </row>
    <row r="36" spans="2:12" x14ac:dyDescent="0.25">
      <c r="B36" s="68" t="s">
        <v>298</v>
      </c>
      <c r="C36" s="68"/>
      <c r="D36" s="68"/>
      <c r="E36" s="68">
        <f t="shared" si="0"/>
        <v>0</v>
      </c>
      <c r="F36" s="68"/>
      <c r="G36" s="68"/>
      <c r="H36" s="68"/>
      <c r="I36" s="68">
        <f>G36*H36</f>
        <v>0</v>
      </c>
      <c r="J36" s="68"/>
      <c r="K36" s="68"/>
      <c r="L36" s="68">
        <f>J36*K36</f>
        <v>0</v>
      </c>
    </row>
    <row r="37" spans="2:12" x14ac:dyDescent="0.25">
      <c r="B37" s="68"/>
      <c r="C37" s="68"/>
      <c r="D37" s="68"/>
      <c r="E37" s="68">
        <f t="shared" si="0"/>
        <v>0</v>
      </c>
      <c r="F37" s="68"/>
      <c r="G37" s="68"/>
      <c r="H37" s="68"/>
      <c r="I37" s="68">
        <f t="shared" ref="I37:I38" si="3">G37*H37</f>
        <v>0</v>
      </c>
      <c r="J37" s="68"/>
      <c r="K37" s="68"/>
      <c r="L37" s="68">
        <f t="shared" ref="L37:L38" si="4">J37*K37</f>
        <v>0</v>
      </c>
    </row>
    <row r="38" spans="2:12" x14ac:dyDescent="0.25">
      <c r="B38" s="68" t="s">
        <v>299</v>
      </c>
      <c r="C38" s="68"/>
      <c r="D38" s="68"/>
      <c r="E38" s="68">
        <f t="shared" si="0"/>
        <v>0</v>
      </c>
      <c r="F38" s="68"/>
      <c r="G38" s="68"/>
      <c r="H38" s="68"/>
      <c r="I38" s="68">
        <f t="shared" si="3"/>
        <v>0</v>
      </c>
      <c r="J38" s="68"/>
      <c r="K38" s="68"/>
      <c r="L38" s="68">
        <f t="shared" si="4"/>
        <v>0</v>
      </c>
    </row>
    <row r="39" spans="2:12" x14ac:dyDescent="0.25">
      <c r="B39" s="68"/>
      <c r="C39" s="68"/>
      <c r="D39" s="68"/>
      <c r="E39" s="68">
        <f t="shared" si="0"/>
        <v>0</v>
      </c>
      <c r="F39" s="68"/>
      <c r="G39" s="68"/>
      <c r="H39" s="68"/>
      <c r="I39" s="68">
        <f>G39*H39</f>
        <v>0</v>
      </c>
      <c r="J39" s="68"/>
      <c r="K39" s="68"/>
      <c r="L39" s="68">
        <f>J39*K39</f>
        <v>0</v>
      </c>
    </row>
    <row r="40" spans="2:12" x14ac:dyDescent="0.25">
      <c r="B40" s="68"/>
      <c r="C40" s="68"/>
      <c r="D40" s="68"/>
      <c r="E40" s="68">
        <f t="shared" si="0"/>
        <v>0</v>
      </c>
      <c r="F40" s="68"/>
      <c r="G40" s="68"/>
      <c r="H40" s="68"/>
      <c r="I40" s="68">
        <f>G40*H40</f>
        <v>0</v>
      </c>
      <c r="J40" s="68"/>
      <c r="K40" s="68"/>
      <c r="L40" s="68">
        <f>J40*K40</f>
        <v>0</v>
      </c>
    </row>
    <row r="41" spans="2:12" x14ac:dyDescent="0.25">
      <c r="B41" s="68"/>
      <c r="C41" s="68"/>
      <c r="D41" s="68"/>
      <c r="E41" s="68">
        <f t="shared" si="0"/>
        <v>0</v>
      </c>
      <c r="F41" s="68"/>
      <c r="G41" s="68"/>
      <c r="H41" s="68"/>
      <c r="I41" s="68">
        <f>G41*H41</f>
        <v>0</v>
      </c>
      <c r="J41" s="68"/>
      <c r="K41" s="68"/>
      <c r="L41" s="68">
        <f>J41*K41</f>
        <v>0</v>
      </c>
    </row>
    <row r="42" spans="2:12" x14ac:dyDescent="0.25">
      <c r="B42" s="68" t="s">
        <v>156</v>
      </c>
      <c r="C42" s="68"/>
      <c r="D42" s="68">
        <f>E42*10.764</f>
        <v>0</v>
      </c>
      <c r="E42" s="87">
        <f>SUM(E6:E41)</f>
        <v>0</v>
      </c>
      <c r="F42" s="68"/>
      <c r="G42" s="68"/>
      <c r="H42" s="68">
        <f>I42*10.764</f>
        <v>0</v>
      </c>
      <c r="I42" s="88">
        <f>SUM(I6:I41)</f>
        <v>0</v>
      </c>
      <c r="J42" s="68"/>
      <c r="K42" s="68">
        <f>L42*10.764</f>
        <v>0</v>
      </c>
      <c r="L42" s="89">
        <f>SUM(L6:L41)</f>
        <v>0</v>
      </c>
    </row>
    <row r="44" spans="2:12" x14ac:dyDescent="0.25">
      <c r="D44" s="84">
        <f>D42+H42</f>
        <v>0</v>
      </c>
      <c r="E44" s="8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Construction table</vt:lpstr>
      <vt:lpstr>Sheet1</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2025-09-19T11:44:17Z</cp:lastPrinted>
  <dcterms:created xsi:type="dcterms:W3CDTF">2010-11-23T11:42:48Z</dcterms:created>
  <dcterms:modified xsi:type="dcterms:W3CDTF">2025-09-19T11:50:24Z</dcterms:modified>
</cp:coreProperties>
</file>