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Update\21802 - Vinay Heritage\"/>
    </mc:Choice>
  </mc:AlternateContent>
  <xr:revisionPtr revIDLastSave="0" documentId="13_ncr:1_{61664B67-86E6-4720-9AA9-569A3A92FFB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1" i="1" l="1"/>
  <c r="O193" i="1"/>
  <c r="M176" i="1"/>
  <c r="E255" i="1"/>
  <c r="E253" i="1"/>
  <c r="E235" i="1"/>
  <c r="E249" i="1"/>
  <c r="E247" i="1"/>
  <c r="E243" i="1"/>
  <c r="E241" i="1"/>
  <c r="E237" i="1"/>
  <c r="E231" i="1"/>
  <c r="E229" i="1"/>
  <c r="E225" i="1"/>
  <c r="E216" i="1"/>
  <c r="E209" i="1"/>
  <c r="E202" i="1"/>
  <c r="E195" i="1"/>
  <c r="E188" i="1"/>
  <c r="E181" i="1"/>
  <c r="G49" i="1"/>
  <c r="I232" i="1"/>
  <c r="I250" i="1"/>
  <c r="I212" i="1"/>
  <c r="I191" i="1"/>
  <c r="D207" i="1"/>
  <c r="D249" i="1"/>
  <c r="D248" i="1"/>
  <c r="D247" i="1"/>
  <c r="D246" i="1"/>
  <c r="F246" i="1" s="1"/>
  <c r="H246" i="1" s="1"/>
  <c r="A246" i="1"/>
  <c r="A247" i="1" s="1"/>
  <c r="A248" i="1" s="1"/>
  <c r="A249" i="1" s="1"/>
  <c r="D255" i="1"/>
  <c r="D254" i="1"/>
  <c r="D253" i="1"/>
  <c r="D252" i="1"/>
  <c r="D251" i="1"/>
  <c r="D214" i="1"/>
  <c r="D200" i="1"/>
  <c r="D193" i="1"/>
  <c r="D186" i="1"/>
  <c r="G181" i="1"/>
  <c r="D179" i="1"/>
  <c r="G224" i="1"/>
  <c r="G223" i="1"/>
  <c r="G222" i="1"/>
  <c r="D224" i="1"/>
  <c r="D225" i="1"/>
  <c r="D223" i="1"/>
  <c r="D222" i="1"/>
  <c r="A222" i="1"/>
  <c r="A223" i="1" s="1"/>
  <c r="A224" i="1" s="1"/>
  <c r="A225" i="1" s="1"/>
  <c r="D221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D131" i="1"/>
  <c r="E40" i="1"/>
  <c r="B259" i="1"/>
  <c r="B258" i="1"/>
  <c r="D243" i="1"/>
  <c r="D242" i="1"/>
  <c r="D241" i="1"/>
  <c r="D240" i="1"/>
  <c r="D237" i="1"/>
  <c r="D236" i="1"/>
  <c r="D235" i="1"/>
  <c r="D234" i="1"/>
  <c r="D233" i="1"/>
  <c r="D231" i="1"/>
  <c r="D230" i="1"/>
  <c r="F230" i="1" s="1"/>
  <c r="D229" i="1"/>
  <c r="D228" i="1"/>
  <c r="D227" i="1"/>
  <c r="D218" i="1"/>
  <c r="D217" i="1"/>
  <c r="D216" i="1"/>
  <c r="D215" i="1"/>
  <c r="D213" i="1"/>
  <c r="D210" i="1"/>
  <c r="D209" i="1"/>
  <c r="D208" i="1"/>
  <c r="D206" i="1"/>
  <c r="D203" i="1"/>
  <c r="D202" i="1"/>
  <c r="D201" i="1"/>
  <c r="D199" i="1"/>
  <c r="D197" i="1"/>
  <c r="D196" i="1"/>
  <c r="D195" i="1"/>
  <c r="D194" i="1"/>
  <c r="D192" i="1"/>
  <c r="D190" i="1"/>
  <c r="D189" i="1"/>
  <c r="D188" i="1"/>
  <c r="D187" i="1"/>
  <c r="D185" i="1"/>
  <c r="D183" i="1"/>
  <c r="D182" i="1"/>
  <c r="D181" i="1"/>
  <c r="D180" i="1"/>
  <c r="D178" i="1"/>
  <c r="G230" i="1"/>
  <c r="G187" i="1"/>
  <c r="G182" i="1"/>
  <c r="A240" i="1"/>
  <c r="A241" i="1" s="1"/>
  <c r="A242" i="1" s="1"/>
  <c r="A243" i="1" s="1"/>
  <c r="A228" i="1"/>
  <c r="A229" i="1" s="1"/>
  <c r="A230" i="1" s="1"/>
  <c r="A231" i="1" s="1"/>
  <c r="A200" i="1"/>
  <c r="A201" i="1" s="1"/>
  <c r="A202" i="1" s="1"/>
  <c r="A203" i="1" s="1"/>
  <c r="A204" i="1" s="1"/>
  <c r="K198" i="1"/>
  <c r="K191" i="1"/>
  <c r="A186" i="1"/>
  <c r="A187" i="1" s="1"/>
  <c r="A188" i="1" s="1"/>
  <c r="A189" i="1" s="1"/>
  <c r="A190" i="1" s="1"/>
  <c r="K184" i="1"/>
  <c r="A179" i="1"/>
  <c r="A180" i="1" s="1"/>
  <c r="A181" i="1" s="1"/>
  <c r="A182" i="1" s="1"/>
  <c r="A183" i="1" s="1"/>
  <c r="J178" i="1"/>
  <c r="D172" i="1"/>
  <c r="D171" i="1"/>
  <c r="L170" i="1"/>
  <c r="D170" i="1"/>
  <c r="F170" i="1" s="1"/>
  <c r="D169" i="1"/>
  <c r="D168" i="1"/>
  <c r="D167" i="1"/>
  <c r="D166" i="1"/>
  <c r="D165" i="1"/>
  <c r="D164" i="1"/>
  <c r="D163" i="1"/>
  <c r="D162" i="1"/>
  <c r="F162" i="1" s="1"/>
  <c r="D161" i="1"/>
  <c r="D160" i="1"/>
  <c r="D159" i="1"/>
  <c r="D158" i="1"/>
  <c r="D157" i="1"/>
  <c r="D156" i="1"/>
  <c r="D155" i="1"/>
  <c r="D154" i="1"/>
  <c r="F154" i="1" s="1"/>
  <c r="D153" i="1"/>
  <c r="D152" i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D151" i="1"/>
  <c r="D149" i="1"/>
  <c r="F149" i="1" s="1"/>
  <c r="H149" i="1" s="1"/>
  <c r="D148" i="1"/>
  <c r="D147" i="1"/>
  <c r="D146" i="1"/>
  <c r="D145" i="1"/>
  <c r="D144" i="1"/>
  <c r="F144" i="1" s="1"/>
  <c r="D143" i="1"/>
  <c r="D142" i="1"/>
  <c r="D141" i="1"/>
  <c r="D140" i="1"/>
  <c r="D139" i="1"/>
  <c r="D138" i="1"/>
  <c r="D137" i="1"/>
  <c r="D136" i="1"/>
  <c r="F136" i="1" s="1"/>
  <c r="D135" i="1"/>
  <c r="D134" i="1"/>
  <c r="D133" i="1"/>
  <c r="D132" i="1"/>
  <c r="D130" i="1"/>
  <c r="D129" i="1"/>
  <c r="D128" i="1"/>
  <c r="J127" i="1"/>
  <c r="D127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J126" i="1"/>
  <c r="D126" i="1"/>
  <c r="C111" i="1" l="1"/>
  <c r="F249" i="1"/>
  <c r="H249" i="1" s="1"/>
  <c r="C116" i="1"/>
  <c r="F225" i="1"/>
  <c r="H225" i="1" s="1"/>
  <c r="F254" i="1"/>
  <c r="H254" i="1" s="1"/>
  <c r="F129" i="1"/>
  <c r="H129" i="1" s="1"/>
  <c r="F145" i="1"/>
  <c r="C117" i="1"/>
  <c r="F137" i="1"/>
  <c r="H137" i="1" s="1"/>
  <c r="F248" i="1"/>
  <c r="H248" i="1" s="1"/>
  <c r="F138" i="1"/>
  <c r="H138" i="1" s="1"/>
  <c r="F146" i="1"/>
  <c r="H146" i="1" s="1"/>
  <c r="F183" i="1"/>
  <c r="K183" i="1" s="1"/>
  <c r="F252" i="1"/>
  <c r="H252" i="1" s="1"/>
  <c r="F156" i="1"/>
  <c r="F164" i="1"/>
  <c r="H164" i="1" s="1"/>
  <c r="F253" i="1"/>
  <c r="H253" i="1" s="1"/>
  <c r="F172" i="1"/>
  <c r="H172" i="1" s="1"/>
  <c r="F247" i="1"/>
  <c r="H247" i="1" s="1"/>
  <c r="F126" i="1"/>
  <c r="H126" i="1" s="1"/>
  <c r="F222" i="1"/>
  <c r="H222" i="1" s="1"/>
  <c r="F134" i="1"/>
  <c r="H134" i="1" s="1"/>
  <c r="F142" i="1"/>
  <c r="H142" i="1" s="1"/>
  <c r="F223" i="1"/>
  <c r="H223" i="1" s="1"/>
  <c r="F143" i="1"/>
  <c r="H143" i="1" s="1"/>
  <c r="F127" i="1"/>
  <c r="H127" i="1" s="1"/>
  <c r="F135" i="1"/>
  <c r="H135" i="1" s="1"/>
  <c r="F152" i="1"/>
  <c r="F160" i="1"/>
  <c r="H160" i="1" s="1"/>
  <c r="F168" i="1"/>
  <c r="H168" i="1" s="1"/>
  <c r="F180" i="1"/>
  <c r="H180" i="1" s="1"/>
  <c r="F228" i="1"/>
  <c r="H228" i="1" s="1"/>
  <c r="F243" i="1"/>
  <c r="H243" i="1" s="1"/>
  <c r="F224" i="1"/>
  <c r="H224" i="1" s="1"/>
  <c r="F251" i="1"/>
  <c r="H251" i="1" s="1"/>
  <c r="F255" i="1"/>
  <c r="H255" i="1" s="1"/>
  <c r="F151" i="1"/>
  <c r="H151" i="1" s="1"/>
  <c r="F147" i="1"/>
  <c r="H147" i="1" s="1"/>
  <c r="F195" i="1"/>
  <c r="H195" i="1" s="1"/>
  <c r="F139" i="1"/>
  <c r="H139" i="1" s="1"/>
  <c r="F131" i="1"/>
  <c r="H131" i="1" s="1"/>
  <c r="F159" i="1"/>
  <c r="H159" i="1" s="1"/>
  <c r="F167" i="1"/>
  <c r="H167" i="1" s="1"/>
  <c r="F194" i="1"/>
  <c r="K194" i="1" s="1"/>
  <c r="F231" i="1"/>
  <c r="H231" i="1" s="1"/>
  <c r="F235" i="1"/>
  <c r="H235" i="1" s="1"/>
  <c r="F206" i="1"/>
  <c r="H206" i="1" s="1"/>
  <c r="F186" i="1"/>
  <c r="K186" i="1" s="1"/>
  <c r="F197" i="1"/>
  <c r="H197" i="1" s="1"/>
  <c r="F221" i="1"/>
  <c r="F140" i="1"/>
  <c r="H140" i="1" s="1"/>
  <c r="F148" i="1"/>
  <c r="H148" i="1" s="1"/>
  <c r="F240" i="1"/>
  <c r="H240" i="1" s="1"/>
  <c r="F217" i="1"/>
  <c r="H217" i="1" s="1"/>
  <c r="F241" i="1"/>
  <c r="H241" i="1" s="1"/>
  <c r="F158" i="1"/>
  <c r="H158" i="1" s="1"/>
  <c r="F166" i="1"/>
  <c r="H166" i="1" s="1"/>
  <c r="F200" i="1"/>
  <c r="H200" i="1" s="1"/>
  <c r="F178" i="1"/>
  <c r="F189" i="1"/>
  <c r="H189" i="1" s="1"/>
  <c r="F210" i="1"/>
  <c r="H210" i="1" s="1"/>
  <c r="F215" i="1"/>
  <c r="K215" i="1" s="1"/>
  <c r="F199" i="1"/>
  <c r="H199" i="1" s="1"/>
  <c r="F153" i="1"/>
  <c r="H153" i="1" s="1"/>
  <c r="F161" i="1"/>
  <c r="H161" i="1" s="1"/>
  <c r="F169" i="1"/>
  <c r="H169" i="1" s="1"/>
  <c r="F155" i="1"/>
  <c r="F157" i="1"/>
  <c r="H157" i="1" s="1"/>
  <c r="F165" i="1"/>
  <c r="H165" i="1" s="1"/>
  <c r="F141" i="1"/>
  <c r="H141" i="1" s="1"/>
  <c r="F133" i="1"/>
  <c r="H133" i="1" s="1"/>
  <c r="F188" i="1"/>
  <c r="H188" i="1" s="1"/>
  <c r="F237" i="1"/>
  <c r="H237" i="1" s="1"/>
  <c r="F236" i="1"/>
  <c r="H236" i="1" s="1"/>
  <c r="H155" i="1"/>
  <c r="F242" i="1"/>
  <c r="H242" i="1" s="1"/>
  <c r="F234" i="1"/>
  <c r="H234" i="1" s="1"/>
  <c r="F233" i="1"/>
  <c r="H233" i="1" s="1"/>
  <c r="F229" i="1"/>
  <c r="H229" i="1" s="1"/>
  <c r="F227" i="1"/>
  <c r="H227" i="1" s="1"/>
  <c r="F218" i="1"/>
  <c r="H218" i="1" s="1"/>
  <c r="F216" i="1"/>
  <c r="H216" i="1" s="1"/>
  <c r="F214" i="1"/>
  <c r="H214" i="1" s="1"/>
  <c r="F213" i="1"/>
  <c r="H213" i="1" s="1"/>
  <c r="F209" i="1"/>
  <c r="H209" i="1" s="1"/>
  <c r="F208" i="1"/>
  <c r="H208" i="1" s="1"/>
  <c r="F207" i="1"/>
  <c r="H207" i="1" s="1"/>
  <c r="F203" i="1"/>
  <c r="H203" i="1" s="1"/>
  <c r="F202" i="1"/>
  <c r="H202" i="1" s="1"/>
  <c r="F201" i="1"/>
  <c r="H201" i="1" s="1"/>
  <c r="F192" i="1"/>
  <c r="K192" i="1" s="1"/>
  <c r="F193" i="1"/>
  <c r="H193" i="1" s="1"/>
  <c r="F196" i="1"/>
  <c r="H196" i="1" s="1"/>
  <c r="F190" i="1"/>
  <c r="H190" i="1" s="1"/>
  <c r="F185" i="1"/>
  <c r="H185" i="1" s="1"/>
  <c r="F181" i="1"/>
  <c r="H181" i="1" s="1"/>
  <c r="F179" i="1"/>
  <c r="H179" i="1" s="1"/>
  <c r="F182" i="1"/>
  <c r="H182" i="1" s="1"/>
  <c r="F187" i="1"/>
  <c r="K187" i="1" s="1"/>
  <c r="H230" i="1"/>
  <c r="H154" i="1"/>
  <c r="H162" i="1"/>
  <c r="H170" i="1"/>
  <c r="H156" i="1"/>
  <c r="C112" i="1"/>
  <c r="C113" i="1" s="1"/>
  <c r="H145" i="1"/>
  <c r="F132" i="1"/>
  <c r="H132" i="1" s="1"/>
  <c r="F163" i="1"/>
  <c r="H163" i="1" s="1"/>
  <c r="F171" i="1"/>
  <c r="H152" i="1"/>
  <c r="F128" i="1"/>
  <c r="H128" i="1" s="1"/>
  <c r="H136" i="1"/>
  <c r="F130" i="1"/>
  <c r="H130" i="1" s="1"/>
  <c r="H144" i="1"/>
  <c r="I60" i="1"/>
  <c r="K195" i="1" l="1"/>
  <c r="C118" i="1"/>
  <c r="K197" i="1"/>
  <c r="H183" i="1"/>
  <c r="K180" i="1"/>
  <c r="H194" i="1"/>
  <c r="H186" i="1"/>
  <c r="K178" i="1"/>
  <c r="E116" i="1"/>
  <c r="E112" i="1"/>
  <c r="E111" i="1"/>
  <c r="G111" i="1"/>
  <c r="J189" i="1"/>
  <c r="H221" i="1"/>
  <c r="G117" i="1" s="1"/>
  <c r="E117" i="1"/>
  <c r="K189" i="1"/>
  <c r="K199" i="1"/>
  <c r="H215" i="1"/>
  <c r="H178" i="1"/>
  <c r="K200" i="1"/>
  <c r="K188" i="1"/>
  <c r="J190" i="1"/>
  <c r="K190" i="1"/>
  <c r="K214" i="1"/>
  <c r="K203" i="1"/>
  <c r="K201" i="1"/>
  <c r="K202" i="1"/>
  <c r="K193" i="1"/>
  <c r="H192" i="1"/>
  <c r="K196" i="1"/>
  <c r="K185" i="1"/>
  <c r="J185" i="1"/>
  <c r="J179" i="1"/>
  <c r="K179" i="1"/>
  <c r="H187" i="1"/>
  <c r="H171" i="1"/>
  <c r="G112" i="1" s="1"/>
  <c r="E118" i="1" l="1"/>
  <c r="G116" i="1"/>
  <c r="G118" i="1" s="1"/>
  <c r="K42" i="1"/>
  <c r="K41" i="1" l="1"/>
  <c r="M262" i="1" l="1"/>
  <c r="M261" i="1"/>
  <c r="M259" i="1"/>
  <c r="M258" i="1"/>
  <c r="C13" i="1" l="1"/>
  <c r="C119" i="1" l="1"/>
  <c r="E113" i="1"/>
  <c r="E119" i="1" s="1"/>
  <c r="E28" i="1"/>
  <c r="F108" i="1" l="1"/>
  <c r="G113" i="1" l="1"/>
  <c r="G119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2" i="1"/>
  <c r="J92" i="1"/>
  <c r="J91" i="1"/>
  <c r="J90" i="1"/>
  <c r="J89" i="1"/>
  <c r="C81" i="1"/>
  <c r="J78" i="1"/>
  <c r="J77" i="1"/>
  <c r="J76" i="1"/>
  <c r="J75" i="1"/>
  <c r="C66" i="1"/>
  <c r="D54" i="1"/>
  <c r="E41" i="1"/>
  <c r="E42" i="1" s="1"/>
  <c r="E25" i="1"/>
  <c r="E23" i="1"/>
  <c r="E7" i="1"/>
  <c r="E3" i="1"/>
  <c r="H67" i="1"/>
  <c r="H82" i="1"/>
  <c r="D92" i="1" l="1"/>
  <c r="D93" i="1"/>
  <c r="D94" i="1"/>
  <c r="D88" i="1"/>
  <c r="D89" i="1"/>
  <c r="D90" i="1"/>
  <c r="D91" i="1"/>
  <c r="J81" i="1"/>
  <c r="D80" i="1"/>
  <c r="D78" i="1"/>
  <c r="D77" i="1"/>
  <c r="D76" i="1"/>
  <c r="D74" i="1"/>
  <c r="J66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87" i="1"/>
  <c r="J88" i="1" s="1"/>
  <c r="J93" i="1" s="1"/>
  <c r="J94" i="1" s="1"/>
  <c r="C86" i="1" s="1"/>
  <c r="J85" i="1"/>
  <c r="J86" i="1"/>
  <c r="C85" i="1" s="1"/>
  <c r="J84" i="1"/>
  <c r="D87" i="1" l="1"/>
  <c r="J83" i="1"/>
  <c r="D73" i="1"/>
  <c r="J69" i="1"/>
  <c r="E71" i="1"/>
  <c r="D72" i="1"/>
  <c r="G71" i="1"/>
  <c r="D71" i="1"/>
  <c r="J67" i="1" s="1"/>
  <c r="E85" i="1"/>
  <c r="D86" i="1"/>
  <c r="G85" i="1"/>
  <c r="D64" i="1" s="1"/>
  <c r="D85" i="1"/>
  <c r="I82" i="1" l="1"/>
  <c r="I83" i="1" s="1"/>
  <c r="J82" i="1"/>
  <c r="I67" i="1"/>
  <c r="F65" i="1"/>
  <c r="D65" i="1"/>
  <c r="I81" i="1" l="1"/>
  <c r="C83" i="1" s="1"/>
  <c r="I69" i="1"/>
  <c r="I66" i="1" s="1"/>
  <c r="C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75" authorId="0" shapeId="0" xr:uid="{7DDE1329-A96C-459B-A9EA-9E0A0555ACCC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<sst xmlns="http://schemas.openxmlformats.org/spreadsheetml/2006/main" count="444" uniqueCount="246">
  <si>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</si>
  <si>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</si>
  <si>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</si>
  <si>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</si>
  <si>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</si>
  <si>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</si>
  <si>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</si>
  <si>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</si>
  <si>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</si>
  <si>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</si>
  <si>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</si>
  <si>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</si>
  <si>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</si>
  <si>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</si>
  <si>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</si>
  <si>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</si>
  <si>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</si>
  <si>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</si>
  <si>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</si>
  <si>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</si>
  <si>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</si>
  <si>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</si>
  <si>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</si>
  <si>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</si>
  <si>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</si>
  <si>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</si>
  <si>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</si>
  <si>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</si>
  <si>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</si>
  <si>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</si>
  <si>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</si>
  <si>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</si>
  <si>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</si>
  <si>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</si>
  <si>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</si>
  <si>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</si>
  <si>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</si>
  <si>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</si>
  <si>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</si>
  <si>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</si>
  <si>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</si>
  <si>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</si>
  <si>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</si>
  <si>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</si>
  <si>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</si>
  <si>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</si>
  <si>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</si>
  <si>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</si>
  <si>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</si>
  <si>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</si>
  <si>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</si>
  <si>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</si>
  <si>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</si>
  <si>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</si>
  <si>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</si>
  <si>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</si>
  <si>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</si>
  <si>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</si>
  <si>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</si>
  <si>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</si>
  <si>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</si>
  <si>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</si>
  <si>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</si>
  <si>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</si>
  <si>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</si>
  <si>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</si>
  <si>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</si>
  <si>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</si>
  <si>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</si>
  <si>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</si>
  <si>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</si>
  <si>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</si>
  <si>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</si>
  <si>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</si>
  <si>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</si>
  <si>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</si>
  <si>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</si>
  <si>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</si>
  <si>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</si>
  <si>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</si>
  <si>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</si>
  <si>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</si>
  <si>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</si>
  <si>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</si>
  <si>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</si>
  <si>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</si>
  <si>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</si>
  <si>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</si>
  <si>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</si>
  <si>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</si>
  <si>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</si>
  <si>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</si>
  <si>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</si>
  <si>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</si>
  <si>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</si>
  <si>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</si>
  <si>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</si>
  <si>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</si>
  <si>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</si>
  <si>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</si>
  <si>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</si>
  <si>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</si>
  <si>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</si>
  <si>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</si>
  <si>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</si>
  <si>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</si>
  <si>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</si>
  <si>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</si>
  <si>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</si>
  <si>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</si>
  <si>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</si>
  <si>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</si>
  <si>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</si>
  <si>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</si>
  <si>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</si>
  <si>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</si>
  <si>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</si>
  <si>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</si>
  <si>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</si>
  <si>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</si>
  <si>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</si>
  <si>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</si>
  <si>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</si>
  <si>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</si>
  <si>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</si>
  <si>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</si>
  <si>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</si>
  <si>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</si>
  <si>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</si>
  <si>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</si>
  <si>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</si>
  <si>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</si>
  <si>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</si>
  <si>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</si>
  <si>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</si>
  <si>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</si>
  <si>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</si>
  <si>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</si>
  <si>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</si>
  <si>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</si>
  <si>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</si>
  <si>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</si>
  <si>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</si>
  <si>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</si>
  <si>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</si>
  <si>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</si>
  <si>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</si>
  <si>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</si>
  <si>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</si>
  <si>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</si>
  <si>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</si>
  <si>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</si>
  <si>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</si>
  <si>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</si>
  <si>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</si>
  <si>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</si>
  <si>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</si>
  <si>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</si>
  <si>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</si>
  <si>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</si>
  <si>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</si>
  <si>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</si>
  <si>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</si>
  <si>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</si>
  <si>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</si>
  <si>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>Axis Goregaon</t>
  </si>
  <si>
    <t>Vinay Heritage</t>
  </si>
  <si>
    <t>A &amp; B Wing</t>
  </si>
  <si>
    <t>Survey No</t>
  </si>
  <si>
    <t>Open Plot</t>
  </si>
  <si>
    <t>Vinay Nagar Road</t>
  </si>
  <si>
    <t>Vinay Darshan Society</t>
  </si>
  <si>
    <t>Shop</t>
  </si>
  <si>
    <t>Office</t>
  </si>
  <si>
    <t>A Wing</t>
  </si>
  <si>
    <t>B Wing</t>
  </si>
  <si>
    <t>3rd Floor</t>
  </si>
  <si>
    <t>4th to 6th, 8th to 11th Floor</t>
  </si>
  <si>
    <t>Refuge Area</t>
  </si>
  <si>
    <t>7th Floor (Part Refuge Area)</t>
  </si>
  <si>
    <t>2nd Floor For Residential</t>
  </si>
  <si>
    <t>P51700021080</t>
  </si>
  <si>
    <t>Thane</t>
  </si>
  <si>
    <t>Mira Road East</t>
  </si>
  <si>
    <t>Mira-Bhayandar Municipal Corporation</t>
  </si>
  <si>
    <t>12th &amp; 17th Floor (Part Refuge Area)</t>
  </si>
  <si>
    <t>13th to 16th, 18th to 21st Floor</t>
  </si>
  <si>
    <t>Approved Plans, CC</t>
  </si>
  <si>
    <t>A &amp; B
Wing</t>
  </si>
  <si>
    <t>3.7KM from Mira Road Railway Station</t>
  </si>
  <si>
    <t>13Pt Old (New 68), 80 Old (New 67)</t>
  </si>
  <si>
    <t>Mira</t>
  </si>
  <si>
    <t>Kashi Mira</t>
  </si>
  <si>
    <t xml:space="preserve">Building No. 1 (A Wing) = G + 1st to 21th Floor
</t>
  </si>
  <si>
    <t>Building No. 1 (B Wing) = G + 1st to 21th Floor</t>
  </si>
  <si>
    <t>Wing A + B</t>
  </si>
  <si>
    <t>Refuge Area &amp; Fitness Centre</t>
  </si>
  <si>
    <t xml:space="preserve">builder </t>
  </si>
  <si>
    <t>1bhk - 8700</t>
  </si>
  <si>
    <t>2bhk - 8400</t>
  </si>
  <si>
    <t>Rate sheet</t>
  </si>
  <si>
    <t xml:space="preserve">visitor </t>
  </si>
  <si>
    <t>66 - 74 lac</t>
  </si>
  <si>
    <t>89 - 98 lac</t>
  </si>
  <si>
    <t xml:space="preserve">market </t>
  </si>
  <si>
    <t xml:space="preserve">Part O. Certificate No.: 
Approved upto : </t>
  </si>
  <si>
    <t>MNP/NR/4078/2022-2023
Building No.1 (Wing A &amp; B) - Gr + 1st Floor (Commercial) 
Builtup Area - 2368.22 Sq mt</t>
  </si>
  <si>
    <t>We have Update Part OC Certificate (on 18/01/2024)</t>
  </si>
  <si>
    <t>Latitude,Longitude</t>
  </si>
  <si>
    <t>2 Wings</t>
  </si>
  <si>
    <t xml:space="preserve">Office No. 1031, Wing J, Akshar Business Park, Plot No. 03 Sector 25, Near APMC Market, 
Vashi, Navi Mumbai, Maharashtra 400703 TEL: 022-46090378/79/80  
E mail : vsjcapf@gmail.com. Web site : www.vsjadon.com
</t>
  </si>
  <si>
    <t>Vitrified tiles flooring, Kitchen Platform, Decorative Entrance</t>
  </si>
  <si>
    <t>Ranjan Sharma</t>
  </si>
  <si>
    <t>M/s. Amar Associates</t>
  </si>
  <si>
    <t>MBMC/RB/2023/APL/00006</t>
  </si>
  <si>
    <t>Building No. 1 (A Wing) = G + 1st to 21th Floor
Building No. 1 (B Wing) = G + 1st to 21th Floor</t>
  </si>
  <si>
    <t xml:space="preserve">Building No. 1 (A Wing) = G + 1st to 21th Floor
Building No. 1 (B Wing) = G + 1st to 21th Floor
</t>
  </si>
  <si>
    <t>Layout :</t>
  </si>
  <si>
    <t xml:space="preserve">Details of Residential &amp; Commercials in Building   </t>
  </si>
  <si>
    <t>Shop No. (Sale Plan)</t>
  </si>
  <si>
    <t>Carpet area</t>
  </si>
  <si>
    <t>Flat No. (Sale Plan)</t>
  </si>
  <si>
    <t>Carpet Area</t>
  </si>
  <si>
    <r>
      <t xml:space="preserve">Shop No.
</t>
    </r>
    <r>
      <rPr>
        <b/>
        <sz val="11"/>
        <rFont val="Times New Roman"/>
        <family val="1"/>
      </rPr>
      <t>(Approved Plan)</t>
    </r>
  </si>
  <si>
    <t>1BHK</t>
  </si>
  <si>
    <t>2BHK</t>
  </si>
  <si>
    <t>Ground Floor For Commercial, Entrance Lobby &amp; Parking</t>
  </si>
  <si>
    <t>Grand Total</t>
  </si>
  <si>
    <t>We considered Gross carpet area = Net carpet + Balcony.</t>
  </si>
  <si>
    <t>A &amp; B Wing = All work Completed. Please provide OC.</t>
  </si>
  <si>
    <t>Completed</t>
  </si>
  <si>
    <t>60 Years</t>
  </si>
  <si>
    <t>Flats -214, Shops -24, Offices -22</t>
  </si>
  <si>
    <t>We have updated revised approved plans &amp; CC for Wing A &amp; B (on 23/09/2025).</t>
  </si>
  <si>
    <t>Balcony Area</t>
  </si>
  <si>
    <t>Kunal Kadam</t>
  </si>
  <si>
    <t>19.278692,72.881667</t>
  </si>
  <si>
    <t>https://maps.app.goo.gl/HhstTXRXsNmPXEcs5</t>
  </si>
  <si>
    <t>Vinay Nagar Road/Pooja Park</t>
  </si>
  <si>
    <t>18.00 M. Wide Road</t>
  </si>
  <si>
    <t>Nalla</t>
  </si>
  <si>
    <t>Other Plot</t>
  </si>
  <si>
    <t>Open Plot/Nalla</t>
  </si>
  <si>
    <t>Nalla is located on East side of the Project.</t>
  </si>
  <si>
    <t>Recommended Rates / Other charges of the Property have been revised as per market inquire on 23/09/2025.</t>
  </si>
  <si>
    <t>1st Floor For Commercial &amp;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</si>
</sst>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9" xfId="1" applyFont="1" applyBorder="1"/>
    <xf numFmtId="0" fontId="16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29" xfId="0" applyFont="1" applyFill="1" applyBorder="1"/>
    <xf numFmtId="0" fontId="24" fillId="0" borderId="30" xfId="0" applyFont="1" applyBorder="1"/>
    <xf numFmtId="0" fontId="24" fillId="0" borderId="1" xfId="0" applyFont="1" applyBorder="1"/>
    <xf numFmtId="0" fontId="24" fillId="0" borderId="4" xfId="0" applyFont="1" applyBorder="1"/>
    <xf numFmtId="0" fontId="7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9" fontId="11" fillId="0" borderId="6" xfId="8" applyFont="1" applyFill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23" fillId="2" borderId="14" xfId="0" applyFont="1" applyFill="1" applyBorder="1"/>
    <xf numFmtId="0" fontId="24" fillId="0" borderId="8" xfId="0" applyFont="1" applyBorder="1"/>
    <xf numFmtId="0" fontId="11" fillId="0" borderId="15" xfId="1" applyFont="1" applyBorder="1" applyAlignment="1" applyProtection="1">
      <alignment horizontal="center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14" fontId="5" fillId="0" borderId="7" xfId="1" applyNumberFormat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9" fontId="11" fillId="0" borderId="16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24" xfId="8" applyFont="1" applyFill="1" applyBorder="1" applyAlignment="1" applyProtection="1">
      <alignment horizontal="center" vertical="center" wrapText="1"/>
      <protection locked="0"/>
    </xf>
    <xf numFmtId="9" fontId="11" fillId="0" borderId="9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33" xfId="1" applyFont="1" applyBorder="1" applyAlignment="1" applyProtection="1">
      <alignment horizontal="center" vertical="top" wrapText="1"/>
      <protection locked="0"/>
    </xf>
    <xf numFmtId="0" fontId="11" fillId="0" borderId="15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3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1" fillId="0" borderId="34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24" xfId="1" applyFont="1" applyBorder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1" fillId="0" borderId="25" xfId="1" applyFont="1" applyBorder="1" applyAlignment="1" applyProtection="1">
      <alignment horizontal="left" vertical="top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9" fontId="12" fillId="0" borderId="7" xfId="1" applyNumberFormat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32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/>
      <protection locked="0"/>
    </xf>
    <xf numFmtId="0" fontId="7" fillId="3" borderId="1" xfId="1" applyFont="1" applyFill="1" applyBorder="1" applyAlignment="1" applyProtection="1">
      <alignment horizontal="center" vertical="top"/>
      <protection locked="0"/>
    </xf>
    <xf numFmtId="0" fontId="8" fillId="0" borderId="1" xfId="5" applyFont="1" applyBorder="1" applyAlignment="1">
      <alignment horizontal="left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1" fontId="28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15" xfId="1" applyNumberFormat="1" applyFont="1" applyBorder="1" applyAlignment="1" applyProtection="1">
      <alignment horizontal="center" vertical="top" wrapText="1"/>
      <protection locked="0"/>
    </xf>
    <xf numFmtId="1" fontId="28" fillId="0" borderId="15" xfId="1" applyNumberFormat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" fontId="7" fillId="0" borderId="36" xfId="0" applyNumberFormat="1" applyFont="1" applyBorder="1" applyAlignment="1" applyProtection="1">
      <alignment horizontal="center" vertical="center" wrapText="1"/>
      <protection locked="0"/>
    </xf>
    <xf numFmtId="1" fontId="7" fillId="0" borderId="37" xfId="0" applyNumberFormat="1" applyFont="1" applyBorder="1" applyAlignment="1" applyProtection="1">
      <alignment horizontal="center" vertical="center" wrapText="1"/>
      <protection locked="0"/>
    </xf>
    <xf numFmtId="1" fontId="12" fillId="0" borderId="37" xfId="0" applyNumberFormat="1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7" xfId="1" applyFont="1" applyBorder="1" applyAlignment="1" applyProtection="1">
      <alignment horizontal="center" vertical="top"/>
      <protection locked="0"/>
    </xf>
    <xf numFmtId="0" fontId="11" fillId="0" borderId="20" xfId="1" applyFont="1" applyBorder="1" applyAlignment="1" applyProtection="1">
      <alignment horizontal="center" vertical="top"/>
      <protection locked="0"/>
    </xf>
    <xf numFmtId="0" fontId="11" fillId="0" borderId="8" xfId="1" applyFont="1" applyBorder="1" applyAlignment="1" applyProtection="1">
      <alignment horizontal="center" vertical="top"/>
      <protection locked="0"/>
    </xf>
    <xf numFmtId="1" fontId="12" fillId="0" borderId="24" xfId="0" applyNumberFormat="1" applyFont="1" applyBorder="1" applyAlignment="1" applyProtection="1">
      <alignment vertical="top" wrapText="1"/>
      <protection locked="0"/>
    </xf>
    <xf numFmtId="1" fontId="12" fillId="0" borderId="0" xfId="0" applyNumberFormat="1" applyFont="1" applyBorder="1" applyAlignment="1" applyProtection="1">
      <alignment vertical="top" wrapText="1"/>
      <protection locked="0"/>
    </xf>
    <xf numFmtId="1" fontId="12" fillId="0" borderId="16" xfId="0" applyNumberFormat="1" applyFont="1" applyBorder="1" applyAlignment="1" applyProtection="1">
      <alignment vertical="top" wrapText="1"/>
      <protection locked="0"/>
    </xf>
    <xf numFmtId="1" fontId="12" fillId="0" borderId="23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77933</xdr:colOff>
      <xdr:row>48</xdr:row>
      <xdr:rowOff>129885</xdr:rowOff>
    </xdr:from>
    <xdr:to>
      <xdr:col>11</xdr:col>
      <xdr:colOff>655791</xdr:colOff>
      <xdr:row>54</xdr:row>
      <xdr:rowOff>50862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6888" y="10763249"/>
          <a:ext cx="3201563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225137</xdr:colOff>
      <xdr:row>55</xdr:row>
      <xdr:rowOff>311727</xdr:rowOff>
    </xdr:from>
    <xdr:to>
      <xdr:col>13</xdr:col>
      <xdr:colOff>473950</xdr:colOff>
      <xdr:row>64</xdr:row>
      <xdr:rowOff>122445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3955" y="13265727"/>
          <a:ext cx="3201563" cy="1800000"/>
        </a:xfrm>
        <a:prstGeom prst="rect">
          <a:avLst/>
        </a:prstGeom>
      </xdr:spPr>
    </xdr:pic>
    <xdr:clientData/>
  </xdr:twoCellAnchor>
  <xdr:twoCellAnchor>
    <xdr:from>
      <xdr:col>8</xdr:col>
      <xdr:colOff>802364</xdr:colOff>
      <xdr:row>280</xdr:row>
      <xdr:rowOff>143252</xdr:rowOff>
    </xdr:from>
    <xdr:to>
      <xdr:col>9</xdr:col>
      <xdr:colOff>696724</xdr:colOff>
      <xdr:row>284</xdr:row>
      <xdr:rowOff>68605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06464" y="55026302"/>
          <a:ext cx="1113560" cy="7127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rgbClr val="C00000"/>
              </a:solidFill>
            </a:rPr>
            <a:t>Wing B </a:t>
          </a:r>
        </a:p>
      </xdr:txBody>
    </xdr:sp>
    <xdr:clientData/>
  </xdr:twoCellAnchor>
  <xdr:twoCellAnchor editAs="oneCell">
    <xdr:from>
      <xdr:col>13</xdr:col>
      <xdr:colOff>154305</xdr:colOff>
      <xdr:row>68</xdr:row>
      <xdr:rowOff>76200</xdr:rowOff>
    </xdr:from>
    <xdr:to>
      <xdr:col>21</xdr:col>
      <xdr:colOff>589445</xdr:colOff>
      <xdr:row>113</xdr:row>
      <xdr:rowOff>97885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19E88A-A454-459A-B338-81E3EF5E0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5265" y="15796260"/>
          <a:ext cx="5898680" cy="5180425"/>
        </a:xfrm>
        <a:prstGeom prst="rect">
          <a:avLst/>
        </a:prstGeom>
      </xdr:spPr>
    </xdr:pic>
    <xdr:clientData/>
  </xdr:twoCellAnchor>
  <xdr:twoCellAnchor>
    <xdr:from>
      <xdr:col>8</xdr:col>
      <xdr:colOff>859155</xdr:colOff>
      <xdr:row>280</xdr:row>
      <xdr:rowOff>22859</xdr:rowOff>
    </xdr:from>
    <xdr:to>
      <xdr:col>17</xdr:col>
      <xdr:colOff>152400</xdr:colOff>
      <xdr:row>322</xdr:row>
      <xdr:rowOff>3809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733DB708-12A1-4CE8-BD0A-685E76E02233}"/>
            </a:ext>
          </a:extLst>
        </xdr:cNvPr>
        <xdr:cNvGrpSpPr/>
      </xdr:nvGrpSpPr>
      <xdr:grpSpPr>
        <a:xfrm>
          <a:off x="8105775" y="55328819"/>
          <a:ext cx="6501765" cy="8294370"/>
          <a:chOff x="927284" y="256384"/>
          <a:chExt cx="5287783" cy="7761593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72A55249-70CB-40D2-AD5E-6C2D79FF3DDF}"/>
              </a:ext>
            </a:extLst>
          </xdr:cNvPr>
          <xdr:cNvGrpSpPr/>
        </xdr:nvGrpSpPr>
        <xdr:grpSpPr>
          <a:xfrm>
            <a:off x="927284" y="268941"/>
            <a:ext cx="5278165" cy="7749036"/>
            <a:chOff x="927284" y="268941"/>
            <a:chExt cx="5278165" cy="7749036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9ACE55AF-D47A-4668-BB1F-BE9537FCA3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3269963" y="673941"/>
              <a:ext cx="3240000" cy="243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7C50DA10-9BB6-4DCF-8FFA-FD009ACB78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594000" y="673941"/>
              <a:ext cx="3240000" cy="243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8B839123-4504-4F03-A22B-E6DD092838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657284" y="3963459"/>
              <a:ext cx="216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DFC28833-BF6B-48F1-BA9D-20702EE5E1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2486366" y="3963459"/>
              <a:ext cx="216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D3A3F32B-BEC5-4954-9479-936D82C6FD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16200000">
              <a:off x="4315449" y="3963459"/>
              <a:ext cx="216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397ABA6D-3088-43BA-A8BC-FC09A89F31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2576366" y="6285477"/>
              <a:ext cx="1980000" cy="1485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1" name="TextBox 64">
            <a:extLst>
              <a:ext uri="{FF2B5EF4-FFF2-40B4-BE49-F238E27FC236}">
                <a16:creationId xmlns:a16="http://schemas.microsoft.com/office/drawing/2014/main" id="{78FB4BEE-ACE3-42BB-9B86-DF98BE6ADF58}"/>
              </a:ext>
            </a:extLst>
          </xdr:cNvPr>
          <xdr:cNvSpPr txBox="1"/>
        </xdr:nvSpPr>
        <xdr:spPr>
          <a:xfrm>
            <a:off x="3674963" y="2402542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 Wing 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2" name="TextBox 65">
            <a:extLst>
              <a:ext uri="{FF2B5EF4-FFF2-40B4-BE49-F238E27FC236}">
                <a16:creationId xmlns:a16="http://schemas.microsoft.com/office/drawing/2014/main" id="{0F33C398-C88C-4A90-B2A7-4E09A686C3CF}"/>
              </a:ext>
            </a:extLst>
          </xdr:cNvPr>
          <xdr:cNvSpPr txBox="1"/>
        </xdr:nvSpPr>
        <xdr:spPr>
          <a:xfrm>
            <a:off x="5286608" y="2407915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 Wing 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6" name="TextBox 66">
            <a:extLst>
              <a:ext uri="{FF2B5EF4-FFF2-40B4-BE49-F238E27FC236}">
                <a16:creationId xmlns:a16="http://schemas.microsoft.com/office/drawing/2014/main" id="{B6559775-A099-4C4B-8BBC-28796D38B1DC}"/>
              </a:ext>
            </a:extLst>
          </xdr:cNvPr>
          <xdr:cNvSpPr txBox="1"/>
        </xdr:nvSpPr>
        <xdr:spPr>
          <a:xfrm>
            <a:off x="2214000" y="256384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 Wing 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7" name="TextBox 67">
            <a:extLst>
              <a:ext uri="{FF2B5EF4-FFF2-40B4-BE49-F238E27FC236}">
                <a16:creationId xmlns:a16="http://schemas.microsoft.com/office/drawing/2014/main" id="{8E3DB4E5-F83E-4904-B638-B5FC5834B36B}"/>
              </a:ext>
            </a:extLst>
          </xdr:cNvPr>
          <xdr:cNvSpPr txBox="1"/>
        </xdr:nvSpPr>
        <xdr:spPr>
          <a:xfrm>
            <a:off x="999000" y="625716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 Wing 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</xdr:col>
      <xdr:colOff>403860</xdr:colOff>
      <xdr:row>282</xdr:row>
      <xdr:rowOff>160020</xdr:rowOff>
    </xdr:from>
    <xdr:to>
      <xdr:col>7</xdr:col>
      <xdr:colOff>320040</xdr:colOff>
      <xdr:row>324</xdr:row>
      <xdr:rowOff>91440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BAF612C-BBD9-77E6-658F-703B6AE3245F}"/>
            </a:ext>
          </a:extLst>
        </xdr:cNvPr>
        <xdr:cNvGrpSpPr/>
      </xdr:nvGrpSpPr>
      <xdr:grpSpPr>
        <a:xfrm>
          <a:off x="1188720" y="55862220"/>
          <a:ext cx="4975860" cy="8244840"/>
          <a:chOff x="1160998" y="130914"/>
          <a:chExt cx="4428002" cy="7480118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31103CF-E3EE-D987-867E-7DA5870359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1745998" y="6036031"/>
            <a:ext cx="1800000" cy="135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43DBCBB-8C39-BAAB-74E7-B1E83638F0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204000" y="6036032"/>
            <a:ext cx="1800000" cy="135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9961460-C8B5-ABAD-14AD-B05761CB05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800998" y="490915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7D8E97E-AF72-79E8-37F1-B47759C23C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1115998" y="3465973"/>
            <a:ext cx="2520000" cy="189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2670EF8B-D5EA-936E-067A-60AE8646DC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069000" y="490914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E729F080-E46B-8CEA-7D29-91E6AD55BB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114000" y="3465973"/>
            <a:ext cx="2520000" cy="189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D804262C-16C8-9D79-0525-4BDF966AC122}"/>
              </a:ext>
            </a:extLst>
          </xdr:cNvPr>
          <xdr:cNvSpPr txBox="1"/>
        </xdr:nvSpPr>
        <xdr:spPr>
          <a:xfrm>
            <a:off x="2175393" y="4410973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Wing A</a:t>
            </a:r>
            <a:endParaRPr lang="en-IN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93D7C34F-B461-36EE-19C9-6DC149E4BD5C}"/>
              </a:ext>
            </a:extLst>
          </xdr:cNvPr>
          <xdr:cNvSpPr txBox="1"/>
        </xdr:nvSpPr>
        <xdr:spPr>
          <a:xfrm>
            <a:off x="3861066" y="3150973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C5A92A1C-10DC-CFEB-EE0C-49956EF48A6F}"/>
              </a:ext>
            </a:extLst>
          </xdr:cNvPr>
          <xdr:cNvSpPr txBox="1"/>
        </xdr:nvSpPr>
        <xdr:spPr>
          <a:xfrm>
            <a:off x="1430998" y="3521126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3B8DAE37-0176-F48E-C5CC-32CA513378E5}"/>
              </a:ext>
            </a:extLst>
          </xdr:cNvPr>
          <xdr:cNvSpPr txBox="1"/>
        </xdr:nvSpPr>
        <xdr:spPr>
          <a:xfrm>
            <a:off x="3350325" y="615366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23" name="TextBox 18">
            <a:extLst>
              <a:ext uri="{FF2B5EF4-FFF2-40B4-BE49-F238E27FC236}">
                <a16:creationId xmlns:a16="http://schemas.microsoft.com/office/drawing/2014/main" id="{858C5045-F41D-4BFD-A89E-0E8A1FB74654}"/>
              </a:ext>
            </a:extLst>
          </xdr:cNvPr>
          <xdr:cNvSpPr txBox="1"/>
        </xdr:nvSpPr>
        <xdr:spPr>
          <a:xfrm>
            <a:off x="2499360" y="130914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</xdr:grpSp>
    <xdr:clientData/>
  </xdr:twoCellAnchor>
  <xdr:twoCellAnchor>
    <xdr:from>
      <xdr:col>1</xdr:col>
      <xdr:colOff>426720</xdr:colOff>
      <xdr:row>328</xdr:row>
      <xdr:rowOff>0</xdr:rowOff>
    </xdr:from>
    <xdr:to>
      <xdr:col>7</xdr:col>
      <xdr:colOff>152400</xdr:colOff>
      <xdr:row>368</xdr:row>
      <xdr:rowOff>68580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1030B40A-F600-62F5-BAF7-10847D1934A4}"/>
            </a:ext>
          </a:extLst>
        </xdr:cNvPr>
        <xdr:cNvGrpSpPr/>
      </xdr:nvGrpSpPr>
      <xdr:grpSpPr>
        <a:xfrm>
          <a:off x="1211580" y="64808100"/>
          <a:ext cx="4785360" cy="7993380"/>
          <a:chOff x="1020871" y="1329480"/>
          <a:chExt cx="4320000" cy="7297839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F4D4AB55-C371-C874-F7A7-D5B20B3FE7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020871" y="1329480"/>
            <a:ext cx="4320000" cy="43405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8730D097-2DAE-F206-EB48-9532477FE4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1790283" y="5747319"/>
            <a:ext cx="278117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1EA21D23-1E13-260B-E35A-2B14CE713D64}"/>
              </a:ext>
            </a:extLst>
          </xdr:cNvPr>
          <xdr:cNvSpPr/>
        </xdr:nvSpPr>
        <xdr:spPr>
          <a:xfrm>
            <a:off x="2468880" y="3380740"/>
            <a:ext cx="1983740" cy="116078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6" name="TextBox 6">
            <a:extLst>
              <a:ext uri="{FF2B5EF4-FFF2-40B4-BE49-F238E27FC236}">
                <a16:creationId xmlns:a16="http://schemas.microsoft.com/office/drawing/2014/main" id="{B0099C44-8180-008E-6C88-DB0AD3C00FED}"/>
              </a:ext>
            </a:extLst>
          </xdr:cNvPr>
          <xdr:cNvSpPr txBox="1"/>
        </xdr:nvSpPr>
        <xdr:spPr>
          <a:xfrm>
            <a:off x="3685857" y="4239260"/>
            <a:ext cx="56938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FF0000"/>
                </a:solidFill>
              </a:rPr>
              <a:t>Wing A</a:t>
            </a:r>
            <a:endParaRPr lang="en-IN" sz="1000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7">
            <a:extLst>
              <a:ext uri="{FF2B5EF4-FFF2-40B4-BE49-F238E27FC236}">
                <a16:creationId xmlns:a16="http://schemas.microsoft.com/office/drawing/2014/main" id="{36626D1B-7EF9-CACC-600D-EA44A22DC50D}"/>
              </a:ext>
            </a:extLst>
          </xdr:cNvPr>
          <xdr:cNvSpPr txBox="1"/>
        </xdr:nvSpPr>
        <xdr:spPr>
          <a:xfrm>
            <a:off x="2428557" y="4210855"/>
            <a:ext cx="564578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FF0000"/>
                </a:solidFill>
              </a:rPr>
              <a:t>Wing B</a:t>
            </a:r>
            <a:endParaRPr lang="en-IN" sz="1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693420</xdr:colOff>
      <xdr:row>372</xdr:row>
      <xdr:rowOff>38100</xdr:rowOff>
    </xdr:from>
    <xdr:to>
      <xdr:col>7</xdr:col>
      <xdr:colOff>608880</xdr:colOff>
      <xdr:row>410</xdr:row>
      <xdr:rowOff>56417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1D87DEF8-D19A-0752-9FF7-10C1BE71957B}"/>
            </a:ext>
          </a:extLst>
        </xdr:cNvPr>
        <xdr:cNvGrpSpPr/>
      </xdr:nvGrpSpPr>
      <xdr:grpSpPr>
        <a:xfrm>
          <a:off x="693420" y="73563480"/>
          <a:ext cx="5760000" cy="7546877"/>
          <a:chOff x="549000" y="212201"/>
          <a:chExt cx="5760000" cy="7546877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3BC3A1BA-5BF8-4C38-5246-EAEF374ED5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rcRect l="21926" t="31038" r="30371" b="9966"/>
          <a:stretch/>
        </xdr:blipFill>
        <xdr:spPr>
          <a:xfrm>
            <a:off x="549000" y="3741961"/>
            <a:ext cx="5760000" cy="400695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08060" y="212201"/>
            <a:ext cx="4841880" cy="33836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1" name="Freeform: Shape 40">
            <a:extLst>
              <a:ext uri="{FF2B5EF4-FFF2-40B4-BE49-F238E27FC236}">
                <a16:creationId xmlns:a16="http://schemas.microsoft.com/office/drawing/2014/main" id="{0A3B38F6-4AD6-D67C-ECCE-5CA9CC521B72}"/>
              </a:ext>
            </a:extLst>
          </xdr:cNvPr>
          <xdr:cNvSpPr/>
        </xdr:nvSpPr>
        <xdr:spPr>
          <a:xfrm>
            <a:off x="3317240" y="5247640"/>
            <a:ext cx="406400" cy="1539240"/>
          </a:xfrm>
          <a:custGeom>
            <a:avLst/>
            <a:gdLst>
              <a:gd name="connsiteX0" fmla="*/ 406400 w 406400"/>
              <a:gd name="connsiteY0" fmla="*/ 0 h 1539240"/>
              <a:gd name="connsiteX1" fmla="*/ 355600 w 406400"/>
              <a:gd name="connsiteY1" fmla="*/ 528320 h 1539240"/>
              <a:gd name="connsiteX2" fmla="*/ 203200 w 406400"/>
              <a:gd name="connsiteY2" fmla="*/ 1010920 h 1539240"/>
              <a:gd name="connsiteX3" fmla="*/ 0 w 406400"/>
              <a:gd name="connsiteY3" fmla="*/ 1539240 h 15392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6400" h="1539240">
                <a:moveTo>
                  <a:pt x="406400" y="0"/>
                </a:moveTo>
                <a:cubicBezTo>
                  <a:pt x="397933" y="179916"/>
                  <a:pt x="389467" y="359833"/>
                  <a:pt x="355600" y="528320"/>
                </a:cubicBezTo>
                <a:cubicBezTo>
                  <a:pt x="321733" y="696807"/>
                  <a:pt x="262467" y="842433"/>
                  <a:pt x="203200" y="1010920"/>
                </a:cubicBezTo>
                <a:cubicBezTo>
                  <a:pt x="143933" y="1179407"/>
                  <a:pt x="71966" y="1359323"/>
                  <a:pt x="0" y="1539240"/>
                </a:cubicBezTo>
              </a:path>
            </a:pathLst>
          </a:cu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cxnSp macro="">
        <xdr:nvCxnSpPr>
          <xdr:cNvPr id="42" name="Straight Connector 41">
            <a:extLst>
              <a:ext uri="{FF2B5EF4-FFF2-40B4-BE49-F238E27FC236}">
                <a16:creationId xmlns:a16="http://schemas.microsoft.com/office/drawing/2014/main" id="{C76F014A-DDD8-F193-05E9-90CAEAC3F01C}"/>
              </a:ext>
            </a:extLst>
          </xdr:cNvPr>
          <xdr:cNvCxnSpPr>
            <a:cxnSpLocks/>
          </xdr:cNvCxnSpPr>
        </xdr:nvCxnSpPr>
        <xdr:spPr>
          <a:xfrm flipH="1">
            <a:off x="2936240" y="6797040"/>
            <a:ext cx="370840" cy="951878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Freeform: Shape 42">
            <a:extLst>
              <a:ext uri="{FF2B5EF4-FFF2-40B4-BE49-F238E27FC236}">
                <a16:creationId xmlns:a16="http://schemas.microsoft.com/office/drawing/2014/main" id="{D115D0B8-F5B3-91E1-1143-9EFFBA0A8311}"/>
              </a:ext>
            </a:extLst>
          </xdr:cNvPr>
          <xdr:cNvSpPr/>
        </xdr:nvSpPr>
        <xdr:spPr>
          <a:xfrm>
            <a:off x="3388360" y="5257800"/>
            <a:ext cx="406400" cy="1539240"/>
          </a:xfrm>
          <a:custGeom>
            <a:avLst/>
            <a:gdLst>
              <a:gd name="connsiteX0" fmla="*/ 406400 w 406400"/>
              <a:gd name="connsiteY0" fmla="*/ 0 h 1539240"/>
              <a:gd name="connsiteX1" fmla="*/ 355600 w 406400"/>
              <a:gd name="connsiteY1" fmla="*/ 528320 h 1539240"/>
              <a:gd name="connsiteX2" fmla="*/ 203200 w 406400"/>
              <a:gd name="connsiteY2" fmla="*/ 1010920 h 1539240"/>
              <a:gd name="connsiteX3" fmla="*/ 0 w 406400"/>
              <a:gd name="connsiteY3" fmla="*/ 1539240 h 15392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6400" h="1539240">
                <a:moveTo>
                  <a:pt x="406400" y="0"/>
                </a:moveTo>
                <a:cubicBezTo>
                  <a:pt x="397933" y="179916"/>
                  <a:pt x="389467" y="359833"/>
                  <a:pt x="355600" y="528320"/>
                </a:cubicBezTo>
                <a:cubicBezTo>
                  <a:pt x="321733" y="696807"/>
                  <a:pt x="262467" y="842433"/>
                  <a:pt x="203200" y="1010920"/>
                </a:cubicBezTo>
                <a:cubicBezTo>
                  <a:pt x="143933" y="1179407"/>
                  <a:pt x="71966" y="1359323"/>
                  <a:pt x="0" y="1539240"/>
                </a:cubicBezTo>
              </a:path>
            </a:pathLst>
          </a:cu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cxnSp macro="">
        <xdr:nvCxnSpPr>
          <xdr:cNvPr id="44" name="Straight Connector 43">
            <a:extLst>
              <a:ext uri="{FF2B5EF4-FFF2-40B4-BE49-F238E27FC236}">
                <a16:creationId xmlns:a16="http://schemas.microsoft.com/office/drawing/2014/main" id="{8F593176-33AB-4FE4-E158-9577E499AFCA}"/>
              </a:ext>
            </a:extLst>
          </xdr:cNvPr>
          <xdr:cNvCxnSpPr>
            <a:cxnSpLocks/>
          </xdr:cNvCxnSpPr>
        </xdr:nvCxnSpPr>
        <xdr:spPr>
          <a:xfrm flipH="1">
            <a:off x="3007360" y="6807200"/>
            <a:ext cx="370840" cy="951878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TextBox 33">
            <a:extLst>
              <a:ext uri="{FF2B5EF4-FFF2-40B4-BE49-F238E27FC236}">
                <a16:creationId xmlns:a16="http://schemas.microsoft.com/office/drawing/2014/main" id="{333C46D7-FB17-75C0-A919-5D885C1A4A4E}"/>
              </a:ext>
            </a:extLst>
          </xdr:cNvPr>
          <xdr:cNvSpPr txBox="1"/>
        </xdr:nvSpPr>
        <xdr:spPr>
          <a:xfrm rot="21072036">
            <a:off x="3714878" y="5470867"/>
            <a:ext cx="48603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Nalla</a:t>
            </a:r>
            <a:endParaRPr lang="en-IN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7772F0E4-D6F2-18A7-ABAD-4B00EC13B2F7}"/>
              </a:ext>
            </a:extLst>
          </xdr:cNvPr>
          <xdr:cNvSpPr/>
        </xdr:nvSpPr>
        <xdr:spPr>
          <a:xfrm rot="1537214">
            <a:off x="2880360" y="5110479"/>
            <a:ext cx="716280" cy="118872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60960</xdr:rowOff>
    </xdr:from>
    <xdr:to>
      <xdr:col>2</xdr:col>
      <xdr:colOff>2362699</xdr:colOff>
      <xdr:row>37</xdr:row>
      <xdr:rowOff>125460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02516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202205</xdr:colOff>
      <xdr:row>25</xdr:row>
      <xdr:rowOff>182340</xdr:rowOff>
    </xdr:from>
    <xdr:to>
      <xdr:col>7</xdr:col>
      <xdr:colOff>256491</xdr:colOff>
      <xdr:row>37</xdr:row>
      <xdr:rowOff>56340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9381" y="495604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561291</xdr:colOff>
      <xdr:row>26</xdr:row>
      <xdr:rowOff>60960</xdr:rowOff>
    </xdr:from>
    <xdr:to>
      <xdr:col>13</xdr:col>
      <xdr:colOff>391460</xdr:colOff>
      <xdr:row>37</xdr:row>
      <xdr:rowOff>125460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6056" y="502516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202206</xdr:colOff>
      <xdr:row>14</xdr:row>
      <xdr:rowOff>0</xdr:rowOff>
    </xdr:from>
    <xdr:to>
      <xdr:col>7</xdr:col>
      <xdr:colOff>256492</xdr:colOff>
      <xdr:row>25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9382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561292</xdr:colOff>
      <xdr:row>14</xdr:row>
      <xdr:rowOff>0</xdr:rowOff>
    </xdr:from>
    <xdr:to>
      <xdr:col>13</xdr:col>
      <xdr:colOff>391461</xdr:colOff>
      <xdr:row>25</xdr:row>
      <xdr:rowOff>64500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6057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HhstTXRXsNmPXEcs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71"/>
  <sheetViews>
    <sheetView tabSelected="1" view="pageBreakPreview" topLeftCell="A382" zoomScaleNormal="100" zoomScaleSheetLayoutView="100" workbookViewId="0">
      <selection activeCell="J276" sqref="J276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7" width="11.6640625" style="37" customWidth="1"/>
    <col min="8" max="8" width="20.44140625" style="37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53" t="s">
        <v>210</v>
      </c>
      <c r="B1" s="153"/>
      <c r="C1" s="153"/>
      <c r="D1" s="153"/>
      <c r="E1" s="153"/>
      <c r="F1" s="153"/>
      <c r="G1" s="153"/>
      <c r="H1" s="153"/>
    </row>
    <row r="2" spans="1:8" ht="16.5" customHeight="1" x14ac:dyDescent="0.3">
      <c r="A2" s="154" t="s">
        <v>0</v>
      </c>
      <c r="B2" s="154"/>
      <c r="C2" s="154"/>
      <c r="D2" s="154"/>
      <c r="E2" s="154"/>
      <c r="F2" s="154"/>
      <c r="G2" s="154"/>
      <c r="H2" s="154"/>
    </row>
    <row r="3" spans="1:8" x14ac:dyDescent="0.3">
      <c r="A3" s="133" t="s">
        <v>1</v>
      </c>
      <c r="B3" s="133"/>
      <c r="C3" s="133"/>
      <c r="D3" s="133"/>
      <c r="E3" s="133" t="str">
        <f ca="1">TEXT(TODAY(),"DD/MM/YYYY")</f>
        <v>23/09/2025</v>
      </c>
      <c r="F3" s="133"/>
      <c r="G3" s="133"/>
      <c r="H3" s="133"/>
    </row>
    <row r="4" spans="1:8" ht="15" customHeight="1" x14ac:dyDescent="0.3">
      <c r="A4" s="133" t="s">
        <v>2</v>
      </c>
      <c r="B4" s="133"/>
      <c r="C4" s="133"/>
      <c r="D4" s="133"/>
      <c r="E4" s="133" t="s">
        <v>165</v>
      </c>
      <c r="F4" s="133"/>
      <c r="G4" s="133"/>
      <c r="H4" s="133"/>
    </row>
    <row r="5" spans="1:8" x14ac:dyDescent="0.3">
      <c r="A5" s="133" t="s">
        <v>3</v>
      </c>
      <c r="B5" s="133"/>
      <c r="C5" s="133"/>
      <c r="D5" s="133"/>
      <c r="E5" s="198">
        <v>45918</v>
      </c>
      <c r="F5" s="133"/>
      <c r="G5" s="133"/>
      <c r="H5" s="133"/>
    </row>
    <row r="6" spans="1:8" ht="16.5" customHeight="1" x14ac:dyDescent="0.3">
      <c r="A6" s="133" t="s">
        <v>4</v>
      </c>
      <c r="B6" s="133"/>
      <c r="C6" s="133"/>
      <c r="D6" s="133"/>
      <c r="E6" s="133" t="s">
        <v>213</v>
      </c>
      <c r="F6" s="133"/>
      <c r="G6" s="133"/>
      <c r="H6" s="133"/>
    </row>
    <row r="7" spans="1:8" ht="15" customHeight="1" x14ac:dyDescent="0.3">
      <c r="A7" s="133" t="s">
        <v>5</v>
      </c>
      <c r="B7" s="133"/>
      <c r="C7" s="133"/>
      <c r="D7" s="133"/>
      <c r="E7" s="133" t="str">
        <f>E6</f>
        <v>M/s. Amar Associates</v>
      </c>
      <c r="F7" s="133"/>
      <c r="G7" s="133"/>
      <c r="H7" s="133"/>
    </row>
    <row r="8" spans="1:8" x14ac:dyDescent="0.3">
      <c r="A8" s="133" t="s">
        <v>6</v>
      </c>
      <c r="B8" s="133"/>
      <c r="C8" s="133"/>
      <c r="D8" s="133"/>
      <c r="E8" s="91" t="s">
        <v>166</v>
      </c>
      <c r="F8" s="133"/>
      <c r="G8" s="133"/>
      <c r="H8" s="133"/>
    </row>
    <row r="9" spans="1:8" x14ac:dyDescent="0.3">
      <c r="A9" s="133" t="s">
        <v>119</v>
      </c>
      <c r="B9" s="133"/>
      <c r="C9" s="133"/>
      <c r="D9" s="133"/>
      <c r="E9" s="133">
        <v>8828208856</v>
      </c>
      <c r="F9" s="133"/>
      <c r="G9" s="133"/>
      <c r="H9" s="133"/>
    </row>
    <row r="10" spans="1:8" x14ac:dyDescent="0.3">
      <c r="A10" s="133" t="s">
        <v>7</v>
      </c>
      <c r="B10" s="133"/>
      <c r="C10" s="133"/>
      <c r="D10" s="133"/>
      <c r="E10" s="133" t="s">
        <v>167</v>
      </c>
      <c r="F10" s="133"/>
      <c r="G10" s="133"/>
      <c r="H10" s="133"/>
    </row>
    <row r="11" spans="1:8" ht="17.25" customHeight="1" x14ac:dyDescent="0.3">
      <c r="A11" s="76" t="s">
        <v>8</v>
      </c>
      <c r="B11" s="76"/>
      <c r="C11" s="76"/>
      <c r="D11" s="76"/>
      <c r="E11" s="78" t="s">
        <v>187</v>
      </c>
      <c r="F11" s="78"/>
      <c r="G11" s="78"/>
      <c r="H11" s="78"/>
    </row>
    <row r="12" spans="1:8" x14ac:dyDescent="0.3">
      <c r="A12" s="76" t="s">
        <v>9</v>
      </c>
      <c r="B12" s="76"/>
      <c r="C12" s="76"/>
      <c r="D12" s="76"/>
      <c r="E12" s="78" t="s">
        <v>181</v>
      </c>
      <c r="F12" s="133"/>
      <c r="G12" s="133"/>
      <c r="H12" s="133"/>
    </row>
    <row r="13" spans="1:8" ht="39" customHeight="1" x14ac:dyDescent="0.3">
      <c r="A13" s="99" t="s">
        <v>10</v>
      </c>
      <c r="B13" s="99"/>
      <c r="C13" s="99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Vinay Heritage, Survey No.13Pt Old (New 68), 80 Old (New 67), near Vinay Darshan Society, Vinay Nagar Road, Kashi Mira, Mira, Mira Road East, Thane, Thane - 401107.</v>
      </c>
      <c r="D13" s="99"/>
      <c r="E13" s="99"/>
      <c r="F13" s="99"/>
      <c r="G13" s="99"/>
      <c r="H13" s="99"/>
    </row>
    <row r="14" spans="1:8" x14ac:dyDescent="0.3">
      <c r="A14" s="78" t="s">
        <v>168</v>
      </c>
      <c r="B14" s="78"/>
      <c r="C14" s="78" t="s">
        <v>190</v>
      </c>
      <c r="D14" s="78"/>
      <c r="E14" s="78"/>
      <c r="F14" s="78"/>
      <c r="G14" s="78"/>
      <c r="H14" s="78"/>
    </row>
    <row r="15" spans="1:8" ht="15.75" customHeight="1" x14ac:dyDescent="0.3">
      <c r="A15" s="155" t="s">
        <v>163</v>
      </c>
      <c r="B15" s="156"/>
      <c r="C15" s="155" t="s">
        <v>192</v>
      </c>
      <c r="D15" s="157"/>
      <c r="E15" s="157"/>
      <c r="F15" s="157"/>
      <c r="G15" s="157"/>
      <c r="H15" s="156"/>
    </row>
    <row r="16" spans="1:8" ht="15.75" customHeight="1" x14ac:dyDescent="0.3">
      <c r="A16" s="99" t="s">
        <v>11</v>
      </c>
      <c r="B16" s="99"/>
      <c r="C16" s="133" t="s">
        <v>170</v>
      </c>
      <c r="D16" s="133"/>
      <c r="E16" s="99" t="s">
        <v>164</v>
      </c>
      <c r="F16" s="99"/>
      <c r="G16" s="78" t="s">
        <v>191</v>
      </c>
      <c r="H16" s="78"/>
    </row>
    <row r="17" spans="1:8" x14ac:dyDescent="0.3">
      <c r="A17" s="76" t="s">
        <v>13</v>
      </c>
      <c r="B17" s="76"/>
      <c r="C17" s="78" t="s">
        <v>183</v>
      </c>
      <c r="D17" s="78"/>
      <c r="E17" s="99" t="s">
        <v>12</v>
      </c>
      <c r="F17" s="99"/>
      <c r="G17" s="158" t="s">
        <v>182</v>
      </c>
      <c r="H17" s="158"/>
    </row>
    <row r="18" spans="1:8" x14ac:dyDescent="0.3">
      <c r="A18" s="76" t="s">
        <v>72</v>
      </c>
      <c r="B18" s="76"/>
      <c r="C18" s="78" t="s">
        <v>182</v>
      </c>
      <c r="D18" s="78"/>
      <c r="E18" s="99" t="s">
        <v>14</v>
      </c>
      <c r="F18" s="99"/>
      <c r="G18" s="78">
        <v>401107</v>
      </c>
      <c r="H18" s="78"/>
    </row>
    <row r="19" spans="1:8" ht="32.25" customHeight="1" x14ac:dyDescent="0.3">
      <c r="A19" s="76" t="s">
        <v>120</v>
      </c>
      <c r="B19" s="76"/>
      <c r="C19" s="78" t="s">
        <v>171</v>
      </c>
      <c r="D19" s="78"/>
      <c r="E19" s="99" t="s">
        <v>15</v>
      </c>
      <c r="F19" s="99"/>
      <c r="G19" s="78" t="s">
        <v>189</v>
      </c>
      <c r="H19" s="78"/>
    </row>
    <row r="20" spans="1:8" ht="15" customHeight="1" x14ac:dyDescent="0.3">
      <c r="A20" s="99" t="s">
        <v>75</v>
      </c>
      <c r="B20" s="99"/>
      <c r="C20" s="99"/>
      <c r="D20" s="99"/>
      <c r="E20" s="133" t="s">
        <v>16</v>
      </c>
      <c r="F20" s="133"/>
      <c r="G20" s="133"/>
      <c r="H20" s="133"/>
    </row>
    <row r="21" spans="1:8" ht="18.75" customHeight="1" x14ac:dyDescent="0.3">
      <c r="A21" s="99"/>
      <c r="B21" s="99"/>
      <c r="C21" s="99"/>
      <c r="D21" s="99"/>
      <c r="E21" s="133"/>
      <c r="F21" s="133"/>
      <c r="G21" s="133"/>
      <c r="H21" s="133"/>
    </row>
    <row r="22" spans="1:8" ht="15" customHeight="1" x14ac:dyDescent="0.3">
      <c r="A22" s="99" t="s">
        <v>17</v>
      </c>
      <c r="B22" s="99"/>
      <c r="C22" s="99"/>
      <c r="D22" s="99"/>
      <c r="E22" s="78" t="s">
        <v>18</v>
      </c>
      <c r="F22" s="78"/>
      <c r="G22" s="78"/>
      <c r="H22" s="78"/>
    </row>
    <row r="23" spans="1:8" ht="15" customHeight="1" x14ac:dyDescent="0.3">
      <c r="A23" s="76" t="s">
        <v>19</v>
      </c>
      <c r="B23" s="76"/>
      <c r="C23" s="76"/>
      <c r="D23" s="76"/>
      <c r="E23" s="78" t="str">
        <f>IF(AND(G17="Mumbai"),"Upper Class","Middle Class")</f>
        <v>Middle Class</v>
      </c>
      <c r="F23" s="78"/>
      <c r="G23" s="78"/>
      <c r="H23" s="78"/>
    </row>
    <row r="24" spans="1:8" x14ac:dyDescent="0.3">
      <c r="A24" s="76" t="s">
        <v>20</v>
      </c>
      <c r="B24" s="76"/>
      <c r="C24" s="76"/>
      <c r="D24" s="76"/>
      <c r="E24" s="78" t="s">
        <v>21</v>
      </c>
      <c r="F24" s="78"/>
      <c r="G24" s="78"/>
      <c r="H24" s="78"/>
    </row>
    <row r="25" spans="1:8" ht="15.75" customHeight="1" x14ac:dyDescent="0.3">
      <c r="A25" s="76" t="s">
        <v>22</v>
      </c>
      <c r="B25" s="76"/>
      <c r="C25" s="76"/>
      <c r="D25" s="76"/>
      <c r="E25" s="78" t="str">
        <f>IF(AND(G17="Mumbai"),"Developed","Developing")</f>
        <v>Developing</v>
      </c>
      <c r="F25" s="78"/>
      <c r="G25" s="78"/>
      <c r="H25" s="78"/>
    </row>
    <row r="26" spans="1:8" x14ac:dyDescent="0.3">
      <c r="A26" s="76" t="s">
        <v>23</v>
      </c>
      <c r="B26" s="76"/>
      <c r="C26" s="76"/>
      <c r="D26" s="76"/>
      <c r="E26" s="78" t="s">
        <v>24</v>
      </c>
      <c r="F26" s="78"/>
      <c r="G26" s="78"/>
      <c r="H26" s="78"/>
    </row>
    <row r="27" spans="1:8" ht="15.75" customHeight="1" x14ac:dyDescent="0.3">
      <c r="A27" s="76" t="s">
        <v>80</v>
      </c>
      <c r="B27" s="76"/>
      <c r="C27" s="76"/>
      <c r="D27" s="76"/>
      <c r="E27" s="78" t="s">
        <v>81</v>
      </c>
      <c r="F27" s="78"/>
      <c r="G27" s="78"/>
      <c r="H27" s="78"/>
    </row>
    <row r="28" spans="1:8" ht="15" customHeight="1" x14ac:dyDescent="0.3">
      <c r="A28" s="76" t="s">
        <v>33</v>
      </c>
      <c r="B28" s="76"/>
      <c r="C28" s="76"/>
      <c r="D28" s="76"/>
      <c r="E28" s="7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78"/>
      <c r="G28" s="78"/>
      <c r="H28" s="78"/>
    </row>
    <row r="29" spans="1:8" ht="15.75" customHeight="1" x14ac:dyDescent="0.3">
      <c r="A29" s="76" t="s">
        <v>92</v>
      </c>
      <c r="B29" s="76"/>
      <c r="C29" s="76"/>
      <c r="D29" s="76"/>
      <c r="E29" s="78" t="s">
        <v>34</v>
      </c>
      <c r="F29" s="78"/>
      <c r="G29" s="78"/>
      <c r="H29" s="78"/>
    </row>
    <row r="30" spans="1:8" s="19" customFormat="1" x14ac:dyDescent="0.3">
      <c r="A30" s="152" t="s">
        <v>93</v>
      </c>
      <c r="B30" s="152"/>
      <c r="C30" s="151" t="s">
        <v>29</v>
      </c>
      <c r="D30" s="151"/>
      <c r="E30" s="151"/>
      <c r="F30" s="151" t="s">
        <v>31</v>
      </c>
      <c r="G30" s="151"/>
      <c r="H30" s="151"/>
    </row>
    <row r="31" spans="1:8" s="19" customFormat="1" x14ac:dyDescent="0.3">
      <c r="A31" s="150" t="s">
        <v>25</v>
      </c>
      <c r="B31" s="150" t="s">
        <v>30</v>
      </c>
      <c r="C31" s="116" t="s">
        <v>240</v>
      </c>
      <c r="D31" s="116"/>
      <c r="E31" s="116"/>
      <c r="F31" s="116" t="s">
        <v>242</v>
      </c>
      <c r="G31" s="116"/>
      <c r="H31" s="116"/>
    </row>
    <row r="32" spans="1:8" x14ac:dyDescent="0.3">
      <c r="A32" s="150" t="s">
        <v>26</v>
      </c>
      <c r="B32" s="150" t="s">
        <v>30</v>
      </c>
      <c r="C32" s="116" t="s">
        <v>239</v>
      </c>
      <c r="D32" s="116"/>
      <c r="E32" s="116"/>
      <c r="F32" s="116" t="s">
        <v>170</v>
      </c>
      <c r="G32" s="116"/>
      <c r="H32" s="116"/>
    </row>
    <row r="33" spans="1:11" s="19" customFormat="1" x14ac:dyDescent="0.3">
      <c r="A33" s="150" t="s">
        <v>28</v>
      </c>
      <c r="B33" s="150" t="s">
        <v>30</v>
      </c>
      <c r="C33" s="116" t="s">
        <v>239</v>
      </c>
      <c r="D33" s="116"/>
      <c r="E33" s="116"/>
      <c r="F33" s="199" t="s">
        <v>238</v>
      </c>
      <c r="G33" s="200"/>
      <c r="H33" s="201"/>
    </row>
    <row r="34" spans="1:11" x14ac:dyDescent="0.3">
      <c r="A34" s="150" t="s">
        <v>27</v>
      </c>
      <c r="B34" s="150" t="s">
        <v>30</v>
      </c>
      <c r="C34" s="116" t="s">
        <v>241</v>
      </c>
      <c r="D34" s="116"/>
      <c r="E34" s="116"/>
      <c r="F34" s="116" t="s">
        <v>169</v>
      </c>
      <c r="G34" s="116"/>
      <c r="H34" s="116"/>
    </row>
    <row r="35" spans="1:11" x14ac:dyDescent="0.3">
      <c r="A35" s="76" t="s">
        <v>32</v>
      </c>
      <c r="B35" s="76"/>
      <c r="C35" s="76"/>
      <c r="D35" s="76"/>
      <c r="E35" s="76"/>
      <c r="F35" s="76"/>
      <c r="G35" s="76"/>
      <c r="H35" s="76"/>
    </row>
    <row r="36" spans="1:11" ht="15.75" customHeight="1" x14ac:dyDescent="0.3">
      <c r="A36" s="76" t="s">
        <v>208</v>
      </c>
      <c r="B36" s="76"/>
      <c r="C36" s="180" t="s">
        <v>236</v>
      </c>
      <c r="D36" s="180"/>
      <c r="E36" s="180"/>
      <c r="F36" s="180"/>
      <c r="G36" s="180"/>
      <c r="H36" s="180"/>
    </row>
    <row r="37" spans="1:11" x14ac:dyDescent="0.3">
      <c r="A37" s="76" t="s">
        <v>162</v>
      </c>
      <c r="B37" s="76"/>
      <c r="C37" s="77" t="s">
        <v>237</v>
      </c>
      <c r="D37" s="78"/>
      <c r="E37" s="78"/>
      <c r="F37" s="78"/>
      <c r="G37" s="78"/>
      <c r="H37" s="78"/>
    </row>
    <row r="38" spans="1:11" x14ac:dyDescent="0.3">
      <c r="A38" s="132" t="s">
        <v>35</v>
      </c>
      <c r="B38" s="132"/>
      <c r="C38" s="132"/>
      <c r="D38" s="132"/>
      <c r="E38" s="132"/>
      <c r="F38" s="132"/>
      <c r="G38" s="132"/>
      <c r="H38" s="132"/>
    </row>
    <row r="39" spans="1:11" x14ac:dyDescent="0.3">
      <c r="A39" s="76" t="s">
        <v>36</v>
      </c>
      <c r="B39" s="76"/>
      <c r="C39" s="76"/>
      <c r="D39" s="76"/>
      <c r="E39" s="117">
        <v>6063.96</v>
      </c>
      <c r="F39" s="117"/>
      <c r="G39" s="117"/>
      <c r="H39" s="117"/>
    </row>
    <row r="40" spans="1:11" x14ac:dyDescent="0.3">
      <c r="A40" s="76" t="s">
        <v>37</v>
      </c>
      <c r="B40" s="76"/>
      <c r="C40" s="76"/>
      <c r="D40" s="76"/>
      <c r="E40" s="148">
        <f>6669.98/E39</f>
        <v>1.0999379943139467</v>
      </c>
      <c r="F40" s="148"/>
      <c r="G40" s="148"/>
      <c r="H40" s="148"/>
    </row>
    <row r="41" spans="1:11" x14ac:dyDescent="0.3">
      <c r="A41" s="76" t="s">
        <v>38</v>
      </c>
      <c r="B41" s="76"/>
      <c r="C41" s="76"/>
      <c r="D41" s="76"/>
      <c r="E41" s="148">
        <f>E43/E39-E40</f>
        <v>2.5469148873013676</v>
      </c>
      <c r="F41" s="148"/>
      <c r="G41" s="148"/>
      <c r="H41" s="148"/>
      <c r="K41" s="18">
        <f>6062.96*1.1</f>
        <v>6669.2560000000003</v>
      </c>
    </row>
    <row r="42" spans="1:11" x14ac:dyDescent="0.3">
      <c r="A42" s="76" t="s">
        <v>39</v>
      </c>
      <c r="B42" s="76"/>
      <c r="C42" s="76"/>
      <c r="D42" s="76"/>
      <c r="E42" s="148">
        <f>E40+E41</f>
        <v>3.6468528816153141</v>
      </c>
      <c r="F42" s="148"/>
      <c r="G42" s="148"/>
      <c r="H42" s="148"/>
      <c r="J42" s="18">
        <v>6062.96</v>
      </c>
      <c r="K42" s="18">
        <f>J42*J43</f>
        <v>6669.2560000000003</v>
      </c>
    </row>
    <row r="43" spans="1:11" x14ac:dyDescent="0.3">
      <c r="A43" s="76" t="s">
        <v>91</v>
      </c>
      <c r="B43" s="76"/>
      <c r="C43" s="76"/>
      <c r="D43" s="76"/>
      <c r="E43" s="149">
        <v>22114.37</v>
      </c>
      <c r="F43" s="149"/>
      <c r="G43" s="149"/>
      <c r="H43" s="149"/>
      <c r="J43" s="18">
        <v>1.1000000000000001</v>
      </c>
    </row>
    <row r="44" spans="1:11" x14ac:dyDescent="0.3">
      <c r="A44" s="133" t="s">
        <v>40</v>
      </c>
      <c r="B44" s="133"/>
      <c r="C44" s="133"/>
      <c r="D44" s="133"/>
      <c r="E44" s="133" t="s">
        <v>209</v>
      </c>
      <c r="F44" s="133"/>
      <c r="G44" s="133"/>
      <c r="H44" s="133"/>
    </row>
    <row r="45" spans="1:11" x14ac:dyDescent="0.3">
      <c r="A45" s="132" t="s">
        <v>41</v>
      </c>
      <c r="B45" s="132"/>
      <c r="C45" s="132"/>
      <c r="D45" s="132"/>
      <c r="E45" s="132"/>
      <c r="F45" s="132"/>
      <c r="G45" s="132"/>
      <c r="H45" s="132"/>
    </row>
    <row r="46" spans="1:11" ht="33.75" customHeight="1" x14ac:dyDescent="0.3">
      <c r="A46" s="54" t="s">
        <v>149</v>
      </c>
      <c r="B46" s="55"/>
      <c r="C46" s="79" t="s">
        <v>184</v>
      </c>
      <c r="D46" s="80"/>
      <c r="E46" s="80"/>
      <c r="F46" s="80"/>
      <c r="G46" s="80"/>
      <c r="H46" s="81"/>
    </row>
    <row r="47" spans="1:11" ht="15.75" customHeight="1" x14ac:dyDescent="0.3">
      <c r="A47" s="54" t="s">
        <v>42</v>
      </c>
      <c r="B47" s="55"/>
      <c r="C47" s="54" t="s">
        <v>214</v>
      </c>
      <c r="D47" s="56"/>
      <c r="E47" s="55"/>
      <c r="F47" s="17" t="s">
        <v>43</v>
      </c>
      <c r="G47" s="57">
        <v>45139</v>
      </c>
      <c r="H47" s="58"/>
    </row>
    <row r="48" spans="1:11" ht="15.6" customHeight="1" x14ac:dyDescent="0.3">
      <c r="A48" s="54" t="s">
        <v>44</v>
      </c>
      <c r="B48" s="55"/>
      <c r="C48" s="54" t="s">
        <v>214</v>
      </c>
      <c r="D48" s="56"/>
      <c r="E48" s="55"/>
      <c r="F48" s="17" t="s">
        <v>43</v>
      </c>
      <c r="G48" s="57">
        <v>45139</v>
      </c>
      <c r="H48" s="58"/>
    </row>
    <row r="49" spans="1:14" s="20" customFormat="1" ht="15.75" customHeight="1" x14ac:dyDescent="0.3">
      <c r="A49" s="138" t="s">
        <v>153</v>
      </c>
      <c r="B49" s="139"/>
      <c r="C49" s="54" t="s">
        <v>214</v>
      </c>
      <c r="D49" s="56"/>
      <c r="E49" s="55"/>
      <c r="F49" s="17" t="s">
        <v>43</v>
      </c>
      <c r="G49" s="57">
        <f>G48</f>
        <v>45139</v>
      </c>
      <c r="H49" s="58"/>
    </row>
    <row r="50" spans="1:14" s="20" customFormat="1" ht="33.75" customHeight="1" x14ac:dyDescent="0.3">
      <c r="A50" s="140"/>
      <c r="B50" s="141"/>
      <c r="C50" s="54" t="s">
        <v>215</v>
      </c>
      <c r="D50" s="56"/>
      <c r="E50" s="56"/>
      <c r="F50" s="56"/>
      <c r="G50" s="56"/>
      <c r="H50" s="55"/>
    </row>
    <row r="51" spans="1:14" ht="66.75" customHeight="1" x14ac:dyDescent="0.3">
      <c r="A51" s="144" t="s">
        <v>205</v>
      </c>
      <c r="B51" s="145"/>
      <c r="C51" s="172" t="s">
        <v>206</v>
      </c>
      <c r="D51" s="173"/>
      <c r="E51" s="174"/>
      <c r="F51" s="45" t="s">
        <v>43</v>
      </c>
      <c r="G51" s="142">
        <v>44942</v>
      </c>
      <c r="H51" s="143"/>
    </row>
    <row r="52" spans="1:14" hidden="1" x14ac:dyDescent="0.3">
      <c r="A52" s="146"/>
      <c r="B52" s="147"/>
      <c r="C52" s="172" t="s">
        <v>30</v>
      </c>
      <c r="D52" s="173"/>
      <c r="E52" s="173"/>
      <c r="F52" s="173"/>
      <c r="G52" s="173"/>
      <c r="H52" s="174"/>
    </row>
    <row r="53" spans="1:14" x14ac:dyDescent="0.3">
      <c r="A53" s="163" t="s">
        <v>46</v>
      </c>
      <c r="B53" s="163"/>
      <c r="C53" s="163"/>
      <c r="D53" s="163"/>
      <c r="E53" s="163"/>
      <c r="F53" s="163"/>
      <c r="G53" s="163"/>
      <c r="H53" s="163"/>
    </row>
    <row r="54" spans="1:14" x14ac:dyDescent="0.3">
      <c r="A54" s="99" t="s">
        <v>90</v>
      </c>
      <c r="B54" s="99"/>
      <c r="C54" s="99"/>
      <c r="D54" s="76">
        <f>E43</f>
        <v>22114.37</v>
      </c>
      <c r="E54" s="76"/>
      <c r="F54" s="76"/>
      <c r="G54" s="76"/>
      <c r="H54" s="76"/>
    </row>
    <row r="55" spans="1:14" x14ac:dyDescent="0.3">
      <c r="A55" s="78" t="s">
        <v>47</v>
      </c>
      <c r="B55" s="133"/>
      <c r="C55" s="133"/>
      <c r="D55" s="133" t="s">
        <v>232</v>
      </c>
      <c r="E55" s="133"/>
      <c r="F55" s="133"/>
      <c r="G55" s="133"/>
      <c r="H55" s="133"/>
      <c r="I55" s="21"/>
    </row>
    <row r="56" spans="1:14" ht="31.5" customHeight="1" x14ac:dyDescent="0.3">
      <c r="A56" s="135" t="s">
        <v>48</v>
      </c>
      <c r="B56" s="136"/>
      <c r="C56" s="137"/>
      <c r="D56" s="101" t="s">
        <v>216</v>
      </c>
      <c r="E56" s="134"/>
      <c r="F56" s="134"/>
      <c r="G56" s="134"/>
      <c r="H56" s="134"/>
    </row>
    <row r="57" spans="1:14" ht="15.75" customHeight="1" x14ac:dyDescent="0.3">
      <c r="A57" s="135" t="s">
        <v>88</v>
      </c>
      <c r="B57" s="136"/>
      <c r="C57" s="136"/>
      <c r="D57" s="135" t="s">
        <v>193</v>
      </c>
      <c r="E57" s="166"/>
      <c r="F57" s="166"/>
      <c r="G57" s="166"/>
      <c r="H57" s="167"/>
    </row>
    <row r="58" spans="1:14" ht="15.75" customHeight="1" x14ac:dyDescent="0.3">
      <c r="A58" s="164"/>
      <c r="B58" s="165"/>
      <c r="C58" s="165"/>
      <c r="D58" s="168" t="s">
        <v>194</v>
      </c>
      <c r="E58" s="169"/>
      <c r="F58" s="169"/>
      <c r="G58" s="169"/>
      <c r="H58" s="170"/>
    </row>
    <row r="59" spans="1:14" ht="15.75" customHeight="1" x14ac:dyDescent="0.3">
      <c r="A59" s="76" t="s">
        <v>45</v>
      </c>
      <c r="B59" s="76"/>
      <c r="C59" s="76"/>
      <c r="D59" s="99" t="s">
        <v>230</v>
      </c>
      <c r="E59" s="99"/>
      <c r="F59" s="99"/>
      <c r="G59" s="99"/>
      <c r="H59" s="99"/>
      <c r="J59" s="22"/>
      <c r="K59" s="21"/>
      <c r="N59" s="21"/>
    </row>
    <row r="60" spans="1:14" ht="15.75" customHeight="1" x14ac:dyDescent="0.3">
      <c r="A60" s="76" t="s">
        <v>86</v>
      </c>
      <c r="B60" s="76"/>
      <c r="C60" s="76"/>
      <c r="D60" s="120" t="s">
        <v>231</v>
      </c>
      <c r="E60" s="120"/>
      <c r="F60" s="120"/>
      <c r="G60" s="120"/>
      <c r="H60" s="120"/>
      <c r="I60" s="120" t="str">
        <f>(IF(L51="NA","60 Years After Completion",IF(L51&lt;&gt;"NA",""&amp;60-ROUNDDOWN((J3-L51)/360,0)&amp;" Years"," ")))</f>
        <v>60 Years</v>
      </c>
      <c r="J60" s="120"/>
      <c r="K60" s="120"/>
      <c r="L60" s="120"/>
      <c r="M60" s="120"/>
      <c r="N60" s="21"/>
    </row>
    <row r="61" spans="1:14" ht="15.75" customHeight="1" x14ac:dyDescent="0.3">
      <c r="A61" s="76" t="s">
        <v>87</v>
      </c>
      <c r="B61" s="76"/>
      <c r="C61" s="76"/>
      <c r="D61" s="99" t="s">
        <v>24</v>
      </c>
      <c r="E61" s="99"/>
      <c r="F61" s="99"/>
      <c r="G61" s="99"/>
      <c r="H61" s="99"/>
      <c r="J61" s="23"/>
      <c r="K61" s="23"/>
    </row>
    <row r="62" spans="1:14" x14ac:dyDescent="0.3">
      <c r="A62" s="76" t="s">
        <v>73</v>
      </c>
      <c r="B62" s="76"/>
      <c r="C62" s="76"/>
      <c r="D62" s="78" t="s">
        <v>211</v>
      </c>
      <c r="E62" s="99"/>
      <c r="F62" s="99"/>
      <c r="G62" s="99"/>
      <c r="H62" s="99"/>
    </row>
    <row r="63" spans="1:14" x14ac:dyDescent="0.3">
      <c r="A63" s="99" t="s">
        <v>146</v>
      </c>
      <c r="B63" s="99"/>
      <c r="C63" s="99"/>
      <c r="D63" s="99" t="s">
        <v>30</v>
      </c>
      <c r="E63" s="99"/>
      <c r="F63" s="99"/>
      <c r="G63" s="99"/>
      <c r="H63" s="99"/>
      <c r="I63" s="24"/>
      <c r="J63" s="24"/>
      <c r="K63" s="24"/>
      <c r="L63" s="24"/>
      <c r="M63" s="24"/>
      <c r="N63" s="24"/>
    </row>
    <row r="64" spans="1:14" ht="15.75" customHeight="1" x14ac:dyDescent="0.3">
      <c r="A64" s="100" t="s">
        <v>85</v>
      </c>
      <c r="B64" s="100"/>
      <c r="C64" s="100"/>
      <c r="D64" s="101" t="str">
        <f ca="1">(IF(G85&gt;91%,"Nothing",IF(G85&gt;0%,"Cement, Aggregate, Steel, etc",IF(G85=0%,"Work not yet Started"))))</f>
        <v>Nothing</v>
      </c>
      <c r="E64" s="101"/>
      <c r="F64" s="101"/>
      <c r="G64" s="101"/>
      <c r="H64" s="101"/>
      <c r="J64" s="23"/>
    </row>
    <row r="65" spans="1:10" ht="33.75" customHeight="1" thickBot="1" x14ac:dyDescent="0.35">
      <c r="A65" s="171" t="s">
        <v>117</v>
      </c>
      <c r="B65" s="171"/>
      <c r="C65" s="171"/>
      <c r="D65" s="101" t="str">
        <f ca="1">(IF(D64="Nothing","Yes",IF(D64="Cement, Aggregate, Steel, etc","Under Construction",IF(D64="Work not yet Started","Work not yet Started"))))</f>
        <v>Yes</v>
      </c>
      <c r="E65" s="101"/>
      <c r="F65" s="101" t="str">
        <f ca="1">(IF(D64="Nothing","Yes",IF(D64="Cement, Aggregate, Steel, etc","Under Construction",IF(D64="Work not yet Started","Work not yet Started"))))</f>
        <v>Yes</v>
      </c>
      <c r="G65" s="101"/>
      <c r="H65" s="101"/>
    </row>
    <row r="66" spans="1:10" ht="15.75" customHeight="1" x14ac:dyDescent="0.3">
      <c r="A66" s="125" t="s">
        <v>138</v>
      </c>
      <c r="B66" s="126"/>
      <c r="C66" s="127" t="str">
        <f>D57</f>
        <v xml:space="preserve">Building No. 1 (A Wing) = G + 1st to 21th Floor
</v>
      </c>
      <c r="D66" s="128"/>
      <c r="E66" s="128"/>
      <c r="F66" s="128"/>
      <c r="G66" s="128"/>
      <c r="H66" s="129"/>
      <c r="I66" s="41" t="str">
        <f ca="1">IF(D80=100%,"All work Completed. Possession granted to the Building.",IF(D79=100%,"All work Completed, Waiting for OC",I67&amp;""&amp;I69&amp;""&amp;J67&amp;""&amp;J66&amp;" "&amp;J69))</f>
        <v>All work Completed. Possession granted to the Building.</v>
      </c>
      <c r="J66" s="42" t="str">
        <f ca="1">(IF(C73=(D67+F67+H67),"",IF(C73&gt;0,", RCC upto "&amp;C73&amp;" Slab","")))&amp;(IF(C74=H67,"",IF(C74&gt;0,", Brickwork upto "&amp;C74&amp;" Floor","")))&amp;(IF(C75=H67,"",IF(C75&gt;0,", Internal Plaster upto "&amp;C75&amp;" Floor","")))&amp;(IF(C76=H67,"",IF(C76&gt;0,", External Plaster upto "&amp;C76&amp;" Floor","")))&amp;(IF(C77=H67,"",IF(C77&gt;0,", Flooring upto "&amp;C77&amp;" Floor","")))&amp;(IF(C78=H67,"",IF(C78&gt;0,", Painting upto "&amp;C78&amp;" Floor","")))&amp;(IF(C79=H67,"",IF(C79&gt;0,", Finishing upto "&amp;C79&amp;" Floor","")))&amp;(IF(C80=H67,"",IF(C80&gt;0,", Possession upto "&amp;C80&amp;" Floor","")))</f>
        <v/>
      </c>
    </row>
    <row r="67" spans="1:10" x14ac:dyDescent="0.3">
      <c r="A67" s="15" t="s">
        <v>140</v>
      </c>
      <c r="B67" s="50">
        <v>0</v>
      </c>
      <c r="C67" s="50" t="s">
        <v>71</v>
      </c>
      <c r="D67" s="50">
        <v>1</v>
      </c>
      <c r="E67" s="50" t="s">
        <v>70</v>
      </c>
      <c r="F67" s="50">
        <v>0</v>
      </c>
      <c r="G67" s="50" t="s">
        <v>79</v>
      </c>
      <c r="H67" s="16">
        <f ca="1">--TRIM(RIGHT(SUBSTITUTE(LEFT(C66,_xlfn.AGGREGATE(16,6,FIND({0,1,2,3,4,5,6,7,8,9},C66,ROW(INDIRECT("1:"&amp;LEN(C66)))),1))," ",REPT(" ",LEN(C66))),LEN(C66)))</f>
        <v>21</v>
      </c>
      <c r="I67" s="4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Painting, Building common Amenities</v>
      </c>
      <c r="J67" s="4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8" spans="1:10" x14ac:dyDescent="0.3">
      <c r="A68" s="175" t="s">
        <v>84</v>
      </c>
      <c r="B68" s="176"/>
      <c r="C68" s="177">
        <v>1</v>
      </c>
      <c r="D68" s="176"/>
      <c r="E68" s="178" t="s">
        <v>83</v>
      </c>
      <c r="F68" s="176"/>
      <c r="G68" s="177">
        <v>1</v>
      </c>
      <c r="H68" s="179"/>
      <c r="I68" s="43"/>
      <c r="J68" s="44"/>
    </row>
    <row r="69" spans="1:10" ht="16.2" thickBot="1" x14ac:dyDescent="0.35">
      <c r="A69" s="123" t="s">
        <v>89</v>
      </c>
      <c r="B69" s="124"/>
      <c r="C69" s="130" t="str">
        <f ca="1">(IF($C$52=C66,"All work Completed. OC Received.",I66))</f>
        <v>All work Completed. Possession granted to the Building.</v>
      </c>
      <c r="D69" s="130"/>
      <c r="E69" s="130"/>
      <c r="F69" s="130"/>
      <c r="G69" s="130"/>
      <c r="H69" s="131"/>
      <c r="I69" s="43" t="str">
        <f ca="1">IF(I67&lt;&gt;""," Completed","")</f>
        <v xml:space="preserve"> Completed</v>
      </c>
      <c r="J69" s="44" t="str">
        <f ca="1">IF(J66&lt;&gt;"","Completed","")</f>
        <v/>
      </c>
    </row>
    <row r="70" spans="1:10" ht="15.75" hidden="1" customHeight="1" x14ac:dyDescent="0.3">
      <c r="A70" s="121" t="s">
        <v>49</v>
      </c>
      <c r="B70" s="122"/>
      <c r="C70" s="53" t="s">
        <v>137</v>
      </c>
      <c r="D70" s="53" t="s">
        <v>82</v>
      </c>
      <c r="E70" s="122" t="s">
        <v>84</v>
      </c>
      <c r="F70" s="122"/>
      <c r="G70" s="122" t="s">
        <v>83</v>
      </c>
      <c r="H70" s="161"/>
      <c r="I70" s="13" t="s">
        <v>139</v>
      </c>
      <c r="J70" s="25">
        <f ca="1">H67*25%</f>
        <v>5.25</v>
      </c>
    </row>
    <row r="71" spans="1:10" hidden="1" x14ac:dyDescent="0.3">
      <c r="A71" s="89" t="s">
        <v>126</v>
      </c>
      <c r="B71" s="89"/>
      <c r="C71" s="46">
        <f ca="1">J72</f>
        <v>21</v>
      </c>
      <c r="D71" s="47">
        <f ca="1">((100/H67)*C71)/100</f>
        <v>1</v>
      </c>
      <c r="E71" s="119">
        <f ca="1">(((C72/H67*10)+(40/(D67+F67+H67)*C73)+(7.5/(H67)*C74)+(7.5/(H67)*C75)+(10/H67*C76)+(10/H67*C77)+(5/H67*C78)+(5/H67*C79)+(5/H67*C80))/100)</f>
        <v>1</v>
      </c>
      <c r="F71" s="119"/>
      <c r="G71" s="119">
        <f ca="1">((((C71/H67)*20)+((C72/H67)*25)+(30/(H67+F67+D67)*C73)+(5/H67*C74)+(5/H67*C75)+(5/H67*C76)+(5/H67*C77)+(0/H67*C78)+(0/H67*C79)+(5/H67*C80))/100)</f>
        <v>1</v>
      </c>
      <c r="H71" s="119"/>
      <c r="I71" s="13" t="s">
        <v>100</v>
      </c>
      <c r="J71" s="26">
        <f ca="1">H67*50%</f>
        <v>10.5</v>
      </c>
    </row>
    <row r="72" spans="1:10" hidden="1" x14ac:dyDescent="0.3">
      <c r="A72" s="89" t="s">
        <v>50</v>
      </c>
      <c r="B72" s="89"/>
      <c r="C72" s="46">
        <f ca="1">J80</f>
        <v>21</v>
      </c>
      <c r="D72" s="47">
        <f ca="1">((100/H67)*C72)/100</f>
        <v>1</v>
      </c>
      <c r="E72" s="119"/>
      <c r="F72" s="119"/>
      <c r="G72" s="119"/>
      <c r="H72" s="119"/>
      <c r="I72" s="13" t="s">
        <v>101</v>
      </c>
      <c r="J72" s="26">
        <f ca="1">H67</f>
        <v>21</v>
      </c>
    </row>
    <row r="73" spans="1:10" ht="15.75" hidden="1" customHeight="1" x14ac:dyDescent="0.3">
      <c r="A73" s="89" t="s">
        <v>127</v>
      </c>
      <c r="B73" s="89"/>
      <c r="C73" s="46">
        <v>22</v>
      </c>
      <c r="D73" s="47">
        <f ca="1">((100/(D67+F67+H67))*C73)/100</f>
        <v>1.0000000000000002</v>
      </c>
      <c r="E73" s="119"/>
      <c r="F73" s="119"/>
      <c r="G73" s="119"/>
      <c r="H73" s="119"/>
      <c r="I73" s="13" t="s">
        <v>102</v>
      </c>
      <c r="J73" s="27">
        <f ca="1">(IF(B67&gt;1,(H67/(B67+2)),H67/4))</f>
        <v>5.25</v>
      </c>
    </row>
    <row r="74" spans="1:10" ht="15.75" hidden="1" customHeight="1" x14ac:dyDescent="0.3">
      <c r="A74" s="89" t="s">
        <v>134</v>
      </c>
      <c r="B74" s="89" t="s">
        <v>128</v>
      </c>
      <c r="C74" s="46">
        <v>21</v>
      </c>
      <c r="D74" s="47">
        <f ca="1">((100/H67)*C74)/100</f>
        <v>1</v>
      </c>
      <c r="E74" s="119"/>
      <c r="F74" s="119"/>
      <c r="G74" s="119"/>
      <c r="H74" s="119"/>
      <c r="I74" s="13" t="s">
        <v>103</v>
      </c>
      <c r="J74" s="27">
        <f ca="1">(IF(B67&gt;1,(H67/(B67+2)+J73),H67/4+J73))</f>
        <v>10.5</v>
      </c>
    </row>
    <row r="75" spans="1:10" ht="15.75" hidden="1" customHeight="1" x14ac:dyDescent="0.3">
      <c r="A75" s="89" t="s">
        <v>135</v>
      </c>
      <c r="B75" s="89" t="s">
        <v>128</v>
      </c>
      <c r="C75" s="46">
        <v>21</v>
      </c>
      <c r="D75" s="47">
        <f ca="1">((100/H67)*C75)/100</f>
        <v>1</v>
      </c>
      <c r="E75" s="119"/>
      <c r="F75" s="119"/>
      <c r="G75" s="119"/>
      <c r="H75" s="119"/>
      <c r="I75" s="13" t="s">
        <v>144</v>
      </c>
      <c r="J75" s="27">
        <f>(IF(B67&gt;1,(H67/(B67+2)+J74),0))</f>
        <v>0</v>
      </c>
    </row>
    <row r="76" spans="1:10" ht="15" hidden="1" customHeight="1" x14ac:dyDescent="0.3">
      <c r="A76" s="89" t="s">
        <v>133</v>
      </c>
      <c r="B76" s="89" t="s">
        <v>130</v>
      </c>
      <c r="C76" s="46">
        <v>21</v>
      </c>
      <c r="D76" s="47">
        <f ca="1">((100/(H67))*C76)/100</f>
        <v>1</v>
      </c>
      <c r="E76" s="119"/>
      <c r="F76" s="119"/>
      <c r="G76" s="119"/>
      <c r="H76" s="119"/>
      <c r="I76" s="13" t="s">
        <v>141</v>
      </c>
      <c r="J76" s="27">
        <f>(IF(B67&gt;2,(H67/(B67+2)+J75),0))</f>
        <v>0</v>
      </c>
    </row>
    <row r="77" spans="1:10" ht="15.75" hidden="1" customHeight="1" x14ac:dyDescent="0.3">
      <c r="A77" s="89" t="s">
        <v>129</v>
      </c>
      <c r="B77" s="89" t="s">
        <v>129</v>
      </c>
      <c r="C77" s="46">
        <v>21</v>
      </c>
      <c r="D77" s="47">
        <f ca="1">((100/H67)*C77)/100</f>
        <v>1</v>
      </c>
      <c r="E77" s="119"/>
      <c r="F77" s="119"/>
      <c r="G77" s="119"/>
      <c r="H77" s="119"/>
      <c r="I77" s="13" t="s">
        <v>142</v>
      </c>
      <c r="J77" s="28">
        <f>(IF(B67&gt;3,(H67/(B67+2)+J76),0))</f>
        <v>0</v>
      </c>
    </row>
    <row r="78" spans="1:10" ht="15.75" hidden="1" customHeight="1" x14ac:dyDescent="0.3">
      <c r="A78" s="89" t="s">
        <v>136</v>
      </c>
      <c r="B78" s="89"/>
      <c r="C78" s="46">
        <v>21</v>
      </c>
      <c r="D78" s="47">
        <f ca="1">((100/H67)*C78)/100</f>
        <v>1</v>
      </c>
      <c r="E78" s="119"/>
      <c r="F78" s="119"/>
      <c r="G78" s="119"/>
      <c r="H78" s="119"/>
      <c r="I78" s="13" t="s">
        <v>143</v>
      </c>
      <c r="J78" s="27">
        <f>(IF(B67&gt;4,(H67/(B67+2)+J77),0))</f>
        <v>0</v>
      </c>
    </row>
    <row r="79" spans="1:10" ht="15.75" hidden="1" customHeight="1" x14ac:dyDescent="0.3">
      <c r="A79" s="89" t="s">
        <v>131</v>
      </c>
      <c r="B79" s="89" t="s">
        <v>131</v>
      </c>
      <c r="C79" s="46">
        <v>21</v>
      </c>
      <c r="D79" s="47">
        <f ca="1">((100/(H67))*C79)/100</f>
        <v>1</v>
      </c>
      <c r="E79" s="119"/>
      <c r="F79" s="119"/>
      <c r="G79" s="119"/>
      <c r="H79" s="119"/>
      <c r="I79" s="13" t="s">
        <v>145</v>
      </c>
      <c r="J79" s="27">
        <f ca="1">(IF(B67=1,(H67/(B67+3)+J74),IF(B67=0,(H67/4+J74),IF(B67&gt;1,0))))</f>
        <v>15.75</v>
      </c>
    </row>
    <row r="80" spans="1:10" ht="16.2" hidden="1" thickBot="1" x14ac:dyDescent="0.35">
      <c r="A80" s="89" t="s">
        <v>132</v>
      </c>
      <c r="B80" s="89"/>
      <c r="C80" s="46">
        <v>21</v>
      </c>
      <c r="D80" s="47">
        <f ca="1">((100/(H67))*C80)/100</f>
        <v>1</v>
      </c>
      <c r="E80" s="119"/>
      <c r="F80" s="119"/>
      <c r="G80" s="119"/>
      <c r="H80" s="119"/>
      <c r="I80" s="14" t="s">
        <v>104</v>
      </c>
      <c r="J80" s="29">
        <f ca="1">(IF(B67&gt;1.5,(H67/(B67+2)+J74+MAX(0,J75-J74)+MAX(0,J76-J75)+MAX(0,J77-J76)+MAX(0,J78-J77)+MAX(0,J79-J78)),IF(B67=1,(H67/(B67+3)+J79),IF(B67=0,H67/4+J79))))</f>
        <v>21</v>
      </c>
    </row>
    <row r="81" spans="1:10" ht="15.75" customHeight="1" x14ac:dyDescent="0.3">
      <c r="A81" s="92" t="s">
        <v>138</v>
      </c>
      <c r="B81" s="92"/>
      <c r="C81" s="92" t="str">
        <f>D58</f>
        <v>Building No. 1 (B Wing) = G + 1st to 21th Floor</v>
      </c>
      <c r="D81" s="92"/>
      <c r="E81" s="92"/>
      <c r="F81" s="92"/>
      <c r="G81" s="92"/>
      <c r="H81" s="92"/>
      <c r="I81" s="51" t="str">
        <f ca="1"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4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3">
      <c r="A82" s="50" t="s">
        <v>140</v>
      </c>
      <c r="B82" s="50">
        <v>0</v>
      </c>
      <c r="C82" s="50" t="s">
        <v>71</v>
      </c>
      <c r="D82" s="50">
        <v>1</v>
      </c>
      <c r="E82" s="50" t="s">
        <v>70</v>
      </c>
      <c r="F82" s="50">
        <v>0</v>
      </c>
      <c r="G82" s="50" t="s">
        <v>79</v>
      </c>
      <c r="H82" s="50">
        <f ca="1">--TRIM(RIGHT(SUBSTITUTE(LEFT(C81,_xlfn.AGGREGATE(16,6,FIND({0,1,2,3,4,5,6,7,8,9},C81,ROW(INDIRECT("1:"&amp;LEN(C81)))),1))," ",REPT(" ",LEN(C81))),LEN(C81)))</f>
        <v>21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4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x14ac:dyDescent="0.3">
      <c r="A83" s="91" t="s">
        <v>89</v>
      </c>
      <c r="B83" s="91"/>
      <c r="C83" s="92" t="str">
        <f ca="1">(IF($C$52=C81,"All work Completed. OC Received.",I81))</f>
        <v>All work Completed. Possession granted to the Building.</v>
      </c>
      <c r="D83" s="92"/>
      <c r="E83" s="92"/>
      <c r="F83" s="92"/>
      <c r="G83" s="92"/>
      <c r="H83" s="92"/>
      <c r="I83" s="52" t="str">
        <f ca="1">IF(I82&lt;&gt;""," Completed","")</f>
        <v xml:space="preserve"> Completed</v>
      </c>
      <c r="J83" s="44" t="str">
        <f ca="1">IF(J81&lt;&gt;"","Completed","")</f>
        <v/>
      </c>
    </row>
    <row r="84" spans="1:10" ht="15.75" customHeight="1" x14ac:dyDescent="0.3">
      <c r="A84" s="88" t="s">
        <v>49</v>
      </c>
      <c r="B84" s="89"/>
      <c r="C84" s="46" t="s">
        <v>137</v>
      </c>
      <c r="D84" s="46" t="s">
        <v>82</v>
      </c>
      <c r="E84" s="89" t="s">
        <v>84</v>
      </c>
      <c r="F84" s="89"/>
      <c r="G84" s="89" t="s">
        <v>83</v>
      </c>
      <c r="H84" s="93"/>
      <c r="I84" s="13" t="s">
        <v>139</v>
      </c>
      <c r="J84" s="25">
        <f ca="1">H82*25%</f>
        <v>5.25</v>
      </c>
    </row>
    <row r="85" spans="1:10" x14ac:dyDescent="0.3">
      <c r="A85" s="88" t="s">
        <v>126</v>
      </c>
      <c r="B85" s="89"/>
      <c r="C85" s="46">
        <f ca="1">J86</f>
        <v>21</v>
      </c>
      <c r="D85" s="47">
        <f ca="1">((100/H82)*C85)/100</f>
        <v>1</v>
      </c>
      <c r="E85" s="82">
        <f ca="1">(((C86/H82*10)+(40/(D82+F82+H82)*C87)+(7.5/(H82)*C88)+(7.5/(H82)*C89)+(10/H82*C90)+(10/H82*C91)+(5/H82*C92)+(5/H82*C93)+(5/H82*C94))/100)</f>
        <v>1</v>
      </c>
      <c r="F85" s="104"/>
      <c r="G85" s="82">
        <f ca="1">((((C85/H82)*20)+((C86/H82)*25)+(30/(H82+F82+D82)*C87)+(5/H82*C88)+(5/H82*C89)+(5/H82*C90)+(5/H82*C91)+(0/H82*C92)+(0/H82*C93)+(5/H82*C94))/100)</f>
        <v>1</v>
      </c>
      <c r="H85" s="83"/>
      <c r="I85" s="13" t="s">
        <v>100</v>
      </c>
      <c r="J85" s="26">
        <f ca="1">H82*50%</f>
        <v>10.5</v>
      </c>
    </row>
    <row r="86" spans="1:10" x14ac:dyDescent="0.3">
      <c r="A86" s="88" t="s">
        <v>50</v>
      </c>
      <c r="B86" s="89"/>
      <c r="C86" s="46">
        <f ca="1">J94</f>
        <v>21</v>
      </c>
      <c r="D86" s="47">
        <f ca="1">((100/H82)*C86)/100</f>
        <v>1</v>
      </c>
      <c r="E86" s="84"/>
      <c r="F86" s="105"/>
      <c r="G86" s="84"/>
      <c r="H86" s="85"/>
      <c r="I86" s="13" t="s">
        <v>101</v>
      </c>
      <c r="J86" s="26">
        <f ca="1">H82</f>
        <v>21</v>
      </c>
    </row>
    <row r="87" spans="1:10" ht="15.75" customHeight="1" x14ac:dyDescent="0.3">
      <c r="A87" s="88" t="s">
        <v>127</v>
      </c>
      <c r="B87" s="89"/>
      <c r="C87" s="46">
        <v>22</v>
      </c>
      <c r="D87" s="47">
        <f ca="1">((100/(D82+F82+H82))*C87)/100</f>
        <v>1.0000000000000002</v>
      </c>
      <c r="E87" s="84"/>
      <c r="F87" s="105"/>
      <c r="G87" s="84"/>
      <c r="H87" s="85"/>
      <c r="I87" s="13" t="s">
        <v>102</v>
      </c>
      <c r="J87" s="27">
        <f ca="1">(IF(B82&gt;1,(H82/(B82+2)),H82/4))</f>
        <v>5.25</v>
      </c>
    </row>
    <row r="88" spans="1:10" ht="15.75" customHeight="1" x14ac:dyDescent="0.3">
      <c r="A88" s="88" t="s">
        <v>134</v>
      </c>
      <c r="B88" s="89" t="s">
        <v>128</v>
      </c>
      <c r="C88" s="46">
        <v>21</v>
      </c>
      <c r="D88" s="47">
        <f ca="1">((100/H82)*C88)/100</f>
        <v>1</v>
      </c>
      <c r="E88" s="84"/>
      <c r="F88" s="105"/>
      <c r="G88" s="84"/>
      <c r="H88" s="85"/>
      <c r="I88" s="13" t="s">
        <v>103</v>
      </c>
      <c r="J88" s="27">
        <f ca="1">(IF(B82&gt;1,(H82/(B82+2)+J87),H82/4+J87))</f>
        <v>10.5</v>
      </c>
    </row>
    <row r="89" spans="1:10" ht="15.75" customHeight="1" x14ac:dyDescent="0.3">
      <c r="A89" s="88" t="s">
        <v>135</v>
      </c>
      <c r="B89" s="89" t="s">
        <v>128</v>
      </c>
      <c r="C89" s="46">
        <v>21</v>
      </c>
      <c r="D89" s="47">
        <f ca="1">((100/H82)*C89)/100</f>
        <v>1</v>
      </c>
      <c r="E89" s="84"/>
      <c r="F89" s="105"/>
      <c r="G89" s="84"/>
      <c r="H89" s="85"/>
      <c r="I89" s="13" t="s">
        <v>144</v>
      </c>
      <c r="J89" s="27">
        <f>(IF(B82&gt;1,(H82/(B82+2)+J88),0))</f>
        <v>0</v>
      </c>
    </row>
    <row r="90" spans="1:10" ht="15" customHeight="1" x14ac:dyDescent="0.3">
      <c r="A90" s="88" t="s">
        <v>133</v>
      </c>
      <c r="B90" s="89" t="s">
        <v>130</v>
      </c>
      <c r="C90" s="46">
        <v>21</v>
      </c>
      <c r="D90" s="47">
        <f ca="1">((100/(H82))*C90)/100</f>
        <v>1</v>
      </c>
      <c r="E90" s="84"/>
      <c r="F90" s="105"/>
      <c r="G90" s="84"/>
      <c r="H90" s="85"/>
      <c r="I90" s="13" t="s">
        <v>141</v>
      </c>
      <c r="J90" s="27">
        <f>(IF(B82&gt;2,(H82/(B82+2)+J89),0))</f>
        <v>0</v>
      </c>
    </row>
    <row r="91" spans="1:10" ht="15.75" customHeight="1" x14ac:dyDescent="0.3">
      <c r="A91" s="88" t="s">
        <v>129</v>
      </c>
      <c r="B91" s="89" t="s">
        <v>129</v>
      </c>
      <c r="C91" s="46">
        <v>21</v>
      </c>
      <c r="D91" s="47">
        <f ca="1">((100/H82)*C91)/100</f>
        <v>1</v>
      </c>
      <c r="E91" s="84"/>
      <c r="F91" s="105"/>
      <c r="G91" s="84"/>
      <c r="H91" s="85"/>
      <c r="I91" s="13" t="s">
        <v>142</v>
      </c>
      <c r="J91" s="28">
        <f>(IF(B82&gt;3,(H82/(B82+2)+J90),0))</f>
        <v>0</v>
      </c>
    </row>
    <row r="92" spans="1:10" ht="15.75" customHeight="1" x14ac:dyDescent="0.3">
      <c r="A92" s="88" t="s">
        <v>136</v>
      </c>
      <c r="B92" s="89"/>
      <c r="C92" s="46">
        <v>21</v>
      </c>
      <c r="D92" s="47">
        <f ca="1">((100/H82)*C92)/100</f>
        <v>1</v>
      </c>
      <c r="E92" s="84"/>
      <c r="F92" s="105"/>
      <c r="G92" s="84"/>
      <c r="H92" s="85"/>
      <c r="I92" s="13" t="s">
        <v>143</v>
      </c>
      <c r="J92" s="27">
        <f>(IF(B82&gt;4,(H82/(B82+2)+J91),0))</f>
        <v>0</v>
      </c>
    </row>
    <row r="93" spans="1:10" ht="15.75" customHeight="1" x14ac:dyDescent="0.3">
      <c r="A93" s="88" t="s">
        <v>131</v>
      </c>
      <c r="B93" s="89" t="s">
        <v>131</v>
      </c>
      <c r="C93" s="46">
        <v>21</v>
      </c>
      <c r="D93" s="47">
        <f ca="1">((100/(H82))*C93)/100</f>
        <v>1</v>
      </c>
      <c r="E93" s="84"/>
      <c r="F93" s="105"/>
      <c r="G93" s="84"/>
      <c r="H93" s="85"/>
      <c r="I93" s="13" t="s">
        <v>145</v>
      </c>
      <c r="J93" s="27">
        <f ca="1">(IF(B82=1,(H82/(B82+3)+J88),IF(B82=0,(H82/4+J88),IF(B82&gt;1,0))))</f>
        <v>15.75</v>
      </c>
    </row>
    <row r="94" spans="1:10" ht="16.2" thickBot="1" x14ac:dyDescent="0.35">
      <c r="A94" s="107" t="s">
        <v>132</v>
      </c>
      <c r="B94" s="108"/>
      <c r="C94" s="48">
        <v>21</v>
      </c>
      <c r="D94" s="49">
        <f ca="1">((100/(H82))*C94)/100</f>
        <v>1</v>
      </c>
      <c r="E94" s="86"/>
      <c r="F94" s="106"/>
      <c r="G94" s="86"/>
      <c r="H94" s="87"/>
      <c r="I94" s="14" t="s">
        <v>104</v>
      </c>
      <c r="J94" s="29">
        <f ca="1">(IF(B82&gt;1.5,(H82/(B82+2)+J88+MAX(0,J89-J88)+MAX(0,J90-J89)+MAX(0,J91-J90)+MAX(0,J92-J91)+MAX(0,J93-J92)),IF(B82=1,(H82/(B82+3)+J93),IF(B82=0,H82/4+J93))))</f>
        <v>21</v>
      </c>
    </row>
    <row r="95" spans="1:10" x14ac:dyDescent="0.3">
      <c r="A95" s="109" t="s">
        <v>155</v>
      </c>
      <c r="B95" s="109"/>
      <c r="C95" s="109"/>
      <c r="D95" s="109"/>
      <c r="E95" s="109"/>
      <c r="F95" s="115" t="s">
        <v>160</v>
      </c>
      <c r="G95" s="115"/>
      <c r="H95" s="115"/>
    </row>
    <row r="96" spans="1:10" x14ac:dyDescent="0.3">
      <c r="A96" s="76" t="s">
        <v>158</v>
      </c>
      <c r="B96" s="76"/>
      <c r="C96" s="76"/>
      <c r="D96" s="76"/>
      <c r="E96" s="76"/>
      <c r="F96" s="90">
        <v>9500</v>
      </c>
      <c r="G96" s="90"/>
      <c r="H96" s="90"/>
    </row>
    <row r="97" spans="1:12" x14ac:dyDescent="0.3">
      <c r="A97" s="76" t="s">
        <v>157</v>
      </c>
      <c r="B97" s="76"/>
      <c r="C97" s="76"/>
      <c r="D97" s="76"/>
      <c r="E97" s="76"/>
      <c r="F97" s="90">
        <v>20000</v>
      </c>
      <c r="G97" s="90"/>
      <c r="H97" s="90"/>
    </row>
    <row r="98" spans="1:12" x14ac:dyDescent="0.3">
      <c r="A98" s="76" t="s">
        <v>159</v>
      </c>
      <c r="B98" s="76"/>
      <c r="C98" s="76"/>
      <c r="D98" s="76"/>
      <c r="E98" s="76"/>
      <c r="F98" s="90">
        <v>15000</v>
      </c>
      <c r="G98" s="90"/>
      <c r="H98" s="90"/>
    </row>
    <row r="99" spans="1:12" s="30" customFormat="1" hidden="1" x14ac:dyDescent="0.25">
      <c r="A99" s="76" t="s">
        <v>156</v>
      </c>
      <c r="B99" s="76"/>
      <c r="C99" s="76"/>
      <c r="D99" s="76"/>
      <c r="E99" s="76"/>
      <c r="F99" s="90"/>
      <c r="G99" s="90"/>
      <c r="H99" s="90"/>
    </row>
    <row r="100" spans="1:12" s="30" customFormat="1" hidden="1" x14ac:dyDescent="0.25">
      <c r="A100" s="76" t="s">
        <v>94</v>
      </c>
      <c r="B100" s="76"/>
      <c r="C100" s="76"/>
      <c r="D100" s="76"/>
      <c r="E100" s="76"/>
      <c r="F100" s="90"/>
      <c r="G100" s="90"/>
      <c r="H100" s="90"/>
    </row>
    <row r="101" spans="1:12" s="30" customFormat="1" hidden="1" x14ac:dyDescent="0.25">
      <c r="A101" s="76" t="s">
        <v>95</v>
      </c>
      <c r="B101" s="76"/>
      <c r="C101" s="76"/>
      <c r="D101" s="76"/>
      <c r="E101" s="76"/>
      <c r="F101" s="90"/>
      <c r="G101" s="90"/>
      <c r="H101" s="90"/>
    </row>
    <row r="102" spans="1:12" s="30" customFormat="1" hidden="1" x14ac:dyDescent="0.25">
      <c r="A102" s="76" t="s">
        <v>161</v>
      </c>
      <c r="B102" s="76"/>
      <c r="C102" s="76"/>
      <c r="D102" s="76"/>
      <c r="E102" s="76"/>
      <c r="F102" s="90"/>
      <c r="G102" s="90"/>
      <c r="H102" s="90"/>
    </row>
    <row r="103" spans="1:12" s="30" customFormat="1" hidden="1" x14ac:dyDescent="0.25">
      <c r="A103" s="76" t="s">
        <v>96</v>
      </c>
      <c r="B103" s="76"/>
      <c r="C103" s="76"/>
      <c r="D103" s="76"/>
      <c r="E103" s="76"/>
      <c r="F103" s="90"/>
      <c r="G103" s="90"/>
      <c r="H103" s="90"/>
    </row>
    <row r="104" spans="1:12" s="30" customFormat="1" hidden="1" x14ac:dyDescent="0.25">
      <c r="A104" s="76" t="s">
        <v>97</v>
      </c>
      <c r="B104" s="76"/>
      <c r="C104" s="76"/>
      <c r="D104" s="76"/>
      <c r="E104" s="76"/>
      <c r="F104" s="90"/>
      <c r="G104" s="90"/>
      <c r="H104" s="90"/>
    </row>
    <row r="105" spans="1:12" s="30" customFormat="1" hidden="1" x14ac:dyDescent="0.25">
      <c r="A105" s="76" t="s">
        <v>98</v>
      </c>
      <c r="B105" s="76"/>
      <c r="C105" s="76"/>
      <c r="D105" s="76"/>
      <c r="E105" s="76"/>
      <c r="F105" s="90"/>
      <c r="G105" s="90"/>
      <c r="H105" s="90"/>
    </row>
    <row r="106" spans="1:12" s="30" customFormat="1" hidden="1" x14ac:dyDescent="0.25">
      <c r="A106" s="76" t="s">
        <v>99</v>
      </c>
      <c r="B106" s="76"/>
      <c r="C106" s="76"/>
      <c r="D106" s="76"/>
      <c r="E106" s="76"/>
      <c r="F106" s="90"/>
      <c r="G106" s="90"/>
      <c r="H106" s="90"/>
    </row>
    <row r="107" spans="1:12" x14ac:dyDescent="0.3">
      <c r="A107" s="76" t="s">
        <v>51</v>
      </c>
      <c r="B107" s="76"/>
      <c r="C107" s="76"/>
      <c r="D107" s="76"/>
      <c r="E107" s="76"/>
      <c r="F107" s="90">
        <v>500000</v>
      </c>
      <c r="G107" s="90"/>
      <c r="H107" s="90"/>
    </row>
    <row r="108" spans="1:12" s="31" customFormat="1" x14ac:dyDescent="0.3">
      <c r="A108" s="132" t="s">
        <v>52</v>
      </c>
      <c r="B108" s="132"/>
      <c r="C108" s="132"/>
      <c r="D108" s="132"/>
      <c r="E108" s="132"/>
      <c r="F108" s="90">
        <f>F96*0.8</f>
        <v>7600</v>
      </c>
      <c r="G108" s="90"/>
      <c r="H108" s="90"/>
    </row>
    <row r="109" spans="1:12" s="32" customFormat="1" ht="15.75" customHeight="1" x14ac:dyDescent="0.3">
      <c r="A109" s="97" t="s">
        <v>74</v>
      </c>
      <c r="B109" s="97"/>
      <c r="C109" s="97"/>
      <c r="D109" s="97"/>
      <c r="E109" s="97"/>
      <c r="F109" s="97"/>
      <c r="G109" s="97"/>
      <c r="H109" s="97"/>
    </row>
    <row r="110" spans="1:12" s="32" customFormat="1" ht="15.75" customHeight="1" x14ac:dyDescent="0.3">
      <c r="A110" s="112" t="s">
        <v>53</v>
      </c>
      <c r="B110" s="112"/>
      <c r="C110" s="111" t="s">
        <v>77</v>
      </c>
      <c r="D110" s="111"/>
      <c r="E110" s="118" t="s">
        <v>54</v>
      </c>
      <c r="F110" s="118"/>
      <c r="G110" s="112" t="s">
        <v>55</v>
      </c>
      <c r="H110" s="112"/>
      <c r="J110" s="32" t="s">
        <v>200</v>
      </c>
    </row>
    <row r="111" spans="1:12" s="32" customFormat="1" x14ac:dyDescent="0.3">
      <c r="A111" s="113" t="s">
        <v>188</v>
      </c>
      <c r="B111" s="40" t="s">
        <v>172</v>
      </c>
      <c r="C111" s="95">
        <f>COUNT(D126:D149)</f>
        <v>24</v>
      </c>
      <c r="D111" s="96"/>
      <c r="E111" s="95">
        <f>SUM(F126:F149)</f>
        <v>11847.019859999997</v>
      </c>
      <c r="F111" s="96"/>
      <c r="G111" s="95">
        <f>SUM(H126:H149)</f>
        <v>18955.231776000004</v>
      </c>
      <c r="H111" s="96"/>
      <c r="J111" s="32" t="s">
        <v>197</v>
      </c>
      <c r="K111" s="32" t="s">
        <v>201</v>
      </c>
      <c r="L111" s="32" t="s">
        <v>204</v>
      </c>
    </row>
    <row r="112" spans="1:12" s="32" customFormat="1" x14ac:dyDescent="0.3">
      <c r="A112" s="114"/>
      <c r="B112" s="40" t="s">
        <v>173</v>
      </c>
      <c r="C112" s="95">
        <f>COUNT(D151:D172)</f>
        <v>22</v>
      </c>
      <c r="D112" s="96"/>
      <c r="E112" s="95">
        <f>SUM(F151:F172)</f>
        <v>11309.465700000001</v>
      </c>
      <c r="F112" s="96"/>
      <c r="G112" s="95">
        <f>SUM(H151:H172)</f>
        <v>18095.145119999997</v>
      </c>
      <c r="H112" s="96"/>
      <c r="J112" s="32" t="s">
        <v>198</v>
      </c>
      <c r="K112" s="32" t="s">
        <v>202</v>
      </c>
      <c r="L112" s="32">
        <v>7600</v>
      </c>
    </row>
    <row r="113" spans="1:20" s="32" customFormat="1" x14ac:dyDescent="0.3">
      <c r="A113" s="97" t="s">
        <v>148</v>
      </c>
      <c r="B113" s="97"/>
      <c r="C113" s="94">
        <f>SUM(C111:C112)</f>
        <v>46</v>
      </c>
      <c r="D113" s="98"/>
      <c r="E113" s="94">
        <f>SUM(E111:E112)</f>
        <v>23156.485559999997</v>
      </c>
      <c r="F113" s="98"/>
      <c r="G113" s="94">
        <f>SUM(G111:G112)</f>
        <v>37050.376896000002</v>
      </c>
      <c r="H113" s="98"/>
      <c r="J113" s="32" t="s">
        <v>199</v>
      </c>
      <c r="K113" s="32" t="s">
        <v>203</v>
      </c>
    </row>
    <row r="114" spans="1:20" s="32" customFormat="1" x14ac:dyDescent="0.3">
      <c r="A114" s="97" t="s">
        <v>69</v>
      </c>
      <c r="B114" s="97"/>
      <c r="C114" s="97"/>
      <c r="D114" s="97"/>
      <c r="E114" s="97"/>
      <c r="F114" s="97"/>
      <c r="G114" s="97"/>
      <c r="H114" s="97"/>
    </row>
    <row r="115" spans="1:20" s="32" customFormat="1" ht="15.75" customHeight="1" x14ac:dyDescent="0.3">
      <c r="A115" s="112" t="s">
        <v>53</v>
      </c>
      <c r="B115" s="112"/>
      <c r="C115" s="111" t="s">
        <v>77</v>
      </c>
      <c r="D115" s="111"/>
      <c r="E115" s="118" t="s">
        <v>54</v>
      </c>
      <c r="F115" s="118"/>
      <c r="G115" s="112" t="s">
        <v>55</v>
      </c>
      <c r="H115" s="112"/>
    </row>
    <row r="116" spans="1:20" s="32" customFormat="1" x14ac:dyDescent="0.3">
      <c r="A116" s="110" t="s">
        <v>174</v>
      </c>
      <c r="B116" s="110"/>
      <c r="C116" s="189">
        <f>COUNT(D178:D183)+COUNT(D185:D190)+COUNT(D192:D197)*7+COUNT(D199:D203)+COUNT(D206:D210)*2+COUNT(D213:D218)*8</f>
        <v>117</v>
      </c>
      <c r="D116" s="189"/>
      <c r="E116" s="189">
        <f t="shared" ref="E116:H116" si="0">SUM(F178:F183)+SUM(F185:F190)+SUM(F192:F197)*7+SUM(F199:F203)+SUM(F206:F210)*2+SUM(F213:F218)*8</f>
        <v>67105.144079999969</v>
      </c>
      <c r="F116" s="189"/>
      <c r="G116" s="189">
        <f t="shared" ref="G116:H116" si="1">SUM(H178:H183)+SUM(H185:H190)+SUM(H192:H197)*7+SUM(H199:H203)+SUM(H206:H210)*2+SUM(H213:H218)*8</f>
        <v>101340.98793</v>
      </c>
      <c r="H116" s="189"/>
    </row>
    <row r="117" spans="1:20" s="32" customFormat="1" x14ac:dyDescent="0.3">
      <c r="A117" s="110" t="s">
        <v>175</v>
      </c>
      <c r="B117" s="110"/>
      <c r="C117" s="189">
        <f>COUNT(D221:D225)+COUNT(D227:D231)+COUNT(D233:D237)*7+COUNT(D240:D243)+COUNT(D246:D249)*2+COUNT(D251:D255)*8</f>
        <v>97</v>
      </c>
      <c r="D117" s="189"/>
      <c r="E117" s="189">
        <f t="shared" ref="E117:H117" si="2">SUM(F221:F225)+SUM(F227:F231)+SUM(F233:F237)*7+SUM(F240:F243)+SUM(F246:F249)*2+SUM(F251:F255)*8</f>
        <v>62229.805559999993</v>
      </c>
      <c r="F117" s="189"/>
      <c r="G117" s="189">
        <f t="shared" ref="G117:H117" si="3">SUM(H221:H225)+SUM(H227:H231)+SUM(H233:H237)*7+SUM(H240:H243)+SUM(H246:H249)*2+SUM(H251:H255)*8</f>
        <v>94515.051150000014</v>
      </c>
      <c r="H117" s="189"/>
    </row>
    <row r="118" spans="1:20" s="32" customFormat="1" ht="16.2" thickBot="1" x14ac:dyDescent="0.35">
      <c r="A118" s="190" t="s">
        <v>148</v>
      </c>
      <c r="B118" s="190"/>
      <c r="C118" s="191">
        <f>SUM(C116:C117)</f>
        <v>214</v>
      </c>
      <c r="D118" s="192"/>
      <c r="E118" s="191">
        <f>SUM(E116:E117)</f>
        <v>129334.94963999996</v>
      </c>
      <c r="F118" s="191"/>
      <c r="G118" s="191">
        <f>SUM(G116:G117)</f>
        <v>195856.03908000002</v>
      </c>
      <c r="H118" s="191"/>
    </row>
    <row r="119" spans="1:20" s="32" customFormat="1" ht="16.2" thickBot="1" x14ac:dyDescent="0.35">
      <c r="A119" s="193" t="s">
        <v>227</v>
      </c>
      <c r="B119" s="194"/>
      <c r="C119" s="195">
        <f>C113+C118</f>
        <v>260</v>
      </c>
      <c r="D119" s="196"/>
      <c r="E119" s="195">
        <f>E113+E118</f>
        <v>152491.43519999995</v>
      </c>
      <c r="F119" s="196"/>
      <c r="G119" s="195">
        <f>G113+G118</f>
        <v>232906.41597600002</v>
      </c>
      <c r="H119" s="197"/>
    </row>
    <row r="120" spans="1:20" s="31" customFormat="1" x14ac:dyDescent="0.3">
      <c r="A120" s="115" t="s">
        <v>56</v>
      </c>
      <c r="B120" s="115"/>
      <c r="C120" s="115"/>
      <c r="D120" s="115"/>
      <c r="E120" s="115"/>
      <c r="F120" s="115"/>
      <c r="G120" s="115"/>
      <c r="H120" s="115"/>
    </row>
    <row r="121" spans="1:20" x14ac:dyDescent="0.3">
      <c r="A121" s="151" t="s">
        <v>218</v>
      </c>
      <c r="B121" s="151"/>
      <c r="C121" s="151"/>
      <c r="D121" s="151"/>
      <c r="E121" s="151"/>
      <c r="F121" s="151"/>
      <c r="G121" s="151"/>
      <c r="H121" s="151"/>
      <c r="T121" s="32"/>
    </row>
    <row r="122" spans="1:20" ht="47.25" customHeight="1" x14ac:dyDescent="0.3">
      <c r="A122" s="183" t="s">
        <v>223</v>
      </c>
      <c r="B122" s="183" t="s">
        <v>219</v>
      </c>
      <c r="C122" s="183" t="s">
        <v>57</v>
      </c>
      <c r="D122" s="183" t="s">
        <v>220</v>
      </c>
      <c r="E122" s="184" t="s">
        <v>154</v>
      </c>
      <c r="F122" s="183" t="s">
        <v>58</v>
      </c>
      <c r="G122" s="184" t="s">
        <v>59</v>
      </c>
      <c r="H122" s="185" t="s">
        <v>147</v>
      </c>
      <c r="T122" s="32"/>
    </row>
    <row r="123" spans="1:20" s="34" customFormat="1" x14ac:dyDescent="0.3">
      <c r="A123" s="186"/>
      <c r="B123" s="186"/>
      <c r="C123" s="186"/>
      <c r="D123" s="186"/>
      <c r="E123" s="187"/>
      <c r="F123" s="186"/>
      <c r="G123" s="187"/>
      <c r="H123" s="188">
        <v>0.6</v>
      </c>
      <c r="T123" s="32"/>
    </row>
    <row r="124" spans="1:20" x14ac:dyDescent="0.3">
      <c r="A124" s="181" t="s">
        <v>195</v>
      </c>
      <c r="B124" s="181"/>
      <c r="C124" s="181"/>
      <c r="D124" s="181"/>
      <c r="E124" s="181"/>
      <c r="F124" s="181"/>
      <c r="G124" s="181"/>
      <c r="H124" s="181"/>
    </row>
    <row r="125" spans="1:20" s="34" customFormat="1" x14ac:dyDescent="0.3">
      <c r="A125" s="74" t="s">
        <v>226</v>
      </c>
      <c r="B125" s="74"/>
      <c r="C125" s="74"/>
      <c r="D125" s="74"/>
      <c r="E125" s="74"/>
      <c r="F125" s="74"/>
      <c r="G125" s="74"/>
      <c r="H125" s="74"/>
      <c r="J125" s="33"/>
    </row>
    <row r="126" spans="1:20" s="34" customFormat="1" ht="15.6" customHeight="1" x14ac:dyDescent="0.3">
      <c r="A126" s="64">
        <v>1</v>
      </c>
      <c r="B126" s="65"/>
      <c r="C126" s="39" t="s">
        <v>172</v>
      </c>
      <c r="D126" s="39">
        <f>37.56*10.764</f>
        <v>404.29584</v>
      </c>
      <c r="E126" s="39">
        <f>12.5*10.764</f>
        <v>134.54999999999998</v>
      </c>
      <c r="F126" s="39">
        <f t="shared" ref="F126:F172" si="4">D126+(IF(E126&lt;201,E126,IF(E126&lt;301,E126/2,E126/3)))</f>
        <v>538.84583999999995</v>
      </c>
      <c r="G126" s="39">
        <v>0</v>
      </c>
      <c r="H126" s="39">
        <f>(F126+(IF(G126&lt;101,G126,IF(G126&lt;201,G126/2,IF(G126&lt;=301,G126/3,G126/4)))))*(($H$123)+1)</f>
        <v>862.15334399999995</v>
      </c>
      <c r="I126" s="33"/>
      <c r="J126" s="34">
        <f>(3.65*7.9)+1.5*1.2+2*1.35</f>
        <v>33.335000000000001</v>
      </c>
      <c r="L126" s="62"/>
      <c r="M126" s="62"/>
      <c r="N126" s="33"/>
    </row>
    <row r="127" spans="1:20" s="34" customFormat="1" ht="15.6" customHeight="1" x14ac:dyDescent="0.3">
      <c r="A127" s="63">
        <f t="shared" ref="A127:A149" si="5">A126+1</f>
        <v>2</v>
      </c>
      <c r="B127" s="63"/>
      <c r="C127" s="39" t="s">
        <v>172</v>
      </c>
      <c r="D127" s="39">
        <f>27.66*10.764</f>
        <v>297.73223999999999</v>
      </c>
      <c r="E127" s="39">
        <f>9.22*10.764</f>
        <v>99.244079999999997</v>
      </c>
      <c r="F127" s="39">
        <f t="shared" si="4"/>
        <v>396.97631999999999</v>
      </c>
      <c r="G127" s="39">
        <v>0</v>
      </c>
      <c r="H127" s="39">
        <f t="shared" ref="H127:H149" si="6">(F127+(IF(G127&lt;101,G127,IF(G127&lt;201,G127/2,IF(G127&lt;=301,G127/3,G127/4)))))*(($H$123)+1)</f>
        <v>635.16211199999998</v>
      </c>
      <c r="I127" s="33"/>
      <c r="J127" s="34">
        <f>7.9</f>
        <v>7.9</v>
      </c>
      <c r="L127" s="62"/>
      <c r="M127" s="62"/>
      <c r="N127" s="33"/>
    </row>
    <row r="128" spans="1:20" s="34" customFormat="1" ht="15.6" customHeight="1" x14ac:dyDescent="0.3">
      <c r="A128" s="63">
        <f t="shared" si="5"/>
        <v>3</v>
      </c>
      <c r="B128" s="63"/>
      <c r="C128" s="39" t="s">
        <v>172</v>
      </c>
      <c r="D128" s="39">
        <f>48.65*10.764</f>
        <v>523.66859999999997</v>
      </c>
      <c r="E128" s="39">
        <f>20.41*10.764</f>
        <v>219.69323999999997</v>
      </c>
      <c r="F128" s="39">
        <f t="shared" si="4"/>
        <v>633.51522</v>
      </c>
      <c r="G128" s="39">
        <v>0</v>
      </c>
      <c r="H128" s="39">
        <f t="shared" si="6"/>
        <v>1013.624352</v>
      </c>
      <c r="I128" s="33"/>
      <c r="L128" s="62"/>
      <c r="M128" s="62"/>
      <c r="N128" s="33"/>
    </row>
    <row r="129" spans="1:14" s="34" customFormat="1" ht="15.6" customHeight="1" x14ac:dyDescent="0.3">
      <c r="A129" s="63">
        <f t="shared" si="5"/>
        <v>4</v>
      </c>
      <c r="B129" s="63"/>
      <c r="C129" s="39" t="s">
        <v>172</v>
      </c>
      <c r="D129" s="39">
        <f>33.61*10.764</f>
        <v>361.77803999999998</v>
      </c>
      <c r="E129" s="39">
        <f>10.97*10.764</f>
        <v>118.08108</v>
      </c>
      <c r="F129" s="39">
        <f t="shared" si="4"/>
        <v>479.85911999999996</v>
      </c>
      <c r="G129" s="39">
        <v>0</v>
      </c>
      <c r="H129" s="39">
        <f t="shared" si="6"/>
        <v>767.77459199999998</v>
      </c>
      <c r="I129" s="33"/>
      <c r="L129" s="62"/>
      <c r="M129" s="62"/>
      <c r="N129" s="33"/>
    </row>
    <row r="130" spans="1:14" s="34" customFormat="1" ht="15.6" customHeight="1" x14ac:dyDescent="0.3">
      <c r="A130" s="63">
        <f t="shared" si="5"/>
        <v>5</v>
      </c>
      <c r="B130" s="63"/>
      <c r="C130" s="39" t="s">
        <v>172</v>
      </c>
      <c r="D130" s="39">
        <f>27.74*10.764</f>
        <v>298.59335999999996</v>
      </c>
      <c r="E130" s="39">
        <f>9.7*10.764</f>
        <v>104.41079999999998</v>
      </c>
      <c r="F130" s="39">
        <f t="shared" si="4"/>
        <v>403.00415999999996</v>
      </c>
      <c r="G130" s="39">
        <v>0</v>
      </c>
      <c r="H130" s="39">
        <f t="shared" si="6"/>
        <v>644.80665599999998</v>
      </c>
      <c r="I130" s="33"/>
      <c r="L130" s="62"/>
      <c r="M130" s="62"/>
      <c r="N130" s="33"/>
    </row>
    <row r="131" spans="1:14" s="34" customFormat="1" ht="15.6" customHeight="1" x14ac:dyDescent="0.3">
      <c r="A131" s="63">
        <f t="shared" si="5"/>
        <v>6</v>
      </c>
      <c r="B131" s="63"/>
      <c r="C131" s="39" t="s">
        <v>172</v>
      </c>
      <c r="D131" s="39">
        <f>27.41*10.764</f>
        <v>295.04123999999996</v>
      </c>
      <c r="E131" s="39">
        <f>9.12*10.764</f>
        <v>98.16767999999999</v>
      </c>
      <c r="F131" s="39">
        <f t="shared" si="4"/>
        <v>393.20891999999992</v>
      </c>
      <c r="G131" s="39">
        <v>0</v>
      </c>
      <c r="H131" s="39">
        <f t="shared" si="6"/>
        <v>629.1342719999999</v>
      </c>
      <c r="I131" s="33"/>
      <c r="L131" s="62"/>
      <c r="M131" s="62"/>
      <c r="N131" s="33"/>
    </row>
    <row r="132" spans="1:14" s="34" customFormat="1" ht="15.6" customHeight="1" x14ac:dyDescent="0.3">
      <c r="A132" s="63">
        <f t="shared" si="5"/>
        <v>7</v>
      </c>
      <c r="B132" s="63"/>
      <c r="C132" s="39" t="s">
        <v>172</v>
      </c>
      <c r="D132" s="39">
        <f>21.78*10.764</f>
        <v>234.43992</v>
      </c>
      <c r="E132" s="39">
        <f>7.25*10.764</f>
        <v>78.039000000000001</v>
      </c>
      <c r="F132" s="39">
        <f t="shared" si="4"/>
        <v>312.47892000000002</v>
      </c>
      <c r="G132" s="39">
        <v>0</v>
      </c>
      <c r="H132" s="39">
        <f t="shared" si="6"/>
        <v>499.96627200000006</v>
      </c>
      <c r="I132" s="33"/>
      <c r="L132" s="62"/>
      <c r="M132" s="62"/>
      <c r="N132" s="33"/>
    </row>
    <row r="133" spans="1:14" s="34" customFormat="1" ht="15.6" customHeight="1" x14ac:dyDescent="0.3">
      <c r="A133" s="63">
        <f t="shared" si="5"/>
        <v>8</v>
      </c>
      <c r="B133" s="63"/>
      <c r="C133" s="39" t="s">
        <v>172</v>
      </c>
      <c r="D133" s="39">
        <f>32.07*10.764</f>
        <v>345.20148</v>
      </c>
      <c r="E133" s="39">
        <f>11.06*10.764</f>
        <v>119.04984</v>
      </c>
      <c r="F133" s="39">
        <f t="shared" si="4"/>
        <v>464.25132000000002</v>
      </c>
      <c r="G133" s="39">
        <v>0</v>
      </c>
      <c r="H133" s="39">
        <f t="shared" si="6"/>
        <v>742.80211200000008</v>
      </c>
      <c r="I133" s="33"/>
      <c r="L133" s="62"/>
      <c r="M133" s="62"/>
      <c r="N133" s="33"/>
    </row>
    <row r="134" spans="1:14" s="34" customFormat="1" ht="15.6" customHeight="1" x14ac:dyDescent="0.3">
      <c r="A134" s="63">
        <f t="shared" si="5"/>
        <v>9</v>
      </c>
      <c r="B134" s="63"/>
      <c r="C134" s="39" t="s">
        <v>172</v>
      </c>
      <c r="D134" s="39">
        <f>31.39*10.764</f>
        <v>337.88195999999999</v>
      </c>
      <c r="E134" s="39">
        <f>10.45*10.764</f>
        <v>112.48379999999999</v>
      </c>
      <c r="F134" s="39">
        <f t="shared" si="4"/>
        <v>450.36575999999997</v>
      </c>
      <c r="G134" s="39">
        <v>0</v>
      </c>
      <c r="H134" s="39">
        <f t="shared" si="6"/>
        <v>720.58521599999995</v>
      </c>
      <c r="I134" s="33"/>
      <c r="L134" s="62"/>
      <c r="M134" s="62"/>
      <c r="N134" s="33"/>
    </row>
    <row r="135" spans="1:14" s="34" customFormat="1" ht="15.6" customHeight="1" x14ac:dyDescent="0.3">
      <c r="A135" s="63">
        <f t="shared" si="5"/>
        <v>10</v>
      </c>
      <c r="B135" s="63"/>
      <c r="C135" s="39" t="s">
        <v>172</v>
      </c>
      <c r="D135" s="39">
        <f>29.39*10.764</f>
        <v>316.35395999999997</v>
      </c>
      <c r="E135" s="39">
        <f>9.7*10.764</f>
        <v>104.41079999999998</v>
      </c>
      <c r="F135" s="39">
        <f t="shared" si="4"/>
        <v>420.76475999999997</v>
      </c>
      <c r="G135" s="39">
        <v>0</v>
      </c>
      <c r="H135" s="39">
        <f t="shared" si="6"/>
        <v>673.22361599999999</v>
      </c>
      <c r="I135" s="33"/>
      <c r="L135" s="62"/>
      <c r="M135" s="62"/>
      <c r="N135" s="33"/>
    </row>
    <row r="136" spans="1:14" s="34" customFormat="1" ht="15.6" customHeight="1" x14ac:dyDescent="0.3">
      <c r="A136" s="64">
        <f t="shared" si="5"/>
        <v>11</v>
      </c>
      <c r="B136" s="65"/>
      <c r="C136" s="39" t="s">
        <v>172</v>
      </c>
      <c r="D136" s="39">
        <f>37.56*10.764</f>
        <v>404.29584</v>
      </c>
      <c r="E136" s="39">
        <f>13*10.764</f>
        <v>139.93199999999999</v>
      </c>
      <c r="F136" s="39">
        <f t="shared" si="4"/>
        <v>544.22784000000001</v>
      </c>
      <c r="G136" s="39">
        <v>0</v>
      </c>
      <c r="H136" s="39">
        <f t="shared" si="6"/>
        <v>870.76454400000011</v>
      </c>
      <c r="I136" s="33"/>
      <c r="L136" s="62"/>
      <c r="M136" s="62"/>
      <c r="N136" s="33"/>
    </row>
    <row r="137" spans="1:14" s="34" customFormat="1" ht="15.6" customHeight="1" x14ac:dyDescent="0.3">
      <c r="A137" s="64">
        <f t="shared" si="5"/>
        <v>12</v>
      </c>
      <c r="B137" s="65"/>
      <c r="C137" s="39" t="s">
        <v>172</v>
      </c>
      <c r="D137" s="39">
        <f>41.69*10.764</f>
        <v>448.75115999999997</v>
      </c>
      <c r="E137" s="39">
        <f>13.88*10.764</f>
        <v>149.40432000000001</v>
      </c>
      <c r="F137" s="39">
        <f t="shared" si="4"/>
        <v>598.15548000000001</v>
      </c>
      <c r="G137" s="39">
        <v>0</v>
      </c>
      <c r="H137" s="39">
        <f t="shared" si="6"/>
        <v>957.04876800000011</v>
      </c>
      <c r="I137" s="33"/>
      <c r="L137" s="62"/>
      <c r="M137" s="62"/>
      <c r="N137" s="33"/>
    </row>
    <row r="138" spans="1:14" s="34" customFormat="1" ht="15.6" customHeight="1" x14ac:dyDescent="0.3">
      <c r="A138" s="64">
        <f t="shared" si="5"/>
        <v>13</v>
      </c>
      <c r="B138" s="65"/>
      <c r="C138" s="39" t="s">
        <v>172</v>
      </c>
      <c r="D138" s="39">
        <f>68.02*10.764</f>
        <v>732.16727999999989</v>
      </c>
      <c r="E138" s="39">
        <f>23.83*10.764</f>
        <v>256.50611999999995</v>
      </c>
      <c r="F138" s="39">
        <f t="shared" si="4"/>
        <v>860.4203399999999</v>
      </c>
      <c r="G138" s="39">
        <v>0</v>
      </c>
      <c r="H138" s="39">
        <f t="shared" si="6"/>
        <v>1376.672544</v>
      </c>
      <c r="I138" s="33"/>
      <c r="L138" s="62"/>
      <c r="M138" s="62"/>
      <c r="N138" s="33"/>
    </row>
    <row r="139" spans="1:14" s="34" customFormat="1" ht="15.6" customHeight="1" x14ac:dyDescent="0.3">
      <c r="A139" s="64">
        <f t="shared" si="5"/>
        <v>14</v>
      </c>
      <c r="B139" s="65"/>
      <c r="C139" s="39" t="s">
        <v>172</v>
      </c>
      <c r="D139" s="39">
        <f>35.52*10.764</f>
        <v>382.33728000000002</v>
      </c>
      <c r="E139" s="39">
        <f>11.82*10.764</f>
        <v>127.23048</v>
      </c>
      <c r="F139" s="39">
        <f t="shared" si="4"/>
        <v>509.56776000000002</v>
      </c>
      <c r="G139" s="39">
        <v>0</v>
      </c>
      <c r="H139" s="39">
        <f t="shared" si="6"/>
        <v>815.30841600000008</v>
      </c>
      <c r="I139" s="33"/>
      <c r="L139" s="62"/>
      <c r="M139" s="62"/>
      <c r="N139" s="33"/>
    </row>
    <row r="140" spans="1:14" s="34" customFormat="1" ht="15.6" customHeight="1" x14ac:dyDescent="0.3">
      <c r="A140" s="64">
        <f t="shared" si="5"/>
        <v>15</v>
      </c>
      <c r="B140" s="65"/>
      <c r="C140" s="39" t="s">
        <v>172</v>
      </c>
      <c r="D140" s="39">
        <f>56.25*10.764</f>
        <v>605.47499999999991</v>
      </c>
      <c r="E140" s="39">
        <f>24.29*10.764</f>
        <v>261.45756</v>
      </c>
      <c r="F140" s="39">
        <f t="shared" si="4"/>
        <v>736.20377999999994</v>
      </c>
      <c r="G140" s="39">
        <v>0</v>
      </c>
      <c r="H140" s="39">
        <f t="shared" si="6"/>
        <v>1177.926048</v>
      </c>
      <c r="I140" s="33"/>
      <c r="L140" s="62"/>
      <c r="M140" s="62"/>
      <c r="N140" s="33"/>
    </row>
    <row r="141" spans="1:14" s="34" customFormat="1" ht="15.6" customHeight="1" x14ac:dyDescent="0.3">
      <c r="A141" s="64">
        <f t="shared" si="5"/>
        <v>16</v>
      </c>
      <c r="B141" s="65"/>
      <c r="C141" s="39" t="s">
        <v>172</v>
      </c>
      <c r="D141" s="39">
        <f>30.72*10.764</f>
        <v>330.67007999999998</v>
      </c>
      <c r="E141" s="39">
        <f>10.34*10.764</f>
        <v>111.29975999999999</v>
      </c>
      <c r="F141" s="39">
        <f t="shared" si="4"/>
        <v>441.96983999999998</v>
      </c>
      <c r="G141" s="39">
        <v>0</v>
      </c>
      <c r="H141" s="39">
        <f t="shared" si="6"/>
        <v>707.15174400000001</v>
      </c>
      <c r="I141" s="33"/>
      <c r="L141" s="62"/>
      <c r="M141" s="62"/>
      <c r="N141" s="33"/>
    </row>
    <row r="142" spans="1:14" s="34" customFormat="1" ht="15.6" customHeight="1" x14ac:dyDescent="0.3">
      <c r="A142" s="64">
        <f>A141+1</f>
        <v>17</v>
      </c>
      <c r="B142" s="65"/>
      <c r="C142" s="39" t="s">
        <v>172</v>
      </c>
      <c r="D142" s="39">
        <f>41.71*10.764</f>
        <v>448.96643999999998</v>
      </c>
      <c r="E142" s="39">
        <f>13.88*10.764</f>
        <v>149.40432000000001</v>
      </c>
      <c r="F142" s="39">
        <f t="shared" si="4"/>
        <v>598.37076000000002</v>
      </c>
      <c r="G142" s="39">
        <v>0</v>
      </c>
      <c r="H142" s="39">
        <f t="shared" si="6"/>
        <v>957.39321600000005</v>
      </c>
      <c r="I142" s="33"/>
      <c r="L142" s="62"/>
      <c r="M142" s="62"/>
      <c r="N142" s="33"/>
    </row>
    <row r="143" spans="1:14" s="34" customFormat="1" ht="15.6" customHeight="1" x14ac:dyDescent="0.3">
      <c r="A143" s="64">
        <f t="shared" si="5"/>
        <v>18</v>
      </c>
      <c r="B143" s="65"/>
      <c r="C143" s="39" t="s">
        <v>172</v>
      </c>
      <c r="D143" s="39">
        <f>37.56*10.764</f>
        <v>404.29584</v>
      </c>
      <c r="E143" s="39">
        <f>13*10.764</f>
        <v>139.93199999999999</v>
      </c>
      <c r="F143" s="39">
        <f t="shared" si="4"/>
        <v>544.22784000000001</v>
      </c>
      <c r="G143" s="39">
        <v>0</v>
      </c>
      <c r="H143" s="39">
        <f t="shared" si="6"/>
        <v>870.76454400000011</v>
      </c>
      <c r="I143" s="33"/>
      <c r="L143" s="62"/>
      <c r="M143" s="62"/>
      <c r="N143" s="33"/>
    </row>
    <row r="144" spans="1:14" s="34" customFormat="1" ht="15.6" customHeight="1" x14ac:dyDescent="0.3">
      <c r="A144" s="64">
        <f t="shared" si="5"/>
        <v>19</v>
      </c>
      <c r="B144" s="65"/>
      <c r="C144" s="39" t="s">
        <v>172</v>
      </c>
      <c r="D144" s="39">
        <f>29.89*10.764</f>
        <v>321.73595999999998</v>
      </c>
      <c r="E144" s="39">
        <f>9.7*10.764</f>
        <v>104.41079999999998</v>
      </c>
      <c r="F144" s="39">
        <f t="shared" si="4"/>
        <v>426.14675999999997</v>
      </c>
      <c r="G144" s="39">
        <v>0</v>
      </c>
      <c r="H144" s="39">
        <f t="shared" si="6"/>
        <v>681.83481600000005</v>
      </c>
      <c r="I144" s="33"/>
      <c r="L144" s="62"/>
      <c r="M144" s="62"/>
      <c r="N144" s="33"/>
    </row>
    <row r="145" spans="1:14" s="34" customFormat="1" ht="15.6" customHeight="1" x14ac:dyDescent="0.3">
      <c r="A145" s="64">
        <f t="shared" si="5"/>
        <v>20</v>
      </c>
      <c r="B145" s="65"/>
      <c r="C145" s="39" t="s">
        <v>172</v>
      </c>
      <c r="D145" s="39">
        <f>31.39*10.764</f>
        <v>337.88195999999999</v>
      </c>
      <c r="E145" s="39">
        <f>10.45*10.764</f>
        <v>112.48379999999999</v>
      </c>
      <c r="F145" s="39">
        <f t="shared" si="4"/>
        <v>450.36575999999997</v>
      </c>
      <c r="G145" s="39">
        <v>0</v>
      </c>
      <c r="H145" s="39">
        <f t="shared" si="6"/>
        <v>720.58521599999995</v>
      </c>
      <c r="I145" s="33"/>
      <c r="L145" s="62"/>
      <c r="M145" s="62"/>
      <c r="N145" s="33"/>
    </row>
    <row r="146" spans="1:14" s="34" customFormat="1" ht="15.6" customHeight="1" x14ac:dyDescent="0.3">
      <c r="A146" s="64">
        <f t="shared" si="5"/>
        <v>21</v>
      </c>
      <c r="B146" s="65"/>
      <c r="C146" s="39" t="s">
        <v>172</v>
      </c>
      <c r="D146" s="39">
        <f>31.95*10.764</f>
        <v>343.90979999999996</v>
      </c>
      <c r="E146" s="39">
        <f>11.07*10.764</f>
        <v>119.15747999999999</v>
      </c>
      <c r="F146" s="39">
        <f t="shared" si="4"/>
        <v>463.06727999999998</v>
      </c>
      <c r="G146" s="39">
        <v>0</v>
      </c>
      <c r="H146" s="39">
        <f t="shared" si="6"/>
        <v>740.90764799999999</v>
      </c>
      <c r="I146" s="33"/>
      <c r="L146" s="62"/>
      <c r="M146" s="62"/>
      <c r="N146" s="33"/>
    </row>
    <row r="147" spans="1:14" s="34" customFormat="1" ht="15.6" customHeight="1" x14ac:dyDescent="0.3">
      <c r="A147" s="64">
        <f>A146+1</f>
        <v>22</v>
      </c>
      <c r="B147" s="65"/>
      <c r="C147" s="39" t="s">
        <v>172</v>
      </c>
      <c r="D147" s="39">
        <f>40.13*10.764</f>
        <v>431.95931999999999</v>
      </c>
      <c r="E147" s="39">
        <f>13.24*10.764</f>
        <v>142.51535999999999</v>
      </c>
      <c r="F147" s="39">
        <f t="shared" si="4"/>
        <v>574.47468000000003</v>
      </c>
      <c r="G147" s="39">
        <v>0</v>
      </c>
      <c r="H147" s="39">
        <f t="shared" si="6"/>
        <v>919.15948800000012</v>
      </c>
      <c r="I147" s="33"/>
      <c r="L147" s="62"/>
      <c r="M147" s="62"/>
      <c r="N147" s="33"/>
    </row>
    <row r="148" spans="1:14" s="34" customFormat="1" ht="15.6" customHeight="1" x14ac:dyDescent="0.3">
      <c r="A148" s="64">
        <f t="shared" si="5"/>
        <v>23</v>
      </c>
      <c r="B148" s="65"/>
      <c r="C148" s="39" t="s">
        <v>172</v>
      </c>
      <c r="D148" s="39">
        <f>33.75*10.764</f>
        <v>363.28499999999997</v>
      </c>
      <c r="E148" s="39">
        <f>16.79*10.764</f>
        <v>180.72755999999998</v>
      </c>
      <c r="F148" s="39">
        <f t="shared" si="4"/>
        <v>544.01255999999989</v>
      </c>
      <c r="G148" s="39">
        <v>0</v>
      </c>
      <c r="H148" s="39">
        <f t="shared" si="6"/>
        <v>870.42009599999983</v>
      </c>
      <c r="I148" s="33"/>
      <c r="L148" s="62"/>
      <c r="M148" s="62"/>
      <c r="N148" s="33"/>
    </row>
    <row r="149" spans="1:14" s="34" customFormat="1" ht="15.6" customHeight="1" x14ac:dyDescent="0.3">
      <c r="A149" s="64">
        <f t="shared" si="5"/>
        <v>24</v>
      </c>
      <c r="B149" s="65"/>
      <c r="C149" s="39" t="s">
        <v>172</v>
      </c>
      <c r="D149" s="39">
        <f>5.81*10.764</f>
        <v>62.538839999999993</v>
      </c>
      <c r="E149" s="39">
        <v>0</v>
      </c>
      <c r="F149" s="39">
        <f t="shared" si="4"/>
        <v>62.538839999999993</v>
      </c>
      <c r="G149" s="39">
        <v>0</v>
      </c>
      <c r="H149" s="39">
        <f t="shared" si="6"/>
        <v>100.06214399999999</v>
      </c>
      <c r="I149" s="33"/>
      <c r="L149" s="62"/>
      <c r="M149" s="62"/>
      <c r="N149" s="33"/>
    </row>
    <row r="150" spans="1:14" s="34" customFormat="1" x14ac:dyDescent="0.3">
      <c r="A150" s="70" t="s">
        <v>245</v>
      </c>
      <c r="B150" s="71"/>
      <c r="C150" s="71"/>
      <c r="D150" s="71"/>
      <c r="E150" s="71"/>
      <c r="F150" s="71"/>
      <c r="G150" s="71"/>
      <c r="H150" s="72"/>
      <c r="I150" s="34">
        <v>1</v>
      </c>
      <c r="J150" s="33"/>
    </row>
    <row r="151" spans="1:14" s="34" customFormat="1" ht="15.6" customHeight="1" x14ac:dyDescent="0.3">
      <c r="A151" s="64">
        <v>1</v>
      </c>
      <c r="B151" s="65"/>
      <c r="C151" s="39" t="s">
        <v>173</v>
      </c>
      <c r="D151" s="39">
        <f>37.87*10.764</f>
        <v>407.63267999999994</v>
      </c>
      <c r="E151" s="39">
        <f>12.5*10.764</f>
        <v>134.54999999999998</v>
      </c>
      <c r="F151" s="39">
        <f>D151+(IF(E151&lt;201,E151,IF(E151&lt;301,E151/2,E151/3)))</f>
        <v>542.18267999999989</v>
      </c>
      <c r="G151" s="39">
        <v>0</v>
      </c>
      <c r="H151" s="39">
        <f>(F151+(IF(G151&lt;101,G151,IF(G151&lt;201,G151/2,IF(G151&lt;=301,G151/3,G151/4)))))*(($H$123)+1)</f>
        <v>867.49228799999992</v>
      </c>
      <c r="I151" s="33"/>
      <c r="L151" s="62"/>
      <c r="M151" s="62"/>
      <c r="N151" s="33"/>
    </row>
    <row r="152" spans="1:14" s="34" customFormat="1" ht="15.6" customHeight="1" x14ac:dyDescent="0.3">
      <c r="A152" s="64">
        <f t="shared" ref="A152:A171" si="7">A151+1</f>
        <v>2</v>
      </c>
      <c r="B152" s="65"/>
      <c r="C152" s="39" t="s">
        <v>173</v>
      </c>
      <c r="D152" s="39">
        <f>27.95*10.764</f>
        <v>300.85379999999998</v>
      </c>
      <c r="E152" s="39">
        <f>9.22*10.764</f>
        <v>99.244079999999997</v>
      </c>
      <c r="F152" s="39">
        <f t="shared" si="4"/>
        <v>400.09787999999998</v>
      </c>
      <c r="G152" s="39">
        <v>0</v>
      </c>
      <c r="H152" s="39">
        <f t="shared" ref="H152:H172" si="8">(F152+(IF(G152&lt;101,G152,IF(G152&lt;201,G152/2,IF(G152&lt;=301,G152/3,G152/4)))))*(($H$123)+1)</f>
        <v>640.15660800000001</v>
      </c>
      <c r="I152" s="33"/>
      <c r="L152" s="62"/>
      <c r="M152" s="62"/>
      <c r="N152" s="33"/>
    </row>
    <row r="153" spans="1:14" s="34" customFormat="1" ht="15.6" customHeight="1" x14ac:dyDescent="0.3">
      <c r="A153" s="64">
        <f t="shared" si="7"/>
        <v>3</v>
      </c>
      <c r="B153" s="65"/>
      <c r="C153" s="39" t="s">
        <v>173</v>
      </c>
      <c r="D153" s="39">
        <f>49.37*10.764</f>
        <v>531.41867999999999</v>
      </c>
      <c r="E153" s="39">
        <f>20.43*10.764</f>
        <v>219.90851999999998</v>
      </c>
      <c r="F153" s="39">
        <f t="shared" si="4"/>
        <v>641.37293999999997</v>
      </c>
      <c r="G153" s="39">
        <v>0</v>
      </c>
      <c r="H153" s="39">
        <f t="shared" si="8"/>
        <v>1026.196704</v>
      </c>
      <c r="I153" s="33"/>
      <c r="L153" s="62"/>
      <c r="M153" s="62"/>
      <c r="N153" s="33"/>
    </row>
    <row r="154" spans="1:14" s="34" customFormat="1" ht="15.6" customHeight="1" x14ac:dyDescent="0.3">
      <c r="A154" s="64">
        <f t="shared" si="7"/>
        <v>4</v>
      </c>
      <c r="B154" s="65"/>
      <c r="C154" s="39" t="s">
        <v>173</v>
      </c>
      <c r="D154" s="39">
        <f>33.48*10.764</f>
        <v>360.37871999999993</v>
      </c>
      <c r="E154" s="39">
        <f>10.97*10.764</f>
        <v>118.08108</v>
      </c>
      <c r="F154" s="39">
        <f t="shared" si="4"/>
        <v>478.45979999999992</v>
      </c>
      <c r="G154" s="39">
        <v>0</v>
      </c>
      <c r="H154" s="39">
        <f t="shared" si="8"/>
        <v>765.53567999999996</v>
      </c>
      <c r="I154" s="33"/>
      <c r="L154" s="62"/>
      <c r="M154" s="62"/>
      <c r="N154" s="33"/>
    </row>
    <row r="155" spans="1:14" s="34" customFormat="1" ht="15.6" customHeight="1" x14ac:dyDescent="0.3">
      <c r="A155" s="64">
        <f t="shared" si="7"/>
        <v>5</v>
      </c>
      <c r="B155" s="65"/>
      <c r="C155" s="39" t="s">
        <v>173</v>
      </c>
      <c r="D155" s="39">
        <f>28.05*10.764</f>
        <v>301.93020000000001</v>
      </c>
      <c r="E155" s="39">
        <f>9.7*10.764</f>
        <v>104.41079999999998</v>
      </c>
      <c r="F155" s="39">
        <f t="shared" si="4"/>
        <v>406.34100000000001</v>
      </c>
      <c r="G155" s="39">
        <v>0</v>
      </c>
      <c r="H155" s="39">
        <f t="shared" si="8"/>
        <v>650.14560000000006</v>
      </c>
      <c r="I155" s="33"/>
      <c r="L155" s="62"/>
      <c r="M155" s="62"/>
      <c r="N155" s="33"/>
    </row>
    <row r="156" spans="1:14" s="34" customFormat="1" ht="15.6" customHeight="1" x14ac:dyDescent="0.3">
      <c r="A156" s="64">
        <f t="shared" si="7"/>
        <v>6</v>
      </c>
      <c r="B156" s="65"/>
      <c r="C156" s="39" t="s">
        <v>173</v>
      </c>
      <c r="D156" s="39">
        <f>27.71*10.764</f>
        <v>298.27044000000001</v>
      </c>
      <c r="E156" s="39">
        <f>9.32*10.764</f>
        <v>100.32048</v>
      </c>
      <c r="F156" s="39">
        <f t="shared" si="4"/>
        <v>398.59091999999998</v>
      </c>
      <c r="G156" s="39">
        <v>0</v>
      </c>
      <c r="H156" s="39">
        <f t="shared" si="8"/>
        <v>637.74547200000006</v>
      </c>
      <c r="I156" s="33"/>
      <c r="L156" s="62"/>
      <c r="M156" s="62"/>
      <c r="N156" s="33"/>
    </row>
    <row r="157" spans="1:14" s="34" customFormat="1" ht="15.6" customHeight="1" x14ac:dyDescent="0.3">
      <c r="A157" s="64">
        <f t="shared" si="7"/>
        <v>7</v>
      </c>
      <c r="B157" s="65"/>
      <c r="C157" s="39" t="s">
        <v>173</v>
      </c>
      <c r="D157" s="39">
        <f>22.1*10.764</f>
        <v>237.8844</v>
      </c>
      <c r="E157" s="39">
        <f>7.25*10.764</f>
        <v>78.039000000000001</v>
      </c>
      <c r="F157" s="39">
        <f t="shared" si="4"/>
        <v>315.92340000000002</v>
      </c>
      <c r="G157" s="39">
        <v>0</v>
      </c>
      <c r="H157" s="39">
        <f t="shared" si="8"/>
        <v>505.47744000000006</v>
      </c>
      <c r="I157" s="33"/>
      <c r="L157" s="62"/>
      <c r="M157" s="62"/>
      <c r="N157" s="33"/>
    </row>
    <row r="158" spans="1:14" s="34" customFormat="1" ht="15.6" customHeight="1" x14ac:dyDescent="0.3">
      <c r="A158" s="64">
        <f t="shared" si="7"/>
        <v>8</v>
      </c>
      <c r="B158" s="65"/>
      <c r="C158" s="39" t="s">
        <v>173</v>
      </c>
      <c r="D158" s="39">
        <f>32.25*10.764</f>
        <v>347.13899999999995</v>
      </c>
      <c r="E158" s="39">
        <f>11.06*10.764</f>
        <v>119.04984</v>
      </c>
      <c r="F158" s="39">
        <f t="shared" si="4"/>
        <v>466.18883999999997</v>
      </c>
      <c r="G158" s="39">
        <v>0</v>
      </c>
      <c r="H158" s="39">
        <f t="shared" si="8"/>
        <v>745.90214400000002</v>
      </c>
      <c r="I158" s="33"/>
      <c r="L158" s="62"/>
      <c r="M158" s="62"/>
      <c r="N158" s="33"/>
    </row>
    <row r="159" spans="1:14" s="34" customFormat="1" ht="15.6" customHeight="1" x14ac:dyDescent="0.3">
      <c r="A159" s="64">
        <f t="shared" si="7"/>
        <v>9</v>
      </c>
      <c r="B159" s="65"/>
      <c r="C159" s="39" t="s">
        <v>173</v>
      </c>
      <c r="D159" s="39">
        <f>31.71*10.764</f>
        <v>341.32643999999999</v>
      </c>
      <c r="E159" s="39">
        <f>10.45*10.764</f>
        <v>112.48379999999999</v>
      </c>
      <c r="F159" s="39">
        <f t="shared" si="4"/>
        <v>453.81023999999996</v>
      </c>
      <c r="G159" s="39">
        <v>0</v>
      </c>
      <c r="H159" s="39">
        <f t="shared" si="8"/>
        <v>726.09638399999994</v>
      </c>
      <c r="I159" s="33"/>
      <c r="L159" s="62"/>
      <c r="M159" s="62"/>
      <c r="N159" s="33"/>
    </row>
    <row r="160" spans="1:14" s="34" customFormat="1" ht="15.6" customHeight="1" x14ac:dyDescent="0.3">
      <c r="A160" s="64">
        <f t="shared" si="7"/>
        <v>10</v>
      </c>
      <c r="B160" s="65"/>
      <c r="C160" s="39" t="s">
        <v>173</v>
      </c>
      <c r="D160" s="39">
        <f>29.68*10.764</f>
        <v>319.47551999999996</v>
      </c>
      <c r="E160" s="39">
        <f>9.7*10.764</f>
        <v>104.41079999999998</v>
      </c>
      <c r="F160" s="39">
        <f t="shared" si="4"/>
        <v>423.88631999999996</v>
      </c>
      <c r="G160" s="39">
        <v>0</v>
      </c>
      <c r="H160" s="39">
        <f t="shared" si="8"/>
        <v>678.21811200000002</v>
      </c>
      <c r="I160" s="33"/>
      <c r="L160" s="62"/>
      <c r="M160" s="62"/>
      <c r="N160" s="33"/>
    </row>
    <row r="161" spans="1:20" s="34" customFormat="1" ht="15.6" customHeight="1" x14ac:dyDescent="0.3">
      <c r="A161" s="64">
        <f t="shared" si="7"/>
        <v>11</v>
      </c>
      <c r="B161" s="65"/>
      <c r="C161" s="39" t="s">
        <v>173</v>
      </c>
      <c r="D161" s="39">
        <f>37.67*10.764</f>
        <v>405.47987999999998</v>
      </c>
      <c r="E161" s="39">
        <f>14.35*10.764</f>
        <v>154.46339999999998</v>
      </c>
      <c r="F161" s="39">
        <f t="shared" si="4"/>
        <v>559.94327999999996</v>
      </c>
      <c r="G161" s="39">
        <v>0</v>
      </c>
      <c r="H161" s="39">
        <f t="shared" si="8"/>
        <v>895.90924799999993</v>
      </c>
      <c r="I161" s="33"/>
      <c r="L161" s="62"/>
      <c r="M161" s="62"/>
      <c r="N161" s="33"/>
    </row>
    <row r="162" spans="1:20" s="34" customFormat="1" ht="15.6" customHeight="1" x14ac:dyDescent="0.3">
      <c r="A162" s="64">
        <f t="shared" si="7"/>
        <v>12</v>
      </c>
      <c r="B162" s="65"/>
      <c r="C162" s="39" t="s">
        <v>173</v>
      </c>
      <c r="D162" s="39">
        <f>42*10.764</f>
        <v>452.08799999999997</v>
      </c>
      <c r="E162" s="39">
        <f>13.88*10.764</f>
        <v>149.40432000000001</v>
      </c>
      <c r="F162" s="39">
        <f t="shared" si="4"/>
        <v>601.49231999999995</v>
      </c>
      <c r="G162" s="39">
        <v>0</v>
      </c>
      <c r="H162" s="39">
        <f t="shared" si="8"/>
        <v>962.38771199999996</v>
      </c>
      <c r="I162" s="33"/>
      <c r="L162" s="62"/>
      <c r="M162" s="62"/>
      <c r="N162" s="33"/>
    </row>
    <row r="163" spans="1:20" s="34" customFormat="1" ht="15.6" customHeight="1" x14ac:dyDescent="0.3">
      <c r="A163" s="64">
        <f t="shared" si="7"/>
        <v>13</v>
      </c>
      <c r="B163" s="65"/>
      <c r="C163" s="39" t="s">
        <v>173</v>
      </c>
      <c r="D163" s="39">
        <f>68.41*10.764</f>
        <v>736.36523999999997</v>
      </c>
      <c r="E163" s="39">
        <f>23.83*10.764</f>
        <v>256.50611999999995</v>
      </c>
      <c r="F163" s="39">
        <f t="shared" si="4"/>
        <v>864.61829999999998</v>
      </c>
      <c r="G163" s="39">
        <v>0</v>
      </c>
      <c r="H163" s="39">
        <f t="shared" si="8"/>
        <v>1383.3892800000001</v>
      </c>
      <c r="I163" s="33"/>
      <c r="L163" s="62"/>
      <c r="M163" s="62"/>
      <c r="N163" s="33"/>
    </row>
    <row r="164" spans="1:20" s="34" customFormat="1" ht="15.6" customHeight="1" x14ac:dyDescent="0.3">
      <c r="A164" s="64">
        <f t="shared" si="7"/>
        <v>14</v>
      </c>
      <c r="B164" s="65"/>
      <c r="C164" s="39" t="s">
        <v>173</v>
      </c>
      <c r="D164" s="39">
        <f>35.83*10.764</f>
        <v>385.67411999999996</v>
      </c>
      <c r="E164" s="39">
        <f>11.82*10.764</f>
        <v>127.23048</v>
      </c>
      <c r="F164" s="39">
        <f t="shared" si="4"/>
        <v>512.90459999999996</v>
      </c>
      <c r="G164" s="39">
        <v>0</v>
      </c>
      <c r="H164" s="39">
        <f t="shared" si="8"/>
        <v>820.64735999999994</v>
      </c>
      <c r="I164" s="33"/>
      <c r="L164" s="62"/>
      <c r="M164" s="62"/>
      <c r="N164" s="33"/>
    </row>
    <row r="165" spans="1:20" s="34" customFormat="1" ht="15.6" customHeight="1" x14ac:dyDescent="0.3">
      <c r="A165" s="64">
        <f t="shared" si="7"/>
        <v>15</v>
      </c>
      <c r="B165" s="65"/>
      <c r="C165" s="39" t="s">
        <v>173</v>
      </c>
      <c r="D165" s="39">
        <f>56.57*10.764</f>
        <v>608.91948000000002</v>
      </c>
      <c r="E165" s="39">
        <f>24.29*10.764</f>
        <v>261.45756</v>
      </c>
      <c r="F165" s="39">
        <f t="shared" si="4"/>
        <v>739.64826000000005</v>
      </c>
      <c r="G165" s="39">
        <v>0</v>
      </c>
      <c r="H165" s="39">
        <f t="shared" si="8"/>
        <v>1183.437216</v>
      </c>
      <c r="I165" s="33"/>
      <c r="L165" s="62"/>
      <c r="M165" s="62"/>
      <c r="N165" s="33"/>
    </row>
    <row r="166" spans="1:20" s="34" customFormat="1" ht="15.6" customHeight="1" x14ac:dyDescent="0.3">
      <c r="A166" s="64">
        <f t="shared" si="7"/>
        <v>16</v>
      </c>
      <c r="B166" s="65"/>
      <c r="C166" s="39" t="s">
        <v>173</v>
      </c>
      <c r="D166" s="39">
        <f>31.01*10.764</f>
        <v>333.79163999999997</v>
      </c>
      <c r="E166" s="39">
        <f>10.24*10.764</f>
        <v>110.22336</v>
      </c>
      <c r="F166" s="39">
        <f t="shared" si="4"/>
        <v>444.01499999999999</v>
      </c>
      <c r="G166" s="39">
        <v>0</v>
      </c>
      <c r="H166" s="39">
        <f t="shared" si="8"/>
        <v>710.42399999999998</v>
      </c>
      <c r="I166" s="33"/>
      <c r="L166" s="62"/>
      <c r="M166" s="62"/>
      <c r="N166" s="33"/>
    </row>
    <row r="167" spans="1:20" s="34" customFormat="1" ht="15.6" customHeight="1" x14ac:dyDescent="0.3">
      <c r="A167" s="64">
        <f>A166+1</f>
        <v>17</v>
      </c>
      <c r="B167" s="65"/>
      <c r="C167" s="39" t="s">
        <v>173</v>
      </c>
      <c r="D167" s="39">
        <f>42.02*10.764</f>
        <v>452.30328000000003</v>
      </c>
      <c r="E167" s="39">
        <f>13.88*10.764</f>
        <v>149.40432000000001</v>
      </c>
      <c r="F167" s="39">
        <f t="shared" si="4"/>
        <v>601.70760000000007</v>
      </c>
      <c r="G167" s="39">
        <v>0</v>
      </c>
      <c r="H167" s="39">
        <f t="shared" si="8"/>
        <v>962.73216000000014</v>
      </c>
      <c r="I167" s="33"/>
      <c r="L167" s="62"/>
      <c r="M167" s="62"/>
      <c r="N167" s="33"/>
    </row>
    <row r="168" spans="1:20" s="34" customFormat="1" ht="15.6" customHeight="1" x14ac:dyDescent="0.3">
      <c r="A168" s="64">
        <f t="shared" si="7"/>
        <v>18</v>
      </c>
      <c r="B168" s="65"/>
      <c r="C168" s="39" t="s">
        <v>173</v>
      </c>
      <c r="D168" s="39">
        <f>37.87*10.764</f>
        <v>407.63267999999994</v>
      </c>
      <c r="E168" s="39">
        <f>12.5*10.764</f>
        <v>134.54999999999998</v>
      </c>
      <c r="F168" s="39">
        <f t="shared" si="4"/>
        <v>542.18267999999989</v>
      </c>
      <c r="G168" s="39">
        <v>0</v>
      </c>
      <c r="H168" s="39">
        <f t="shared" si="8"/>
        <v>867.49228799999992</v>
      </c>
      <c r="I168" s="33"/>
      <c r="L168" s="62"/>
      <c r="M168" s="62"/>
      <c r="N168" s="33"/>
    </row>
    <row r="169" spans="1:20" s="34" customFormat="1" ht="15.6" customHeight="1" x14ac:dyDescent="0.3">
      <c r="A169" s="64">
        <f t="shared" si="7"/>
        <v>19</v>
      </c>
      <c r="B169" s="65"/>
      <c r="C169" s="39" t="s">
        <v>173</v>
      </c>
      <c r="D169" s="39">
        <f>29.68*10.764</f>
        <v>319.47551999999996</v>
      </c>
      <c r="E169" s="39">
        <f>9.7*10.764</f>
        <v>104.41079999999998</v>
      </c>
      <c r="F169" s="39">
        <f t="shared" si="4"/>
        <v>423.88631999999996</v>
      </c>
      <c r="G169" s="39">
        <v>0</v>
      </c>
      <c r="H169" s="39">
        <f t="shared" si="8"/>
        <v>678.21811200000002</v>
      </c>
      <c r="I169" s="33"/>
      <c r="L169" s="62"/>
      <c r="M169" s="62"/>
      <c r="N169" s="33"/>
    </row>
    <row r="170" spans="1:20" s="34" customFormat="1" ht="15.6" customHeight="1" x14ac:dyDescent="0.3">
      <c r="A170" s="64">
        <f t="shared" si="7"/>
        <v>20</v>
      </c>
      <c r="B170" s="65"/>
      <c r="C170" s="39" t="s">
        <v>173</v>
      </c>
      <c r="D170" s="39">
        <f>31.71*10.764</f>
        <v>341.32643999999999</v>
      </c>
      <c r="E170" s="39">
        <f>10.45*10.764</f>
        <v>112.48379999999999</v>
      </c>
      <c r="F170" s="39">
        <f t="shared" si="4"/>
        <v>453.81023999999996</v>
      </c>
      <c r="G170" s="39">
        <v>0</v>
      </c>
      <c r="H170" s="39">
        <f t="shared" si="8"/>
        <v>726.09638399999994</v>
      </c>
      <c r="I170" s="33"/>
      <c r="J170" s="34">
        <v>31.71</v>
      </c>
      <c r="K170" s="34">
        <v>40.450000000000003</v>
      </c>
      <c r="L170" s="62">
        <f>K170*J171/J170</f>
        <v>14.121144749290446</v>
      </c>
      <c r="M170" s="62"/>
      <c r="N170" s="33"/>
    </row>
    <row r="171" spans="1:20" s="34" customFormat="1" ht="15.6" customHeight="1" x14ac:dyDescent="0.3">
      <c r="A171" s="64">
        <f t="shared" si="7"/>
        <v>21</v>
      </c>
      <c r="B171" s="65"/>
      <c r="C171" s="39" t="s">
        <v>173</v>
      </c>
      <c r="D171" s="39">
        <f>31.71*10.764</f>
        <v>341.32643999999999</v>
      </c>
      <c r="E171" s="39">
        <f>11.07*10.764</f>
        <v>119.15747999999999</v>
      </c>
      <c r="F171" s="39">
        <f t="shared" si="4"/>
        <v>460.48392000000001</v>
      </c>
      <c r="G171" s="39">
        <v>0</v>
      </c>
      <c r="H171" s="39">
        <f t="shared" si="8"/>
        <v>736.77427200000011</v>
      </c>
      <c r="I171" s="33"/>
      <c r="J171" s="34">
        <v>11.07</v>
      </c>
      <c r="L171" s="62"/>
      <c r="M171" s="62"/>
      <c r="N171" s="33"/>
    </row>
    <row r="172" spans="1:20" s="34" customFormat="1" ht="15.6" customHeight="1" x14ac:dyDescent="0.3">
      <c r="A172" s="64">
        <f>A171+1</f>
        <v>22</v>
      </c>
      <c r="B172" s="65"/>
      <c r="C172" s="39" t="s">
        <v>173</v>
      </c>
      <c r="D172" s="39">
        <f>40.45*10.764</f>
        <v>435.40379999999999</v>
      </c>
      <c r="E172" s="39">
        <f>13.24*10.764</f>
        <v>142.51535999999999</v>
      </c>
      <c r="F172" s="39">
        <f t="shared" si="4"/>
        <v>577.91915999999992</v>
      </c>
      <c r="G172" s="39">
        <v>0</v>
      </c>
      <c r="H172" s="39">
        <f t="shared" si="8"/>
        <v>924.67065599999989</v>
      </c>
      <c r="I172" s="33"/>
      <c r="L172" s="62"/>
      <c r="M172" s="62"/>
      <c r="N172" s="33"/>
    </row>
    <row r="173" spans="1:20" s="34" customFormat="1" x14ac:dyDescent="0.3">
      <c r="A173" s="64"/>
      <c r="B173" s="75"/>
      <c r="C173" s="75"/>
      <c r="D173" s="75"/>
      <c r="E173" s="75"/>
      <c r="F173" s="75"/>
      <c r="G173" s="75"/>
      <c r="H173" s="65"/>
      <c r="I173" s="33"/>
      <c r="N173" s="33"/>
    </row>
    <row r="174" spans="1:20" ht="47.25" customHeight="1" x14ac:dyDescent="0.3">
      <c r="A174" s="102" t="s">
        <v>118</v>
      </c>
      <c r="B174" s="183" t="s">
        <v>221</v>
      </c>
      <c r="C174" s="183" t="s">
        <v>57</v>
      </c>
      <c r="D174" s="183" t="s">
        <v>222</v>
      </c>
      <c r="E174" s="183" t="s">
        <v>234</v>
      </c>
      <c r="F174" s="183" t="s">
        <v>58</v>
      </c>
      <c r="G174" s="184" t="s">
        <v>59</v>
      </c>
      <c r="H174" s="185" t="s">
        <v>147</v>
      </c>
      <c r="I174" s="33"/>
      <c r="T174" s="34"/>
    </row>
    <row r="175" spans="1:20" s="34" customFormat="1" x14ac:dyDescent="0.3">
      <c r="A175" s="103"/>
      <c r="B175" s="186"/>
      <c r="C175" s="186"/>
      <c r="D175" s="186"/>
      <c r="E175" s="186"/>
      <c r="F175" s="186"/>
      <c r="G175" s="187"/>
      <c r="H175" s="188">
        <v>0.5</v>
      </c>
      <c r="I175" s="33"/>
    </row>
    <row r="176" spans="1:20" s="34" customFormat="1" x14ac:dyDescent="0.3">
      <c r="A176" s="73" t="s">
        <v>174</v>
      </c>
      <c r="B176" s="73"/>
      <c r="C176" s="73"/>
      <c r="D176" s="73"/>
      <c r="E176" s="73"/>
      <c r="F176" s="73"/>
      <c r="G176" s="73"/>
      <c r="H176" s="73"/>
      <c r="J176" s="33"/>
      <c r="M176" s="34">
        <f>14363/1.5</f>
        <v>9575.3333333333339</v>
      </c>
    </row>
    <row r="177" spans="1:14" s="34" customFormat="1" x14ac:dyDescent="0.3">
      <c r="A177" s="74" t="s">
        <v>180</v>
      </c>
      <c r="B177" s="74"/>
      <c r="C177" s="74"/>
      <c r="D177" s="74"/>
      <c r="E177" s="74"/>
      <c r="F177" s="74"/>
      <c r="G177" s="74"/>
      <c r="H177" s="74"/>
      <c r="I177" s="33">
        <v>1</v>
      </c>
      <c r="L177" s="62"/>
      <c r="M177" s="62"/>
    </row>
    <row r="178" spans="1:14" s="34" customFormat="1" ht="15.6" customHeight="1" x14ac:dyDescent="0.3">
      <c r="A178" s="64">
        <v>1</v>
      </c>
      <c r="B178" s="65"/>
      <c r="C178" s="39" t="s">
        <v>224</v>
      </c>
      <c r="D178" s="39">
        <f>(40.71)*10.764</f>
        <v>438.20243999999997</v>
      </c>
      <c r="E178" s="39">
        <v>0</v>
      </c>
      <c r="F178" s="39">
        <f t="shared" ref="F178:F203" si="9">D178+E178</f>
        <v>438.20243999999997</v>
      </c>
      <c r="G178" s="39">
        <v>0</v>
      </c>
      <c r="H178" s="39">
        <f t="shared" ref="H178:H183" si="10">F178*(($H$175)+1)+(IF(G178&lt;101,G178,IF(G178&lt;201,G178/2,IF(G178&lt;=301,G178/3,G178/4))))</f>
        <v>657.30365999999992</v>
      </c>
      <c r="J178" s="33">
        <f>(4.55*2.75+3.8*2.3+4.25*2.75+2.1*0.6+1.2*0.9+1.9*1.2+1.1*2.3)</f>
        <v>40.089999999999996</v>
      </c>
      <c r="K178" s="33">
        <f>8000*F178</f>
        <v>3505619.5199999996</v>
      </c>
      <c r="N178" s="33"/>
    </row>
    <row r="179" spans="1:14" s="34" customFormat="1" x14ac:dyDescent="0.3">
      <c r="A179" s="64">
        <f>A178+1</f>
        <v>2</v>
      </c>
      <c r="B179" s="65"/>
      <c r="C179" s="39" t="s">
        <v>224</v>
      </c>
      <c r="D179" s="39">
        <f>(42.77)*10.764</f>
        <v>460.37628000000001</v>
      </c>
      <c r="E179" s="39">
        <v>0</v>
      </c>
      <c r="F179" s="39">
        <f t="shared" si="9"/>
        <v>460.37628000000001</v>
      </c>
      <c r="G179" s="39">
        <v>0</v>
      </c>
      <c r="H179" s="39">
        <f t="shared" si="10"/>
        <v>690.56442000000004</v>
      </c>
      <c r="J179" s="33">
        <f>6600000/F179</f>
        <v>14336.099157845403</v>
      </c>
      <c r="K179" s="33">
        <f>8000*F179</f>
        <v>3683010.24</v>
      </c>
      <c r="N179" s="33"/>
    </row>
    <row r="180" spans="1:14" s="34" customFormat="1" x14ac:dyDescent="0.3">
      <c r="A180" s="64">
        <f>A179+1</f>
        <v>3</v>
      </c>
      <c r="B180" s="65"/>
      <c r="C180" s="39" t="s">
        <v>225</v>
      </c>
      <c r="D180" s="39">
        <f>(62.91)*10.764</f>
        <v>677.16323999999997</v>
      </c>
      <c r="E180" s="39">
        <v>0</v>
      </c>
      <c r="F180" s="39">
        <f t="shared" si="9"/>
        <v>677.16323999999997</v>
      </c>
      <c r="G180" s="39">
        <v>0</v>
      </c>
      <c r="H180" s="39">
        <f t="shared" si="10"/>
        <v>1015.74486</v>
      </c>
      <c r="J180" s="33"/>
      <c r="K180" s="33">
        <f>8000*F180</f>
        <v>5417305.9199999999</v>
      </c>
      <c r="N180" s="33"/>
    </row>
    <row r="181" spans="1:14" s="34" customFormat="1" x14ac:dyDescent="0.3">
      <c r="A181" s="64">
        <f>A180+1</f>
        <v>4</v>
      </c>
      <c r="B181" s="65"/>
      <c r="C181" s="39" t="s">
        <v>225</v>
      </c>
      <c r="D181" s="39">
        <f>(63.68)*10.764</f>
        <v>685.45151999999996</v>
      </c>
      <c r="E181" s="39">
        <f>(1.92)*10.764</f>
        <v>20.666879999999999</v>
      </c>
      <c r="F181" s="39">
        <f t="shared" si="9"/>
        <v>706.11839999999995</v>
      </c>
      <c r="G181" s="39">
        <f>(50.2+81.32)*10.764</f>
        <v>1415.6812799999998</v>
      </c>
      <c r="H181" s="39">
        <f t="shared" si="10"/>
        <v>1413.0979199999999</v>
      </c>
      <c r="J181" s="33"/>
      <c r="K181" s="33"/>
      <c r="N181" s="33"/>
    </row>
    <row r="182" spans="1:14" s="34" customFormat="1" x14ac:dyDescent="0.3">
      <c r="A182" s="64">
        <f>A181+1</f>
        <v>5</v>
      </c>
      <c r="B182" s="65"/>
      <c r="C182" s="39" t="s">
        <v>225</v>
      </c>
      <c r="D182" s="39">
        <f>(62.33)*10.764</f>
        <v>670.92012</v>
      </c>
      <c r="E182" s="39">
        <v>0</v>
      </c>
      <c r="F182" s="39">
        <f t="shared" si="9"/>
        <v>670.92012</v>
      </c>
      <c r="G182" s="39">
        <f>95.57*10.764</f>
        <v>1028.7154799999998</v>
      </c>
      <c r="H182" s="39">
        <f t="shared" si="10"/>
        <v>1263.5590499999998</v>
      </c>
      <c r="J182" s="33"/>
      <c r="K182" s="33"/>
      <c r="N182" s="33"/>
    </row>
    <row r="183" spans="1:14" s="34" customFormat="1" x14ac:dyDescent="0.3">
      <c r="A183" s="64">
        <f>A182+1</f>
        <v>6</v>
      </c>
      <c r="B183" s="65"/>
      <c r="C183" s="39" t="s">
        <v>225</v>
      </c>
      <c r="D183" s="39">
        <f>(62.33)*10.764</f>
        <v>670.92012</v>
      </c>
      <c r="E183" s="39">
        <v>0</v>
      </c>
      <c r="F183" s="39">
        <f t="shared" si="9"/>
        <v>670.92012</v>
      </c>
      <c r="G183" s="39">
        <v>0</v>
      </c>
      <c r="H183" s="39">
        <f t="shared" si="10"/>
        <v>1006.38018</v>
      </c>
      <c r="J183" s="33"/>
      <c r="K183" s="33">
        <f>8000*F183</f>
        <v>5367360.96</v>
      </c>
      <c r="N183" s="33"/>
    </row>
    <row r="184" spans="1:14" s="34" customFormat="1" x14ac:dyDescent="0.3">
      <c r="A184" s="74" t="s">
        <v>176</v>
      </c>
      <c r="B184" s="74"/>
      <c r="C184" s="74"/>
      <c r="D184" s="74"/>
      <c r="E184" s="74"/>
      <c r="F184" s="74"/>
      <c r="G184" s="74"/>
      <c r="H184" s="74"/>
      <c r="I184" s="34">
        <v>1</v>
      </c>
      <c r="J184" s="33"/>
      <c r="K184" s="33">
        <f>7600*F184</f>
        <v>0</v>
      </c>
      <c r="L184" s="62"/>
      <c r="M184" s="62"/>
    </row>
    <row r="185" spans="1:14" s="34" customFormat="1" x14ac:dyDescent="0.3">
      <c r="A185" s="64">
        <v>1</v>
      </c>
      <c r="B185" s="65"/>
      <c r="C185" s="39" t="s">
        <v>224</v>
      </c>
      <c r="D185" s="39">
        <f>(40.71)*10.764</f>
        <v>438.20243999999997</v>
      </c>
      <c r="E185" s="39">
        <v>0</v>
      </c>
      <c r="F185" s="39">
        <f t="shared" si="9"/>
        <v>438.20243999999997</v>
      </c>
      <c r="G185" s="39">
        <v>0</v>
      </c>
      <c r="H185" s="39">
        <f t="shared" ref="H185:H190" si="11">F185*(($H$175)+1)+(IF(G185&lt;101,G185,IF(G185&lt;201,G185/2,IF(G185&lt;=301,G185/3,G185/4))))</f>
        <v>657.30365999999992</v>
      </c>
      <c r="J185" s="33">
        <f>7400000/F185</f>
        <v>16887.172056823783</v>
      </c>
      <c r="K185" s="33">
        <f>8000*F185</f>
        <v>3505619.5199999996</v>
      </c>
      <c r="N185" s="33"/>
    </row>
    <row r="186" spans="1:14" s="34" customFormat="1" x14ac:dyDescent="0.3">
      <c r="A186" s="64">
        <f>A185+1</f>
        <v>2</v>
      </c>
      <c r="B186" s="65"/>
      <c r="C186" s="39" t="s">
        <v>224</v>
      </c>
      <c r="D186" s="39">
        <f>(42.77)*10.764</f>
        <v>460.37628000000001</v>
      </c>
      <c r="E186" s="39">
        <v>0</v>
      </c>
      <c r="F186" s="39">
        <f t="shared" si="9"/>
        <v>460.37628000000001</v>
      </c>
      <c r="G186" s="39">
        <v>0</v>
      </c>
      <c r="H186" s="39">
        <f t="shared" si="11"/>
        <v>690.56442000000004</v>
      </c>
      <c r="J186" s="33"/>
      <c r="K186" s="33">
        <f>8000*F186</f>
        <v>3683010.24</v>
      </c>
      <c r="N186" s="33"/>
    </row>
    <row r="187" spans="1:14" s="34" customFormat="1" x14ac:dyDescent="0.3">
      <c r="A187" s="64">
        <f>A186+1</f>
        <v>3</v>
      </c>
      <c r="B187" s="65"/>
      <c r="C187" s="39" t="s">
        <v>224</v>
      </c>
      <c r="D187" s="39">
        <f>(46.5)*10.764</f>
        <v>500.52599999999995</v>
      </c>
      <c r="E187" s="39">
        <v>0</v>
      </c>
      <c r="F187" s="39">
        <f t="shared" si="9"/>
        <v>500.52599999999995</v>
      </c>
      <c r="G187" s="39">
        <f>(4.5*2.98)*10.764</f>
        <v>144.34523999999999</v>
      </c>
      <c r="H187" s="39">
        <f t="shared" si="11"/>
        <v>822.96162000000004</v>
      </c>
      <c r="J187" s="33"/>
      <c r="K187" s="33">
        <f>8000*F187</f>
        <v>4004207.9999999995</v>
      </c>
      <c r="N187" s="33"/>
    </row>
    <row r="188" spans="1:14" s="34" customFormat="1" x14ac:dyDescent="0.3">
      <c r="A188" s="64">
        <f>A187+1</f>
        <v>4</v>
      </c>
      <c r="B188" s="65"/>
      <c r="C188" s="39" t="s">
        <v>225</v>
      </c>
      <c r="D188" s="39">
        <f>(63.68)*10.764</f>
        <v>685.45151999999996</v>
      </c>
      <c r="E188" s="39">
        <f>(1.92)*10.764</f>
        <v>20.666879999999999</v>
      </c>
      <c r="F188" s="39">
        <f t="shared" si="9"/>
        <v>706.11839999999995</v>
      </c>
      <c r="G188" s="39">
        <v>0</v>
      </c>
      <c r="H188" s="39">
        <f t="shared" si="11"/>
        <v>1059.1776</v>
      </c>
      <c r="J188" s="33"/>
      <c r="K188" s="33">
        <f>8000*F188</f>
        <v>5648947.1999999993</v>
      </c>
      <c r="N188" s="33"/>
    </row>
    <row r="189" spans="1:14" s="34" customFormat="1" x14ac:dyDescent="0.3">
      <c r="A189" s="64">
        <f>A188+1</f>
        <v>5</v>
      </c>
      <c r="B189" s="65"/>
      <c r="C189" s="39" t="s">
        <v>225</v>
      </c>
      <c r="D189" s="39">
        <f>(62.33)*10.764</f>
        <v>670.92012</v>
      </c>
      <c r="E189" s="39">
        <v>0</v>
      </c>
      <c r="F189" s="39">
        <f t="shared" si="9"/>
        <v>670.92012</v>
      </c>
      <c r="G189" s="39">
        <v>0</v>
      </c>
      <c r="H189" s="39">
        <f t="shared" si="11"/>
        <v>1006.38018</v>
      </c>
      <c r="J189" s="33">
        <f>8900000/F189</f>
        <v>13265.364586174581</v>
      </c>
      <c r="K189" s="33">
        <f>8000*F189</f>
        <v>5367360.96</v>
      </c>
      <c r="N189" s="33"/>
    </row>
    <row r="190" spans="1:14" s="34" customFormat="1" x14ac:dyDescent="0.3">
      <c r="A190" s="64">
        <f>A189+1</f>
        <v>6</v>
      </c>
      <c r="B190" s="65"/>
      <c r="C190" s="39" t="s">
        <v>225</v>
      </c>
      <c r="D190" s="39">
        <f>(62.33)*10.764</f>
        <v>670.92012</v>
      </c>
      <c r="E190" s="39">
        <v>0</v>
      </c>
      <c r="F190" s="39">
        <f t="shared" si="9"/>
        <v>670.92012</v>
      </c>
      <c r="G190" s="39">
        <v>0</v>
      </c>
      <c r="H190" s="39">
        <f t="shared" si="11"/>
        <v>1006.38018</v>
      </c>
      <c r="J190" s="33">
        <f>9800000/F190</f>
        <v>14606.805948821448</v>
      </c>
      <c r="K190" s="33">
        <f>8000*F190</f>
        <v>5367360.96</v>
      </c>
      <c r="N190" s="33"/>
    </row>
    <row r="191" spans="1:14" s="34" customFormat="1" ht="15.75" customHeight="1" x14ac:dyDescent="0.3">
      <c r="A191" s="70" t="s">
        <v>177</v>
      </c>
      <c r="B191" s="71"/>
      <c r="C191" s="71"/>
      <c r="D191" s="71"/>
      <c r="E191" s="71"/>
      <c r="F191" s="71"/>
      <c r="G191" s="71"/>
      <c r="H191" s="72"/>
      <c r="I191" s="34">
        <f>3+4</f>
        <v>7</v>
      </c>
      <c r="J191" s="33"/>
      <c r="K191" s="33">
        <f>7600*F191</f>
        <v>0</v>
      </c>
    </row>
    <row r="192" spans="1:14" s="34" customFormat="1" ht="15.75" customHeight="1" x14ac:dyDescent="0.3">
      <c r="A192" s="64">
        <v>1</v>
      </c>
      <c r="B192" s="65"/>
      <c r="C192" s="39" t="s">
        <v>224</v>
      </c>
      <c r="D192" s="39">
        <f>(40.71)*10.764</f>
        <v>438.20243999999997</v>
      </c>
      <c r="E192" s="39">
        <v>0</v>
      </c>
      <c r="F192" s="39">
        <f t="shared" si="9"/>
        <v>438.20243999999997</v>
      </c>
      <c r="G192" s="39">
        <v>0</v>
      </c>
      <c r="H192" s="39">
        <f t="shared" ref="H192:H197" si="12">F192*(($H$175)+1)+(IF(G192&lt;101,G192,IF(G192&lt;201,G192/2,IF(G192&lt;=301,G192/3,G192/4))))</f>
        <v>657.30365999999992</v>
      </c>
      <c r="J192" s="33"/>
      <c r="K192" s="33">
        <f>8000*F192</f>
        <v>3505619.5199999996</v>
      </c>
    </row>
    <row r="193" spans="1:15" s="34" customFormat="1" ht="15.75" customHeight="1" x14ac:dyDescent="0.3">
      <c r="A193" s="64">
        <v>2</v>
      </c>
      <c r="B193" s="65"/>
      <c r="C193" s="39" t="s">
        <v>224</v>
      </c>
      <c r="D193" s="39">
        <f>(42.77)*10.764</f>
        <v>460.37628000000001</v>
      </c>
      <c r="E193" s="39">
        <v>0</v>
      </c>
      <c r="F193" s="39">
        <f t="shared" si="9"/>
        <v>460.37628000000001</v>
      </c>
      <c r="G193" s="39">
        <v>0</v>
      </c>
      <c r="H193" s="39">
        <f t="shared" si="12"/>
        <v>690.56442000000004</v>
      </c>
      <c r="J193" s="33"/>
      <c r="K193" s="33">
        <f>8000*F193</f>
        <v>3683010.24</v>
      </c>
      <c r="N193" s="34">
        <v>7550000</v>
      </c>
      <c r="O193" s="34">
        <f>N193/H193</f>
        <v>10933.085721387151</v>
      </c>
    </row>
    <row r="194" spans="1:15" s="34" customFormat="1" ht="15.75" customHeight="1" x14ac:dyDescent="0.3">
      <c r="A194" s="64">
        <v>3</v>
      </c>
      <c r="B194" s="65"/>
      <c r="C194" s="39" t="s">
        <v>224</v>
      </c>
      <c r="D194" s="39">
        <f>(46.5)*10.764</f>
        <v>500.52599999999995</v>
      </c>
      <c r="E194" s="39">
        <v>0</v>
      </c>
      <c r="F194" s="39">
        <f t="shared" si="9"/>
        <v>500.52599999999995</v>
      </c>
      <c r="G194" s="39">
        <v>0</v>
      </c>
      <c r="H194" s="39">
        <f t="shared" si="12"/>
        <v>750.78899999999999</v>
      </c>
      <c r="J194" s="33"/>
      <c r="K194" s="33">
        <f>8000*F194</f>
        <v>4004207.9999999995</v>
      </c>
    </row>
    <row r="195" spans="1:15" s="34" customFormat="1" ht="15.75" customHeight="1" x14ac:dyDescent="0.3">
      <c r="A195" s="64">
        <v>4</v>
      </c>
      <c r="B195" s="65"/>
      <c r="C195" s="39" t="s">
        <v>225</v>
      </c>
      <c r="D195" s="39">
        <f>(63.68)*10.764</f>
        <v>685.45151999999996</v>
      </c>
      <c r="E195" s="39">
        <f>(1.92)*10.764</f>
        <v>20.666879999999999</v>
      </c>
      <c r="F195" s="39">
        <f t="shared" si="9"/>
        <v>706.11839999999995</v>
      </c>
      <c r="G195" s="39">
        <v>0</v>
      </c>
      <c r="H195" s="39">
        <f t="shared" si="12"/>
        <v>1059.1776</v>
      </c>
      <c r="J195" s="33"/>
      <c r="K195" s="33">
        <f>8000*F195</f>
        <v>5648947.1999999993</v>
      </c>
    </row>
    <row r="196" spans="1:15" s="34" customFormat="1" ht="15.75" customHeight="1" x14ac:dyDescent="0.3">
      <c r="A196" s="64">
        <v>5</v>
      </c>
      <c r="B196" s="65"/>
      <c r="C196" s="39" t="s">
        <v>225</v>
      </c>
      <c r="D196" s="39">
        <f>(62.33)*10.764</f>
        <v>670.92012</v>
      </c>
      <c r="E196" s="39">
        <v>0</v>
      </c>
      <c r="F196" s="39">
        <f t="shared" si="9"/>
        <v>670.92012</v>
      </c>
      <c r="G196" s="39">
        <v>0</v>
      </c>
      <c r="H196" s="39">
        <f t="shared" si="12"/>
        <v>1006.38018</v>
      </c>
      <c r="J196" s="33"/>
      <c r="K196" s="33">
        <f>8000*F196</f>
        <v>5367360.96</v>
      </c>
    </row>
    <row r="197" spans="1:15" s="34" customFormat="1" ht="15.75" customHeight="1" x14ac:dyDescent="0.3">
      <c r="A197" s="64">
        <v>6</v>
      </c>
      <c r="B197" s="65"/>
      <c r="C197" s="39" t="s">
        <v>225</v>
      </c>
      <c r="D197" s="39">
        <f>(62.33)*10.764</f>
        <v>670.92012</v>
      </c>
      <c r="E197" s="39">
        <v>0</v>
      </c>
      <c r="F197" s="39">
        <f t="shared" si="9"/>
        <v>670.92012</v>
      </c>
      <c r="G197" s="39">
        <v>0</v>
      </c>
      <c r="H197" s="39">
        <f t="shared" si="12"/>
        <v>1006.38018</v>
      </c>
      <c r="J197" s="33"/>
      <c r="K197" s="33">
        <f>8000*F197</f>
        <v>5367360.96</v>
      </c>
    </row>
    <row r="198" spans="1:15" s="34" customFormat="1" x14ac:dyDescent="0.3">
      <c r="A198" s="74" t="s">
        <v>179</v>
      </c>
      <c r="B198" s="74"/>
      <c r="C198" s="74"/>
      <c r="D198" s="74"/>
      <c r="E198" s="74"/>
      <c r="F198" s="74"/>
      <c r="G198" s="74"/>
      <c r="H198" s="74"/>
      <c r="I198" s="34">
        <v>1</v>
      </c>
      <c r="J198" s="33"/>
      <c r="K198" s="33">
        <f>7600*F198</f>
        <v>0</v>
      </c>
      <c r="L198" s="62"/>
      <c r="M198" s="62"/>
    </row>
    <row r="199" spans="1:15" s="34" customFormat="1" ht="15.75" customHeight="1" x14ac:dyDescent="0.3">
      <c r="A199" s="64">
        <v>1</v>
      </c>
      <c r="B199" s="65"/>
      <c r="C199" s="39" t="s">
        <v>224</v>
      </c>
      <c r="D199" s="39">
        <f>(40.71)*10.764</f>
        <v>438.20243999999997</v>
      </c>
      <c r="E199" s="39">
        <v>0</v>
      </c>
      <c r="F199" s="39">
        <f t="shared" si="9"/>
        <v>438.20243999999997</v>
      </c>
      <c r="G199" s="39">
        <v>0</v>
      </c>
      <c r="H199" s="39">
        <f t="shared" ref="H199:H203" si="13">F199*(($H$175)+1)+(IF(G199&lt;101,G199,IF(G199&lt;201,G199/2,IF(G199&lt;=301,G199/3,G199/4))))</f>
        <v>657.30365999999992</v>
      </c>
      <c r="J199" s="33"/>
      <c r="K199" s="33">
        <f>8000*F199</f>
        <v>3505619.5199999996</v>
      </c>
      <c r="N199" s="33"/>
    </row>
    <row r="200" spans="1:15" s="34" customFormat="1" ht="15.75" customHeight="1" x14ac:dyDescent="0.3">
      <c r="A200" s="64">
        <f>A199+1</f>
        <v>2</v>
      </c>
      <c r="B200" s="65"/>
      <c r="C200" s="39" t="s">
        <v>224</v>
      </c>
      <c r="D200" s="39">
        <f>(42.77)*10.764</f>
        <v>460.37628000000001</v>
      </c>
      <c r="E200" s="39">
        <v>0</v>
      </c>
      <c r="F200" s="39">
        <f t="shared" si="9"/>
        <v>460.37628000000001</v>
      </c>
      <c r="G200" s="39">
        <v>0</v>
      </c>
      <c r="H200" s="39">
        <f t="shared" si="13"/>
        <v>690.56442000000004</v>
      </c>
      <c r="J200" s="33"/>
      <c r="K200" s="33">
        <f>8000*F200</f>
        <v>3683010.24</v>
      </c>
      <c r="N200" s="33"/>
    </row>
    <row r="201" spans="1:15" s="34" customFormat="1" ht="15.75" customHeight="1" x14ac:dyDescent="0.3">
      <c r="A201" s="64">
        <f>A200+1</f>
        <v>3</v>
      </c>
      <c r="B201" s="65"/>
      <c r="C201" s="39" t="s">
        <v>224</v>
      </c>
      <c r="D201" s="39">
        <f>(46.5)*10.764</f>
        <v>500.52599999999995</v>
      </c>
      <c r="E201" s="39">
        <v>0</v>
      </c>
      <c r="F201" s="39">
        <f t="shared" si="9"/>
        <v>500.52599999999995</v>
      </c>
      <c r="G201" s="39">
        <v>0</v>
      </c>
      <c r="H201" s="39">
        <f t="shared" si="13"/>
        <v>750.78899999999999</v>
      </c>
      <c r="J201" s="33"/>
      <c r="K201" s="33">
        <f>8000*F201</f>
        <v>4004207.9999999995</v>
      </c>
      <c r="N201" s="33"/>
    </row>
    <row r="202" spans="1:15" s="34" customFormat="1" ht="15.75" customHeight="1" x14ac:dyDescent="0.3">
      <c r="A202" s="64">
        <f>A201+1</f>
        <v>4</v>
      </c>
      <c r="B202" s="65"/>
      <c r="C202" s="39" t="s">
        <v>225</v>
      </c>
      <c r="D202" s="39">
        <f>(63.68)*10.764</f>
        <v>685.45151999999996</v>
      </c>
      <c r="E202" s="39">
        <f>(1.92)*10.764</f>
        <v>20.666879999999999</v>
      </c>
      <c r="F202" s="39">
        <f t="shared" si="9"/>
        <v>706.11839999999995</v>
      </c>
      <c r="G202" s="39">
        <v>0</v>
      </c>
      <c r="H202" s="39">
        <f t="shared" si="13"/>
        <v>1059.1776</v>
      </c>
      <c r="J202" s="33"/>
      <c r="K202" s="33">
        <f>8000*F202</f>
        <v>5648947.1999999993</v>
      </c>
      <c r="N202" s="33"/>
    </row>
    <row r="203" spans="1:15" s="34" customFormat="1" ht="15.75" customHeight="1" x14ac:dyDescent="0.3">
      <c r="A203" s="64">
        <f>A202+1</f>
        <v>5</v>
      </c>
      <c r="B203" s="65"/>
      <c r="C203" s="39" t="s">
        <v>225</v>
      </c>
      <c r="D203" s="39">
        <f>(62.33)*10.764</f>
        <v>670.92012</v>
      </c>
      <c r="E203" s="39">
        <v>0</v>
      </c>
      <c r="F203" s="39">
        <f t="shared" si="9"/>
        <v>670.92012</v>
      </c>
      <c r="G203" s="39">
        <v>0</v>
      </c>
      <c r="H203" s="39">
        <f t="shared" si="13"/>
        <v>1006.38018</v>
      </c>
      <c r="J203" s="33"/>
      <c r="K203" s="33">
        <f>8000*F203</f>
        <v>5367360.96</v>
      </c>
      <c r="N203" s="33"/>
    </row>
    <row r="204" spans="1:15" s="34" customFormat="1" ht="15.75" customHeight="1" x14ac:dyDescent="0.3">
      <c r="A204" s="64">
        <f>A203+1</f>
        <v>6</v>
      </c>
      <c r="B204" s="65"/>
      <c r="C204" s="64" t="s">
        <v>178</v>
      </c>
      <c r="D204" s="75"/>
      <c r="E204" s="75"/>
      <c r="F204" s="75"/>
      <c r="G204" s="75"/>
      <c r="H204" s="65"/>
      <c r="J204" s="33"/>
      <c r="K204" s="33"/>
      <c r="N204" s="33"/>
    </row>
    <row r="205" spans="1:15" s="34" customFormat="1" x14ac:dyDescent="0.3">
      <c r="A205" s="70" t="s">
        <v>185</v>
      </c>
      <c r="B205" s="71"/>
      <c r="C205" s="71"/>
      <c r="D205" s="71"/>
      <c r="E205" s="71"/>
      <c r="F205" s="71"/>
      <c r="G205" s="71"/>
      <c r="H205" s="72"/>
      <c r="I205" s="34">
        <v>2</v>
      </c>
      <c r="J205" s="33"/>
      <c r="K205" s="33"/>
    </row>
    <row r="206" spans="1:15" s="34" customFormat="1" ht="15.75" customHeight="1" x14ac:dyDescent="0.3">
      <c r="A206" s="64">
        <v>1</v>
      </c>
      <c r="B206" s="65"/>
      <c r="C206" s="39" t="s">
        <v>224</v>
      </c>
      <c r="D206" s="39">
        <f>(40.71)*10.764</f>
        <v>438.20243999999997</v>
      </c>
      <c r="E206" s="39">
        <v>0</v>
      </c>
      <c r="F206" s="39">
        <f t="shared" ref="F206:F210" si="14">D206+E206</f>
        <v>438.20243999999997</v>
      </c>
      <c r="G206" s="39">
        <v>0</v>
      </c>
      <c r="H206" s="39">
        <f t="shared" ref="H206:H210" si="15">F206*(($H$175)+1)+(IF(G206&lt;101,G206,IF(G206&lt;201,G206/2,IF(G206&lt;=301,G206/3,G206/4))))</f>
        <v>657.30365999999992</v>
      </c>
      <c r="J206" s="33"/>
      <c r="K206" s="33"/>
    </row>
    <row r="207" spans="1:15" s="34" customFormat="1" ht="15.75" customHeight="1" x14ac:dyDescent="0.3">
      <c r="A207" s="64">
        <v>2</v>
      </c>
      <c r="B207" s="65"/>
      <c r="C207" s="39" t="s">
        <v>224</v>
      </c>
      <c r="D207" s="39">
        <f>(42.77)*10.764</f>
        <v>460.37628000000001</v>
      </c>
      <c r="E207" s="39">
        <v>0</v>
      </c>
      <c r="F207" s="39">
        <f t="shared" si="14"/>
        <v>460.37628000000001</v>
      </c>
      <c r="G207" s="39">
        <v>0</v>
      </c>
      <c r="H207" s="39">
        <f t="shared" si="15"/>
        <v>690.56442000000004</v>
      </c>
      <c r="I207" s="33"/>
      <c r="J207" s="33"/>
    </row>
    <row r="208" spans="1:15" s="34" customFormat="1" ht="15.75" customHeight="1" x14ac:dyDescent="0.3">
      <c r="A208" s="64">
        <v>3</v>
      </c>
      <c r="B208" s="65"/>
      <c r="C208" s="39" t="s">
        <v>224</v>
      </c>
      <c r="D208" s="39">
        <f>(46.5)*10.764</f>
        <v>500.52599999999995</v>
      </c>
      <c r="E208" s="39">
        <v>0</v>
      </c>
      <c r="F208" s="39">
        <f t="shared" si="14"/>
        <v>500.52599999999995</v>
      </c>
      <c r="G208" s="39">
        <v>0</v>
      </c>
      <c r="H208" s="39">
        <f t="shared" si="15"/>
        <v>750.78899999999999</v>
      </c>
      <c r="I208" s="33"/>
      <c r="J208" s="33"/>
    </row>
    <row r="209" spans="1:14" s="34" customFormat="1" ht="15.75" customHeight="1" x14ac:dyDescent="0.3">
      <c r="A209" s="64">
        <v>4</v>
      </c>
      <c r="B209" s="65"/>
      <c r="C209" s="39" t="s">
        <v>225</v>
      </c>
      <c r="D209" s="39">
        <f>(63.68)*10.764</f>
        <v>685.45151999999996</v>
      </c>
      <c r="E209" s="39">
        <f>(1.92)*10.764</f>
        <v>20.666879999999999</v>
      </c>
      <c r="F209" s="39">
        <f t="shared" si="14"/>
        <v>706.11839999999995</v>
      </c>
      <c r="G209" s="39">
        <v>0</v>
      </c>
      <c r="H209" s="39">
        <f t="shared" si="15"/>
        <v>1059.1776</v>
      </c>
      <c r="I209" s="33"/>
      <c r="J209" s="33"/>
    </row>
    <row r="210" spans="1:14" s="34" customFormat="1" ht="15.75" customHeight="1" x14ac:dyDescent="0.3">
      <c r="A210" s="64">
        <v>5</v>
      </c>
      <c r="B210" s="65"/>
      <c r="C210" s="39" t="s">
        <v>225</v>
      </c>
      <c r="D210" s="39">
        <f>(62.33)*10.764</f>
        <v>670.92012</v>
      </c>
      <c r="E210" s="39">
        <v>0</v>
      </c>
      <c r="F210" s="39">
        <f t="shared" si="14"/>
        <v>670.92012</v>
      </c>
      <c r="G210" s="39">
        <v>0</v>
      </c>
      <c r="H210" s="39">
        <f t="shared" si="15"/>
        <v>1006.38018</v>
      </c>
      <c r="I210" s="33"/>
      <c r="J210" s="33"/>
    </row>
    <row r="211" spans="1:14" s="34" customFormat="1" ht="15.75" customHeight="1" x14ac:dyDescent="0.3">
      <c r="A211" s="64">
        <v>6</v>
      </c>
      <c r="B211" s="65"/>
      <c r="C211" s="64" t="s">
        <v>196</v>
      </c>
      <c r="D211" s="75"/>
      <c r="E211" s="75"/>
      <c r="F211" s="75"/>
      <c r="G211" s="75"/>
      <c r="H211" s="65"/>
      <c r="I211" s="33"/>
      <c r="J211" s="33"/>
    </row>
    <row r="212" spans="1:14" s="34" customFormat="1" ht="15.75" customHeight="1" x14ac:dyDescent="0.3">
      <c r="A212" s="70" t="s">
        <v>186</v>
      </c>
      <c r="B212" s="71"/>
      <c r="C212" s="71"/>
      <c r="D212" s="71"/>
      <c r="E212" s="71"/>
      <c r="F212" s="71"/>
      <c r="G212" s="71"/>
      <c r="H212" s="72"/>
      <c r="I212" s="33">
        <f>4+4</f>
        <v>8</v>
      </c>
      <c r="J212" s="33"/>
    </row>
    <row r="213" spans="1:14" s="34" customFormat="1" ht="15.75" customHeight="1" x14ac:dyDescent="0.3">
      <c r="A213" s="64">
        <v>1</v>
      </c>
      <c r="B213" s="65"/>
      <c r="C213" s="39" t="s">
        <v>224</v>
      </c>
      <c r="D213" s="39">
        <f>(40.71)*10.764</f>
        <v>438.20243999999997</v>
      </c>
      <c r="E213" s="39">
        <v>0</v>
      </c>
      <c r="F213" s="39">
        <f t="shared" ref="F213:F218" si="16">D213+E213</f>
        <v>438.20243999999997</v>
      </c>
      <c r="G213" s="39">
        <v>0</v>
      </c>
      <c r="H213" s="39">
        <f t="shared" ref="H213:H218" si="17">F213*(($H$175)+1)+(IF(G213&lt;101,G213,IF(G213&lt;201,G213/2,IF(G213&lt;=301,G213/3,G213/4))))</f>
        <v>657.30365999999992</v>
      </c>
      <c r="I213" s="33"/>
      <c r="J213" s="33"/>
    </row>
    <row r="214" spans="1:14" s="34" customFormat="1" ht="15.75" customHeight="1" x14ac:dyDescent="0.3">
      <c r="A214" s="64">
        <v>2</v>
      </c>
      <c r="B214" s="65"/>
      <c r="C214" s="39" t="s">
        <v>224</v>
      </c>
      <c r="D214" s="39">
        <f>(42.77)*10.764</f>
        <v>460.37628000000001</v>
      </c>
      <c r="E214" s="39">
        <v>0</v>
      </c>
      <c r="F214" s="39">
        <f t="shared" si="16"/>
        <v>460.37628000000001</v>
      </c>
      <c r="G214" s="39">
        <v>0</v>
      </c>
      <c r="H214" s="39">
        <f t="shared" si="17"/>
        <v>690.56442000000004</v>
      </c>
      <c r="J214" s="33"/>
      <c r="K214" s="33">
        <f>6600000/F214</f>
        <v>14336.099157845403</v>
      </c>
    </row>
    <row r="215" spans="1:14" s="34" customFormat="1" ht="15.75" customHeight="1" x14ac:dyDescent="0.3">
      <c r="A215" s="64">
        <v>3</v>
      </c>
      <c r="B215" s="65"/>
      <c r="C215" s="39" t="s">
        <v>224</v>
      </c>
      <c r="D215" s="39">
        <f>(46.5)*10.764</f>
        <v>500.52599999999995</v>
      </c>
      <c r="E215" s="39">
        <v>0</v>
      </c>
      <c r="F215" s="39">
        <f t="shared" si="16"/>
        <v>500.52599999999995</v>
      </c>
      <c r="G215" s="39">
        <v>0</v>
      </c>
      <c r="H215" s="39">
        <f t="shared" si="17"/>
        <v>750.78899999999999</v>
      </c>
      <c r="J215" s="33"/>
      <c r="K215" s="33">
        <f>6600000/F215</f>
        <v>13186.128193140818</v>
      </c>
    </row>
    <row r="216" spans="1:14" s="34" customFormat="1" ht="15.75" customHeight="1" x14ac:dyDescent="0.3">
      <c r="A216" s="64">
        <v>4</v>
      </c>
      <c r="B216" s="65"/>
      <c r="C216" s="39" t="s">
        <v>225</v>
      </c>
      <c r="D216" s="39">
        <f>(63.68)*10.764</f>
        <v>685.45151999999996</v>
      </c>
      <c r="E216" s="39">
        <f>(1.92)*10.764</f>
        <v>20.666879999999999</v>
      </c>
      <c r="F216" s="39">
        <f t="shared" si="16"/>
        <v>706.11839999999995</v>
      </c>
      <c r="G216" s="39">
        <v>0</v>
      </c>
      <c r="H216" s="39">
        <f t="shared" si="17"/>
        <v>1059.1776</v>
      </c>
      <c r="I216" s="33"/>
      <c r="J216" s="33"/>
    </row>
    <row r="217" spans="1:14" s="34" customFormat="1" ht="15.75" customHeight="1" x14ac:dyDescent="0.3">
      <c r="A217" s="64">
        <v>5</v>
      </c>
      <c r="B217" s="65"/>
      <c r="C217" s="39" t="s">
        <v>225</v>
      </c>
      <c r="D217" s="39">
        <f>(62.33)*10.764</f>
        <v>670.92012</v>
      </c>
      <c r="E217" s="39">
        <v>0</v>
      </c>
      <c r="F217" s="39">
        <f t="shared" si="16"/>
        <v>670.92012</v>
      </c>
      <c r="G217" s="39">
        <v>0</v>
      </c>
      <c r="H217" s="39">
        <f t="shared" si="17"/>
        <v>1006.38018</v>
      </c>
      <c r="I217" s="33"/>
      <c r="J217" s="33"/>
    </row>
    <row r="218" spans="1:14" s="34" customFormat="1" ht="15.75" customHeight="1" x14ac:dyDescent="0.3">
      <c r="A218" s="64">
        <v>6</v>
      </c>
      <c r="B218" s="65"/>
      <c r="C218" s="39" t="s">
        <v>225</v>
      </c>
      <c r="D218" s="39">
        <f>(62.33)*10.764</f>
        <v>670.92012</v>
      </c>
      <c r="E218" s="39">
        <v>0</v>
      </c>
      <c r="F218" s="39">
        <f t="shared" si="16"/>
        <v>670.92012</v>
      </c>
      <c r="G218" s="39">
        <v>0</v>
      </c>
      <c r="H218" s="39">
        <f t="shared" si="17"/>
        <v>1006.38018</v>
      </c>
      <c r="I218" s="33"/>
      <c r="J218" s="33"/>
    </row>
    <row r="219" spans="1:14" s="34" customFormat="1" x14ac:dyDescent="0.3">
      <c r="A219" s="73" t="s">
        <v>175</v>
      </c>
      <c r="B219" s="73"/>
      <c r="C219" s="73"/>
      <c r="D219" s="73"/>
      <c r="E219" s="73"/>
      <c r="F219" s="73"/>
      <c r="G219" s="73"/>
      <c r="H219" s="73"/>
      <c r="I219" s="33"/>
      <c r="J219" s="33"/>
      <c r="L219" s="62"/>
      <c r="M219" s="62"/>
    </row>
    <row r="220" spans="1:14" s="34" customFormat="1" ht="16.5" customHeight="1" x14ac:dyDescent="0.3">
      <c r="A220" s="74" t="s">
        <v>180</v>
      </c>
      <c r="B220" s="74"/>
      <c r="C220" s="74"/>
      <c r="D220" s="74"/>
      <c r="E220" s="74"/>
      <c r="F220" s="74"/>
      <c r="G220" s="74"/>
      <c r="H220" s="74"/>
      <c r="I220" s="33">
        <v>1</v>
      </c>
      <c r="J220" s="33"/>
      <c r="L220" s="62"/>
      <c r="M220" s="62"/>
    </row>
    <row r="221" spans="1:14" s="34" customFormat="1" x14ac:dyDescent="0.3">
      <c r="A221" s="64">
        <v>1</v>
      </c>
      <c r="B221" s="65"/>
      <c r="C221" s="39" t="s">
        <v>225</v>
      </c>
      <c r="D221" s="39">
        <f>(62.33)*10.764</f>
        <v>670.92012</v>
      </c>
      <c r="E221" s="39">
        <v>0</v>
      </c>
      <c r="F221" s="39">
        <f t="shared" ref="F221:F225" si="18">D221+E221</f>
        <v>670.92012</v>
      </c>
      <c r="G221" s="39">
        <v>0</v>
      </c>
      <c r="H221" s="39">
        <f t="shared" ref="H221:H225" si="19">F221*(($H$175)+1)+(IF(G221&lt;101,G221,IF(G221&lt;201,G221/2,IF(G221&lt;=301,G221/3,G221/4))))</f>
        <v>1006.38018</v>
      </c>
      <c r="I221" s="33"/>
      <c r="J221" s="33"/>
      <c r="N221" s="33"/>
    </row>
    <row r="222" spans="1:14" s="34" customFormat="1" x14ac:dyDescent="0.3">
      <c r="A222" s="64">
        <f>A221+1</f>
        <v>2</v>
      </c>
      <c r="B222" s="65"/>
      <c r="C222" s="39" t="s">
        <v>225</v>
      </c>
      <c r="D222" s="39">
        <f>(62.33)*10.764</f>
        <v>670.92012</v>
      </c>
      <c r="E222" s="39">
        <v>0</v>
      </c>
      <c r="F222" s="39">
        <f t="shared" si="18"/>
        <v>670.92012</v>
      </c>
      <c r="G222" s="39">
        <f>(95.57)*10.764</f>
        <v>1028.7154799999998</v>
      </c>
      <c r="H222" s="39">
        <f t="shared" si="19"/>
        <v>1263.5590499999998</v>
      </c>
      <c r="I222" s="33"/>
      <c r="J222" s="33"/>
      <c r="K222" s="39">
        <v>10.763999999999999</v>
      </c>
      <c r="N222" s="33"/>
    </row>
    <row r="223" spans="1:14" s="34" customFormat="1" x14ac:dyDescent="0.3">
      <c r="A223" s="64">
        <f>A222+1</f>
        <v>3</v>
      </c>
      <c r="B223" s="65"/>
      <c r="C223" s="39" t="s">
        <v>225</v>
      </c>
      <c r="D223" s="39">
        <f>(63.68)*10.764</f>
        <v>685.45151999999996</v>
      </c>
      <c r="E223" s="39">
        <v>0</v>
      </c>
      <c r="F223" s="39">
        <f t="shared" si="18"/>
        <v>685.45151999999996</v>
      </c>
      <c r="G223" s="39">
        <f>(229)*10.764</f>
        <v>2464.9559999999997</v>
      </c>
      <c r="H223" s="39">
        <f t="shared" si="19"/>
        <v>1644.4162799999999</v>
      </c>
      <c r="I223" s="33"/>
      <c r="J223" s="33"/>
      <c r="N223" s="33"/>
    </row>
    <row r="224" spans="1:14" s="34" customFormat="1" x14ac:dyDescent="0.3">
      <c r="A224" s="64">
        <f>A223+1</f>
        <v>4</v>
      </c>
      <c r="B224" s="65"/>
      <c r="C224" s="39" t="s">
        <v>225</v>
      </c>
      <c r="D224" s="39">
        <f>(62.9)*10.764</f>
        <v>677.05559999999991</v>
      </c>
      <c r="E224" s="39">
        <v>0</v>
      </c>
      <c r="F224" s="39">
        <f t="shared" si="18"/>
        <v>677.05559999999991</v>
      </c>
      <c r="G224" s="39">
        <f>(86.04)*10.764</f>
        <v>926.13455999999996</v>
      </c>
      <c r="H224" s="39">
        <f t="shared" si="19"/>
        <v>1247.1170399999999</v>
      </c>
      <c r="I224" s="33"/>
      <c r="J224" s="33"/>
      <c r="N224" s="33"/>
    </row>
    <row r="225" spans="1:14" s="34" customFormat="1" x14ac:dyDescent="0.3">
      <c r="A225" s="64">
        <f>A224+1</f>
        <v>5</v>
      </c>
      <c r="B225" s="65"/>
      <c r="C225" s="39" t="s">
        <v>225</v>
      </c>
      <c r="D225" s="39">
        <f>(57.51)*10.764</f>
        <v>619.0376399999999</v>
      </c>
      <c r="E225" s="39">
        <f>(2.85*1.2)*10.764</f>
        <v>36.81288</v>
      </c>
      <c r="F225" s="39">
        <f t="shared" si="18"/>
        <v>655.85051999999985</v>
      </c>
      <c r="G225" s="39">
        <v>0</v>
      </c>
      <c r="H225" s="39">
        <f t="shared" si="19"/>
        <v>983.77577999999971</v>
      </c>
      <c r="I225" s="33"/>
      <c r="J225" s="33"/>
      <c r="N225" s="33"/>
    </row>
    <row r="226" spans="1:14" s="34" customFormat="1" ht="16.5" customHeight="1" x14ac:dyDescent="0.3">
      <c r="A226" s="74" t="s">
        <v>176</v>
      </c>
      <c r="B226" s="74"/>
      <c r="C226" s="74"/>
      <c r="D226" s="74"/>
      <c r="E226" s="74"/>
      <c r="F226" s="74"/>
      <c r="G226" s="74"/>
      <c r="H226" s="74"/>
      <c r="I226" s="33">
        <v>1</v>
      </c>
      <c r="J226" s="33"/>
      <c r="L226" s="62"/>
      <c r="M226" s="62"/>
    </row>
    <row r="227" spans="1:14" s="34" customFormat="1" x14ac:dyDescent="0.3">
      <c r="A227" s="64">
        <v>1</v>
      </c>
      <c r="B227" s="65"/>
      <c r="C227" s="39" t="s">
        <v>225</v>
      </c>
      <c r="D227" s="39">
        <f>(62.33)*10.764</f>
        <v>670.92012</v>
      </c>
      <c r="E227" s="39">
        <v>0</v>
      </c>
      <c r="F227" s="39">
        <f t="shared" ref="F227:F237" si="20">D227+E227</f>
        <v>670.92012</v>
      </c>
      <c r="G227" s="39">
        <v>0</v>
      </c>
      <c r="H227" s="39">
        <f t="shared" ref="H227:H231" si="21">F227*(($H$175)+1)+(IF(G227&lt;101,G227,IF(G227&lt;201,G227/2,IF(G227&lt;=301,G227/3,G227/4))))</f>
        <v>1006.38018</v>
      </c>
      <c r="I227" s="33"/>
      <c r="J227" s="33"/>
      <c r="N227" s="33"/>
    </row>
    <row r="228" spans="1:14" s="34" customFormat="1" x14ac:dyDescent="0.3">
      <c r="A228" s="64">
        <f>A227+1</f>
        <v>2</v>
      </c>
      <c r="B228" s="65"/>
      <c r="C228" s="39" t="s">
        <v>225</v>
      </c>
      <c r="D228" s="39">
        <f>(62.33)*10.764</f>
        <v>670.92012</v>
      </c>
      <c r="E228" s="39">
        <v>0</v>
      </c>
      <c r="F228" s="39">
        <f t="shared" si="20"/>
        <v>670.92012</v>
      </c>
      <c r="G228" s="39">
        <v>0</v>
      </c>
      <c r="H228" s="39">
        <f t="shared" si="21"/>
        <v>1006.38018</v>
      </c>
      <c r="I228" s="33"/>
      <c r="J228" s="33"/>
      <c r="N228" s="33"/>
    </row>
    <row r="229" spans="1:14" s="34" customFormat="1" x14ac:dyDescent="0.3">
      <c r="A229" s="64">
        <f>A228+1</f>
        <v>3</v>
      </c>
      <c r="B229" s="65"/>
      <c r="C229" s="39" t="s">
        <v>225</v>
      </c>
      <c r="D229" s="39">
        <f>(63.68)*10.764</f>
        <v>685.45151999999996</v>
      </c>
      <c r="E229" s="39">
        <f>(1.92)*10.764</f>
        <v>20.666879999999999</v>
      </c>
      <c r="F229" s="39">
        <f t="shared" si="20"/>
        <v>706.11839999999995</v>
      </c>
      <c r="G229" s="39">
        <v>0</v>
      </c>
      <c r="H229" s="39">
        <f t="shared" si="21"/>
        <v>1059.1776</v>
      </c>
      <c r="I229" s="33"/>
      <c r="J229" s="33"/>
      <c r="N229" s="33"/>
    </row>
    <row r="230" spans="1:14" s="34" customFormat="1" x14ac:dyDescent="0.3">
      <c r="A230" s="64">
        <f>A229+1</f>
        <v>4</v>
      </c>
      <c r="B230" s="65"/>
      <c r="C230" s="39" t="s">
        <v>224</v>
      </c>
      <c r="D230" s="39">
        <f>(46.5)*10.764</f>
        <v>500.52599999999995</v>
      </c>
      <c r="E230" s="39">
        <v>0</v>
      </c>
      <c r="F230" s="39">
        <f t="shared" si="20"/>
        <v>500.52599999999995</v>
      </c>
      <c r="G230" s="39">
        <f>(4.5*2.7)*10.764</f>
        <v>130.7826</v>
      </c>
      <c r="H230" s="39">
        <f t="shared" si="21"/>
        <v>816.18029999999999</v>
      </c>
      <c r="I230" s="33"/>
      <c r="J230" s="33"/>
      <c r="N230" s="33"/>
    </row>
    <row r="231" spans="1:14" s="34" customFormat="1" x14ac:dyDescent="0.3">
      <c r="A231" s="64">
        <f>A230+1</f>
        <v>5</v>
      </c>
      <c r="B231" s="65"/>
      <c r="C231" s="39" t="s">
        <v>225</v>
      </c>
      <c r="D231" s="39">
        <f>(57.51)*10.764</f>
        <v>619.0376399999999</v>
      </c>
      <c r="E231" s="39">
        <f>((2.85*1.2))*10.764</f>
        <v>36.81288</v>
      </c>
      <c r="F231" s="39">
        <f t="shared" si="20"/>
        <v>655.85051999999985</v>
      </c>
      <c r="G231" s="39">
        <v>0</v>
      </c>
      <c r="H231" s="39">
        <f t="shared" si="21"/>
        <v>983.77577999999971</v>
      </c>
      <c r="I231" s="33"/>
      <c r="J231" s="33"/>
      <c r="N231" s="33"/>
    </row>
    <row r="232" spans="1:14" s="34" customFormat="1" ht="15.75" customHeight="1" x14ac:dyDescent="0.3">
      <c r="A232" s="70" t="s">
        <v>177</v>
      </c>
      <c r="B232" s="71"/>
      <c r="C232" s="71"/>
      <c r="D232" s="71"/>
      <c r="E232" s="71"/>
      <c r="F232" s="71"/>
      <c r="G232" s="71"/>
      <c r="H232" s="72"/>
      <c r="I232" s="33">
        <f>3+4</f>
        <v>7</v>
      </c>
      <c r="J232" s="33"/>
    </row>
    <row r="233" spans="1:14" s="34" customFormat="1" ht="15.75" customHeight="1" x14ac:dyDescent="0.3">
      <c r="A233" s="64">
        <v>1</v>
      </c>
      <c r="B233" s="65"/>
      <c r="C233" s="39" t="s">
        <v>225</v>
      </c>
      <c r="D233" s="39">
        <f>(62.33)*10.764</f>
        <v>670.92012</v>
      </c>
      <c r="E233" s="39">
        <v>0</v>
      </c>
      <c r="F233" s="39">
        <f t="shared" si="20"/>
        <v>670.92012</v>
      </c>
      <c r="G233" s="39">
        <v>0</v>
      </c>
      <c r="H233" s="39">
        <f t="shared" ref="H233:H237" si="22">F233*(($H$175)+1)+(IF(G233&lt;101,G233,IF(G233&lt;201,G233/2,IF(G233&lt;=301,G233/3,G233/4))))</f>
        <v>1006.38018</v>
      </c>
      <c r="I233" s="33"/>
      <c r="J233" s="33"/>
    </row>
    <row r="234" spans="1:14" s="34" customFormat="1" ht="15.75" customHeight="1" x14ac:dyDescent="0.3">
      <c r="A234" s="64">
        <v>2</v>
      </c>
      <c r="B234" s="65"/>
      <c r="C234" s="39" t="s">
        <v>225</v>
      </c>
      <c r="D234" s="39">
        <f>(62.33)*10.764</f>
        <v>670.92012</v>
      </c>
      <c r="E234" s="39">
        <v>0</v>
      </c>
      <c r="F234" s="39">
        <f t="shared" si="20"/>
        <v>670.92012</v>
      </c>
      <c r="G234" s="39">
        <v>0</v>
      </c>
      <c r="H234" s="39">
        <f t="shared" si="22"/>
        <v>1006.38018</v>
      </c>
      <c r="I234" s="33"/>
      <c r="J234" s="33"/>
    </row>
    <row r="235" spans="1:14" s="34" customFormat="1" ht="15.75" customHeight="1" x14ac:dyDescent="0.3">
      <c r="A235" s="64">
        <v>3</v>
      </c>
      <c r="B235" s="65"/>
      <c r="C235" s="39" t="s">
        <v>225</v>
      </c>
      <c r="D235" s="39">
        <f>(63.68)*10.764</f>
        <v>685.45151999999996</v>
      </c>
      <c r="E235" s="39">
        <f>(1.92)*10.764</f>
        <v>20.666879999999999</v>
      </c>
      <c r="F235" s="39">
        <f t="shared" si="20"/>
        <v>706.11839999999995</v>
      </c>
      <c r="G235" s="39">
        <v>0</v>
      </c>
      <c r="H235" s="39">
        <f t="shared" si="22"/>
        <v>1059.1776</v>
      </c>
      <c r="I235" s="33"/>
      <c r="J235" s="33"/>
    </row>
    <row r="236" spans="1:14" s="34" customFormat="1" ht="15.75" customHeight="1" x14ac:dyDescent="0.3">
      <c r="A236" s="64">
        <v>4</v>
      </c>
      <c r="B236" s="65"/>
      <c r="C236" s="39" t="s">
        <v>224</v>
      </c>
      <c r="D236" s="39">
        <f>(46.5)*10.764</f>
        <v>500.52599999999995</v>
      </c>
      <c r="E236" s="39">
        <v>0</v>
      </c>
      <c r="F236" s="39">
        <f t="shared" si="20"/>
        <v>500.52599999999995</v>
      </c>
      <c r="G236" s="39">
        <v>0</v>
      </c>
      <c r="H236" s="39">
        <f t="shared" si="22"/>
        <v>750.78899999999999</v>
      </c>
      <c r="I236" s="33"/>
      <c r="J236" s="33"/>
    </row>
    <row r="237" spans="1:14" s="34" customFormat="1" x14ac:dyDescent="0.3">
      <c r="A237" s="64">
        <v>5</v>
      </c>
      <c r="B237" s="65"/>
      <c r="C237" s="39" t="s">
        <v>225</v>
      </c>
      <c r="D237" s="39">
        <f>(57.51)*10.764</f>
        <v>619.0376399999999</v>
      </c>
      <c r="E237" s="39">
        <f>((2.85*1.2))*10.764</f>
        <v>36.81288</v>
      </c>
      <c r="F237" s="39">
        <f t="shared" si="20"/>
        <v>655.85051999999985</v>
      </c>
      <c r="G237" s="39">
        <v>0</v>
      </c>
      <c r="H237" s="39">
        <f t="shared" si="22"/>
        <v>983.77577999999971</v>
      </c>
      <c r="I237" s="33"/>
      <c r="J237" s="33"/>
    </row>
    <row r="238" spans="1:14" s="34" customFormat="1" ht="16.5" customHeight="1" x14ac:dyDescent="0.3">
      <c r="A238" s="74" t="s">
        <v>179</v>
      </c>
      <c r="B238" s="74"/>
      <c r="C238" s="74"/>
      <c r="D238" s="74"/>
      <c r="E238" s="74"/>
      <c r="F238" s="74"/>
      <c r="G238" s="74"/>
      <c r="H238" s="74"/>
      <c r="I238" s="33">
        <v>1</v>
      </c>
      <c r="J238" s="33"/>
      <c r="L238" s="62"/>
      <c r="M238" s="62"/>
    </row>
    <row r="239" spans="1:14" s="34" customFormat="1" ht="15.6" customHeight="1" x14ac:dyDescent="0.3">
      <c r="A239" s="64">
        <v>1</v>
      </c>
      <c r="B239" s="65"/>
      <c r="C239" s="64" t="s">
        <v>178</v>
      </c>
      <c r="D239" s="75"/>
      <c r="E239" s="75"/>
      <c r="F239" s="75"/>
      <c r="G239" s="75"/>
      <c r="H239" s="65"/>
      <c r="I239" s="33"/>
      <c r="J239" s="33"/>
      <c r="N239" s="33"/>
    </row>
    <row r="240" spans="1:14" s="34" customFormat="1" x14ac:dyDescent="0.3">
      <c r="A240" s="64">
        <f>A239+1</f>
        <v>2</v>
      </c>
      <c r="B240" s="65"/>
      <c r="C240" s="39" t="s">
        <v>225</v>
      </c>
      <c r="D240" s="39">
        <f>(62.33)*10.764</f>
        <v>670.92012</v>
      </c>
      <c r="E240" s="39">
        <v>0</v>
      </c>
      <c r="F240" s="39">
        <f t="shared" ref="F240:F243" si="23">D240+E240</f>
        <v>670.92012</v>
      </c>
      <c r="G240" s="39">
        <v>0</v>
      </c>
      <c r="H240" s="39">
        <f t="shared" ref="H240:H243" si="24">F240*(($H$175)+1)+(IF(G240&lt;101,G240,IF(G240&lt;201,G240/2,IF(G240&lt;=301,G240/3,G240/4))))</f>
        <v>1006.38018</v>
      </c>
      <c r="I240" s="33"/>
      <c r="J240" s="33"/>
      <c r="N240" s="33"/>
    </row>
    <row r="241" spans="1:14" s="34" customFormat="1" x14ac:dyDescent="0.3">
      <c r="A241" s="64">
        <f>A240+1</f>
        <v>3</v>
      </c>
      <c r="B241" s="65"/>
      <c r="C241" s="39" t="s">
        <v>225</v>
      </c>
      <c r="D241" s="39">
        <f>(63.68)*10.764</f>
        <v>685.45151999999996</v>
      </c>
      <c r="E241" s="39">
        <f>(1.92)*10.764</f>
        <v>20.666879999999999</v>
      </c>
      <c r="F241" s="39">
        <f t="shared" si="23"/>
        <v>706.11839999999995</v>
      </c>
      <c r="G241" s="39">
        <v>0</v>
      </c>
      <c r="H241" s="39">
        <f t="shared" si="24"/>
        <v>1059.1776</v>
      </c>
      <c r="I241" s="33"/>
      <c r="J241" s="33"/>
      <c r="L241" s="34">
        <v>10500000</v>
      </c>
      <c r="M241" s="34">
        <f>L241/H241</f>
        <v>9913.3516418776235</v>
      </c>
      <c r="N241" s="33"/>
    </row>
    <row r="242" spans="1:14" s="34" customFormat="1" x14ac:dyDescent="0.3">
      <c r="A242" s="64">
        <f>A241+1</f>
        <v>4</v>
      </c>
      <c r="B242" s="65"/>
      <c r="C242" s="39" t="s">
        <v>224</v>
      </c>
      <c r="D242" s="39">
        <f>(46.5)*10.764</f>
        <v>500.52599999999995</v>
      </c>
      <c r="E242" s="39">
        <v>0</v>
      </c>
      <c r="F242" s="39">
        <f t="shared" si="23"/>
        <v>500.52599999999995</v>
      </c>
      <c r="G242" s="39">
        <v>0</v>
      </c>
      <c r="H242" s="39">
        <f t="shared" si="24"/>
        <v>750.78899999999999</v>
      </c>
      <c r="I242" s="33"/>
      <c r="J242" s="33"/>
      <c r="N242" s="33"/>
    </row>
    <row r="243" spans="1:14" s="34" customFormat="1" x14ac:dyDescent="0.3">
      <c r="A243" s="64">
        <f>A242+1</f>
        <v>5</v>
      </c>
      <c r="B243" s="65"/>
      <c r="C243" s="39" t="s">
        <v>225</v>
      </c>
      <c r="D243" s="39">
        <f>(57.51)*10.764</f>
        <v>619.0376399999999</v>
      </c>
      <c r="E243" s="39">
        <f>((2.85*1.2))*10.764</f>
        <v>36.81288</v>
      </c>
      <c r="F243" s="39">
        <f t="shared" si="23"/>
        <v>655.85051999999985</v>
      </c>
      <c r="G243" s="39">
        <v>0</v>
      </c>
      <c r="H243" s="39">
        <f t="shared" si="24"/>
        <v>983.77577999999971</v>
      </c>
      <c r="I243" s="33"/>
      <c r="J243" s="33"/>
      <c r="N243" s="33"/>
    </row>
    <row r="244" spans="1:14" s="34" customFormat="1" ht="16.5" customHeight="1" x14ac:dyDescent="0.3">
      <c r="A244" s="70" t="s">
        <v>185</v>
      </c>
      <c r="B244" s="71"/>
      <c r="C244" s="71"/>
      <c r="D244" s="71"/>
      <c r="E244" s="71"/>
      <c r="F244" s="71"/>
      <c r="G244" s="71"/>
      <c r="H244" s="72"/>
      <c r="I244" s="33">
        <v>2</v>
      </c>
      <c r="J244" s="33"/>
      <c r="L244" s="62"/>
      <c r="M244" s="62"/>
    </row>
    <row r="245" spans="1:14" s="34" customFormat="1" ht="15.6" customHeight="1" x14ac:dyDescent="0.3">
      <c r="A245" s="64">
        <v>1</v>
      </c>
      <c r="B245" s="65"/>
      <c r="C245" s="64" t="s">
        <v>178</v>
      </c>
      <c r="D245" s="75"/>
      <c r="E245" s="75"/>
      <c r="F245" s="75"/>
      <c r="G245" s="75"/>
      <c r="H245" s="65"/>
      <c r="I245" s="33"/>
      <c r="J245" s="33"/>
      <c r="N245" s="33"/>
    </row>
    <row r="246" spans="1:14" s="34" customFormat="1" x14ac:dyDescent="0.3">
      <c r="A246" s="64">
        <f>A245+1</f>
        <v>2</v>
      </c>
      <c r="B246" s="65"/>
      <c r="C246" s="39" t="s">
        <v>225</v>
      </c>
      <c r="D246" s="39">
        <f>(62.33)*10.764</f>
        <v>670.92012</v>
      </c>
      <c r="E246" s="39">
        <v>0</v>
      </c>
      <c r="F246" s="39">
        <f t="shared" ref="F246:F249" si="25">D246+E246</f>
        <v>670.92012</v>
      </c>
      <c r="G246" s="39">
        <v>0</v>
      </c>
      <c r="H246" s="39">
        <f t="shared" ref="H246:H249" si="26">F246*(($H$175)+1)+(IF(G246&lt;101,G246,IF(G246&lt;201,G246/2,IF(G246&lt;=301,G246/3,G246/4))))</f>
        <v>1006.38018</v>
      </c>
      <c r="I246" s="33"/>
      <c r="J246" s="33"/>
      <c r="N246" s="33"/>
    </row>
    <row r="247" spans="1:14" s="34" customFormat="1" x14ac:dyDescent="0.3">
      <c r="A247" s="64">
        <f>A246+1</f>
        <v>3</v>
      </c>
      <c r="B247" s="65"/>
      <c r="C247" s="39" t="s">
        <v>225</v>
      </c>
      <c r="D247" s="39">
        <f>(63.68)*10.764</f>
        <v>685.45151999999996</v>
      </c>
      <c r="E247" s="39">
        <f>(1.92)*10.764</f>
        <v>20.666879999999999</v>
      </c>
      <c r="F247" s="39">
        <f t="shared" si="25"/>
        <v>706.11839999999995</v>
      </c>
      <c r="G247" s="39">
        <v>0</v>
      </c>
      <c r="H247" s="39">
        <f t="shared" si="26"/>
        <v>1059.1776</v>
      </c>
      <c r="I247" s="33"/>
      <c r="J247" s="33"/>
      <c r="N247" s="33"/>
    </row>
    <row r="248" spans="1:14" s="34" customFormat="1" x14ac:dyDescent="0.3">
      <c r="A248" s="64">
        <f>A247+1</f>
        <v>4</v>
      </c>
      <c r="B248" s="65"/>
      <c r="C248" s="39" t="s">
        <v>224</v>
      </c>
      <c r="D248" s="39">
        <f>(46.5)*10.764</f>
        <v>500.52599999999995</v>
      </c>
      <c r="E248" s="39">
        <v>0</v>
      </c>
      <c r="F248" s="39">
        <f t="shared" si="25"/>
        <v>500.52599999999995</v>
      </c>
      <c r="G248" s="39">
        <v>0</v>
      </c>
      <c r="H248" s="39">
        <f t="shared" si="26"/>
        <v>750.78899999999999</v>
      </c>
      <c r="I248" s="33"/>
      <c r="J248" s="33"/>
      <c r="N248" s="33"/>
    </row>
    <row r="249" spans="1:14" s="34" customFormat="1" x14ac:dyDescent="0.3">
      <c r="A249" s="64">
        <f>A248+1</f>
        <v>5</v>
      </c>
      <c r="B249" s="65"/>
      <c r="C249" s="39" t="s">
        <v>225</v>
      </c>
      <c r="D249" s="39">
        <f>(57.51)*10.764</f>
        <v>619.0376399999999</v>
      </c>
      <c r="E249" s="39">
        <f>((2.85*1.2))*10.764</f>
        <v>36.81288</v>
      </c>
      <c r="F249" s="39">
        <f t="shared" si="25"/>
        <v>655.85051999999985</v>
      </c>
      <c r="G249" s="39">
        <v>0</v>
      </c>
      <c r="H249" s="39">
        <f t="shared" si="26"/>
        <v>983.77577999999971</v>
      </c>
      <c r="I249" s="33"/>
      <c r="J249" s="33"/>
      <c r="N249" s="33"/>
    </row>
    <row r="250" spans="1:14" s="34" customFormat="1" ht="15.75" customHeight="1" x14ac:dyDescent="0.3">
      <c r="A250" s="70" t="s">
        <v>186</v>
      </c>
      <c r="B250" s="71"/>
      <c r="C250" s="71"/>
      <c r="D250" s="71"/>
      <c r="E250" s="71"/>
      <c r="F250" s="71"/>
      <c r="G250" s="71"/>
      <c r="H250" s="72"/>
      <c r="I250" s="33">
        <f>4+4</f>
        <v>8</v>
      </c>
      <c r="J250" s="33"/>
    </row>
    <row r="251" spans="1:14" s="34" customFormat="1" ht="15.75" customHeight="1" x14ac:dyDescent="0.3">
      <c r="A251" s="64">
        <v>1</v>
      </c>
      <c r="B251" s="65"/>
      <c r="C251" s="39" t="s">
        <v>225</v>
      </c>
      <c r="D251" s="39">
        <f>(62.33)*10.764</f>
        <v>670.92012</v>
      </c>
      <c r="E251" s="39">
        <v>0</v>
      </c>
      <c r="F251" s="39">
        <f t="shared" ref="F251:F255" si="27">D251+E251</f>
        <v>670.92012</v>
      </c>
      <c r="G251" s="39">
        <v>0</v>
      </c>
      <c r="H251" s="39">
        <f t="shared" ref="H251:H255" si="28">F251*(($H$175)+1)+(IF(G251&lt;101,G251,IF(G251&lt;201,G251/2,IF(G251&lt;=301,G251/3,G251/4))))</f>
        <v>1006.38018</v>
      </c>
      <c r="I251" s="33"/>
      <c r="J251" s="33"/>
    </row>
    <row r="252" spans="1:14" s="34" customFormat="1" ht="15.75" customHeight="1" x14ac:dyDescent="0.3">
      <c r="A252" s="64">
        <v>2</v>
      </c>
      <c r="B252" s="65"/>
      <c r="C252" s="39" t="s">
        <v>225</v>
      </c>
      <c r="D252" s="39">
        <f>(62.33)*10.764</f>
        <v>670.92012</v>
      </c>
      <c r="E252" s="39">
        <v>0</v>
      </c>
      <c r="F252" s="39">
        <f t="shared" si="27"/>
        <v>670.92012</v>
      </c>
      <c r="G252" s="39">
        <v>0</v>
      </c>
      <c r="H252" s="39">
        <f t="shared" si="28"/>
        <v>1006.38018</v>
      </c>
      <c r="I252" s="33"/>
      <c r="J252" s="33"/>
    </row>
    <row r="253" spans="1:14" s="34" customFormat="1" ht="15.75" customHeight="1" x14ac:dyDescent="0.3">
      <c r="A253" s="64">
        <v>3</v>
      </c>
      <c r="B253" s="65"/>
      <c r="C253" s="39" t="s">
        <v>225</v>
      </c>
      <c r="D253" s="39">
        <f>(63.68)*10.764</f>
        <v>685.45151999999996</v>
      </c>
      <c r="E253" s="39">
        <f>(1.92)*10.764</f>
        <v>20.666879999999999</v>
      </c>
      <c r="F253" s="39">
        <f t="shared" si="27"/>
        <v>706.11839999999995</v>
      </c>
      <c r="G253" s="39">
        <v>0</v>
      </c>
      <c r="H253" s="39">
        <f t="shared" si="28"/>
        <v>1059.1776</v>
      </c>
      <c r="I253" s="33"/>
      <c r="J253" s="33"/>
    </row>
    <row r="254" spans="1:14" s="34" customFormat="1" ht="15.75" customHeight="1" x14ac:dyDescent="0.3">
      <c r="A254" s="64">
        <v>4</v>
      </c>
      <c r="B254" s="65"/>
      <c r="C254" s="39" t="s">
        <v>224</v>
      </c>
      <c r="D254" s="39">
        <f>(46.5)*10.764</f>
        <v>500.52599999999995</v>
      </c>
      <c r="E254" s="39">
        <v>0</v>
      </c>
      <c r="F254" s="39">
        <f t="shared" si="27"/>
        <v>500.52599999999995</v>
      </c>
      <c r="G254" s="39">
        <v>0</v>
      </c>
      <c r="H254" s="39">
        <f t="shared" si="28"/>
        <v>750.78899999999999</v>
      </c>
      <c r="I254" s="33"/>
      <c r="J254" s="33"/>
    </row>
    <row r="255" spans="1:14" s="34" customFormat="1" ht="15.75" customHeight="1" x14ac:dyDescent="0.3">
      <c r="A255" s="64">
        <v>5</v>
      </c>
      <c r="B255" s="65"/>
      <c r="C255" s="39" t="s">
        <v>225</v>
      </c>
      <c r="D255" s="39">
        <f>(57.51)*10.764</f>
        <v>619.0376399999999</v>
      </c>
      <c r="E255" s="39">
        <f>((2.85*1.2))*10.764</f>
        <v>36.81288</v>
      </c>
      <c r="F255" s="39">
        <f t="shared" si="27"/>
        <v>655.85051999999985</v>
      </c>
      <c r="G255" s="39">
        <v>0</v>
      </c>
      <c r="H255" s="39">
        <f t="shared" si="28"/>
        <v>983.77577999999971</v>
      </c>
      <c r="I255" s="33"/>
      <c r="J255" s="33"/>
    </row>
    <row r="256" spans="1:14" s="32" customFormat="1" x14ac:dyDescent="0.3">
      <c r="A256" s="69" t="s">
        <v>67</v>
      </c>
      <c r="B256" s="69"/>
      <c r="C256" s="69"/>
      <c r="D256" s="69"/>
      <c r="E256" s="69"/>
      <c r="F256" s="69"/>
      <c r="G256" s="69"/>
      <c r="H256" s="69"/>
    </row>
    <row r="257" spans="1:15" s="32" customFormat="1" x14ac:dyDescent="0.3">
      <c r="A257" s="40" t="s">
        <v>151</v>
      </c>
      <c r="B257" s="59" t="s">
        <v>229</v>
      </c>
      <c r="C257" s="60"/>
      <c r="D257" s="60"/>
      <c r="E257" s="60"/>
      <c r="F257" s="60"/>
      <c r="G257" s="60"/>
      <c r="H257" s="61"/>
    </row>
    <row r="258" spans="1:15" s="32" customFormat="1" x14ac:dyDescent="0.3">
      <c r="A258" s="40" t="s">
        <v>151</v>
      </c>
      <c r="B258" s="59" t="str">
        <f>(IF(H122="Saleable area Loading :","We have considered Saleable area of Flats as per our Calculation.","We considered Saleable area of Flat as per Builder area Sheet."))</f>
        <v>We have considered Saleable area of Flats as per our Calculation.</v>
      </c>
      <c r="C258" s="60"/>
      <c r="D258" s="60"/>
      <c r="E258" s="60"/>
      <c r="F258" s="60"/>
      <c r="G258" s="60"/>
      <c r="H258" s="61"/>
      <c r="K258" s="32">
        <v>1.25</v>
      </c>
      <c r="L258" s="32">
        <v>2.75</v>
      </c>
      <c r="M258" s="32">
        <f>K258</f>
        <v>1.25</v>
      </c>
    </row>
    <row r="259" spans="1:15" s="32" customFormat="1" x14ac:dyDescent="0.3">
      <c r="A259" s="40" t="s">
        <v>151</v>
      </c>
      <c r="B259" s="59" t="str">
        <f>(IF(H174="Saleable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9" s="60"/>
      <c r="D259" s="60"/>
      <c r="E259" s="60"/>
      <c r="F259" s="60"/>
      <c r="G259" s="60"/>
      <c r="H259" s="61"/>
      <c r="K259" s="32">
        <v>2.1</v>
      </c>
      <c r="L259" s="32">
        <v>4.25</v>
      </c>
      <c r="M259" s="32">
        <f>L259/K259</f>
        <v>2.0238095238095237</v>
      </c>
    </row>
    <row r="260" spans="1:15" s="32" customFormat="1" x14ac:dyDescent="0.3">
      <c r="A260" s="40" t="s">
        <v>151</v>
      </c>
      <c r="B260" s="66" t="s">
        <v>121</v>
      </c>
      <c r="C260" s="67"/>
      <c r="D260" s="67"/>
      <c r="E260" s="67"/>
      <c r="F260" s="67"/>
      <c r="G260" s="67"/>
      <c r="H260" s="68"/>
    </row>
    <row r="261" spans="1:15" s="32" customFormat="1" x14ac:dyDescent="0.3">
      <c r="A261" s="40" t="s">
        <v>151</v>
      </c>
      <c r="B261" s="66" t="s">
        <v>228</v>
      </c>
      <c r="C261" s="67"/>
      <c r="D261" s="67"/>
      <c r="E261" s="67"/>
      <c r="F261" s="67"/>
      <c r="G261" s="67"/>
      <c r="H261" s="68"/>
      <c r="K261" s="32">
        <v>1.1000000000000001</v>
      </c>
      <c r="L261" s="32">
        <v>2.4</v>
      </c>
      <c r="M261" s="32">
        <f>L261/K261</f>
        <v>2.1818181818181817</v>
      </c>
    </row>
    <row r="262" spans="1:15" s="32" customFormat="1" x14ac:dyDescent="0.3">
      <c r="A262" s="40" t="s">
        <v>151</v>
      </c>
      <c r="B262" s="66" t="s">
        <v>150</v>
      </c>
      <c r="C262" s="67"/>
      <c r="D262" s="67"/>
      <c r="E262" s="67"/>
      <c r="F262" s="67"/>
      <c r="G262" s="67"/>
      <c r="H262" s="68"/>
      <c r="K262" s="32">
        <v>1.75</v>
      </c>
      <c r="L262" s="32">
        <v>3.65</v>
      </c>
      <c r="M262" s="32">
        <f>L262/K262</f>
        <v>2.0857142857142859</v>
      </c>
    </row>
    <row r="263" spans="1:15" s="32" customFormat="1" hidden="1" x14ac:dyDescent="0.3">
      <c r="A263" s="40" t="s">
        <v>151</v>
      </c>
      <c r="B263" s="66" t="s">
        <v>122</v>
      </c>
      <c r="C263" s="67"/>
      <c r="D263" s="67"/>
      <c r="E263" s="67"/>
      <c r="F263" s="67"/>
      <c r="G263" s="67"/>
      <c r="H263" s="68"/>
    </row>
    <row r="264" spans="1:15" s="32" customFormat="1" ht="34.5" customHeight="1" x14ac:dyDescent="0.3">
      <c r="A264" s="40" t="s">
        <v>151</v>
      </c>
      <c r="B264" s="66" t="s">
        <v>152</v>
      </c>
      <c r="C264" s="67"/>
      <c r="D264" s="67"/>
      <c r="E264" s="67"/>
      <c r="F264" s="67"/>
      <c r="G264" s="67"/>
      <c r="H264" s="68"/>
    </row>
    <row r="265" spans="1:15" s="32" customFormat="1" x14ac:dyDescent="0.3">
      <c r="A265" s="40" t="s">
        <v>151</v>
      </c>
      <c r="B265" s="66" t="s">
        <v>123</v>
      </c>
      <c r="C265" s="67"/>
      <c r="D265" s="67"/>
      <c r="E265" s="67"/>
      <c r="F265" s="67"/>
      <c r="G265" s="67"/>
      <c r="H265" s="68"/>
    </row>
    <row r="266" spans="1:15" s="32" customFormat="1" x14ac:dyDescent="0.3">
      <c r="A266" s="40" t="s">
        <v>151</v>
      </c>
      <c r="B266" s="59" t="s">
        <v>207</v>
      </c>
      <c r="C266" s="60"/>
      <c r="D266" s="60"/>
      <c r="E266" s="60"/>
      <c r="F266" s="60"/>
      <c r="G266" s="60"/>
      <c r="H266" s="61"/>
      <c r="I266" s="204"/>
      <c r="J266" s="205"/>
      <c r="K266" s="205"/>
      <c r="L266" s="205"/>
      <c r="M266" s="205"/>
      <c r="N266" s="205"/>
      <c r="O266" s="205"/>
    </row>
    <row r="267" spans="1:15" s="32" customFormat="1" ht="15.6" customHeight="1" x14ac:dyDescent="0.3">
      <c r="A267" s="40" t="s">
        <v>151</v>
      </c>
      <c r="B267" s="59" t="s">
        <v>243</v>
      </c>
      <c r="C267" s="60"/>
      <c r="D267" s="60"/>
      <c r="E267" s="60"/>
      <c r="F267" s="60"/>
      <c r="G267" s="60"/>
      <c r="H267" s="61"/>
      <c r="I267" s="202"/>
      <c r="J267" s="203"/>
      <c r="K267" s="203"/>
      <c r="L267" s="203"/>
      <c r="M267" s="203"/>
      <c r="N267" s="203"/>
      <c r="O267" s="203"/>
    </row>
    <row r="268" spans="1:15" s="32" customFormat="1" ht="15.6" customHeight="1" x14ac:dyDescent="0.3">
      <c r="A268" s="40" t="s">
        <v>151</v>
      </c>
      <c r="B268" s="59" t="s">
        <v>233</v>
      </c>
      <c r="C268" s="60"/>
      <c r="D268" s="60"/>
      <c r="E268" s="60"/>
      <c r="F268" s="60"/>
      <c r="G268" s="60"/>
      <c r="H268" s="61"/>
      <c r="I268" s="202"/>
      <c r="J268" s="203"/>
      <c r="K268" s="203"/>
      <c r="L268" s="203"/>
      <c r="M268" s="203"/>
      <c r="N268" s="203"/>
      <c r="O268" s="203"/>
    </row>
    <row r="269" spans="1:15" s="32" customFormat="1" ht="33" customHeight="1" x14ac:dyDescent="0.3">
      <c r="A269" s="40" t="s">
        <v>151</v>
      </c>
      <c r="B269" s="59" t="s">
        <v>244</v>
      </c>
      <c r="C269" s="60"/>
      <c r="D269" s="60"/>
      <c r="E269" s="60"/>
      <c r="F269" s="60"/>
      <c r="G269" s="60"/>
      <c r="H269" s="61"/>
      <c r="I269" s="202"/>
      <c r="J269" s="203"/>
      <c r="K269" s="203"/>
      <c r="L269" s="203"/>
      <c r="M269" s="203"/>
      <c r="N269" s="203"/>
      <c r="O269" s="203"/>
    </row>
    <row r="270" spans="1:15" x14ac:dyDescent="0.3">
      <c r="A270" s="163" t="s">
        <v>60</v>
      </c>
      <c r="B270" s="163"/>
      <c r="C270" s="163"/>
      <c r="D270" s="163"/>
      <c r="E270" s="163"/>
      <c r="F270" s="163"/>
      <c r="G270" s="163"/>
      <c r="H270" s="163"/>
      <c r="I270" s="202"/>
      <c r="J270" s="203"/>
      <c r="K270" s="203"/>
      <c r="L270" s="203"/>
      <c r="M270" s="203"/>
      <c r="N270" s="203"/>
      <c r="O270" s="203"/>
    </row>
    <row r="271" spans="1:15" x14ac:dyDescent="0.3">
      <c r="A271" s="76" t="s">
        <v>61</v>
      </c>
      <c r="B271" s="76"/>
      <c r="C271" s="76"/>
      <c r="D271" s="76"/>
      <c r="E271" s="76"/>
      <c r="F271" s="76"/>
      <c r="G271" s="76"/>
      <c r="H271" s="76"/>
    </row>
    <row r="272" spans="1:15" ht="15.75" customHeight="1" x14ac:dyDescent="0.3">
      <c r="A272" s="162" t="s">
        <v>62</v>
      </c>
      <c r="B272" s="162"/>
      <c r="C272" s="162"/>
      <c r="D272" s="162"/>
      <c r="E272" s="162"/>
      <c r="F272" s="162"/>
      <c r="G272" s="162"/>
      <c r="H272" s="162"/>
    </row>
    <row r="273" spans="1:8" x14ac:dyDescent="0.3">
      <c r="A273" s="76" t="s">
        <v>63</v>
      </c>
      <c r="B273" s="76"/>
      <c r="C273" s="76"/>
      <c r="D273" s="76"/>
      <c r="E273" s="76"/>
      <c r="F273" s="76"/>
      <c r="G273" s="76"/>
      <c r="H273" s="76"/>
    </row>
    <row r="274" spans="1:8" x14ac:dyDescent="0.3">
      <c r="A274" s="76" t="s">
        <v>64</v>
      </c>
      <c r="B274" s="76"/>
      <c r="C274" s="76"/>
      <c r="D274" s="76"/>
      <c r="E274" s="76"/>
      <c r="F274" s="76"/>
      <c r="G274" s="76"/>
      <c r="H274" s="76"/>
    </row>
    <row r="275" spans="1:8" x14ac:dyDescent="0.3">
      <c r="A275" s="76" t="s">
        <v>124</v>
      </c>
      <c r="B275" s="76"/>
      <c r="C275" s="76"/>
      <c r="D275" s="76"/>
      <c r="E275" s="76"/>
      <c r="F275" s="76"/>
      <c r="G275" s="76"/>
      <c r="H275" s="76"/>
    </row>
    <row r="276" spans="1:8" ht="35.25" customHeight="1" x14ac:dyDescent="0.3">
      <c r="A276" s="99" t="s">
        <v>125</v>
      </c>
      <c r="B276" s="99"/>
      <c r="C276" s="99"/>
      <c r="D276" s="99"/>
      <c r="E276" s="99"/>
      <c r="F276" s="99"/>
      <c r="G276" s="99"/>
      <c r="H276" s="99"/>
    </row>
    <row r="277" spans="1:8" x14ac:dyDescent="0.3">
      <c r="A277" s="160" t="s">
        <v>76</v>
      </c>
      <c r="B277" s="160"/>
      <c r="C277" s="160" t="s">
        <v>212</v>
      </c>
      <c r="D277" s="160"/>
      <c r="E277" s="160" t="s">
        <v>105</v>
      </c>
      <c r="F277" s="160"/>
      <c r="G277" s="160" t="s">
        <v>235</v>
      </c>
      <c r="H277" s="160"/>
    </row>
    <row r="278" spans="1:8" x14ac:dyDescent="0.3">
      <c r="A278" s="159" t="s">
        <v>78</v>
      </c>
      <c r="B278" s="159"/>
      <c r="C278" s="159"/>
      <c r="D278" s="159"/>
      <c r="E278" s="159"/>
      <c r="F278" s="159"/>
      <c r="G278" s="159"/>
      <c r="H278" s="159"/>
    </row>
    <row r="279" spans="1:8" x14ac:dyDescent="0.3">
      <c r="A279" s="159"/>
      <c r="B279" s="159"/>
      <c r="C279" s="159"/>
      <c r="D279" s="159"/>
      <c r="E279" s="159"/>
      <c r="F279" s="159"/>
      <c r="G279" s="159"/>
      <c r="H279" s="159"/>
    </row>
    <row r="280" spans="1:8" x14ac:dyDescent="0.3">
      <c r="A280" s="159"/>
      <c r="B280" s="159"/>
      <c r="C280" s="159"/>
      <c r="D280" s="159"/>
      <c r="E280" s="159"/>
      <c r="F280" s="159"/>
      <c r="G280" s="159"/>
      <c r="H280" s="159"/>
    </row>
    <row r="281" spans="1:8" x14ac:dyDescent="0.3">
      <c r="A281" s="159"/>
      <c r="B281" s="159"/>
      <c r="C281" s="159"/>
      <c r="D281" s="159"/>
      <c r="E281" s="159"/>
      <c r="F281" s="159"/>
      <c r="G281" s="159"/>
      <c r="H281" s="159"/>
    </row>
    <row r="282" spans="1:8" x14ac:dyDescent="0.3">
      <c r="A282" s="35" t="s">
        <v>65</v>
      </c>
      <c r="B282" s="36"/>
      <c r="C282" s="36"/>
      <c r="D282" s="35" t="str">
        <f>E8</f>
        <v>Vinay Heritage</v>
      </c>
      <c r="F282" s="36"/>
      <c r="G282" s="36"/>
      <c r="H282" s="36"/>
    </row>
    <row r="283" spans="1:8" x14ac:dyDescent="0.3">
      <c r="A283" s="36"/>
      <c r="B283" s="36"/>
      <c r="C283" s="36"/>
      <c r="D283" s="36"/>
      <c r="E283" s="36"/>
      <c r="F283" s="36"/>
      <c r="G283" s="36"/>
      <c r="H283" s="36"/>
    </row>
    <row r="284" spans="1:8" x14ac:dyDescent="0.3">
      <c r="A284" s="36"/>
      <c r="B284" s="36"/>
      <c r="C284" s="36"/>
      <c r="D284" s="36"/>
      <c r="E284" s="36"/>
      <c r="F284" s="36"/>
      <c r="G284" s="36"/>
      <c r="H284" s="36"/>
    </row>
    <row r="285" spans="1:8" ht="15" customHeight="1" x14ac:dyDescent="0.3"/>
    <row r="327" spans="1:1" x14ac:dyDescent="0.3">
      <c r="A327" s="38" t="s">
        <v>217</v>
      </c>
    </row>
    <row r="371" spans="1:1" x14ac:dyDescent="0.3">
      <c r="A371" s="38" t="s">
        <v>66</v>
      </c>
    </row>
  </sheetData>
  <mergeCells count="474">
    <mergeCell ref="A248:B248"/>
    <mergeCell ref="A119:B119"/>
    <mergeCell ref="C119:D119"/>
    <mergeCell ref="E119:F119"/>
    <mergeCell ref="G119:H119"/>
    <mergeCell ref="B269:H269"/>
    <mergeCell ref="A220:H220"/>
    <mergeCell ref="A221:B221"/>
    <mergeCell ref="A223:B223"/>
    <mergeCell ref="A224:B224"/>
    <mergeCell ref="A225:B225"/>
    <mergeCell ref="A250:H250"/>
    <mergeCell ref="A253:B253"/>
    <mergeCell ref="A244:H244"/>
    <mergeCell ref="L238:M238"/>
    <mergeCell ref="A239:B239"/>
    <mergeCell ref="A240:B240"/>
    <mergeCell ref="A241:B241"/>
    <mergeCell ref="A242:B242"/>
    <mergeCell ref="A243:B243"/>
    <mergeCell ref="C204:H204"/>
    <mergeCell ref="C211:H211"/>
    <mergeCell ref="C239:H239"/>
    <mergeCell ref="A177:H177"/>
    <mergeCell ref="L177:M177"/>
    <mergeCell ref="A178:B178"/>
    <mergeCell ref="A179:B179"/>
    <mergeCell ref="A180:B180"/>
    <mergeCell ref="A184:H184"/>
    <mergeCell ref="L184:M184"/>
    <mergeCell ref="A170:B170"/>
    <mergeCell ref="L170:M170"/>
    <mergeCell ref="A171:B171"/>
    <mergeCell ref="L171:M171"/>
    <mergeCell ref="A172:B172"/>
    <mergeCell ref="L172:M172"/>
    <mergeCell ref="A167:B167"/>
    <mergeCell ref="L167:M167"/>
    <mergeCell ref="A168:B168"/>
    <mergeCell ref="L168:M168"/>
    <mergeCell ref="A169:B169"/>
    <mergeCell ref="L169:M169"/>
    <mergeCell ref="A164:B164"/>
    <mergeCell ref="L164:M164"/>
    <mergeCell ref="A165:B165"/>
    <mergeCell ref="L165:M165"/>
    <mergeCell ref="A166:B166"/>
    <mergeCell ref="L166:M166"/>
    <mergeCell ref="A161:B161"/>
    <mergeCell ref="L161:M161"/>
    <mergeCell ref="A162:B162"/>
    <mergeCell ref="L162:M162"/>
    <mergeCell ref="A163:B163"/>
    <mergeCell ref="L163:M163"/>
    <mergeCell ref="A158:B158"/>
    <mergeCell ref="L158:M158"/>
    <mergeCell ref="A159:B159"/>
    <mergeCell ref="L159:M159"/>
    <mergeCell ref="A160:B160"/>
    <mergeCell ref="L160:M160"/>
    <mergeCell ref="A155:B155"/>
    <mergeCell ref="L155:M155"/>
    <mergeCell ref="A156:B156"/>
    <mergeCell ref="L156:M156"/>
    <mergeCell ref="A157:B157"/>
    <mergeCell ref="L157:M157"/>
    <mergeCell ref="A152:B152"/>
    <mergeCell ref="L152:M152"/>
    <mergeCell ref="A153:B153"/>
    <mergeCell ref="L153:M153"/>
    <mergeCell ref="A154:B154"/>
    <mergeCell ref="L154:M154"/>
    <mergeCell ref="A148:B148"/>
    <mergeCell ref="L148:M148"/>
    <mergeCell ref="A149:B149"/>
    <mergeCell ref="L149:M149"/>
    <mergeCell ref="A150:H150"/>
    <mergeCell ref="A151:B151"/>
    <mergeCell ref="L151:M151"/>
    <mergeCell ref="L144:M144"/>
    <mergeCell ref="A145:B145"/>
    <mergeCell ref="L145:M145"/>
    <mergeCell ref="A146:B146"/>
    <mergeCell ref="L146:M146"/>
    <mergeCell ref="A147:B147"/>
    <mergeCell ref="L147:M147"/>
    <mergeCell ref="L140:M140"/>
    <mergeCell ref="A141:B141"/>
    <mergeCell ref="L141:M141"/>
    <mergeCell ref="A142:B142"/>
    <mergeCell ref="L142:M142"/>
    <mergeCell ref="A143:B143"/>
    <mergeCell ref="L143:M143"/>
    <mergeCell ref="L136:M136"/>
    <mergeCell ref="A137:B137"/>
    <mergeCell ref="L137:M137"/>
    <mergeCell ref="A138:B138"/>
    <mergeCell ref="L138:M138"/>
    <mergeCell ref="A139:B139"/>
    <mergeCell ref="L139:M139"/>
    <mergeCell ref="L132:M132"/>
    <mergeCell ref="A133:B133"/>
    <mergeCell ref="L133:M133"/>
    <mergeCell ref="A134:B134"/>
    <mergeCell ref="L134:M134"/>
    <mergeCell ref="A135:B135"/>
    <mergeCell ref="L135:M135"/>
    <mergeCell ref="L128:M128"/>
    <mergeCell ref="A129:B129"/>
    <mergeCell ref="L129:M129"/>
    <mergeCell ref="A130:B130"/>
    <mergeCell ref="L130:M130"/>
    <mergeCell ref="A131:B131"/>
    <mergeCell ref="L131:M131"/>
    <mergeCell ref="A173:H173"/>
    <mergeCell ref="A174:A175"/>
    <mergeCell ref="B174:B175"/>
    <mergeCell ref="C174:C175"/>
    <mergeCell ref="D174:D175"/>
    <mergeCell ref="E174:E175"/>
    <mergeCell ref="F174:F175"/>
    <mergeCell ref="G174:G175"/>
    <mergeCell ref="A124:H124"/>
    <mergeCell ref="A125:H125"/>
    <mergeCell ref="A126:B126"/>
    <mergeCell ref="L126:M126"/>
    <mergeCell ref="A127:B127"/>
    <mergeCell ref="L127:M127"/>
    <mergeCell ref="A128:B128"/>
    <mergeCell ref="A68:B68"/>
    <mergeCell ref="C68:D68"/>
    <mergeCell ref="E68:F68"/>
    <mergeCell ref="G68:H68"/>
    <mergeCell ref="I60:M60"/>
    <mergeCell ref="C36:H36"/>
    <mergeCell ref="B267:H267"/>
    <mergeCell ref="B266:H266"/>
    <mergeCell ref="C118:D118"/>
    <mergeCell ref="E40:H40"/>
    <mergeCell ref="A40:D40"/>
    <mergeCell ref="A81:B81"/>
    <mergeCell ref="C81:H81"/>
    <mergeCell ref="A76:B76"/>
    <mergeCell ref="A47:B47"/>
    <mergeCell ref="C47:E47"/>
    <mergeCell ref="G47:H47"/>
    <mergeCell ref="G49:H49"/>
    <mergeCell ref="A121:H121"/>
    <mergeCell ref="D54:H54"/>
    <mergeCell ref="C49:E49"/>
    <mergeCell ref="A57:C58"/>
    <mergeCell ref="D57:H57"/>
    <mergeCell ref="D58:H58"/>
    <mergeCell ref="A65:C65"/>
    <mergeCell ref="C51:E51"/>
    <mergeCell ref="A48:B48"/>
    <mergeCell ref="D55:H55"/>
    <mergeCell ref="C52:H52"/>
    <mergeCell ref="C50:H50"/>
    <mergeCell ref="A63:C63"/>
    <mergeCell ref="A53:H53"/>
    <mergeCell ref="A54:C54"/>
    <mergeCell ref="A55:C55"/>
    <mergeCell ref="A62:C62"/>
    <mergeCell ref="D62:H62"/>
    <mergeCell ref="C48:E48"/>
    <mergeCell ref="G70:H70"/>
    <mergeCell ref="A60:C60"/>
    <mergeCell ref="A275:H275"/>
    <mergeCell ref="A272:H272"/>
    <mergeCell ref="A115:B115"/>
    <mergeCell ref="A89:B89"/>
    <mergeCell ref="A90:B90"/>
    <mergeCell ref="A91:B91"/>
    <mergeCell ref="F96:H96"/>
    <mergeCell ref="G111:H111"/>
    <mergeCell ref="A271:H271"/>
    <mergeCell ref="C110:D110"/>
    <mergeCell ref="F106:H106"/>
    <mergeCell ref="F104:H104"/>
    <mergeCell ref="G110:H110"/>
    <mergeCell ref="A105:E105"/>
    <mergeCell ref="A270:H270"/>
    <mergeCell ref="A118:B118"/>
    <mergeCell ref="A228:B228"/>
    <mergeCell ref="A210:B210"/>
    <mergeCell ref="A214:B214"/>
    <mergeCell ref="A218:B218"/>
    <mergeCell ref="E118:F118"/>
    <mergeCell ref="A122:A123"/>
    <mergeCell ref="B122:B123"/>
    <mergeCell ref="C122:C123"/>
    <mergeCell ref="D122:D123"/>
    <mergeCell ref="E122:E123"/>
    <mergeCell ref="F122:F123"/>
    <mergeCell ref="G122:G123"/>
    <mergeCell ref="B265:H265"/>
    <mergeCell ref="B263:H263"/>
    <mergeCell ref="B259:H259"/>
    <mergeCell ref="A120:H120"/>
    <mergeCell ref="A176:H176"/>
    <mergeCell ref="A132:B132"/>
    <mergeCell ref="A136:B136"/>
    <mergeCell ref="A140:B140"/>
    <mergeCell ref="A144:B144"/>
    <mergeCell ref="A71:B71"/>
    <mergeCell ref="E16:F16"/>
    <mergeCell ref="B268:H268"/>
    <mergeCell ref="D65:H65"/>
    <mergeCell ref="A278:H281"/>
    <mergeCell ref="A277:B277"/>
    <mergeCell ref="E277:F277"/>
    <mergeCell ref="C277:D277"/>
    <mergeCell ref="G277:H277"/>
    <mergeCell ref="A109:H109"/>
    <mergeCell ref="A107:E107"/>
    <mergeCell ref="F107:H107"/>
    <mergeCell ref="A108:E108"/>
    <mergeCell ref="F108:H108"/>
    <mergeCell ref="A116:B116"/>
    <mergeCell ref="A273:H273"/>
    <mergeCell ref="A114:H114"/>
    <mergeCell ref="A276:H276"/>
    <mergeCell ref="A274:H274"/>
    <mergeCell ref="C111:D111"/>
    <mergeCell ref="E111:F111"/>
    <mergeCell ref="G18:H18"/>
    <mergeCell ref="E70:F70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A19:B19"/>
    <mergeCell ref="C19:D19"/>
    <mergeCell ref="E19:F19"/>
    <mergeCell ref="G19:H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5:B15"/>
    <mergeCell ref="C15:H15"/>
    <mergeCell ref="G16:H16"/>
    <mergeCell ref="A17:B17"/>
    <mergeCell ref="C17:D17"/>
    <mergeCell ref="E17:F17"/>
    <mergeCell ref="G17:H17"/>
    <mergeCell ref="A18:B18"/>
    <mergeCell ref="C18:D18"/>
    <mergeCell ref="E18:F18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F31:H31"/>
    <mergeCell ref="F32:H32"/>
    <mergeCell ref="A38:H38"/>
    <mergeCell ref="A59:C59"/>
    <mergeCell ref="D59:H59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G51:H51"/>
    <mergeCell ref="A51:B52"/>
    <mergeCell ref="A41:D41"/>
    <mergeCell ref="E41:H41"/>
    <mergeCell ref="E42:H42"/>
    <mergeCell ref="E43:H43"/>
    <mergeCell ref="E44:H44"/>
    <mergeCell ref="A42:D42"/>
    <mergeCell ref="A35:H35"/>
    <mergeCell ref="A34:B34"/>
    <mergeCell ref="C34:E34"/>
    <mergeCell ref="A39:D39"/>
    <mergeCell ref="E39:H39"/>
    <mergeCell ref="E110:F110"/>
    <mergeCell ref="A110:B110"/>
    <mergeCell ref="F103:H103"/>
    <mergeCell ref="E71:F80"/>
    <mergeCell ref="G71:H80"/>
    <mergeCell ref="A79:B79"/>
    <mergeCell ref="A80:B80"/>
    <mergeCell ref="D60:H60"/>
    <mergeCell ref="A77:B77"/>
    <mergeCell ref="A70:B70"/>
    <mergeCell ref="A73:B73"/>
    <mergeCell ref="A69:B69"/>
    <mergeCell ref="A66:B66"/>
    <mergeCell ref="C66:H66"/>
    <mergeCell ref="A75:B75"/>
    <mergeCell ref="A61:C61"/>
    <mergeCell ref="D61:H61"/>
    <mergeCell ref="C69:H69"/>
    <mergeCell ref="A72:B72"/>
    <mergeCell ref="A74:B74"/>
    <mergeCell ref="A95:E95"/>
    <mergeCell ref="A117:B117"/>
    <mergeCell ref="C117:D117"/>
    <mergeCell ref="E117:F117"/>
    <mergeCell ref="G117:H117"/>
    <mergeCell ref="C115:D115"/>
    <mergeCell ref="G115:H115"/>
    <mergeCell ref="A111:A112"/>
    <mergeCell ref="F95:H95"/>
    <mergeCell ref="F100:H100"/>
    <mergeCell ref="E115:F115"/>
    <mergeCell ref="D63:H63"/>
    <mergeCell ref="A64:C64"/>
    <mergeCell ref="D64:H64"/>
    <mergeCell ref="A78:B78"/>
    <mergeCell ref="C116:D116"/>
    <mergeCell ref="E116:F116"/>
    <mergeCell ref="G116:H116"/>
    <mergeCell ref="F102:H102"/>
    <mergeCell ref="A96:E96"/>
    <mergeCell ref="A85:B85"/>
    <mergeCell ref="E85:F94"/>
    <mergeCell ref="A92:B92"/>
    <mergeCell ref="A93:B93"/>
    <mergeCell ref="A94:B94"/>
    <mergeCell ref="A98:E98"/>
    <mergeCell ref="A205:H205"/>
    <mergeCell ref="B257:H257"/>
    <mergeCell ref="B258:H258"/>
    <mergeCell ref="A212:H212"/>
    <mergeCell ref="A219:H219"/>
    <mergeCell ref="A226:H226"/>
    <mergeCell ref="A232:H232"/>
    <mergeCell ref="A234:B234"/>
    <mergeCell ref="A235:B235"/>
    <mergeCell ref="A236:B236"/>
    <mergeCell ref="A237:B237"/>
    <mergeCell ref="A238:H238"/>
    <mergeCell ref="B260:H260"/>
    <mergeCell ref="A249:B249"/>
    <mergeCell ref="A83:B83"/>
    <mergeCell ref="C83:H83"/>
    <mergeCell ref="A84:B84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A100:E100"/>
    <mergeCell ref="A106:E106"/>
    <mergeCell ref="G118:H118"/>
    <mergeCell ref="C112:D112"/>
    <mergeCell ref="E112:F112"/>
    <mergeCell ref="G112:H112"/>
    <mergeCell ref="A113:B113"/>
    <mergeCell ref="C113:D113"/>
    <mergeCell ref="E113:F113"/>
    <mergeCell ref="G113:H113"/>
    <mergeCell ref="A37:B37"/>
    <mergeCell ref="C37:H37"/>
    <mergeCell ref="B264:H264"/>
    <mergeCell ref="A46:B46"/>
    <mergeCell ref="C46:H46"/>
    <mergeCell ref="B262:H262"/>
    <mergeCell ref="G85:H94"/>
    <mergeCell ref="A86:B86"/>
    <mergeCell ref="A87:B87"/>
    <mergeCell ref="A88:B88"/>
    <mergeCell ref="F97:H97"/>
    <mergeCell ref="A97:E97"/>
    <mergeCell ref="A99:E99"/>
    <mergeCell ref="A181:B181"/>
    <mergeCell ref="A182:B182"/>
    <mergeCell ref="A183:B183"/>
    <mergeCell ref="F99:H99"/>
    <mergeCell ref="F105:H105"/>
    <mergeCell ref="A189:B189"/>
    <mergeCell ref="A193:B193"/>
    <mergeCell ref="A186:B186"/>
    <mergeCell ref="A187:B187"/>
    <mergeCell ref="A188:B188"/>
    <mergeCell ref="A185:B185"/>
    <mergeCell ref="A190:B190"/>
    <mergeCell ref="A192:B192"/>
    <mergeCell ref="A191:H191"/>
    <mergeCell ref="A194:B194"/>
    <mergeCell ref="A195:B195"/>
    <mergeCell ref="A196:B196"/>
    <mergeCell ref="L198:M198"/>
    <mergeCell ref="A199:B199"/>
    <mergeCell ref="A200:B200"/>
    <mergeCell ref="A197:B197"/>
    <mergeCell ref="A198:H198"/>
    <mergeCell ref="A202:B202"/>
    <mergeCell ref="A203:B203"/>
    <mergeCell ref="A204:B204"/>
    <mergeCell ref="A201:B201"/>
    <mergeCell ref="A207:B207"/>
    <mergeCell ref="A208:B208"/>
    <mergeCell ref="A209:B209"/>
    <mergeCell ref="A206:B206"/>
    <mergeCell ref="L220:M220"/>
    <mergeCell ref="A211:B211"/>
    <mergeCell ref="A222:B222"/>
    <mergeCell ref="A213:B213"/>
    <mergeCell ref="A215:B215"/>
    <mergeCell ref="A216:B216"/>
    <mergeCell ref="A217:B217"/>
    <mergeCell ref="L219:M219"/>
    <mergeCell ref="L226:M226"/>
    <mergeCell ref="A227:B227"/>
    <mergeCell ref="A233:B233"/>
    <mergeCell ref="A252:B252"/>
    <mergeCell ref="A229:B229"/>
    <mergeCell ref="A230:B230"/>
    <mergeCell ref="A231:B231"/>
    <mergeCell ref="A251:B251"/>
    <mergeCell ref="A254:B254"/>
    <mergeCell ref="A255:B255"/>
    <mergeCell ref="A245:B245"/>
    <mergeCell ref="L244:M244"/>
    <mergeCell ref="C245:H245"/>
    <mergeCell ref="A246:B246"/>
    <mergeCell ref="A247:B247"/>
    <mergeCell ref="B261:H261"/>
    <mergeCell ref="A256:H256"/>
  </mergeCells>
  <dataValidations count="8">
    <dataValidation type="list" allowBlank="1" showInputMessage="1" showErrorMessage="1" sqref="D174:D175" xr:uid="{82F6BB86-BE19-4904-B347-1032724391D8}">
      <formula1>"Carpet Area,Carpet + Encl Balcony Area,RERA Carpet area"</formula1>
    </dataValidation>
    <dataValidation type="list" allowBlank="1" showInputMessage="1" showErrorMessage="1" sqref="D122:D123" xr:uid="{5EADDDF3-A8E1-44CA-9F2E-9696F58DBEE9}">
      <formula1>"Carpet area,RERA Carpet area"</formula1>
    </dataValidation>
    <dataValidation type="list" allowBlank="1" showInputMessage="1" showErrorMessage="1" sqref="H122 H174" xr:uid="{FF4E2280-D2E5-4E7F-B5F7-6D1A4E5A9917}">
      <formula1>"Saleable area Loading :,Builder Saleable Area"</formula1>
    </dataValidation>
    <dataValidation type="list" allowBlank="1" showInputMessage="1" showErrorMessage="1" sqref="H123 H175" xr:uid="{747AD7FC-EBC2-42CF-88B1-B21E3C518A35}">
      <formula1>".45,.50,.55,.60"</formula1>
    </dataValidation>
    <dataValidation type="list" allowBlank="1" showInputMessage="1" showErrorMessage="1" sqref="E174:E175" xr:uid="{01A65D35-B135-46BE-A39C-46DADA2743F2}">
      <formula1>"Fungible area,Balcony Area,Chajja Area,Cornice Area,AP Area,WS Area"</formula1>
    </dataValidation>
    <dataValidation type="list" allowBlank="1" showInputMessage="1" showErrorMessage="1" sqref="B174:B175" xr:uid="{02BD0DE9-81C8-4FED-B3D3-8DB2FE294694}">
      <formula1>"Flat No. (Sale Plan),Sale / Rehab,Sale / Mhada"</formula1>
    </dataValidation>
    <dataValidation type="list" allowBlank="1" showInputMessage="1" showErrorMessage="1" sqref="B122:B123" xr:uid="{7E02DC44-3BCF-4FD6-A7DC-F49885A3FD7B}">
      <formula1>"Shop No. (Sale Plan),Sale / Rehab,Sale / Mhada"</formula1>
    </dataValidation>
    <dataValidation type="list" allowBlank="1" showInputMessage="1" showErrorMessage="1" sqref="E122:E123" xr:uid="{778BE547-287F-4CB3-9C78-6A81D7294C8D}">
      <formula1>"Attached Loft area,Attached Otla area,Attached Mezzanine area"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81" max="16383" man="1"/>
    <brk id="326" max="16383" man="1"/>
    <brk id="37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6"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2" t="s">
        <v>106</v>
      </c>
      <c r="C3" s="182"/>
      <c r="D3" s="182"/>
      <c r="E3" s="182"/>
      <c r="F3" s="182"/>
      <c r="G3" s="182"/>
      <c r="H3" s="182"/>
    </row>
    <row r="4" spans="1:9" x14ac:dyDescent="0.3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2025-09-23T11:41:16Z</cp:lastPrinted>
  <dcterms:created xsi:type="dcterms:W3CDTF">2019-07-16T09:29:46Z</dcterms:created>
  <dcterms:modified xsi:type="dcterms:W3CDTF">2025-09-23T11:41:19Z</dcterms:modified>
</cp:coreProperties>
</file>