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APF\25-26\Sep 2025\MHF\Pranita\21807 - Evara\"/>
    </mc:Choice>
  </mc:AlternateContent>
  <bookViews>
    <workbookView xWindow="0" yWindow="0" windowWidth="20490" windowHeight="7455"/>
  </bookViews>
  <sheets>
    <sheet name="Report" sheetId="1" r:id="rId1"/>
    <sheet name="C%" sheetId="4" r:id="rId2"/>
  </sheets>
  <definedNames>
    <definedName name="_xlnm.Print_Area" localSheetId="0">Report!$A$1:$H$608</definedName>
  </definedNames>
  <calcPr calcId="162913"/>
</workbook>
</file>

<file path=xl/calcChain.xml><?xml version="1.0" encoding="utf-8"?>
<calcChain xmlns="http://schemas.openxmlformats.org/spreadsheetml/2006/main">
  <c r="A450" i="1" l="1"/>
  <c r="I28" i="1"/>
  <c r="E434" i="1" l="1"/>
  <c r="D434" i="1"/>
  <c r="E433" i="1"/>
  <c r="D433" i="1"/>
  <c r="E432" i="1"/>
  <c r="D432" i="1"/>
  <c r="E430" i="1"/>
  <c r="D430" i="1"/>
  <c r="E429" i="1"/>
  <c r="D429" i="1"/>
  <c r="A429" i="1"/>
  <c r="A430" i="1" s="1"/>
  <c r="A432" i="1" s="1"/>
  <c r="A433" i="1" s="1"/>
  <c r="A434" i="1" s="1"/>
  <c r="E428" i="1"/>
  <c r="D428" i="1"/>
  <c r="E426" i="1"/>
  <c r="D426" i="1"/>
  <c r="E425" i="1"/>
  <c r="D425" i="1"/>
  <c r="E424" i="1"/>
  <c r="D424" i="1"/>
  <c r="E423" i="1"/>
  <c r="D423" i="1"/>
  <c r="E422" i="1"/>
  <c r="D422" i="1"/>
  <c r="E421" i="1"/>
  <c r="D421" i="1"/>
  <c r="A422" i="1"/>
  <c r="A423" i="1" s="1"/>
  <c r="A424" i="1" s="1"/>
  <c r="A425" i="1" s="1"/>
  <c r="A426" i="1" s="1"/>
  <c r="E416" i="1"/>
  <c r="D416" i="1"/>
  <c r="E415" i="1"/>
  <c r="D415" i="1"/>
  <c r="E414" i="1"/>
  <c r="D414" i="1"/>
  <c r="A415" i="1"/>
  <c r="A416" i="1" s="1"/>
  <c r="A417" i="1" s="1"/>
  <c r="A418" i="1" s="1"/>
  <c r="A419" i="1" s="1"/>
  <c r="G409" i="1"/>
  <c r="G408" i="1"/>
  <c r="G407" i="1"/>
  <c r="E409" i="1"/>
  <c r="D409" i="1"/>
  <c r="E408" i="1"/>
  <c r="D408" i="1"/>
  <c r="E407" i="1"/>
  <c r="D407" i="1"/>
  <c r="A408" i="1"/>
  <c r="A409" i="1" s="1"/>
  <c r="A410" i="1" s="1"/>
  <c r="A411" i="1" s="1"/>
  <c r="A412" i="1" s="1"/>
  <c r="E404" i="1"/>
  <c r="D404" i="1"/>
  <c r="E403" i="1"/>
  <c r="D403" i="1"/>
  <c r="E402" i="1"/>
  <c r="D402" i="1"/>
  <c r="E400" i="1"/>
  <c r="D400" i="1"/>
  <c r="E399" i="1"/>
  <c r="D399" i="1"/>
  <c r="E398" i="1"/>
  <c r="D398" i="1"/>
  <c r="E397" i="1"/>
  <c r="D397" i="1"/>
  <c r="A398" i="1"/>
  <c r="A399" i="1" s="1"/>
  <c r="A400" i="1" s="1"/>
  <c r="A401" i="1" s="1"/>
  <c r="A403" i="1" s="1"/>
  <c r="A404" i="1" s="1"/>
  <c r="E395" i="1"/>
  <c r="D395" i="1"/>
  <c r="E394" i="1"/>
  <c r="D394" i="1"/>
  <c r="E393" i="1"/>
  <c r="D393" i="1"/>
  <c r="E392" i="1"/>
  <c r="D392" i="1"/>
  <c r="E391" i="1"/>
  <c r="D391" i="1"/>
  <c r="E390" i="1"/>
  <c r="D390" i="1"/>
  <c r="E389" i="1"/>
  <c r="D389" i="1"/>
  <c r="E388" i="1"/>
  <c r="D388" i="1"/>
  <c r="E386" i="1"/>
  <c r="D386" i="1"/>
  <c r="E385" i="1"/>
  <c r="D385" i="1"/>
  <c r="E384" i="1"/>
  <c r="D384" i="1"/>
  <c r="E383" i="1"/>
  <c r="D383" i="1"/>
  <c r="E377" i="1"/>
  <c r="D377" i="1"/>
  <c r="E376" i="1"/>
  <c r="D376" i="1"/>
  <c r="E375" i="1"/>
  <c r="D375" i="1"/>
  <c r="E374" i="1"/>
  <c r="D374" i="1"/>
  <c r="A389" i="1"/>
  <c r="A390" i="1" s="1"/>
  <c r="A391" i="1" s="1"/>
  <c r="A392" i="1" s="1"/>
  <c r="A393" i="1" s="1"/>
  <c r="A394" i="1" s="1"/>
  <c r="A395" i="1" s="1"/>
  <c r="A384" i="1"/>
  <c r="A385" i="1" s="1"/>
  <c r="A386" i="1" s="1"/>
  <c r="A375" i="1"/>
  <c r="A376" i="1" s="1"/>
  <c r="A377" i="1" s="1"/>
  <c r="E365" i="1"/>
  <c r="D365" i="1"/>
  <c r="E364" i="1"/>
  <c r="D364" i="1"/>
  <c r="E363" i="1"/>
  <c r="D363" i="1"/>
  <c r="E362" i="1"/>
  <c r="D362" i="1"/>
  <c r="E361" i="1"/>
  <c r="D361" i="1"/>
  <c r="E360" i="1"/>
  <c r="D360" i="1"/>
  <c r="E359" i="1"/>
  <c r="D359" i="1"/>
  <c r="A360" i="1"/>
  <c r="A361" i="1" s="1"/>
  <c r="A362" i="1" s="1"/>
  <c r="A363" i="1" s="1"/>
  <c r="A364" i="1" s="1"/>
  <c r="A365" i="1" s="1"/>
  <c r="A366" i="1" s="1"/>
  <c r="E357" i="1"/>
  <c r="D357" i="1"/>
  <c r="E356" i="1"/>
  <c r="D356" i="1"/>
  <c r="E355" i="1"/>
  <c r="D355" i="1"/>
  <c r="E354" i="1"/>
  <c r="D354" i="1"/>
  <c r="E353" i="1"/>
  <c r="D353" i="1"/>
  <c r="E352" i="1"/>
  <c r="D352" i="1"/>
  <c r="E351" i="1"/>
  <c r="D351" i="1"/>
  <c r="E350" i="1"/>
  <c r="D350" i="1"/>
  <c r="A351" i="1"/>
  <c r="A352" i="1" s="1"/>
  <c r="A353" i="1" s="1"/>
  <c r="A354" i="1" s="1"/>
  <c r="A355" i="1" s="1"/>
  <c r="A356" i="1" s="1"/>
  <c r="A357" i="1" s="1"/>
  <c r="E348" i="1"/>
  <c r="D348" i="1"/>
  <c r="E347" i="1"/>
  <c r="D347" i="1"/>
  <c r="E346" i="1"/>
  <c r="D346" i="1"/>
  <c r="A346" i="1"/>
  <c r="A347" i="1" s="1"/>
  <c r="A348" i="1" s="1"/>
  <c r="E345" i="1"/>
  <c r="D345" i="1"/>
  <c r="E339" i="1"/>
  <c r="D339" i="1"/>
  <c r="E338" i="1"/>
  <c r="D338" i="1"/>
  <c r="E337" i="1"/>
  <c r="D337" i="1"/>
  <c r="E336" i="1"/>
  <c r="D336" i="1"/>
  <c r="A337" i="1"/>
  <c r="A338" i="1" s="1"/>
  <c r="A339" i="1" s="1"/>
  <c r="E328" i="1"/>
  <c r="D328" i="1"/>
  <c r="E327" i="1"/>
  <c r="D327" i="1"/>
  <c r="E326" i="1"/>
  <c r="D326" i="1"/>
  <c r="E324" i="1"/>
  <c r="D324" i="1"/>
  <c r="E323" i="1"/>
  <c r="D323" i="1"/>
  <c r="E322" i="1"/>
  <c r="D322" i="1"/>
  <c r="E320" i="1"/>
  <c r="D320" i="1"/>
  <c r="E319" i="1"/>
  <c r="D319" i="1"/>
  <c r="E318" i="1"/>
  <c r="D318" i="1"/>
  <c r="E317" i="1"/>
  <c r="D317" i="1"/>
  <c r="E316" i="1"/>
  <c r="D316" i="1"/>
  <c r="E315" i="1"/>
  <c r="D315" i="1"/>
  <c r="E313" i="1"/>
  <c r="D313" i="1"/>
  <c r="E312" i="1"/>
  <c r="D312" i="1"/>
  <c r="A312" i="1"/>
  <c r="A313" i="1" s="1"/>
  <c r="E311" i="1"/>
  <c r="D311" i="1"/>
  <c r="E306" i="1"/>
  <c r="D306" i="1"/>
  <c r="E305" i="1"/>
  <c r="D305" i="1"/>
  <c r="E304" i="1"/>
  <c r="D304" i="1"/>
  <c r="A305" i="1"/>
  <c r="A306" i="1" s="1"/>
  <c r="E291" i="1"/>
  <c r="D291" i="1"/>
  <c r="E290" i="1"/>
  <c r="D290" i="1"/>
  <c r="E289" i="1"/>
  <c r="D289" i="1"/>
  <c r="E288" i="1"/>
  <c r="D288" i="1"/>
  <c r="G285" i="1"/>
  <c r="G284" i="1"/>
  <c r="G283" i="1"/>
  <c r="E286" i="1"/>
  <c r="D286" i="1"/>
  <c r="E285" i="1"/>
  <c r="D285" i="1"/>
  <c r="E284" i="1"/>
  <c r="D284" i="1"/>
  <c r="E283" i="1"/>
  <c r="D283" i="1"/>
  <c r="E297" i="1"/>
  <c r="D297" i="1"/>
  <c r="E296" i="1"/>
  <c r="D296" i="1"/>
  <c r="E294" i="1"/>
  <c r="D294" i="1"/>
  <c r="A294" i="1"/>
  <c r="A296" i="1" s="1"/>
  <c r="A297" i="1" s="1"/>
  <c r="E293" i="1"/>
  <c r="D293" i="1"/>
  <c r="A289" i="1"/>
  <c r="A290" i="1" s="1"/>
  <c r="A291" i="1" s="1"/>
  <c r="A284" i="1"/>
  <c r="A285" i="1" s="1"/>
  <c r="A286" i="1" s="1"/>
  <c r="G256" i="1"/>
  <c r="G255" i="1"/>
  <c r="E280" i="1"/>
  <c r="D280" i="1"/>
  <c r="E278" i="1"/>
  <c r="D278" i="1"/>
  <c r="E276" i="1"/>
  <c r="D276" i="1"/>
  <c r="E275" i="1"/>
  <c r="D275" i="1"/>
  <c r="G273" i="1"/>
  <c r="G272" i="1"/>
  <c r="E273" i="1"/>
  <c r="D273" i="1"/>
  <c r="E272" i="1"/>
  <c r="D272" i="1"/>
  <c r="A276" i="1"/>
  <c r="A273" i="1"/>
  <c r="E268" i="1"/>
  <c r="D268" i="1"/>
  <c r="E267" i="1"/>
  <c r="D267" i="1"/>
  <c r="E266" i="1"/>
  <c r="D266" i="1"/>
  <c r="A266" i="1"/>
  <c r="A267" i="1" s="1"/>
  <c r="A268" i="1" s="1"/>
  <c r="E265" i="1"/>
  <c r="D265" i="1"/>
  <c r="E263" i="1"/>
  <c r="D263" i="1"/>
  <c r="E262" i="1"/>
  <c r="D262" i="1"/>
  <c r="E261" i="1"/>
  <c r="D261" i="1"/>
  <c r="E260" i="1"/>
  <c r="D260" i="1"/>
  <c r="A261" i="1"/>
  <c r="A262" i="1" s="1"/>
  <c r="A263" i="1" s="1"/>
  <c r="E258" i="1"/>
  <c r="D258" i="1"/>
  <c r="E257" i="1"/>
  <c r="D257" i="1"/>
  <c r="E256" i="1"/>
  <c r="D256" i="1"/>
  <c r="E255" i="1"/>
  <c r="D255" i="1"/>
  <c r="D248" i="1"/>
  <c r="F248" i="1" s="1"/>
  <c r="H248" i="1" s="1"/>
  <c r="D247" i="1"/>
  <c r="F247" i="1" s="1"/>
  <c r="H247" i="1" s="1"/>
  <c r="D246" i="1"/>
  <c r="D245" i="1"/>
  <c r="F245" i="1" s="1"/>
  <c r="H245" i="1" s="1"/>
  <c r="D244" i="1"/>
  <c r="F244" i="1" s="1"/>
  <c r="H244" i="1" s="1"/>
  <c r="D243" i="1"/>
  <c r="F243" i="1" s="1"/>
  <c r="H243" i="1" s="1"/>
  <c r="D242" i="1"/>
  <c r="F242" i="1" s="1"/>
  <c r="H242" i="1" s="1"/>
  <c r="D241" i="1"/>
  <c r="F241" i="1" s="1"/>
  <c r="H241" i="1" s="1"/>
  <c r="D240" i="1"/>
  <c r="F240" i="1" s="1"/>
  <c r="H240" i="1" s="1"/>
  <c r="D239" i="1"/>
  <c r="F239" i="1" s="1"/>
  <c r="H239" i="1" s="1"/>
  <c r="F246" i="1"/>
  <c r="H246" i="1" s="1"/>
  <c r="A246" i="1"/>
  <c r="A247" i="1" s="1"/>
  <c r="A248" i="1" s="1"/>
  <c r="A240" i="1"/>
  <c r="A241" i="1" s="1"/>
  <c r="A242" i="1" s="1"/>
  <c r="A243" i="1" s="1"/>
  <c r="A244" i="1" s="1"/>
  <c r="D236" i="1"/>
  <c r="F236" i="1" s="1"/>
  <c r="H236" i="1" s="1"/>
  <c r="D235" i="1"/>
  <c r="F235" i="1" s="1"/>
  <c r="H235" i="1" s="1"/>
  <c r="D233" i="1"/>
  <c r="F233" i="1" s="1"/>
  <c r="H233" i="1" s="1"/>
  <c r="D232" i="1"/>
  <c r="F232" i="1" s="1"/>
  <c r="H232" i="1" s="1"/>
  <c r="D230" i="1"/>
  <c r="F230" i="1" s="1"/>
  <c r="H230" i="1" s="1"/>
  <c r="D229" i="1"/>
  <c r="F229" i="1" s="1"/>
  <c r="H229" i="1" s="1"/>
  <c r="D228" i="1"/>
  <c r="F228" i="1" s="1"/>
  <c r="H228" i="1" s="1"/>
  <c r="D227" i="1"/>
  <c r="F227" i="1" s="1"/>
  <c r="H227" i="1" s="1"/>
  <c r="D226" i="1"/>
  <c r="F226" i="1" s="1"/>
  <c r="H226" i="1" s="1"/>
  <c r="D225" i="1"/>
  <c r="F225" i="1" s="1"/>
  <c r="H225" i="1" s="1"/>
  <c r="A236" i="1"/>
  <c r="A233" i="1"/>
  <c r="A226" i="1"/>
  <c r="A227" i="1" s="1"/>
  <c r="A228" i="1" s="1"/>
  <c r="A229" i="1" s="1"/>
  <c r="A230" i="1" s="1"/>
  <c r="D222" i="1"/>
  <c r="F222" i="1" s="1"/>
  <c r="H222" i="1" s="1"/>
  <c r="D221" i="1"/>
  <c r="F221" i="1" s="1"/>
  <c r="H221" i="1" s="1"/>
  <c r="D219" i="1"/>
  <c r="F219" i="1" s="1"/>
  <c r="H219" i="1" s="1"/>
  <c r="D218" i="1"/>
  <c r="F218" i="1" s="1"/>
  <c r="H218" i="1" s="1"/>
  <c r="D216" i="1"/>
  <c r="F216" i="1" s="1"/>
  <c r="H216" i="1" s="1"/>
  <c r="D215" i="1"/>
  <c r="F215" i="1" s="1"/>
  <c r="H215" i="1" s="1"/>
  <c r="D214" i="1"/>
  <c r="F214" i="1" s="1"/>
  <c r="H214" i="1" s="1"/>
  <c r="D213" i="1"/>
  <c r="F213" i="1" s="1"/>
  <c r="H213" i="1" s="1"/>
  <c r="D212" i="1"/>
  <c r="F212" i="1" s="1"/>
  <c r="H212" i="1" s="1"/>
  <c r="D211" i="1"/>
  <c r="F211" i="1" s="1"/>
  <c r="H211" i="1" s="1"/>
  <c r="A222" i="1"/>
  <c r="A219" i="1"/>
  <c r="A212" i="1"/>
  <c r="A213" i="1" s="1"/>
  <c r="A214" i="1" s="1"/>
  <c r="A215" i="1" s="1"/>
  <c r="A216" i="1" s="1"/>
  <c r="D208" i="1"/>
  <c r="D207" i="1"/>
  <c r="D205" i="1"/>
  <c r="D204" i="1"/>
  <c r="D202" i="1"/>
  <c r="D201" i="1"/>
  <c r="D200" i="1"/>
  <c r="D199" i="1"/>
  <c r="D198" i="1"/>
  <c r="J158" i="1"/>
  <c r="J157" i="1"/>
  <c r="J156" i="1"/>
  <c r="J155" i="1"/>
  <c r="J144" i="1"/>
  <c r="J143" i="1"/>
  <c r="J142" i="1"/>
  <c r="J141" i="1"/>
  <c r="J130" i="1"/>
  <c r="J129" i="1"/>
  <c r="J128" i="1"/>
  <c r="J127" i="1"/>
  <c r="J116" i="1"/>
  <c r="J115" i="1"/>
  <c r="J114" i="1"/>
  <c r="J113" i="1"/>
  <c r="J102" i="1"/>
  <c r="J101" i="1"/>
  <c r="J100" i="1"/>
  <c r="J99" i="1"/>
  <c r="J88" i="1"/>
  <c r="J87" i="1"/>
  <c r="J86" i="1"/>
  <c r="J85" i="1"/>
  <c r="J74" i="1"/>
  <c r="J73" i="1"/>
  <c r="J72" i="1"/>
  <c r="J71" i="1"/>
  <c r="H106" i="1"/>
  <c r="H134" i="1"/>
  <c r="H120" i="1"/>
  <c r="H78" i="1"/>
  <c r="H148" i="1"/>
  <c r="H92" i="1"/>
  <c r="C177" i="1" l="1"/>
  <c r="C176" i="1"/>
  <c r="C178" i="1"/>
  <c r="G176" i="1"/>
  <c r="G178" i="1"/>
  <c r="G177" i="1"/>
  <c r="E176" i="1"/>
  <c r="F432" i="1"/>
  <c r="H432" i="1" s="1"/>
  <c r="F434" i="1"/>
  <c r="H434" i="1" s="1"/>
  <c r="E177" i="1"/>
  <c r="E178" i="1"/>
  <c r="F393" i="1"/>
  <c r="H393" i="1" s="1"/>
  <c r="F433" i="1"/>
  <c r="H433" i="1" s="1"/>
  <c r="F403" i="1"/>
  <c r="H403" i="1" s="1"/>
  <c r="F323" i="1"/>
  <c r="H323" i="1" s="1"/>
  <c r="F354" i="1"/>
  <c r="H354" i="1" s="1"/>
  <c r="F356" i="1"/>
  <c r="H356" i="1" s="1"/>
  <c r="F429" i="1"/>
  <c r="H429" i="1" s="1"/>
  <c r="F430" i="1"/>
  <c r="H430" i="1" s="1"/>
  <c r="F297" i="1"/>
  <c r="H297" i="1" s="1"/>
  <c r="F375" i="1"/>
  <c r="H375" i="1" s="1"/>
  <c r="F384" i="1"/>
  <c r="H384" i="1" s="1"/>
  <c r="F389" i="1"/>
  <c r="H389" i="1" s="1"/>
  <c r="F397" i="1"/>
  <c r="H397" i="1" s="1"/>
  <c r="F399" i="1"/>
  <c r="H399" i="1" s="1"/>
  <c r="F414" i="1"/>
  <c r="H414" i="1" s="1"/>
  <c r="F421" i="1"/>
  <c r="H421" i="1" s="1"/>
  <c r="F425" i="1"/>
  <c r="H425" i="1" s="1"/>
  <c r="F408" i="1"/>
  <c r="H408" i="1" s="1"/>
  <c r="F423" i="1"/>
  <c r="H423" i="1" s="1"/>
  <c r="F428" i="1"/>
  <c r="H428" i="1" s="1"/>
  <c r="F365" i="1"/>
  <c r="H365" i="1" s="1"/>
  <c r="F313" i="1"/>
  <c r="H313" i="1" s="1"/>
  <c r="F316" i="1"/>
  <c r="H316" i="1" s="1"/>
  <c r="F318" i="1"/>
  <c r="H318" i="1" s="1"/>
  <c r="F320" i="1"/>
  <c r="H320" i="1" s="1"/>
  <c r="F328" i="1"/>
  <c r="H328" i="1" s="1"/>
  <c r="F362" i="1"/>
  <c r="H362" i="1" s="1"/>
  <c r="F391" i="1"/>
  <c r="H391" i="1" s="1"/>
  <c r="F395" i="1"/>
  <c r="H395" i="1" s="1"/>
  <c r="F422" i="1"/>
  <c r="H422" i="1" s="1"/>
  <c r="F424" i="1"/>
  <c r="H424" i="1" s="1"/>
  <c r="F426" i="1"/>
  <c r="H426" i="1" s="1"/>
  <c r="F304" i="1"/>
  <c r="F306" i="1"/>
  <c r="H306" i="1" s="1"/>
  <c r="F312" i="1"/>
  <c r="H312" i="1" s="1"/>
  <c r="F315" i="1"/>
  <c r="H315" i="1" s="1"/>
  <c r="F317" i="1"/>
  <c r="H317" i="1" s="1"/>
  <c r="F319" i="1"/>
  <c r="H319" i="1" s="1"/>
  <c r="F322" i="1"/>
  <c r="H322" i="1" s="1"/>
  <c r="F324" i="1"/>
  <c r="H324" i="1" s="1"/>
  <c r="F327" i="1"/>
  <c r="H327" i="1" s="1"/>
  <c r="F374" i="1"/>
  <c r="F376" i="1"/>
  <c r="H376" i="1" s="1"/>
  <c r="F383" i="1"/>
  <c r="H383" i="1" s="1"/>
  <c r="F385" i="1"/>
  <c r="H385" i="1" s="1"/>
  <c r="F388" i="1"/>
  <c r="H388" i="1" s="1"/>
  <c r="F390" i="1"/>
  <c r="H390" i="1" s="1"/>
  <c r="F392" i="1"/>
  <c r="H392" i="1" s="1"/>
  <c r="F394" i="1"/>
  <c r="H394" i="1" s="1"/>
  <c r="F347" i="1"/>
  <c r="H347" i="1" s="1"/>
  <c r="F415" i="1"/>
  <c r="H415" i="1" s="1"/>
  <c r="F350" i="1"/>
  <c r="H350" i="1" s="1"/>
  <c r="F360" i="1"/>
  <c r="H360" i="1" s="1"/>
  <c r="F377" i="1"/>
  <c r="H377" i="1" s="1"/>
  <c r="F409" i="1"/>
  <c r="H409" i="1" s="1"/>
  <c r="F416" i="1"/>
  <c r="H416" i="1" s="1"/>
  <c r="F293" i="1"/>
  <c r="H293" i="1" s="1"/>
  <c r="F288" i="1"/>
  <c r="H288" i="1" s="1"/>
  <c r="F290" i="1"/>
  <c r="H290" i="1" s="1"/>
  <c r="F337" i="1"/>
  <c r="H337" i="1" s="1"/>
  <c r="F339" i="1"/>
  <c r="H339" i="1" s="1"/>
  <c r="F352" i="1"/>
  <c r="H352" i="1" s="1"/>
  <c r="F359" i="1"/>
  <c r="H359" i="1" s="1"/>
  <c r="F361" i="1"/>
  <c r="H361" i="1" s="1"/>
  <c r="F363" i="1"/>
  <c r="H363" i="1" s="1"/>
  <c r="F402" i="1"/>
  <c r="H402" i="1" s="1"/>
  <c r="F404" i="1"/>
  <c r="H404" i="1" s="1"/>
  <c r="F326" i="1"/>
  <c r="H326" i="1" s="1"/>
  <c r="F348" i="1"/>
  <c r="H348" i="1" s="1"/>
  <c r="F386" i="1"/>
  <c r="H386" i="1" s="1"/>
  <c r="F283" i="1"/>
  <c r="F336" i="1"/>
  <c r="F338" i="1"/>
  <c r="H338" i="1" s="1"/>
  <c r="F351" i="1"/>
  <c r="H351" i="1" s="1"/>
  <c r="F353" i="1"/>
  <c r="H353" i="1" s="1"/>
  <c r="F355" i="1"/>
  <c r="H355" i="1" s="1"/>
  <c r="F357" i="1"/>
  <c r="H357" i="1" s="1"/>
  <c r="F398" i="1"/>
  <c r="H398" i="1" s="1"/>
  <c r="F400" i="1"/>
  <c r="H400" i="1" s="1"/>
  <c r="F407" i="1"/>
  <c r="C188" i="1" s="1"/>
  <c r="F273" i="1"/>
  <c r="H273" i="1" s="1"/>
  <c r="F275" i="1"/>
  <c r="H275" i="1" s="1"/>
  <c r="F286" i="1"/>
  <c r="H286" i="1" s="1"/>
  <c r="F345" i="1"/>
  <c r="H345" i="1" s="1"/>
  <c r="F289" i="1"/>
  <c r="H289" i="1" s="1"/>
  <c r="F291" i="1"/>
  <c r="H291" i="1" s="1"/>
  <c r="F305" i="1"/>
  <c r="H305" i="1" s="1"/>
  <c r="F311" i="1"/>
  <c r="H311" i="1" s="1"/>
  <c r="F346" i="1"/>
  <c r="H346" i="1" s="1"/>
  <c r="F364" i="1"/>
  <c r="H364" i="1" s="1"/>
  <c r="F294" i="1"/>
  <c r="H294" i="1" s="1"/>
  <c r="F296" i="1"/>
  <c r="H296" i="1" s="1"/>
  <c r="F285" i="1"/>
  <c r="H285" i="1" s="1"/>
  <c r="F278" i="1"/>
  <c r="H278" i="1" s="1"/>
  <c r="F284" i="1"/>
  <c r="H284" i="1" s="1"/>
  <c r="F266" i="1"/>
  <c r="F268" i="1"/>
  <c r="F267" i="1"/>
  <c r="H267" i="1" s="1"/>
  <c r="F272" i="1"/>
  <c r="F276" i="1"/>
  <c r="H276" i="1" s="1"/>
  <c r="F280" i="1"/>
  <c r="H280" i="1" s="1"/>
  <c r="F265" i="1"/>
  <c r="J153" i="1"/>
  <c r="J154" i="1" s="1"/>
  <c r="J159" i="1" s="1"/>
  <c r="J160" i="1" s="1"/>
  <c r="E152" i="1" s="1"/>
  <c r="F152" i="1" s="1"/>
  <c r="J151" i="1"/>
  <c r="F159" i="1"/>
  <c r="F157" i="1"/>
  <c r="F155" i="1"/>
  <c r="F153" i="1"/>
  <c r="J152" i="1"/>
  <c r="E151" i="1" s="1"/>
  <c r="F151" i="1" s="1"/>
  <c r="F160" i="1"/>
  <c r="F158" i="1"/>
  <c r="F156" i="1"/>
  <c r="F154" i="1"/>
  <c r="J150" i="1"/>
  <c r="J138" i="1"/>
  <c r="E137" i="1" s="1"/>
  <c r="F137" i="1" s="1"/>
  <c r="F146" i="1"/>
  <c r="F144" i="1"/>
  <c r="F142" i="1"/>
  <c r="F140" i="1"/>
  <c r="F138" i="1"/>
  <c r="J136" i="1"/>
  <c r="J139" i="1"/>
  <c r="J140" i="1" s="1"/>
  <c r="J145" i="1" s="1"/>
  <c r="J146" i="1" s="1"/>
  <c r="J137" i="1"/>
  <c r="F145" i="1"/>
  <c r="F143" i="1"/>
  <c r="F141" i="1"/>
  <c r="F139" i="1"/>
  <c r="G137" i="1"/>
  <c r="J125" i="1"/>
  <c r="J126" i="1" s="1"/>
  <c r="J131" i="1" s="1"/>
  <c r="J123" i="1"/>
  <c r="F131" i="1"/>
  <c r="F129" i="1"/>
  <c r="F127" i="1"/>
  <c r="F125" i="1"/>
  <c r="J124" i="1"/>
  <c r="E123" i="1" s="1"/>
  <c r="F123" i="1" s="1"/>
  <c r="F132" i="1"/>
  <c r="F130" i="1"/>
  <c r="F128" i="1"/>
  <c r="F126" i="1"/>
  <c r="J122" i="1"/>
  <c r="J110" i="1"/>
  <c r="E109" i="1" s="1"/>
  <c r="F109" i="1" s="1"/>
  <c r="F118" i="1"/>
  <c r="F116" i="1"/>
  <c r="F114" i="1"/>
  <c r="F112" i="1"/>
  <c r="J108" i="1"/>
  <c r="J111" i="1"/>
  <c r="J112" i="1" s="1"/>
  <c r="J117" i="1" s="1"/>
  <c r="J118" i="1" s="1"/>
  <c r="E110" i="1" s="1"/>
  <c r="F110" i="1" s="1"/>
  <c r="J109" i="1"/>
  <c r="F117" i="1"/>
  <c r="F115" i="1"/>
  <c r="F113" i="1"/>
  <c r="F111" i="1"/>
  <c r="J96" i="1"/>
  <c r="E95" i="1" s="1"/>
  <c r="F95" i="1" s="1"/>
  <c r="F102" i="1"/>
  <c r="F100" i="1"/>
  <c r="J94" i="1"/>
  <c r="J95" i="1"/>
  <c r="F103" i="1"/>
  <c r="F99" i="1"/>
  <c r="F97" i="1"/>
  <c r="F104" i="1"/>
  <c r="F98" i="1"/>
  <c r="J97" i="1"/>
  <c r="J98" i="1" s="1"/>
  <c r="J103" i="1" s="1"/>
  <c r="J104" i="1" s="1"/>
  <c r="E96" i="1" s="1"/>
  <c r="G95" i="1" s="1"/>
  <c r="F101" i="1"/>
  <c r="F90" i="1"/>
  <c r="F88" i="1"/>
  <c r="F86" i="1"/>
  <c r="F84" i="1"/>
  <c r="F82" i="1"/>
  <c r="J80" i="1"/>
  <c r="J81" i="1"/>
  <c r="F89" i="1"/>
  <c r="F87" i="1"/>
  <c r="F85" i="1"/>
  <c r="G81" i="1"/>
  <c r="J83" i="1"/>
  <c r="J84" i="1" s="1"/>
  <c r="J89" i="1" s="1"/>
  <c r="J90" i="1" s="1"/>
  <c r="F83" i="1"/>
  <c r="J82" i="1"/>
  <c r="E81" i="1" s="1"/>
  <c r="F81" i="1" s="1"/>
  <c r="G41" i="1"/>
  <c r="C186" i="1" l="1"/>
  <c r="C183" i="1"/>
  <c r="C184" i="1"/>
  <c r="C187" i="1"/>
  <c r="C185" i="1"/>
  <c r="G109" i="1"/>
  <c r="I105" i="1" s="1"/>
  <c r="C107" i="1" s="1"/>
  <c r="G151" i="1"/>
  <c r="I147" i="1" s="1"/>
  <c r="C149" i="1" s="1"/>
  <c r="I133" i="1"/>
  <c r="C135" i="1" s="1"/>
  <c r="J132" i="1"/>
  <c r="E124" i="1"/>
  <c r="F96" i="1"/>
  <c r="I91" i="1"/>
  <c r="C93" i="1" s="1"/>
  <c r="I77" i="1"/>
  <c r="C79" i="1" s="1"/>
  <c r="H283" i="1"/>
  <c r="G184" i="1" s="1"/>
  <c r="E184" i="1"/>
  <c r="H304" i="1"/>
  <c r="G185" i="1" s="1"/>
  <c r="E185" i="1"/>
  <c r="H407" i="1"/>
  <c r="G188" i="1" s="1"/>
  <c r="E188" i="1"/>
  <c r="H336" i="1"/>
  <c r="G186" i="1" s="1"/>
  <c r="E186" i="1"/>
  <c r="H272" i="1"/>
  <c r="G183" i="1" s="1"/>
  <c r="E183" i="1"/>
  <c r="H374" i="1"/>
  <c r="G187" i="1" s="1"/>
  <c r="E187" i="1"/>
  <c r="F444" i="1"/>
  <c r="A440" i="1"/>
  <c r="A441" i="1" s="1"/>
  <c r="A442" i="1" s="1"/>
  <c r="A443" i="1" s="1"/>
  <c r="A444" i="1" s="1"/>
  <c r="A445" i="1" s="1"/>
  <c r="A446" i="1" s="1"/>
  <c r="A447" i="1" s="1"/>
  <c r="A448" i="1" s="1"/>
  <c r="A449" i="1" s="1"/>
  <c r="A256" i="1"/>
  <c r="A257" i="1" s="1"/>
  <c r="A258" i="1" s="1"/>
  <c r="A199" i="1"/>
  <c r="A200" i="1" s="1"/>
  <c r="A201" i="1" s="1"/>
  <c r="A202" i="1" s="1"/>
  <c r="A205" i="1" s="1"/>
  <c r="A208" i="1" s="1"/>
  <c r="H268" i="1"/>
  <c r="F199" i="1"/>
  <c r="H199" i="1" s="1"/>
  <c r="F200" i="1"/>
  <c r="F201" i="1"/>
  <c r="H201" i="1" s="1"/>
  <c r="F202" i="1"/>
  <c r="F204" i="1"/>
  <c r="F205" i="1"/>
  <c r="F207" i="1"/>
  <c r="F208" i="1"/>
  <c r="F198" i="1"/>
  <c r="H266" i="1"/>
  <c r="H265" i="1"/>
  <c r="F263" i="1"/>
  <c r="H263" i="1" s="1"/>
  <c r="F262" i="1"/>
  <c r="H262" i="1" s="1"/>
  <c r="F261" i="1"/>
  <c r="H261" i="1" s="1"/>
  <c r="F260" i="1"/>
  <c r="H260" i="1" s="1"/>
  <c r="F258" i="1"/>
  <c r="H258" i="1" s="1"/>
  <c r="F257" i="1"/>
  <c r="H257" i="1" s="1"/>
  <c r="F256" i="1"/>
  <c r="H256" i="1" s="1"/>
  <c r="F255" i="1"/>
  <c r="C182" i="1" s="1"/>
  <c r="C189" i="1" s="1"/>
  <c r="C179" i="1" l="1"/>
  <c r="C175" i="1"/>
  <c r="G123" i="1"/>
  <c r="I119" i="1" s="1"/>
  <c r="C121" i="1" s="1"/>
  <c r="F124" i="1"/>
  <c r="H255" i="1"/>
  <c r="G182" i="1" s="1"/>
  <c r="G189" i="1" s="1"/>
  <c r="E182" i="1"/>
  <c r="E189" i="1" s="1"/>
  <c r="H198" i="1"/>
  <c r="E175" i="1"/>
  <c r="E179" i="1" s="1"/>
  <c r="C190" i="1"/>
  <c r="E190" i="1" l="1"/>
  <c r="C8" i="1"/>
  <c r="H64" i="1"/>
  <c r="J68" i="1" l="1"/>
  <c r="E67" i="1" s="1"/>
  <c r="F67" i="1" s="1"/>
  <c r="J66" i="1"/>
  <c r="J67" i="1"/>
  <c r="J69" i="1"/>
  <c r="F71" i="1"/>
  <c r="F76" i="1"/>
  <c r="F70" i="1"/>
  <c r="F72" i="1"/>
  <c r="F75" i="1"/>
  <c r="F69" i="1"/>
  <c r="F73" i="1"/>
  <c r="F74" i="1"/>
  <c r="J70" i="1" l="1"/>
  <c r="J75" i="1" s="1"/>
  <c r="J76" i="1" s="1"/>
  <c r="E68" i="1"/>
  <c r="F68" i="1" l="1"/>
  <c r="G67" i="1"/>
  <c r="I63" i="1" s="1"/>
  <c r="C65" i="1" s="1"/>
  <c r="H200" i="1"/>
  <c r="H202" i="1"/>
  <c r="H204" i="1"/>
  <c r="H205" i="1"/>
  <c r="H207" i="1"/>
  <c r="H208" i="1"/>
  <c r="G175" i="1" l="1"/>
  <c r="G179" i="1" s="1"/>
  <c r="G42" i="1"/>
  <c r="G190" i="1" l="1"/>
  <c r="G5" i="1"/>
  <c r="G43" i="1" l="1"/>
  <c r="G44" i="1" s="1"/>
  <c r="H11" i="4" l="1"/>
  <c r="H10" i="4"/>
  <c r="H9" i="4"/>
  <c r="H8" i="4"/>
  <c r="F2" i="4"/>
  <c r="C12" i="4" l="1"/>
  <c r="C8" i="4"/>
  <c r="C11" i="4"/>
  <c r="C7" i="4"/>
  <c r="H6" i="4"/>
  <c r="H7" i="4" s="1"/>
  <c r="H12" i="4" s="1"/>
  <c r="H13" i="4" s="1"/>
  <c r="B5" i="4" s="1"/>
  <c r="C13" i="4"/>
  <c r="H3" i="4"/>
  <c r="H4" i="4"/>
  <c r="C10" i="4"/>
  <c r="D12" i="4"/>
  <c r="C9" i="4"/>
  <c r="H5" i="4"/>
  <c r="B4" i="4" s="1"/>
  <c r="C4" i="4" l="1"/>
  <c r="D9" i="4" s="1"/>
  <c r="C6" i="4"/>
  <c r="D13" i="4"/>
  <c r="D8" i="4"/>
  <c r="C5" i="4"/>
  <c r="D10" i="4" l="1"/>
  <c r="D11" i="4" l="1"/>
  <c r="D4" i="4" s="1"/>
  <c r="E4" i="4" s="1"/>
  <c r="C451" i="1" l="1"/>
</calcChain>
</file>

<file path=xl/comments1.xml><?xml version="1.0" encoding="utf-8"?>
<comments xmlns="http://schemas.openxmlformats.org/spreadsheetml/2006/main">
  <authors>
    <author>SACHIN</author>
    <author>Windows User</author>
  </authors>
  <commentList>
    <comment ref="A9" authorId="0" shapeId="0">
      <text>
        <r>
          <rPr>
            <b/>
            <sz val="9"/>
            <color indexed="81"/>
            <rFont val="Tahoma"/>
            <family val="2"/>
          </rPr>
          <t>SACHIN:</t>
        </r>
        <r>
          <rPr>
            <sz val="9"/>
            <color indexed="81"/>
            <rFont val="Tahoma"/>
            <family val="2"/>
          </rPr>
          <t xml:space="preserve">
As per CC</t>
        </r>
      </text>
    </comment>
    <comment ref="C9" authorId="0" shapeId="0">
      <text>
        <r>
          <rPr>
            <b/>
            <sz val="9"/>
            <color indexed="81"/>
            <rFont val="Tahoma"/>
            <family val="2"/>
          </rPr>
          <t>Take address from CC</t>
        </r>
      </text>
    </comment>
    <comment ref="C21" authorId="0" shapeId="0">
      <text>
        <r>
          <rPr>
            <b/>
            <sz val="9"/>
            <color indexed="81"/>
            <rFont val="Tahoma"/>
            <family val="2"/>
          </rPr>
          <t>Builder's office address from RERA</t>
        </r>
        <r>
          <rPr>
            <sz val="9"/>
            <color indexed="81"/>
            <rFont val="Tahoma"/>
            <family val="2"/>
          </rPr>
          <t xml:space="preserve">
</t>
        </r>
      </text>
    </comment>
    <comment ref="C24" authorId="0" shapeId="0">
      <text>
        <r>
          <rPr>
            <b/>
            <sz val="9"/>
            <color indexed="81"/>
            <rFont val="Tahoma"/>
            <family val="2"/>
          </rPr>
          <t>Provided during initiation</t>
        </r>
        <r>
          <rPr>
            <sz val="9"/>
            <color indexed="81"/>
            <rFont val="Tahoma"/>
            <family val="2"/>
          </rPr>
          <t xml:space="preserve">
</t>
        </r>
      </text>
    </comment>
    <comment ref="C25" authorId="1" shapeId="0">
      <text>
        <r>
          <rPr>
            <b/>
            <sz val="11"/>
            <color indexed="81"/>
            <rFont val="Tahoma"/>
            <family val="2"/>
          </rPr>
          <t xml:space="preserve">Authority
</t>
        </r>
      </text>
    </comment>
    <comment ref="C26" authorId="0" shapeId="0">
      <text>
        <r>
          <rPr>
            <b/>
            <sz val="9"/>
            <color indexed="81"/>
            <rFont val="Tahoma"/>
            <family val="2"/>
          </rPr>
          <t>Apartments or 
Apartments + Shops</t>
        </r>
      </text>
    </comment>
    <comment ref="G28" authorId="0" shapeId="0">
      <text>
        <r>
          <rPr>
            <b/>
            <sz val="9"/>
            <color indexed="81"/>
            <rFont val="Tahoma"/>
            <family val="2"/>
          </rPr>
          <t>15% of Total No of Flats</t>
        </r>
        <r>
          <rPr>
            <sz val="9"/>
            <color indexed="81"/>
            <rFont val="Tahoma"/>
            <family val="2"/>
          </rPr>
          <t xml:space="preserve">
</t>
        </r>
      </text>
    </comment>
    <comment ref="E32" authorId="0" shapeId="0">
      <text>
        <r>
          <rPr>
            <b/>
            <sz val="9"/>
            <color indexed="81"/>
            <rFont val="Tahoma"/>
            <family val="2"/>
          </rPr>
          <t>If Sale deed is provided</t>
        </r>
        <r>
          <rPr>
            <sz val="9"/>
            <color indexed="81"/>
            <rFont val="Tahoma"/>
            <family val="2"/>
          </rPr>
          <t xml:space="preserve">
</t>
        </r>
      </text>
    </comment>
    <comment ref="F32" authorId="0" shapeId="0">
      <text>
        <r>
          <rPr>
            <b/>
            <sz val="9"/>
            <color indexed="81"/>
            <rFont val="Tahoma"/>
            <family val="2"/>
          </rPr>
          <t>If Sale deed is provided</t>
        </r>
        <r>
          <rPr>
            <sz val="9"/>
            <color indexed="81"/>
            <rFont val="Tahoma"/>
            <family val="2"/>
          </rPr>
          <t xml:space="preserve">
</t>
        </r>
      </text>
    </comment>
    <comment ref="G32" authorId="0" shapeId="0">
      <text>
        <r>
          <rPr>
            <b/>
            <sz val="9"/>
            <color indexed="81"/>
            <rFont val="Tahoma"/>
            <family val="2"/>
          </rPr>
          <t>If Sale deed is provided</t>
        </r>
        <r>
          <rPr>
            <sz val="9"/>
            <color indexed="81"/>
            <rFont val="Tahoma"/>
            <family val="2"/>
          </rPr>
          <t xml:space="preserve">
</t>
        </r>
      </text>
    </comment>
    <comment ref="H32" authorId="0" shapeId="0">
      <text>
        <r>
          <rPr>
            <b/>
            <sz val="9"/>
            <color indexed="81"/>
            <rFont val="Tahoma"/>
            <family val="2"/>
          </rPr>
          <t>If Sale deed is provided</t>
        </r>
        <r>
          <rPr>
            <sz val="9"/>
            <color indexed="81"/>
            <rFont val="Tahoma"/>
            <family val="2"/>
          </rPr>
          <t xml:space="preserve">
</t>
        </r>
      </text>
    </comment>
    <comment ref="C47" authorId="0" shapeId="0">
      <text>
        <r>
          <rPr>
            <b/>
            <sz val="9"/>
            <color indexed="81"/>
            <rFont val="Tahoma"/>
            <family val="2"/>
          </rPr>
          <t>height should also be mentioned</t>
        </r>
      </text>
    </comment>
    <comment ref="C61" authorId="0" shapeId="0">
      <text>
        <r>
          <rPr>
            <b/>
            <sz val="9"/>
            <color indexed="81"/>
            <rFont val="Tahoma"/>
            <family val="2"/>
          </rPr>
          <t>RERA Start date</t>
        </r>
      </text>
    </comment>
    <comment ref="H163" authorId="0" shapeId="0">
      <text>
        <r>
          <rPr>
            <b/>
            <sz val="9"/>
            <color indexed="81"/>
            <rFont val="Tahoma"/>
            <family val="2"/>
          </rPr>
          <t>if multiple buildings are in project and are connected internally</t>
        </r>
      </text>
    </comment>
    <comment ref="C165" authorId="0" shapeId="0">
      <text>
        <r>
          <rPr>
            <b/>
            <sz val="9"/>
            <color indexed="81"/>
            <rFont val="Tahoma"/>
            <family val="2"/>
          </rPr>
          <t>AAC Block or Brick</t>
        </r>
      </text>
    </comment>
    <comment ref="H167" authorId="0" shapeId="0">
      <text>
        <r>
          <rPr>
            <b/>
            <sz val="9"/>
            <color indexed="81"/>
            <rFont val="Tahoma"/>
            <family val="2"/>
          </rPr>
          <t>If present on slopy area</t>
        </r>
        <r>
          <rPr>
            <sz val="9"/>
            <color indexed="81"/>
            <rFont val="Tahoma"/>
            <family val="2"/>
          </rPr>
          <t xml:space="preserve">
</t>
        </r>
      </text>
    </comment>
  </commentList>
</comments>
</file>

<file path=xl/sharedStrings.xml><?xml version="1.0" encoding="utf-8"?>
<sst xmlns="http://schemas.openxmlformats.org/spreadsheetml/2006/main" count="806" uniqueCount="316">
  <si>
    <t>Name of the project</t>
  </si>
  <si>
    <t xml:space="preserve">Address </t>
  </si>
  <si>
    <t>Name of the builder / developer</t>
  </si>
  <si>
    <t xml:space="preserve">Office address (agreement) </t>
  </si>
  <si>
    <t>Builder Bank Details</t>
  </si>
  <si>
    <t>Contact No.</t>
  </si>
  <si>
    <t>Village</t>
  </si>
  <si>
    <t>Other HFC's Approval / Funding</t>
  </si>
  <si>
    <t>No. of Tenements / Units in Project</t>
  </si>
  <si>
    <t>Verification of the schedule of the property</t>
  </si>
  <si>
    <t>Sale deed</t>
  </si>
  <si>
    <t>Physical on site</t>
  </si>
  <si>
    <t>North</t>
  </si>
  <si>
    <t>South</t>
  </si>
  <si>
    <t>East</t>
  </si>
  <si>
    <t>West</t>
  </si>
  <si>
    <t>Verification of survey No. (Title document)</t>
  </si>
  <si>
    <t xml:space="preserve">Approach road </t>
  </si>
  <si>
    <t>Yes/No</t>
  </si>
  <si>
    <t>Layout approval if applicable</t>
  </si>
  <si>
    <t>Building height / No. of Floors</t>
  </si>
  <si>
    <t>NA / Land conversion</t>
  </si>
  <si>
    <t>CONSTRUCTION PROGRESS</t>
  </si>
  <si>
    <t>Baseline start date</t>
  </si>
  <si>
    <t>Baseline finish date</t>
  </si>
  <si>
    <t>General comment on progress</t>
  </si>
  <si>
    <t>QUALITY/NDMC Parameters</t>
  </si>
  <si>
    <t>Type of Structure</t>
  </si>
  <si>
    <t>Expansion Joint Available</t>
  </si>
  <si>
    <t>Mortar Type</t>
  </si>
  <si>
    <t>Flood Prone Area</t>
  </si>
  <si>
    <t>Masonry Type</t>
  </si>
  <si>
    <t>Projected Parts Available</t>
  </si>
  <si>
    <t>Footing Type</t>
  </si>
  <si>
    <t>Fire Exit Available</t>
  </si>
  <si>
    <t>Soil Type</t>
  </si>
  <si>
    <t>Ground Slope &gt;20%</t>
  </si>
  <si>
    <t>Concrete Grade</t>
  </si>
  <si>
    <t>Ground Slope Vulnerable to land slide</t>
  </si>
  <si>
    <t>Steel Grade</t>
  </si>
  <si>
    <t>Soil liquefiable</t>
  </si>
  <si>
    <t>Cyclone Zone-Wind speed (m/s)</t>
  </si>
  <si>
    <t>Coastal regulatory Zone</t>
  </si>
  <si>
    <t>Seismic Zone</t>
  </si>
  <si>
    <t>Environment exposure condition</t>
  </si>
  <si>
    <t>BUILDING / BLOCK - Configuration Details</t>
  </si>
  <si>
    <t>Floors</t>
  </si>
  <si>
    <t>REMARKS ON RECOMMENDATION</t>
  </si>
  <si>
    <t>RERA No.-</t>
  </si>
  <si>
    <t>Cement &amp; Sand</t>
  </si>
  <si>
    <t>RCC</t>
  </si>
  <si>
    <t>Yes</t>
  </si>
  <si>
    <t>No</t>
  </si>
  <si>
    <t>Moderate</t>
  </si>
  <si>
    <t>III</t>
  </si>
  <si>
    <t>1BHK</t>
  </si>
  <si>
    <t>Progress %</t>
  </si>
  <si>
    <t>Construction details:</t>
  </si>
  <si>
    <t>Basement</t>
  </si>
  <si>
    <t>Ground</t>
  </si>
  <si>
    <t>Podium</t>
  </si>
  <si>
    <t>Type of Work</t>
  </si>
  <si>
    <t>Slab/Floor</t>
  </si>
  <si>
    <t>Complition %</t>
  </si>
  <si>
    <t>Piling Work in process</t>
  </si>
  <si>
    <t>Excavation</t>
  </si>
  <si>
    <t>Excavation in process</t>
  </si>
  <si>
    <t>Plinth</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</si>
  <si>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</si>
  <si>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</si>
  <si>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</si>
  <si>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</si>
  <si>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</si>
  <si>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</si>
  <si>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</si>
  <si>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</si>
  <si>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</si>
  <si>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</si>
  <si>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</si>
  <si>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</si>
  <si>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</si>
  <si>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</si>
  <si>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</si>
  <si>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</si>
  <si>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</si>
  <si>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 xml:space="preserve">APF Valuation Report </t>
  </si>
  <si>
    <t>Approved Plan</t>
  </si>
  <si>
    <t>Location of the project 
Municipal Limit :</t>
  </si>
  <si>
    <t>Project Type
(Apartments/Plot/ Combined)</t>
  </si>
  <si>
    <t>Geo Coordinates</t>
  </si>
  <si>
    <t>Landmark</t>
  </si>
  <si>
    <t>None</t>
  </si>
  <si>
    <t>No of Wings / Buildings</t>
  </si>
  <si>
    <t>Description</t>
  </si>
  <si>
    <t xml:space="preserve">Approval Detail : Plan approval </t>
  </si>
  <si>
    <t>Total land area of the project in Sq. Mt.</t>
  </si>
  <si>
    <t>Permissible FSI</t>
  </si>
  <si>
    <t>Permissible TDR/Paid FSI</t>
  </si>
  <si>
    <t>Total FSI availaible for the project</t>
  </si>
  <si>
    <t>Total Approved Builtup area of the project (Sq.Mt)</t>
  </si>
  <si>
    <t>Building plan approvals - Approval No :</t>
  </si>
  <si>
    <t>Project Details</t>
  </si>
  <si>
    <t xml:space="preserve">Name of Valuation Agency </t>
  </si>
  <si>
    <t>Date of
Initiation</t>
  </si>
  <si>
    <t>Date &amp; Time of Site Visit</t>
  </si>
  <si>
    <t>Date of Report
Release</t>
  </si>
  <si>
    <t xml:space="preserve">Branch Name/ID </t>
  </si>
  <si>
    <t>Name of the person met at site &amp; Contact No</t>
  </si>
  <si>
    <t>V.S.JADON &amp; CO VALUERS LLP</t>
  </si>
  <si>
    <t>Builder Office Verified</t>
  </si>
  <si>
    <t>Name of the authority :</t>
  </si>
  <si>
    <t>Reference No :</t>
  </si>
  <si>
    <t xml:space="preserve"> Building No.4 = G + 3rd Floor</t>
  </si>
  <si>
    <t xml:space="preserve">Speed of Construction is Average. </t>
  </si>
  <si>
    <t>Recommended Rates of the Property :</t>
  </si>
  <si>
    <t>Recommended rate of the flat Per Sq. Ft. ( on Saleable area)</t>
  </si>
  <si>
    <t>Recommended of Parking ( If Available)</t>
  </si>
  <si>
    <t>Name of Engineer Visited the property</t>
  </si>
  <si>
    <t xml:space="preserve">Authorized Signatory
Name &amp; Seal of the agency
                                               </t>
  </si>
  <si>
    <t>Photographs Of Property :</t>
  </si>
  <si>
    <t xml:space="preserve">Google Map : </t>
  </si>
  <si>
    <t>Isolated Footing</t>
  </si>
  <si>
    <t>FE415</t>
  </si>
  <si>
    <t>Connectivity</t>
  </si>
  <si>
    <t>Exposure Limit
(Proposed)</t>
  </si>
  <si>
    <t>44 meter per sec</t>
  </si>
  <si>
    <t>Alluvial Soil</t>
  </si>
  <si>
    <t>Total Permissible Builtup area of the project (Sq.Mt)</t>
  </si>
  <si>
    <t>Plot area mentioned in the sale deed (As per 7/12)</t>
  </si>
  <si>
    <t>Plot area mentioned in the approved drg. on which FSI/FAR calculations computed (Net Plot Area)</t>
  </si>
  <si>
    <t>Stage of construction</t>
  </si>
  <si>
    <t>Taluka</t>
  </si>
  <si>
    <t>District</t>
  </si>
  <si>
    <t>Pincode</t>
  </si>
  <si>
    <t>Geo Link</t>
  </si>
  <si>
    <t xml:space="preserve">Stage of construction: </t>
  </si>
  <si>
    <t>All work Completed. OC Received.</t>
  </si>
  <si>
    <t>Project Progress %</t>
  </si>
  <si>
    <t>AAC Block/ Brick</t>
  </si>
  <si>
    <t>M20</t>
  </si>
  <si>
    <t>Saleable Area Sq.Ft.
Loading:</t>
  </si>
  <si>
    <t>Layout Of Property :</t>
  </si>
  <si>
    <t>Office No. 1031, Wing J, Akshar Business Park, Plot No. 03 Sector 25, Near APMC Market, Vashi, Navi Mumbai, Maharashtra 400703 TEL: 022-46090378/79/80                                                                       
E mail : vsjcapf@gmail.com. Web site : www.vsjadon.com</t>
  </si>
  <si>
    <t xml:space="preserve">Latitude, Longitude   </t>
  </si>
  <si>
    <t>Road</t>
  </si>
  <si>
    <t>City</t>
  </si>
  <si>
    <t xml:space="preserve">Thane </t>
  </si>
  <si>
    <t>Palghar</t>
  </si>
  <si>
    <t>Mumbai</t>
  </si>
  <si>
    <t>Raigad</t>
  </si>
  <si>
    <t>Pune</t>
  </si>
  <si>
    <t>Thane</t>
  </si>
  <si>
    <t>Mokhada</t>
  </si>
  <si>
    <t>Andheri</t>
  </si>
  <si>
    <t>Alibag</t>
  </si>
  <si>
    <t>Pune City</t>
  </si>
  <si>
    <t>Shahpur</t>
  </si>
  <si>
    <t>Talasari</t>
  </si>
  <si>
    <t>Borivali</t>
  </si>
  <si>
    <t>Panvel</t>
  </si>
  <si>
    <t>Haveli</t>
  </si>
  <si>
    <t>Kalyan</t>
  </si>
  <si>
    <t>Vasai</t>
  </si>
  <si>
    <t>Kurla</t>
  </si>
  <si>
    <t>Uran</t>
  </si>
  <si>
    <t>Khed</t>
  </si>
  <si>
    <t>Bhiwandi</t>
  </si>
  <si>
    <t>Vikramgad</t>
  </si>
  <si>
    <t>Karjat</t>
  </si>
  <si>
    <t>Baramati</t>
  </si>
  <si>
    <t>Ulhasnagar</t>
  </si>
  <si>
    <t>Khalapur</t>
  </si>
  <si>
    <t>Junnar</t>
  </si>
  <si>
    <t>Ambernath</t>
  </si>
  <si>
    <t>Dahanu</t>
  </si>
  <si>
    <t>Pen</t>
  </si>
  <si>
    <t>Shirur</t>
  </si>
  <si>
    <t>Murbad</t>
  </si>
  <si>
    <t>Wada</t>
  </si>
  <si>
    <t>Sudhagad</t>
  </si>
  <si>
    <t>Indapur</t>
  </si>
  <si>
    <t>Mahad</t>
  </si>
  <si>
    <t>Daund</t>
  </si>
  <si>
    <t>Roha</t>
  </si>
  <si>
    <t>Mawal</t>
  </si>
  <si>
    <t>Mangaon</t>
  </si>
  <si>
    <t>Ambegaon</t>
  </si>
  <si>
    <t>Poladpur</t>
  </si>
  <si>
    <t>Purandhar</t>
  </si>
  <si>
    <t>Mahasala</t>
  </si>
  <si>
    <t>Bhor</t>
  </si>
  <si>
    <t>Shriwardhan</t>
  </si>
  <si>
    <t>Mulshi</t>
  </si>
  <si>
    <t>Murud</t>
  </si>
  <si>
    <t>Velhe</t>
  </si>
  <si>
    <t>Building &amp; Wing</t>
  </si>
  <si>
    <t>No. of Units</t>
  </si>
  <si>
    <t>Total Carpet Area</t>
  </si>
  <si>
    <t>Total Saleable Area</t>
  </si>
  <si>
    <t>Wing A</t>
  </si>
  <si>
    <t>Total</t>
  </si>
  <si>
    <t>Wing B</t>
  </si>
  <si>
    <t>Grand Total</t>
  </si>
  <si>
    <t>Approved No. of Floor</t>
  </si>
  <si>
    <t>Proposed No. of Floor</t>
  </si>
  <si>
    <t>Flat No.
(Approved
Plan)</t>
  </si>
  <si>
    <t>Flat No. (Sale Plan)</t>
  </si>
  <si>
    <t>Carpet area</t>
  </si>
  <si>
    <t>Gross Carpet area</t>
  </si>
  <si>
    <t>Attached Terrace area</t>
  </si>
  <si>
    <t>Attached Loft area</t>
  </si>
  <si>
    <t>Shop</t>
  </si>
  <si>
    <t>Shop No.
(Approved
Plan)</t>
  </si>
  <si>
    <t>Shop No. (Sale Plan)</t>
  </si>
  <si>
    <t>AAC block or Bricks, Cement bags, aggregate, Sand, etc found on site in average quantity.</t>
  </si>
  <si>
    <t xml:space="preserve">Labours found on site at the time of visit. </t>
  </si>
  <si>
    <t>We considered Carpet area as per Approved Plan.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</si>
  <si>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</si>
  <si>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</si>
  <si>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</si>
  <si>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We considered  Saleable area  as per our calculation. Loading</t>
  </si>
  <si>
    <t xml:space="preserve">Date </t>
  </si>
  <si>
    <t>Other statutory permissions</t>
  </si>
  <si>
    <t>NA</t>
  </si>
  <si>
    <t xml:space="preserve">Environmental Clearance Certificate (EC) No
Valid Up for: </t>
  </si>
  <si>
    <t xml:space="preserve">Airport Noc No
Valid Up for: </t>
  </si>
  <si>
    <t xml:space="preserve">Valid upto Dated </t>
  </si>
  <si>
    <t xml:space="preserve">Site Elevation (AMSL) = 
Permissible Top Elevation (AMSL) = </t>
  </si>
  <si>
    <t xml:space="preserve">Date - - Valid For one Year
Area - </t>
  </si>
  <si>
    <t>``</t>
  </si>
  <si>
    <t>Validity &amp; Area mentioned:</t>
  </si>
  <si>
    <t>Evara</t>
  </si>
  <si>
    <t xml:space="preserve">Mahindra Rural Housing Finance - Virar </t>
  </si>
  <si>
    <t>Old Survey No</t>
  </si>
  <si>
    <t>Dongre</t>
  </si>
  <si>
    <t>Virar West</t>
  </si>
  <si>
    <t>Narangi Bypass Road</t>
  </si>
  <si>
    <t>P99000080818</t>
  </si>
  <si>
    <t>Evershine Amavi Mall</t>
  </si>
  <si>
    <t>19.466722,72.807694</t>
  </si>
  <si>
    <t>https://maps.app.goo.gl/jY1J44T8q6Lua6tZ6</t>
  </si>
  <si>
    <t>M/s. Neminath Poonam Realty LLP</t>
  </si>
  <si>
    <t>66B, 3rd Floor, Horniman Circle Chamber, S. A Brelvi Road, Fort, Mumbai 400 001</t>
  </si>
  <si>
    <t>ICICI Bank Limited
IFSC Code - ICIC0000268</t>
  </si>
  <si>
    <t>Mr.. Anil Mehta 9322509992</t>
  </si>
  <si>
    <t>Vasai-Virar City Municipal Corporation. (VVCMC)</t>
  </si>
  <si>
    <t>Apartment + Shop</t>
  </si>
  <si>
    <t>Avenue-P
(Sector 2)</t>
  </si>
  <si>
    <t>Wing A to G</t>
  </si>
  <si>
    <t>Open Plot</t>
  </si>
  <si>
    <t>Dongarpada Road</t>
  </si>
  <si>
    <t>Other Plot</t>
  </si>
  <si>
    <t>30 M Wide Proposed Road</t>
  </si>
  <si>
    <t>Other Plot / Sector 3</t>
  </si>
  <si>
    <t>12 M Internal Road</t>
  </si>
  <si>
    <t>New Survey Nos. 5/1, 5/2, 5/3, 5/4, 5/5A, 5/5B, 5/5C, 5/5D, 5/5E, 5/6, 5/7 and 5/8 
(Earlier bearing Survey Nos. 5, 5B, 5D, 5F and 5G)</t>
  </si>
  <si>
    <t>Yes, Approx 25ft</t>
  </si>
  <si>
    <t>1. 0.50km from Gurukul Excellence International School
2. 1.5km from Samarth International School
3. 0.75km from Government ZP Hospital
4. 1.0km from  Wellcare Multispeciality Hospital 
5. 0.8km from Grand Galleria
6. 0.55km from Reliance SMART Bazaar
7. 0.28km from Radhakrishna Mandir
8. 0.85km from Saibaba Mandir
9. 2.9km from Virar West Bus stop
10. 1.7km from Virar Railway Station</t>
  </si>
  <si>
    <t>VVCMC/TP/AMEND/VP/453/04/2025-26</t>
  </si>
  <si>
    <t xml:space="preserve"> 21/05/2025</t>
  </si>
  <si>
    <t xml:space="preserve">VVCMC/TP/RDP/VP-0453/04/2025-26
Avenue P - Sector 2 (Wing A, B &amp; C) = Gr + 1st to 21st Floors
Avenue P - Sector 2 (Wing D, E, F &amp; G) = Gr + 1st to 22nd Floors 
</t>
  </si>
  <si>
    <t>Avenue P - Sector 2 (Wing A, B &amp; C) = Gr + 1st to 21st Floors (Height = 70.00 Mtrs)
Avenue P - Sector 2 (Wing D, E, F &amp; G) = Gr + 1st to 22nd Floors (Height = 69.90Mtrs)</t>
  </si>
  <si>
    <t>Construction/Building Permission
Valid Upto</t>
  </si>
  <si>
    <t>VVCMC/FIRE/HQ/3013/2025</t>
  </si>
  <si>
    <t xml:space="preserve">Fire Noc No.
Valid Up to: </t>
  </si>
  <si>
    <t>Avenue P - Sector 2 (Wing A to C) = G + 1st to 21st Floors (Height = 69.95 Mtrs)
Avenue P - Sector 2 (Wing D to G) = G + 1st to 22nd Floors (Height 69.60 Mtrs)</t>
  </si>
  <si>
    <t xml:space="preserve"> 14/07/2025</t>
  </si>
  <si>
    <t>Avenue P - Sector 2 (Wing A) = Gr + 1st to 21st Floors</t>
  </si>
  <si>
    <t>Avenue P - Sector 2 (Wing B) = Gr + 1st to 21st Floors</t>
  </si>
  <si>
    <t>Avenue P - Sector 2 (Wing C) = Gr + 1st to 21st Floors</t>
  </si>
  <si>
    <t xml:space="preserve">Avenue P - Sector 2 (Wing D) = Gr + 1st to 22nd Floors </t>
  </si>
  <si>
    <t xml:space="preserve">Avenue P - Sector 2 (Wing E) = Gr + 1st to 22nd Floors </t>
  </si>
  <si>
    <t xml:space="preserve">Avenue P - Sector 2 (Wing F) = Gr + 1st to 22nd Floors </t>
  </si>
  <si>
    <t xml:space="preserve">Avenue P - Sector 2 (Wing G) = Gr + 1st to 22nd Floors </t>
  </si>
  <si>
    <t xml:space="preserve">Details of Residential in Building   </t>
  </si>
  <si>
    <t>Avenue-P (Sector 2)</t>
  </si>
  <si>
    <r>
      <t>Remark (</t>
    </r>
    <r>
      <rPr>
        <sz val="10"/>
        <rFont val="Times New Roman"/>
        <family val="1"/>
      </rPr>
      <t>Flat configuration /Bungalows, etc.)</t>
    </r>
  </si>
  <si>
    <t>Ground Floor For Commercial, Parking &amp; Meter Room</t>
  </si>
  <si>
    <t xml:space="preserve">1st Floor </t>
  </si>
  <si>
    <t xml:space="preserve">2nd Floor </t>
  </si>
  <si>
    <t>Wing C</t>
  </si>
  <si>
    <t>Wing G</t>
  </si>
  <si>
    <t>3rd Floor For Residential</t>
  </si>
  <si>
    <t>3BHK</t>
  </si>
  <si>
    <t>4th to 6th, 8th to 11th, 13th to 16th &amp; 18th to 21st Floor For Residential</t>
  </si>
  <si>
    <t>7th, 12th &amp; 17th Floor For Part Refuge Area</t>
  </si>
  <si>
    <t>-</t>
  </si>
  <si>
    <t>4BHK</t>
  </si>
  <si>
    <t>Refuge Area</t>
  </si>
  <si>
    <t>Ground Floor For Parking, Entrance Lobby &amp; Meter Room</t>
  </si>
  <si>
    <t>1st Floor For Residential &amp; Part Parking Area</t>
  </si>
  <si>
    <t>Parking Area</t>
  </si>
  <si>
    <t>2BHK</t>
  </si>
  <si>
    <t>2nd Floor For  Residential &amp; Part Parking Area</t>
  </si>
  <si>
    <t xml:space="preserve">3rd to 6th, 8th to 11th, 13th to 16th &amp; 18th to 22nd Floor </t>
  </si>
  <si>
    <t>Wing E</t>
  </si>
  <si>
    <t xml:space="preserve"> Parking Area</t>
  </si>
  <si>
    <t>Wing F</t>
  </si>
  <si>
    <t>2nd Floor For Residential &amp; Part Parking Area</t>
  </si>
  <si>
    <t>Commercial Area Details : (Shop)</t>
  </si>
  <si>
    <t>Residential Area Details : (Flat)</t>
  </si>
  <si>
    <t>Wing D</t>
  </si>
  <si>
    <t>2,50,000/-</t>
  </si>
  <si>
    <t>Mr. Navnath Bhatkar</t>
  </si>
  <si>
    <t>On Site, we meet Miss. Ritika 9322509492</t>
  </si>
  <si>
    <t>Miss. Ritika 9322509492</t>
  </si>
  <si>
    <t>23/09/2025 at  06:07 PM</t>
  </si>
  <si>
    <t>5, 5B, 5D, 5F, 5G &amp; New Survey No. 5/1, 5/2, 5/3, 5/4, 5/6, 5/7, 5/8, 5/5/A, 5/5/B, 5/5/C, 5/5/D, 5/5/E</t>
  </si>
  <si>
    <t>Flat - 772
Shop - 39</t>
  </si>
  <si>
    <t>Construction work is in process at the time of Visit.</t>
  </si>
  <si>
    <t>Avenue P - Sector 2 (Wing A to C )= Gr + 1st to 21st Floor
Avenue P - Sector 2 (Wing D to G) = Gr + 1st to 22nd Floor</t>
  </si>
  <si>
    <t>We have referred Approved plans &amp; CC from RERA site.</t>
  </si>
  <si>
    <t>Please check for Environment Clearance Certificate.</t>
  </si>
  <si>
    <t>Balcony + AP Area</t>
  </si>
  <si>
    <t>We considered Gross carpet area = RERA Carpet +  Encl Balcony + Balcony + AP Area</t>
  </si>
  <si>
    <t>RERA Carpet +  Encl Balcony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</si>
</sst>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
  </numFmts>
  <fonts count="17" x14ac:knownFonts="1">
    <font>
      <sz val="11"/>
      <color theme="1"/>
      <name val="Calibri"/>
      <family val="2"/>
      <scheme val="minor"/>
    </font>
    <font>
      <b/>
      <sz val="10"/>
      <color theme="1"/>
      <name val="Times New Roman"/>
      <family val="1"/>
    </font>
    <font>
      <sz val="11"/>
      <color theme="1"/>
      <name val="Calibri"/>
      <family val="2"/>
      <scheme val="minor"/>
    </font>
    <font>
      <b/>
      <sz val="11"/>
      <color theme="1"/>
      <name val="Times New Roman"/>
      <family val="1"/>
    </font>
    <font>
      <sz val="10"/>
      <color theme="1"/>
      <name val="Calibri"/>
      <family val="2"/>
      <scheme val="minor"/>
    </font>
    <font>
      <sz val="10"/>
      <color rgb="FF000000"/>
      <name val="Times New Roman"/>
      <family val="1"/>
    </font>
    <font>
      <sz val="10"/>
      <color theme="1"/>
      <name val="Times New Roman"/>
      <family val="1"/>
    </font>
    <font>
      <b/>
      <sz val="10"/>
      <name val="Times New Roman"/>
      <family val="1"/>
    </font>
    <font>
      <sz val="10"/>
      <name val="Times New Roman"/>
      <family val="1"/>
    </font>
    <font>
      <b/>
      <sz val="10"/>
      <color rgb="FF000000"/>
      <name val="Times New Roman"/>
      <family val="1"/>
    </font>
    <font>
      <b/>
      <sz val="11"/>
      <color rgb="FF000000"/>
      <name val="Times New Roman"/>
      <family val="1"/>
    </font>
    <font>
      <sz val="10"/>
      <color rgb="FFE3F2F3"/>
      <name val="Times New Roman"/>
      <family val="1"/>
    </font>
    <font>
      <sz val="9"/>
      <color indexed="81"/>
      <name val="Tahoma"/>
      <family val="2"/>
    </font>
    <font>
      <b/>
      <sz val="9"/>
      <color indexed="81"/>
      <name val="Tahoma"/>
      <family val="2"/>
    </font>
    <font>
      <b/>
      <sz val="11"/>
      <color indexed="81"/>
      <name val="Tahoma"/>
      <family val="2"/>
    </font>
    <font>
      <u/>
      <sz val="11"/>
      <color theme="10"/>
      <name val="Calibri"/>
      <family val="2"/>
      <scheme val="minor"/>
    </font>
    <font>
      <sz val="10"/>
      <color indexed="8"/>
      <name val="Times New Roman"/>
      <family val="1"/>
    </font>
  </fonts>
  <fills count="7">
    <fill>
      <patternFill patternType="none"/>
    </fill>
    <fill>
      <patternFill patternType="gray125"/>
    </fill>
    <fill>
      <patternFill patternType="solid">
        <fgColor theme="8" tint="0.59999389629810485"/>
        <bgColor indexed="64"/>
      </patternFill>
    </fill>
    <fill>
      <patternFill patternType="solid">
        <fgColor rgb="FFE3F2F3"/>
        <bgColor indexed="64"/>
      </patternFill>
    </fill>
    <fill>
      <patternFill patternType="solid">
        <fgColor rgb="FFE5EEF1"/>
        <bgColor indexed="64"/>
      </patternFill>
    </fill>
    <fill>
      <patternFill patternType="solid">
        <fgColor theme="8" tint="0.79998168889431442"/>
        <bgColor indexed="64"/>
      </patternFill>
    </fill>
    <fill>
      <patternFill patternType="solid">
        <fgColor theme="8" tint="0.39997558519241921"/>
        <bgColor indexed="64"/>
      </patternFill>
    </fill>
  </fills>
  <borders count="36">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s>
  <cellStyleXfs count="4">
    <xf numFmtId="0" fontId="0" fillId="0" borderId="0"/>
    <xf numFmtId="0" fontId="2" fillId="0" borderId="0"/>
    <xf numFmtId="9" fontId="2" fillId="0" borderId="0" applyFont="0" applyFill="0" applyBorder="0" applyAlignment="0" applyProtection="0"/>
    <xf numFmtId="0" fontId="15" fillId="0" borderId="0" applyNumberFormat="0" applyFill="0" applyBorder="0" applyAlignment="0" applyProtection="0"/>
  </cellStyleXfs>
  <cellXfs count="287">
    <xf numFmtId="0" fontId="0" fillId="0" borderId="0" xfId="0"/>
    <xf numFmtId="0" fontId="5" fillId="0" borderId="0" xfId="0" applyFont="1" applyFill="1" applyBorder="1" applyProtection="1">
      <protection hidden="1"/>
    </xf>
    <xf numFmtId="0" fontId="8" fillId="4" borderId="5"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wrapText="1"/>
      <protection locked="0"/>
    </xf>
    <xf numFmtId="1" fontId="8" fillId="4" borderId="4" xfId="1" applyNumberFormat="1" applyFont="1" applyFill="1" applyBorder="1" applyAlignment="1" applyProtection="1">
      <alignment horizontal="center" wrapText="1"/>
      <protection locked="0"/>
    </xf>
    <xf numFmtId="0" fontId="6" fillId="0" borderId="0" xfId="0" applyFont="1"/>
    <xf numFmtId="0" fontId="8" fillId="2" borderId="4"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16" xfId="1" applyFont="1" applyFill="1" applyBorder="1" applyAlignment="1" applyProtection="1">
      <alignment horizontal="center" vertical="center"/>
      <protection locked="0"/>
    </xf>
    <xf numFmtId="0" fontId="8" fillId="2" borderId="17" xfId="1" applyFont="1" applyFill="1" applyBorder="1" applyAlignment="1" applyProtection="1">
      <alignment horizontal="center" vertical="center"/>
      <protection locked="0"/>
    </xf>
    <xf numFmtId="0" fontId="1" fillId="2" borderId="4" xfId="0" applyFont="1" applyFill="1" applyBorder="1" applyAlignment="1">
      <alignment horizontal="left" vertical="center"/>
    </xf>
    <xf numFmtId="0" fontId="9" fillId="2" borderId="4" xfId="0" applyFont="1" applyFill="1" applyBorder="1" applyAlignment="1">
      <alignment horizontal="center" vertical="top" wrapText="1"/>
    </xf>
    <xf numFmtId="0" fontId="5" fillId="3" borderId="4" xfId="0" applyFont="1" applyFill="1" applyBorder="1" applyAlignment="1">
      <alignment horizontal="center" vertical="center" wrapText="1"/>
    </xf>
    <xf numFmtId="1" fontId="5" fillId="3" borderId="4" xfId="0" applyNumberFormat="1" applyFont="1" applyFill="1" applyBorder="1" applyAlignment="1">
      <alignment horizontal="center" vertical="center"/>
    </xf>
    <xf numFmtId="0" fontId="6" fillId="0" borderId="0" xfId="0" applyFont="1" applyFill="1"/>
    <xf numFmtId="0" fontId="5" fillId="3" borderId="4" xfId="0" applyFont="1" applyFill="1" applyBorder="1" applyAlignment="1">
      <alignment horizontal="center" vertical="center" wrapText="1"/>
    </xf>
    <xf numFmtId="0" fontId="8" fillId="4" borderId="7" xfId="1" applyFont="1" applyFill="1" applyBorder="1" applyAlignment="1" applyProtection="1">
      <alignment horizontal="center" vertical="top" wrapText="1"/>
      <protection locked="0"/>
    </xf>
    <xf numFmtId="9" fontId="8" fillId="4" borderId="7" xfId="1" applyNumberFormat="1" applyFont="1" applyFill="1" applyBorder="1" applyAlignment="1" applyProtection="1">
      <alignment horizontal="center" vertical="center" wrapText="1"/>
      <protection hidden="1"/>
    </xf>
    <xf numFmtId="0" fontId="8" fillId="2" borderId="14" xfId="1" applyFont="1" applyFill="1" applyBorder="1" applyAlignment="1" applyProtection="1">
      <alignment horizontal="center" vertical="center"/>
      <protection locked="0"/>
    </xf>
    <xf numFmtId="0" fontId="8" fillId="4" borderId="14" xfId="1" applyFont="1" applyFill="1" applyBorder="1" applyAlignment="1" applyProtection="1">
      <alignment horizontal="center" vertical="top" wrapText="1"/>
      <protection locked="0"/>
    </xf>
    <xf numFmtId="9" fontId="8" fillId="4" borderId="26" xfId="1" applyNumberFormat="1" applyFont="1" applyFill="1" applyBorder="1" applyAlignment="1" applyProtection="1">
      <alignment horizontal="center" vertical="center"/>
      <protection hidden="1"/>
    </xf>
    <xf numFmtId="9" fontId="11" fillId="4" borderId="14" xfId="1" applyNumberFormat="1" applyFont="1" applyFill="1" applyBorder="1" applyAlignment="1" applyProtection="1">
      <alignment horizontal="left" vertical="center"/>
      <protection hidden="1"/>
    </xf>
    <xf numFmtId="9" fontId="11" fillId="4" borderId="26" xfId="1" applyNumberFormat="1" applyFont="1" applyFill="1" applyBorder="1" applyAlignment="1" applyProtection="1">
      <alignment horizontal="left" vertical="center"/>
      <protection hidden="1"/>
    </xf>
    <xf numFmtId="0" fontId="6" fillId="0" borderId="24" xfId="1" applyFont="1" applyBorder="1"/>
    <xf numFmtId="0" fontId="5" fillId="0" borderId="19" xfId="0" applyNumberFormat="1" applyFont="1" applyBorder="1" applyProtection="1">
      <protection hidden="1"/>
    </xf>
    <xf numFmtId="1" fontId="4" fillId="0" borderId="19" xfId="0" applyNumberFormat="1" applyFont="1" applyBorder="1"/>
    <xf numFmtId="1" fontId="4" fillId="0" borderId="19" xfId="0" applyNumberFormat="1" applyFont="1" applyBorder="1" applyAlignment="1">
      <alignment horizontal="right"/>
    </xf>
    <xf numFmtId="1" fontId="4" fillId="0" borderId="22" xfId="0" applyNumberFormat="1" applyFont="1" applyBorder="1"/>
    <xf numFmtId="0" fontId="5" fillId="0" borderId="25" xfId="0" applyFont="1" applyFill="1" applyBorder="1" applyProtection="1">
      <protection hidden="1"/>
    </xf>
    <xf numFmtId="0" fontId="5" fillId="0" borderId="21" xfId="0" applyFont="1" applyFill="1" applyBorder="1" applyProtection="1">
      <protection hidden="1"/>
    </xf>
    <xf numFmtId="0" fontId="8" fillId="4" borderId="11" xfId="1" applyFont="1" applyFill="1" applyBorder="1" applyAlignment="1" applyProtection="1">
      <alignment horizontal="center" vertical="top" wrapText="1"/>
      <protection locked="0"/>
    </xf>
    <xf numFmtId="0" fontId="8" fillId="4" borderId="12" xfId="1" applyFont="1" applyFill="1" applyBorder="1" applyAlignment="1" applyProtection="1">
      <alignment horizontal="center" wrapText="1"/>
      <protection locked="0"/>
    </xf>
    <xf numFmtId="9" fontId="8" fillId="4" borderId="27" xfId="1" applyNumberFormat="1" applyFont="1" applyFill="1" applyBorder="1" applyAlignment="1" applyProtection="1">
      <alignment horizontal="center" vertical="center" wrapText="1"/>
      <protection hidden="1"/>
    </xf>
    <xf numFmtId="9" fontId="11" fillId="4" borderId="28" xfId="1" applyNumberFormat="1" applyFont="1" applyFill="1" applyBorder="1" applyAlignment="1" applyProtection="1">
      <alignment horizontal="left" vertical="center"/>
      <protection hidden="1"/>
    </xf>
    <xf numFmtId="0" fontId="6" fillId="0" borderId="30" xfId="1" applyFont="1" applyFill="1" applyBorder="1" applyProtection="1">
      <protection hidden="1"/>
    </xf>
    <xf numFmtId="0" fontId="6" fillId="0" borderId="31" xfId="1" applyFont="1" applyBorder="1" applyProtection="1">
      <protection hidden="1"/>
    </xf>
    <xf numFmtId="0" fontId="6" fillId="0" borderId="0" xfId="1" applyFont="1" applyFill="1" applyBorder="1" applyProtection="1">
      <protection hidden="1"/>
    </xf>
    <xf numFmtId="0" fontId="6" fillId="0" borderId="3" xfId="1" applyFont="1" applyBorder="1" applyProtection="1">
      <protection hidden="1"/>
    </xf>
    <xf numFmtId="0" fontId="6" fillId="0" borderId="3" xfId="1" applyFont="1" applyBorder="1"/>
    <xf numFmtId="0" fontId="5" fillId="0" borderId="3" xfId="0" applyNumberFormat="1" applyFont="1" applyBorder="1" applyProtection="1">
      <protection hidden="1"/>
    </xf>
    <xf numFmtId="1" fontId="6" fillId="0" borderId="3" xfId="0" applyNumberFormat="1" applyFont="1" applyBorder="1"/>
    <xf numFmtId="1" fontId="6" fillId="0" borderId="3" xfId="0" applyNumberFormat="1" applyFont="1" applyBorder="1" applyAlignment="1">
      <alignment horizontal="right"/>
    </xf>
    <xf numFmtId="0" fontId="5" fillId="0" borderId="2" xfId="0" applyFont="1" applyFill="1" applyBorder="1" applyProtection="1">
      <protection hidden="1"/>
    </xf>
    <xf numFmtId="1" fontId="6" fillId="0" borderId="1" xfId="0" applyNumberFormat="1" applyFont="1" applyBorder="1"/>
    <xf numFmtId="0" fontId="0" fillId="0" borderId="4" xfId="0" applyBorder="1" applyAlignment="1">
      <alignment horizontal="center" vertical="center"/>
    </xf>
    <xf numFmtId="0" fontId="7" fillId="3" borderId="8" xfId="0" applyFont="1" applyFill="1" applyBorder="1" applyAlignment="1">
      <alignment vertical="top" wrapText="1"/>
    </xf>
    <xf numFmtId="0" fontId="7" fillId="3" borderId="10" xfId="0" applyFont="1" applyFill="1" applyBorder="1" applyAlignment="1">
      <alignment vertical="top" wrapText="1"/>
    </xf>
    <xf numFmtId="0" fontId="9" fillId="2" borderId="4" xfId="0" applyFont="1" applyFill="1" applyBorder="1" applyAlignment="1">
      <alignment vertical="top" wrapText="1"/>
    </xf>
    <xf numFmtId="14" fontId="5" fillId="3" borderId="4" xfId="0" applyNumberFormat="1" applyFont="1" applyFill="1" applyBorder="1" applyAlignment="1">
      <alignment horizontal="left" vertical="top" wrapText="1"/>
    </xf>
    <xf numFmtId="0" fontId="6" fillId="0" borderId="0" xfId="0" applyFont="1" applyAlignment="1">
      <alignment wrapText="1"/>
    </xf>
    <xf numFmtId="0" fontId="8" fillId="3" borderId="4" xfId="0" applyFont="1" applyFill="1" applyBorder="1" applyAlignment="1">
      <alignment vertical="center"/>
    </xf>
    <xf numFmtId="0" fontId="5" fillId="3" borderId="4"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8" fillId="3" borderId="4" xfId="0" applyFont="1" applyFill="1" applyBorder="1" applyAlignment="1">
      <alignment horizontal="center" vertical="center"/>
    </xf>
    <xf numFmtId="0" fontId="7" fillId="2" borderId="4" xfId="0" applyFont="1" applyFill="1" applyBorder="1" applyAlignment="1">
      <alignment vertical="top" wrapText="1"/>
    </xf>
    <xf numFmtId="14" fontId="8" fillId="3" borderId="4" xfId="0" applyNumberFormat="1" applyFont="1" applyFill="1" applyBorder="1" applyAlignment="1">
      <alignment horizontal="left" vertical="top" wrapText="1"/>
    </xf>
    <xf numFmtId="0" fontId="7" fillId="2" borderId="14" xfId="0" applyFont="1" applyFill="1" applyBorder="1" applyAlignment="1">
      <alignment horizontal="center" vertical="top" wrapText="1"/>
    </xf>
    <xf numFmtId="9" fontId="7" fillId="2" borderId="13" xfId="0" applyNumberFormat="1" applyFont="1" applyFill="1" applyBorder="1" applyAlignment="1">
      <alignment horizontal="center" vertical="top" wrapText="1"/>
    </xf>
    <xf numFmtId="9" fontId="7" fillId="2" borderId="13" xfId="2" applyFont="1" applyFill="1" applyBorder="1" applyAlignment="1" applyProtection="1">
      <alignment horizontal="center" vertical="top" wrapText="1"/>
      <protection locked="0"/>
    </xf>
    <xf numFmtId="1" fontId="8" fillId="3" borderId="4" xfId="0" applyNumberFormat="1" applyFont="1" applyFill="1" applyBorder="1" applyAlignment="1">
      <alignment horizontal="center" vertical="center"/>
    </xf>
    <xf numFmtId="1" fontId="16" fillId="3" borderId="4" xfId="1" applyNumberFormat="1" applyFont="1" applyFill="1" applyBorder="1" applyAlignment="1" applyProtection="1">
      <alignment horizontal="center" vertical="center" wrapText="1"/>
      <protection locked="0"/>
    </xf>
    <xf numFmtId="1" fontId="6" fillId="3" borderId="4" xfId="1" applyNumberFormat="1" applyFont="1" applyFill="1" applyBorder="1" applyAlignment="1">
      <alignment horizontal="center" vertical="center"/>
    </xf>
    <xf numFmtId="0" fontId="7" fillId="3" borderId="4" xfId="0" applyFont="1" applyFill="1" applyBorder="1" applyAlignment="1">
      <alignment horizontal="center" vertical="center" wrapText="1"/>
    </xf>
    <xf numFmtId="1" fontId="6" fillId="3" borderId="4" xfId="1" applyNumberFormat="1" applyFont="1" applyFill="1" applyBorder="1" applyAlignment="1">
      <alignment horizontal="center"/>
    </xf>
    <xf numFmtId="0" fontId="8" fillId="3" borderId="4" xfId="0" applyFont="1" applyFill="1" applyBorder="1" applyAlignment="1">
      <alignment horizontal="center" vertical="center" wrapText="1"/>
    </xf>
    <xf numFmtId="0" fontId="7" fillId="3" borderId="4" xfId="0" applyFont="1" applyFill="1" applyBorder="1" applyAlignment="1">
      <alignment horizontal="left" vertical="top" wrapText="1"/>
    </xf>
    <xf numFmtId="0" fontId="7" fillId="3" borderId="5" xfId="0" applyFont="1" applyFill="1" applyBorder="1" applyAlignment="1">
      <alignment horizontal="left" vertical="top"/>
    </xf>
    <xf numFmtId="0" fontId="7" fillId="3" borderId="4" xfId="0" applyFont="1" applyFill="1" applyBorder="1" applyAlignment="1">
      <alignment horizontal="left" vertical="top"/>
    </xf>
    <xf numFmtId="0" fontId="8" fillId="3" borderId="4" xfId="1" applyFont="1" applyFill="1" applyBorder="1" applyAlignment="1" applyProtection="1">
      <alignment horizontal="center" vertical="top" wrapText="1"/>
      <protection locked="0"/>
    </xf>
    <xf numFmtId="0" fontId="8" fillId="3" borderId="4" xfId="1" applyFont="1" applyFill="1" applyBorder="1" applyAlignment="1" applyProtection="1">
      <alignment horizontal="center" wrapText="1"/>
      <protection locked="0"/>
    </xf>
    <xf numFmtId="9" fontId="8" fillId="3" borderId="4" xfId="1" applyNumberFormat="1" applyFont="1" applyFill="1" applyBorder="1" applyAlignment="1" applyProtection="1">
      <alignment horizontal="center" vertical="center" wrapText="1"/>
      <protection hidden="1"/>
    </xf>
    <xf numFmtId="1" fontId="8" fillId="3" borderId="4" xfId="1" applyNumberFormat="1" applyFont="1" applyFill="1" applyBorder="1" applyAlignment="1" applyProtection="1">
      <alignment horizontal="center" wrapText="1"/>
      <protection locked="0"/>
    </xf>
    <xf numFmtId="0" fontId="8" fillId="3" borderId="12" xfId="1" applyFont="1" applyFill="1" applyBorder="1" applyAlignment="1" applyProtection="1">
      <alignment horizontal="center" wrapText="1"/>
      <protection locked="0"/>
    </xf>
    <xf numFmtId="9" fontId="8" fillId="3" borderId="12" xfId="1" applyNumberFormat="1" applyFont="1" applyFill="1" applyBorder="1" applyAlignment="1" applyProtection="1">
      <alignment horizontal="center" vertical="center" wrapText="1"/>
      <protection hidden="1"/>
    </xf>
    <xf numFmtId="0" fontId="8" fillId="0" borderId="30" xfId="1" applyFont="1" applyFill="1" applyBorder="1" applyProtection="1">
      <protection hidden="1"/>
    </xf>
    <xf numFmtId="0" fontId="8" fillId="0" borderId="0" xfId="1" applyFont="1" applyFill="1" applyBorder="1" applyProtection="1">
      <protection hidden="1"/>
    </xf>
    <xf numFmtId="0" fontId="8" fillId="0" borderId="0" xfId="0" applyFont="1" applyFill="1" applyBorder="1" applyProtection="1">
      <protection hidden="1"/>
    </xf>
    <xf numFmtId="0" fontId="8" fillId="0" borderId="2" xfId="0" applyFont="1" applyFill="1" applyBorder="1" applyProtection="1">
      <protection hidden="1"/>
    </xf>
    <xf numFmtId="0" fontId="7" fillId="2" borderId="29" xfId="0" applyFont="1" applyFill="1" applyBorder="1" applyAlignment="1">
      <alignment horizontal="center" vertical="top" wrapText="1"/>
    </xf>
    <xf numFmtId="9" fontId="7" fillId="2" borderId="20" xfId="0" applyNumberFormat="1" applyFont="1" applyFill="1" applyBorder="1" applyAlignment="1">
      <alignment horizontal="center" vertical="top" wrapText="1"/>
    </xf>
    <xf numFmtId="1" fontId="8" fillId="3" borderId="4" xfId="1" applyNumberFormat="1" applyFont="1" applyFill="1" applyBorder="1" applyAlignment="1" applyProtection="1">
      <alignment horizontal="center" vertical="center" wrapText="1"/>
      <protection locked="0"/>
    </xf>
    <xf numFmtId="1" fontId="8" fillId="3" borderId="4" xfId="1" applyNumberFormat="1" applyFont="1" applyFill="1" applyBorder="1" applyAlignment="1">
      <alignment horizontal="center" vertical="center"/>
    </xf>
    <xf numFmtId="9" fontId="7" fillId="3" borderId="8" xfId="0" applyNumberFormat="1" applyFont="1" applyFill="1" applyBorder="1" applyAlignment="1">
      <alignment horizontal="left" vertical="top" wrapText="1"/>
    </xf>
    <xf numFmtId="0" fontId="8" fillId="3" borderId="4" xfId="0" applyFont="1" applyFill="1" applyBorder="1" applyAlignment="1">
      <alignment horizontal="left" vertical="center" wrapText="1"/>
    </xf>
    <xf numFmtId="0" fontId="8" fillId="3" borderId="4" xfId="0" applyFont="1" applyFill="1" applyBorder="1" applyAlignment="1">
      <alignment horizontal="left" vertical="center"/>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7" fillId="2" borderId="7"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10" xfId="0" applyFont="1" applyFill="1" applyBorder="1" applyAlignment="1">
      <alignment horizontal="center" vertical="center"/>
    </xf>
    <xf numFmtId="1" fontId="16" fillId="3" borderId="7" xfId="1" applyNumberFormat="1" applyFont="1" applyFill="1" applyBorder="1" applyAlignment="1" applyProtection="1">
      <alignment horizontal="center" vertical="center" wrapText="1"/>
      <protection locked="0"/>
    </xf>
    <xf numFmtId="1" fontId="16" fillId="3" borderId="10" xfId="1" applyNumberFormat="1" applyFont="1" applyFill="1" applyBorder="1" applyAlignment="1" applyProtection="1">
      <alignment horizontal="center" vertical="center" wrapText="1"/>
      <protection locked="0"/>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18"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19" xfId="0" applyFont="1" applyFill="1" applyBorder="1" applyAlignment="1">
      <alignment horizontal="left" vertical="top" wrapText="1"/>
    </xf>
    <xf numFmtId="0" fontId="7" fillId="3" borderId="20" xfId="0" applyFont="1" applyFill="1" applyBorder="1" applyAlignment="1">
      <alignment horizontal="left" vertical="top" wrapText="1"/>
    </xf>
    <xf numFmtId="0" fontId="7" fillId="3" borderId="21" xfId="0" applyFont="1" applyFill="1" applyBorder="1" applyAlignment="1">
      <alignment horizontal="left" vertical="top" wrapText="1"/>
    </xf>
    <xf numFmtId="0" fontId="7" fillId="3" borderId="22" xfId="0" applyFont="1" applyFill="1" applyBorder="1" applyAlignment="1">
      <alignment horizontal="left" vertical="top"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29" xfId="0" applyFont="1" applyFill="1" applyBorder="1" applyAlignment="1">
      <alignment horizontal="left" vertical="top" wrapText="1"/>
    </xf>
    <xf numFmtId="0" fontId="7" fillId="3" borderId="25" xfId="0" applyFont="1" applyFill="1" applyBorder="1" applyAlignment="1">
      <alignment horizontal="left" vertical="top" wrapText="1"/>
    </xf>
    <xf numFmtId="0" fontId="7" fillId="3" borderId="24" xfId="0" applyFont="1" applyFill="1" applyBorder="1" applyAlignment="1">
      <alignment horizontal="left" vertical="top" wrapText="1"/>
    </xf>
    <xf numFmtId="0" fontId="7" fillId="2" borderId="4" xfId="0" applyFont="1" applyFill="1" applyBorder="1" applyAlignment="1">
      <alignment horizontal="center" vertical="center" wrapText="1"/>
    </xf>
    <xf numFmtId="0" fontId="7" fillId="2" borderId="14" xfId="0" applyFont="1" applyFill="1" applyBorder="1" applyAlignment="1">
      <alignment horizontal="center" vertical="top" wrapText="1"/>
    </xf>
    <xf numFmtId="0" fontId="7" fillId="2" borderId="13" xfId="0" applyFont="1" applyFill="1" applyBorder="1" applyAlignment="1">
      <alignment horizontal="center" vertical="top" wrapText="1"/>
    </xf>
    <xf numFmtId="0" fontId="7" fillId="6" borderId="4" xfId="0" applyFont="1" applyFill="1" applyBorder="1" applyAlignment="1">
      <alignment horizontal="center" vertical="center" wrapText="1"/>
    </xf>
    <xf numFmtId="0" fontId="8" fillId="3" borderId="7" xfId="0" applyFont="1" applyFill="1" applyBorder="1" applyAlignment="1">
      <alignment horizontal="center" vertical="center"/>
    </xf>
    <xf numFmtId="0" fontId="8" fillId="3" borderId="10" xfId="0" applyFont="1" applyFill="1" applyBorder="1" applyAlignment="1">
      <alignment horizontal="center" vertical="center"/>
    </xf>
    <xf numFmtId="1" fontId="5" fillId="5" borderId="7" xfId="0" applyNumberFormat="1" applyFont="1" applyFill="1" applyBorder="1" applyAlignment="1">
      <alignment horizontal="center" vertical="center" wrapText="1"/>
    </xf>
    <xf numFmtId="0" fontId="5" fillId="5" borderId="10" xfId="0" applyFont="1" applyFill="1" applyBorder="1" applyAlignment="1">
      <alignment horizontal="center" vertical="center" wrapText="1"/>
    </xf>
    <xf numFmtId="1" fontId="9" fillId="5" borderId="7" xfId="0" applyNumberFormat="1"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1" fontId="5" fillId="5" borderId="10" xfId="0" applyNumberFormat="1" applyFont="1" applyFill="1" applyBorder="1" applyAlignment="1">
      <alignment horizontal="center" vertical="center" wrapText="1"/>
    </xf>
    <xf numFmtId="1" fontId="9" fillId="2" borderId="7" xfId="0" applyNumberFormat="1" applyFont="1" applyFill="1" applyBorder="1" applyAlignment="1">
      <alignment horizontal="center" vertical="center" wrapText="1"/>
    </xf>
    <xf numFmtId="1" fontId="9" fillId="2" borderId="10"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8" fillId="3" borderId="8" xfId="0" applyFont="1" applyFill="1" applyBorder="1" applyAlignment="1">
      <alignment horizontal="center" vertical="center"/>
    </xf>
    <xf numFmtId="0" fontId="8" fillId="3" borderId="4" xfId="0" applyFont="1" applyFill="1" applyBorder="1" applyAlignment="1">
      <alignment horizontal="center"/>
    </xf>
    <xf numFmtId="9" fontId="8" fillId="3" borderId="4" xfId="0" applyNumberFormat="1" applyFont="1" applyFill="1" applyBorder="1" applyAlignment="1">
      <alignment horizontal="center"/>
    </xf>
    <xf numFmtId="0" fontId="7" fillId="3" borderId="4" xfId="1" applyFont="1" applyFill="1" applyBorder="1" applyAlignment="1" applyProtection="1">
      <alignment horizontal="left" vertical="top" wrapText="1"/>
      <protection locked="0"/>
    </xf>
    <xf numFmtId="0" fontId="7" fillId="3" borderId="6" xfId="1" applyFont="1" applyFill="1" applyBorder="1" applyAlignment="1" applyProtection="1">
      <alignment horizontal="left" vertical="top" wrapText="1"/>
      <protection locked="0"/>
    </xf>
    <xf numFmtId="0" fontId="8" fillId="3" borderId="5" xfId="1" applyFont="1" applyFill="1" applyBorder="1" applyAlignment="1" applyProtection="1">
      <alignment horizontal="center" vertical="top" wrapText="1"/>
      <protection locked="0"/>
    </xf>
    <xf numFmtId="0" fontId="8" fillId="3" borderId="4" xfId="1" applyFont="1" applyFill="1" applyBorder="1" applyAlignment="1" applyProtection="1">
      <alignment horizontal="center" vertical="top" wrapText="1"/>
      <protection locked="0"/>
    </xf>
    <xf numFmtId="0" fontId="7" fillId="2" borderId="7"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14" xfId="1" applyFont="1" applyFill="1" applyBorder="1" applyAlignment="1" applyProtection="1">
      <alignment horizontal="center" vertical="top" wrapText="1"/>
      <protection locked="0"/>
    </xf>
    <xf numFmtId="14" fontId="8" fillId="3" borderId="7" xfId="0" applyNumberFormat="1" applyFont="1" applyFill="1" applyBorder="1" applyAlignment="1">
      <alignment horizontal="center" vertical="center"/>
    </xf>
    <xf numFmtId="14" fontId="8" fillId="3" borderId="10" xfId="0" applyNumberFormat="1" applyFont="1" applyFill="1" applyBorder="1" applyAlignment="1">
      <alignment horizontal="center" vertical="center"/>
    </xf>
    <xf numFmtId="0" fontId="7" fillId="3" borderId="7"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8" fillId="3" borderId="11" xfId="1" applyFont="1" applyFill="1" applyBorder="1" applyAlignment="1" applyProtection="1">
      <alignment horizontal="center" vertical="top" wrapText="1"/>
      <protection locked="0"/>
    </xf>
    <xf numFmtId="0" fontId="8" fillId="3" borderId="12" xfId="1" applyFont="1" applyFill="1" applyBorder="1" applyAlignment="1" applyProtection="1">
      <alignment horizontal="center" vertical="top" wrapText="1"/>
      <protection locked="0"/>
    </xf>
    <xf numFmtId="0" fontId="7" fillId="2" borderId="20"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3" borderId="7" xfId="0" applyFont="1" applyFill="1" applyBorder="1" applyAlignment="1">
      <alignment horizontal="center" vertical="center"/>
    </xf>
    <xf numFmtId="0" fontId="7" fillId="3" borderId="10" xfId="0" applyFont="1" applyFill="1" applyBorder="1" applyAlignment="1">
      <alignment horizontal="center" vertical="center"/>
    </xf>
    <xf numFmtId="9" fontId="8" fillId="3" borderId="12" xfId="0" applyNumberFormat="1" applyFont="1" applyFill="1" applyBorder="1" applyAlignment="1">
      <alignment horizontal="center"/>
    </xf>
    <xf numFmtId="0" fontId="8" fillId="3" borderId="7" xfId="0" applyFont="1" applyFill="1" applyBorder="1" applyAlignment="1">
      <alignment horizontal="left" vertical="top" wrapText="1"/>
    </xf>
    <xf numFmtId="0" fontId="8" fillId="3" borderId="8" xfId="0" applyFont="1" applyFill="1" applyBorder="1" applyAlignment="1">
      <alignment horizontal="left" vertical="top" wrapText="1"/>
    </xf>
    <xf numFmtId="0" fontId="8" fillId="3" borderId="10" xfId="0" applyFont="1" applyFill="1" applyBorder="1" applyAlignment="1">
      <alignment horizontal="left" vertical="top" wrapText="1"/>
    </xf>
    <xf numFmtId="0" fontId="7" fillId="2" borderId="33" xfId="1" applyFont="1" applyFill="1" applyBorder="1" applyAlignment="1" applyProtection="1">
      <alignment horizontal="left" vertical="top" wrapText="1"/>
      <protection locked="0"/>
    </xf>
    <xf numFmtId="0" fontId="7" fillId="2" borderId="30" xfId="1" applyFont="1" applyFill="1" applyBorder="1" applyAlignment="1" applyProtection="1">
      <alignment horizontal="left" vertical="top" wrapText="1"/>
      <protection locked="0"/>
    </xf>
    <xf numFmtId="0" fontId="7" fillId="2" borderId="34" xfId="1" applyFont="1" applyFill="1" applyBorder="1" applyAlignment="1" applyProtection="1">
      <alignment horizontal="left" vertical="top" wrapText="1"/>
      <protection locked="0"/>
    </xf>
    <xf numFmtId="0" fontId="7" fillId="2" borderId="35" xfId="1" applyFont="1" applyFill="1" applyBorder="1" applyAlignment="1" applyProtection="1">
      <alignment horizontal="left" vertical="top" wrapText="1"/>
      <protection locked="0"/>
    </xf>
    <xf numFmtId="0" fontId="7" fillId="2" borderId="21" xfId="1" applyFont="1" applyFill="1" applyBorder="1" applyAlignment="1" applyProtection="1">
      <alignment horizontal="left" vertical="top" wrapText="1"/>
      <protection locked="0"/>
    </xf>
    <xf numFmtId="0" fontId="7" fillId="2" borderId="22" xfId="1" applyFont="1" applyFill="1" applyBorder="1" applyAlignment="1" applyProtection="1">
      <alignment horizontal="left" vertical="top" wrapText="1"/>
      <protection locked="0"/>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7" fillId="2" borderId="29" xfId="0" applyFont="1" applyFill="1" applyBorder="1" applyAlignment="1">
      <alignment horizontal="left" vertical="top" wrapText="1"/>
    </xf>
    <xf numFmtId="0" fontId="7" fillId="2" borderId="24" xfId="0" applyFont="1" applyFill="1" applyBorder="1" applyAlignment="1">
      <alignment horizontal="left" vertical="top" wrapText="1"/>
    </xf>
    <xf numFmtId="0" fontId="7" fillId="2" borderId="20" xfId="0" applyFont="1" applyFill="1" applyBorder="1" applyAlignment="1">
      <alignment horizontal="left" vertical="top" wrapText="1"/>
    </xf>
    <xf numFmtId="0" fontId="7" fillId="2" borderId="22" xfId="0" applyFont="1" applyFill="1" applyBorder="1" applyAlignment="1">
      <alignment horizontal="left" vertical="top" wrapText="1"/>
    </xf>
    <xf numFmtId="0" fontId="7" fillId="2" borderId="18" xfId="0" applyFont="1" applyFill="1" applyBorder="1" applyAlignment="1">
      <alignment horizontal="left" vertical="top" wrapText="1"/>
    </xf>
    <xf numFmtId="0" fontId="7" fillId="2" borderId="19" xfId="0" applyFont="1" applyFill="1" applyBorder="1" applyAlignment="1">
      <alignment horizontal="left" vertical="top" wrapText="1"/>
    </xf>
    <xf numFmtId="0" fontId="8" fillId="3" borderId="29"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7" xfId="0" applyFont="1" applyFill="1" applyBorder="1" applyAlignment="1">
      <alignment horizontal="left" vertical="center"/>
    </xf>
    <xf numFmtId="0" fontId="8" fillId="3" borderId="10" xfId="0" applyFont="1" applyFill="1" applyBorder="1" applyAlignment="1">
      <alignment horizontal="left" vertical="center"/>
    </xf>
    <xf numFmtId="0" fontId="7" fillId="2" borderId="7" xfId="0" applyFont="1" applyFill="1" applyBorder="1" applyAlignment="1">
      <alignment horizontal="left" vertical="top" wrapText="1"/>
    </xf>
    <xf numFmtId="0" fontId="7" fillId="2" borderId="10"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10" xfId="0" applyFont="1" applyFill="1" applyBorder="1" applyAlignment="1">
      <alignment horizontal="left" vertical="top" wrapText="1"/>
    </xf>
    <xf numFmtId="0" fontId="9" fillId="2" borderId="29" xfId="0" applyFont="1" applyFill="1" applyBorder="1" applyAlignment="1">
      <alignment horizontal="left" vertical="top" wrapText="1"/>
    </xf>
    <xf numFmtId="0" fontId="9" fillId="2" borderId="24" xfId="0" applyFont="1" applyFill="1" applyBorder="1" applyAlignment="1">
      <alignment horizontal="left" vertical="top" wrapText="1"/>
    </xf>
    <xf numFmtId="0" fontId="9" fillId="2" borderId="18" xfId="0" applyFont="1" applyFill="1" applyBorder="1" applyAlignment="1">
      <alignment horizontal="left" vertical="top" wrapText="1"/>
    </xf>
    <xf numFmtId="0" fontId="9" fillId="2" borderId="19" xfId="0" applyFont="1" applyFill="1" applyBorder="1" applyAlignment="1">
      <alignment horizontal="left" vertical="top" wrapText="1"/>
    </xf>
    <xf numFmtId="0" fontId="9" fillId="2" borderId="20" xfId="0" applyFont="1" applyFill="1" applyBorder="1" applyAlignment="1">
      <alignment horizontal="left" vertical="top" wrapText="1"/>
    </xf>
    <xf numFmtId="0" fontId="9" fillId="2" borderId="22" xfId="0" applyFont="1" applyFill="1" applyBorder="1" applyAlignment="1">
      <alignment horizontal="left" vertical="top" wrapText="1"/>
    </xf>
    <xf numFmtId="0" fontId="8" fillId="3" borderId="8" xfId="0" applyFont="1" applyFill="1" applyBorder="1" applyAlignment="1">
      <alignment horizontal="left" vertical="center"/>
    </xf>
    <xf numFmtId="164" fontId="8" fillId="3" borderId="4" xfId="1" applyNumberFormat="1" applyFont="1" applyFill="1" applyBorder="1" applyAlignment="1" applyProtection="1">
      <alignment horizontal="left" vertical="center" wrapText="1"/>
      <protection locked="0"/>
    </xf>
    <xf numFmtId="22" fontId="8" fillId="3" borderId="4" xfId="0" applyNumberFormat="1" applyFont="1" applyFill="1" applyBorder="1" applyAlignment="1">
      <alignment horizontal="left" vertical="center" wrapText="1"/>
    </xf>
    <xf numFmtId="1" fontId="9" fillId="5" borderId="4"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1" fontId="9" fillId="2" borderId="4" xfId="0" applyNumberFormat="1" applyFont="1" applyFill="1" applyBorder="1" applyAlignment="1">
      <alignment horizontal="center" vertical="center" wrapText="1"/>
    </xf>
    <xf numFmtId="0" fontId="5" fillId="3" borderId="7"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8" xfId="0" applyFont="1" applyFill="1" applyBorder="1" applyAlignment="1">
      <alignment horizontal="left" vertical="top"/>
    </xf>
    <xf numFmtId="0" fontId="5" fillId="3" borderId="10" xfId="0" applyFont="1" applyFill="1" applyBorder="1" applyAlignment="1">
      <alignment horizontal="left" vertical="top"/>
    </xf>
    <xf numFmtId="0" fontId="7" fillId="2" borderId="29"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9" fillId="2" borderId="29"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22" xfId="0" applyFont="1" applyFill="1" applyBorder="1" applyAlignment="1">
      <alignment horizontal="left" vertical="center" wrapText="1"/>
    </xf>
    <xf numFmtId="165" fontId="8" fillId="3" borderId="4" xfId="0" applyNumberFormat="1" applyFont="1" applyFill="1" applyBorder="1" applyAlignment="1">
      <alignment horizontal="center" vertical="center"/>
    </xf>
    <xf numFmtId="0" fontId="8" fillId="3" borderId="4" xfId="0" applyFont="1" applyFill="1" applyBorder="1" applyAlignment="1">
      <alignment horizontal="center" vertical="center"/>
    </xf>
    <xf numFmtId="0" fontId="8" fillId="3" borderId="4" xfId="1" applyFont="1" applyFill="1" applyBorder="1" applyAlignment="1" applyProtection="1">
      <alignment horizontal="center" vertical="center" wrapText="1"/>
      <protection locked="0"/>
    </xf>
    <xf numFmtId="0" fontId="8" fillId="3" borderId="6" xfId="1" applyFont="1" applyFill="1" applyBorder="1" applyAlignment="1" applyProtection="1">
      <alignment horizontal="center" vertical="center" wrapText="1"/>
      <protection locked="0"/>
    </xf>
    <xf numFmtId="9" fontId="8" fillId="3" borderId="4" xfId="1" applyNumberFormat="1" applyFont="1" applyFill="1" applyBorder="1" applyAlignment="1" applyProtection="1">
      <alignment horizontal="center" vertical="center" wrapText="1"/>
      <protection hidden="1"/>
    </xf>
    <xf numFmtId="9" fontId="8" fillId="3" borderId="6" xfId="1" applyNumberFormat="1" applyFont="1" applyFill="1" applyBorder="1" applyAlignment="1" applyProtection="1">
      <alignment horizontal="center" vertical="center" wrapText="1"/>
      <protection hidden="1"/>
    </xf>
    <xf numFmtId="9" fontId="8" fillId="3" borderId="12" xfId="1" applyNumberFormat="1" applyFont="1" applyFill="1" applyBorder="1" applyAlignment="1" applyProtection="1">
      <alignment horizontal="center" vertical="center" wrapText="1"/>
      <protection hidden="1"/>
    </xf>
    <xf numFmtId="9" fontId="8" fillId="3" borderId="32" xfId="1" applyNumberFormat="1" applyFont="1" applyFill="1" applyBorder="1" applyAlignment="1" applyProtection="1">
      <alignment horizontal="center" vertical="center" wrapText="1"/>
      <protection hidden="1"/>
    </xf>
    <xf numFmtId="0" fontId="8" fillId="3" borderId="4" xfId="0" applyFont="1" applyFill="1" applyBorder="1" applyAlignment="1">
      <alignment horizontal="center" vertical="center" wrapText="1"/>
    </xf>
    <xf numFmtId="0" fontId="9" fillId="2" borderId="7"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3" borderId="7" xfId="0" applyFont="1" applyFill="1" applyBorder="1" applyAlignment="1">
      <alignment horizontal="center" vertical="top" wrapText="1"/>
    </xf>
    <xf numFmtId="0" fontId="9" fillId="3" borderId="10" xfId="0" applyFont="1" applyFill="1" applyBorder="1" applyAlignment="1">
      <alignment horizontal="center" vertical="top" wrapText="1"/>
    </xf>
    <xf numFmtId="0" fontId="8" fillId="3" borderId="13" xfId="0" applyFont="1" applyFill="1" applyBorder="1" applyAlignment="1">
      <alignment horizontal="left" vertical="center"/>
    </xf>
    <xf numFmtId="0" fontId="1" fillId="2" borderId="4" xfId="0" applyFont="1" applyFill="1" applyBorder="1" applyAlignment="1">
      <alignment horizontal="center" vertical="top" wrapText="1"/>
    </xf>
    <xf numFmtId="0" fontId="1" fillId="2" borderId="4" xfId="0" applyFont="1" applyFill="1" applyBorder="1" applyAlignment="1">
      <alignment horizontal="center" vertical="top"/>
    </xf>
    <xf numFmtId="0" fontId="8" fillId="3" borderId="4" xfId="0" applyFont="1" applyFill="1" applyBorder="1" applyAlignment="1">
      <alignment vertical="top" wrapText="1"/>
    </xf>
    <xf numFmtId="0" fontId="8" fillId="3" borderId="4" xfId="0" applyFont="1" applyFill="1" applyBorder="1" applyAlignment="1">
      <alignment vertical="top"/>
    </xf>
    <xf numFmtId="0" fontId="8" fillId="3" borderId="4" xfId="0" applyFont="1" applyFill="1" applyBorder="1" applyAlignment="1">
      <alignment horizontal="left" vertical="top"/>
    </xf>
    <xf numFmtId="0" fontId="8" fillId="3" borderId="4" xfId="0" applyFont="1" applyFill="1" applyBorder="1" applyAlignment="1">
      <alignment horizontal="left" vertical="top" wrapText="1"/>
    </xf>
    <xf numFmtId="0" fontId="5" fillId="3" borderId="4" xfId="0" applyFont="1" applyFill="1" applyBorder="1" applyAlignment="1">
      <alignment vertical="top" wrapText="1"/>
    </xf>
    <xf numFmtId="0" fontId="5" fillId="3" borderId="4" xfId="0" applyFont="1" applyFill="1" applyBorder="1" applyAlignment="1">
      <alignment vertical="top"/>
    </xf>
    <xf numFmtId="0" fontId="3" fillId="2" borderId="4" xfId="0" applyFont="1" applyFill="1" applyBorder="1" applyAlignment="1">
      <alignment horizontal="center" vertical="center"/>
    </xf>
    <xf numFmtId="0" fontId="10" fillId="3" borderId="4" xfId="0" applyFont="1" applyFill="1" applyBorder="1" applyAlignment="1">
      <alignment vertical="top" wrapText="1"/>
    </xf>
    <xf numFmtId="0" fontId="15" fillId="3" borderId="7" xfId="3" applyFill="1" applyBorder="1" applyAlignment="1">
      <alignment horizontal="center" vertical="top" wrapText="1"/>
    </xf>
    <xf numFmtId="0" fontId="5" fillId="3" borderId="8" xfId="0" applyFont="1" applyFill="1" applyBorder="1" applyAlignment="1">
      <alignment horizontal="center" vertical="top" wrapText="1"/>
    </xf>
    <xf numFmtId="0" fontId="5" fillId="3" borderId="10" xfId="0" applyFont="1" applyFill="1" applyBorder="1" applyAlignment="1">
      <alignment horizontal="center" vertical="top" wrapText="1"/>
    </xf>
    <xf numFmtId="0" fontId="5" fillId="3" borderId="4" xfId="0" applyFont="1" applyFill="1" applyBorder="1" applyAlignment="1">
      <alignment horizontal="left" vertical="top"/>
    </xf>
    <xf numFmtId="0" fontId="5" fillId="3" borderId="7" xfId="0" applyFont="1" applyFill="1" applyBorder="1" applyAlignment="1">
      <alignment horizontal="center" vertical="top" wrapText="1"/>
    </xf>
    <xf numFmtId="0" fontId="1" fillId="2" borderId="7"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9" fillId="2" borderId="4" xfId="0" applyFont="1" applyFill="1" applyBorder="1" applyAlignment="1">
      <alignment horizontal="left" vertical="top" wrapText="1"/>
    </xf>
    <xf numFmtId="0" fontId="5" fillId="3" borderId="4" xfId="0" applyFont="1" applyFill="1" applyBorder="1" applyAlignment="1">
      <alignment horizontal="left" vertical="center" wrapText="1"/>
    </xf>
    <xf numFmtId="0" fontId="7" fillId="2" borderId="4" xfId="0" applyFont="1" applyFill="1" applyBorder="1" applyAlignment="1">
      <alignment horizontal="center" vertical="top" wrapText="1"/>
    </xf>
    <xf numFmtId="1" fontId="5" fillId="5" borderId="4"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8" xfId="0" applyFont="1" applyFill="1" applyBorder="1" applyAlignment="1">
      <alignment horizontal="center" vertical="center"/>
    </xf>
    <xf numFmtId="0" fontId="9" fillId="3" borderId="4"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0" xfId="0" applyFont="1" applyFill="1" applyBorder="1" applyAlignment="1">
      <alignment horizontal="center" vertical="center"/>
    </xf>
    <xf numFmtId="1" fontId="16" fillId="3" borderId="8" xfId="1" applyNumberFormat="1" applyFont="1" applyFill="1" applyBorder="1" applyAlignment="1" applyProtection="1">
      <alignment horizontal="center" vertical="center" wrapText="1"/>
      <protection locked="0"/>
    </xf>
    <xf numFmtId="1" fontId="16" fillId="3" borderId="29" xfId="1" applyNumberFormat="1" applyFont="1" applyFill="1" applyBorder="1" applyAlignment="1" applyProtection="1">
      <alignment horizontal="center" vertical="center" wrapText="1"/>
      <protection locked="0"/>
    </xf>
    <xf numFmtId="1" fontId="16" fillId="3" borderId="25" xfId="1" applyNumberFormat="1" applyFont="1" applyFill="1" applyBorder="1" applyAlignment="1" applyProtection="1">
      <alignment horizontal="center" vertical="center" wrapText="1"/>
      <protection locked="0"/>
    </xf>
    <xf numFmtId="1" fontId="16" fillId="3" borderId="24" xfId="1" applyNumberFormat="1" applyFont="1" applyFill="1" applyBorder="1" applyAlignment="1" applyProtection="1">
      <alignment horizontal="center" vertical="center" wrapText="1"/>
      <protection locked="0"/>
    </xf>
    <xf numFmtId="1" fontId="16" fillId="3" borderId="18" xfId="1" applyNumberFormat="1" applyFont="1" applyFill="1" applyBorder="1" applyAlignment="1" applyProtection="1">
      <alignment horizontal="center" vertical="center" wrapText="1"/>
      <protection locked="0"/>
    </xf>
    <xf numFmtId="1" fontId="16" fillId="3" borderId="0" xfId="1" applyNumberFormat="1" applyFont="1" applyFill="1" applyBorder="1" applyAlignment="1" applyProtection="1">
      <alignment horizontal="center" vertical="center" wrapText="1"/>
      <protection locked="0"/>
    </xf>
    <xf numFmtId="1" fontId="16" fillId="3" borderId="19" xfId="1" applyNumberFormat="1" applyFont="1" applyFill="1" applyBorder="1" applyAlignment="1" applyProtection="1">
      <alignment horizontal="center" vertical="center" wrapText="1"/>
      <protection locked="0"/>
    </xf>
    <xf numFmtId="1" fontId="16" fillId="3" borderId="20" xfId="1" applyNumberFormat="1" applyFont="1" applyFill="1" applyBorder="1" applyAlignment="1" applyProtection="1">
      <alignment horizontal="center" vertical="center" wrapText="1"/>
      <protection locked="0"/>
    </xf>
    <xf numFmtId="1" fontId="16" fillId="3" borderId="21" xfId="1" applyNumberFormat="1" applyFont="1" applyFill="1" applyBorder="1" applyAlignment="1" applyProtection="1">
      <alignment horizontal="center" vertical="center" wrapText="1"/>
      <protection locked="0"/>
    </xf>
    <xf numFmtId="1" fontId="16" fillId="3" borderId="22" xfId="1" applyNumberFormat="1" applyFont="1" applyFill="1" applyBorder="1" applyAlignment="1" applyProtection="1">
      <alignment horizontal="center" vertical="center" wrapText="1"/>
      <protection locked="0"/>
    </xf>
    <xf numFmtId="0" fontId="9" fillId="3" borderId="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5" xfId="1" applyFont="1" applyFill="1" applyBorder="1" applyAlignment="1" applyProtection="1">
      <alignment horizontal="left" vertical="top" wrapText="1"/>
      <protection locked="0"/>
    </xf>
    <xf numFmtId="0" fontId="7" fillId="2" borderId="16" xfId="1" applyFont="1" applyFill="1" applyBorder="1" applyAlignment="1" applyProtection="1">
      <alignment horizontal="left" vertical="top" wrapText="1"/>
      <protection locked="0"/>
    </xf>
    <xf numFmtId="0" fontId="7" fillId="2" borderId="5" xfId="1" applyFont="1" applyFill="1" applyBorder="1" applyAlignment="1" applyProtection="1">
      <alignment horizontal="left" vertical="top" wrapText="1"/>
      <protection locked="0"/>
    </xf>
    <xf numFmtId="0" fontId="7" fillId="2" borderId="4" xfId="1" applyFont="1" applyFill="1" applyBorder="1" applyAlignment="1" applyProtection="1">
      <alignment horizontal="left" vertical="top" wrapText="1"/>
      <protection locked="0"/>
    </xf>
    <xf numFmtId="0" fontId="8" fillId="4" borderId="8" xfId="1" applyFont="1" applyFill="1" applyBorder="1" applyAlignment="1" applyProtection="1">
      <alignment horizontal="center" vertical="center" wrapText="1"/>
      <protection locked="0"/>
    </xf>
    <xf numFmtId="0" fontId="8" fillId="4" borderId="9" xfId="1" applyFont="1" applyFill="1" applyBorder="1" applyAlignment="1" applyProtection="1">
      <alignment horizontal="center" vertical="center" wrapText="1"/>
      <protection locked="0"/>
    </xf>
    <xf numFmtId="9" fontId="8" fillId="4" borderId="25" xfId="1" applyNumberFormat="1" applyFont="1" applyFill="1" applyBorder="1" applyAlignment="1" applyProtection="1">
      <alignment horizontal="center" vertical="center" wrapText="1"/>
      <protection hidden="1"/>
    </xf>
    <xf numFmtId="9" fontId="8" fillId="4" borderId="23" xfId="1" applyNumberFormat="1" applyFont="1" applyFill="1" applyBorder="1" applyAlignment="1" applyProtection="1">
      <alignment horizontal="center" vertical="center" wrapText="1"/>
      <protection hidden="1"/>
    </xf>
    <xf numFmtId="9" fontId="8" fillId="4" borderId="0" xfId="1" applyNumberFormat="1" applyFont="1" applyFill="1" applyBorder="1" applyAlignment="1" applyProtection="1">
      <alignment horizontal="center" vertical="center" wrapText="1"/>
      <protection hidden="1"/>
    </xf>
    <xf numFmtId="9" fontId="8" fillId="4" borderId="3" xfId="1" applyNumberFormat="1" applyFont="1" applyFill="1" applyBorder="1" applyAlignment="1" applyProtection="1">
      <alignment horizontal="center" vertical="center" wrapText="1"/>
      <protection hidden="1"/>
    </xf>
    <xf numFmtId="9" fontId="8" fillId="4" borderId="2" xfId="1" applyNumberFormat="1" applyFont="1" applyFill="1" applyBorder="1" applyAlignment="1" applyProtection="1">
      <alignment horizontal="center" vertical="center" wrapText="1"/>
      <protection hidden="1"/>
    </xf>
    <xf numFmtId="9" fontId="8" fillId="4" borderId="1" xfId="1" applyNumberFormat="1" applyFont="1" applyFill="1" applyBorder="1" applyAlignment="1" applyProtection="1">
      <alignment horizontal="center" vertical="center" wrapText="1"/>
      <protection hidden="1"/>
    </xf>
  </cellXfs>
  <cellStyles count="4">
    <cellStyle name="Hyperlink" xfId="3" builtinId="8"/>
    <cellStyle name="Normal" xfId="0" builtinId="0"/>
    <cellStyle name="Normal 3" xfId="1"/>
    <cellStyle name="Percent" xfId="2" builtinId="5"/>
  </cellStyles>
  <dxfs count="0"/>
  <tableStyles count="0" defaultTableStyle="TableStyleMedium2" defaultPivotStyle="PivotStyleLight16"/>
  <colors>
    <mruColors>
      <color rgb="FFE3F2F3"/>
      <color rgb="FFE5EEF1"/>
      <color rgb="FFBBDDBD"/>
      <color rgb="FFE1F5E7"/>
      <color rgb="FFF2FCDA"/>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image" Target="../media/image11.jpeg"/><Relationship Id="rId3" Type="http://schemas.openxmlformats.org/officeDocument/2006/relationships/image" Target="../media/image3.png"/><Relationship Id="rId7" Type="http://schemas.microsoft.com/office/2007/relationships/hdphoto" Target="../media/hdphoto2.wdp"/><Relationship Id="rId12" Type="http://schemas.openxmlformats.org/officeDocument/2006/relationships/image" Target="../media/image10.jpeg"/><Relationship Id="rId17" Type="http://schemas.openxmlformats.org/officeDocument/2006/relationships/image" Target="../media/image15.jpeg"/><Relationship Id="rId2" Type="http://schemas.openxmlformats.org/officeDocument/2006/relationships/image" Target="../media/image2.png"/><Relationship Id="rId16" Type="http://schemas.openxmlformats.org/officeDocument/2006/relationships/image" Target="../media/image14.jpeg"/><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image" Target="../media/image9.jpeg"/><Relationship Id="rId5" Type="http://schemas.microsoft.com/office/2007/relationships/hdphoto" Target="../media/hdphoto1.wdp"/><Relationship Id="rId15" Type="http://schemas.openxmlformats.org/officeDocument/2006/relationships/image" Target="../media/image13.jpeg"/><Relationship Id="rId10" Type="http://schemas.openxmlformats.org/officeDocument/2006/relationships/image" Target="../media/image8.jpeg"/><Relationship Id="rId4" Type="http://schemas.openxmlformats.org/officeDocument/2006/relationships/image" Target="../media/image4.png"/><Relationship Id="rId9" Type="http://schemas.openxmlformats.org/officeDocument/2006/relationships/image" Target="../media/image7.png"/><Relationship Id="rId14" Type="http://schemas.openxmlformats.org/officeDocument/2006/relationships/image" Target="../media/image1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8</xdr:col>
      <xdr:colOff>236444</xdr:colOff>
      <xdr:row>2</xdr:row>
      <xdr:rowOff>52667</xdr:rowOff>
    </xdr:from>
    <xdr:to>
      <xdr:col>23</xdr:col>
      <xdr:colOff>347598</xdr:colOff>
      <xdr:row>11</xdr:row>
      <xdr:rowOff>83263</xdr:rowOff>
    </xdr:to>
    <xdr:pic>
      <xdr:nvPicPr>
        <xdr:cNvPr id="3" name="Picture 2"/>
        <xdr:cNvPicPr>
          <a:picLocks noChangeAspect="1"/>
        </xdr:cNvPicPr>
      </xdr:nvPicPr>
      <xdr:blipFill>
        <a:blip xmlns:r="http://schemas.openxmlformats.org/officeDocument/2006/relationships" r:embed="rId1"/>
        <a:stretch>
          <a:fillRect/>
        </a:stretch>
      </xdr:blipFill>
      <xdr:spPr>
        <a:xfrm>
          <a:off x="7004797" y="758638"/>
          <a:ext cx="9501683" cy="2434818"/>
        </a:xfrm>
        <a:prstGeom prst="rect">
          <a:avLst/>
        </a:prstGeom>
      </xdr:spPr>
    </xdr:pic>
    <xdr:clientData/>
  </xdr:twoCellAnchor>
  <xdr:twoCellAnchor editAs="oneCell">
    <xdr:from>
      <xdr:col>9</xdr:col>
      <xdr:colOff>312083</xdr:colOff>
      <xdr:row>13</xdr:row>
      <xdr:rowOff>184897</xdr:rowOff>
    </xdr:from>
    <xdr:to>
      <xdr:col>16</xdr:col>
      <xdr:colOff>368712</xdr:colOff>
      <xdr:row>24</xdr:row>
      <xdr:rowOff>247409</xdr:rowOff>
    </xdr:to>
    <xdr:pic>
      <xdr:nvPicPr>
        <xdr:cNvPr id="4" name="Picture 3"/>
        <xdr:cNvPicPr>
          <a:picLocks noChangeAspect="1"/>
        </xdr:cNvPicPr>
      </xdr:nvPicPr>
      <xdr:blipFill>
        <a:blip xmlns:r="http://schemas.openxmlformats.org/officeDocument/2006/relationships" r:embed="rId2"/>
        <a:stretch>
          <a:fillRect/>
        </a:stretch>
      </xdr:blipFill>
      <xdr:spPr>
        <a:xfrm>
          <a:off x="7979708" y="3680572"/>
          <a:ext cx="4323829" cy="2281837"/>
        </a:xfrm>
        <a:prstGeom prst="rect">
          <a:avLst/>
        </a:prstGeom>
      </xdr:spPr>
    </xdr:pic>
    <xdr:clientData/>
  </xdr:twoCellAnchor>
  <xdr:twoCellAnchor editAs="oneCell">
    <xdr:from>
      <xdr:col>9</xdr:col>
      <xdr:colOff>162485</xdr:colOff>
      <xdr:row>22</xdr:row>
      <xdr:rowOff>118222</xdr:rowOff>
    </xdr:from>
    <xdr:to>
      <xdr:col>16</xdr:col>
      <xdr:colOff>582798</xdr:colOff>
      <xdr:row>28</xdr:row>
      <xdr:rowOff>251880</xdr:rowOff>
    </xdr:to>
    <xdr:pic>
      <xdr:nvPicPr>
        <xdr:cNvPr id="5" name="Picture 4"/>
        <xdr:cNvPicPr>
          <a:picLocks noChangeAspect="1"/>
        </xdr:cNvPicPr>
      </xdr:nvPicPr>
      <xdr:blipFill>
        <a:blip xmlns:r="http://schemas.openxmlformats.org/officeDocument/2006/relationships" r:embed="rId3"/>
        <a:stretch>
          <a:fillRect/>
        </a:stretch>
      </xdr:blipFill>
      <xdr:spPr>
        <a:xfrm>
          <a:off x="7830110" y="5490322"/>
          <a:ext cx="4687513" cy="2210108"/>
        </a:xfrm>
        <a:prstGeom prst="rect">
          <a:avLst/>
        </a:prstGeom>
      </xdr:spPr>
    </xdr:pic>
    <xdr:clientData/>
  </xdr:twoCellAnchor>
  <xdr:twoCellAnchor>
    <xdr:from>
      <xdr:col>0</xdr:col>
      <xdr:colOff>485775</xdr:colOff>
      <xdr:row>504</xdr:row>
      <xdr:rowOff>133350</xdr:rowOff>
    </xdr:from>
    <xdr:to>
      <xdr:col>7</xdr:col>
      <xdr:colOff>216740</xdr:colOff>
      <xdr:row>555</xdr:row>
      <xdr:rowOff>12847</xdr:rowOff>
    </xdr:to>
    <xdr:grpSp>
      <xdr:nvGrpSpPr>
        <xdr:cNvPr id="6" name="Group 5"/>
        <xdr:cNvGrpSpPr/>
      </xdr:nvGrpSpPr>
      <xdr:grpSpPr>
        <a:xfrm>
          <a:off x="485775" y="86216938"/>
          <a:ext cx="5636465" cy="7880497"/>
          <a:chOff x="238125" y="104444426"/>
          <a:chExt cx="5620136" cy="7974386"/>
        </a:xfrm>
      </xdr:grpSpPr>
      <xdr:pic>
        <xdr:nvPicPr>
          <xdr:cNvPr id="7" name="Picture 6"/>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tretch>
            <a:fillRect/>
          </a:stretch>
        </xdr:blipFill>
        <xdr:spPr>
          <a:xfrm>
            <a:off x="965107" y="108970763"/>
            <a:ext cx="4103300" cy="3448049"/>
          </a:xfrm>
          <a:prstGeom prst="rect">
            <a:avLst/>
          </a:prstGeom>
          <a:ln>
            <a:solidFill>
              <a:sysClr val="windowText" lastClr="000000"/>
            </a:solidFill>
          </a:ln>
        </xdr:spPr>
      </xdr:pic>
      <xdr:pic>
        <xdr:nvPicPr>
          <xdr:cNvPr id="8" name="Picture 7"/>
          <xdr:cNvPicPr>
            <a:picLocks noChangeAspect="1"/>
          </xdr:cNvPicPr>
        </xdr:nvPicPr>
        <xdr:blipFill>
          <a:blip xmlns:r="http://schemas.openxmlformats.org/officeDocument/2006/relationships" r:embed="rId6">
            <a:extLst>
              <a:ext uri="{BEBA8EAE-BF5A-486C-A8C5-ECC9F3942E4B}">
                <a14:imgProps xmlns:a14="http://schemas.microsoft.com/office/drawing/2010/main">
                  <a14:imgLayer r:embed="rId7">
                    <a14:imgEffect>
                      <a14:sharpenSoften amount="25000"/>
                    </a14:imgEffect>
                  </a14:imgLayer>
                </a14:imgProps>
              </a:ext>
            </a:extLst>
          </a:blip>
          <a:stretch>
            <a:fillRect/>
          </a:stretch>
        </xdr:blipFill>
        <xdr:spPr>
          <a:xfrm>
            <a:off x="238125" y="104444426"/>
            <a:ext cx="5620136" cy="4397749"/>
          </a:xfrm>
          <a:prstGeom prst="rect">
            <a:avLst/>
          </a:prstGeom>
          <a:ln>
            <a:solidFill>
              <a:sysClr val="windowText" lastClr="000000"/>
            </a:solidFill>
          </a:ln>
        </xdr:spPr>
      </xdr:pic>
      <xdr:sp macro="" textlink="">
        <xdr:nvSpPr>
          <xdr:cNvPr id="9" name="Rectangle 8"/>
          <xdr:cNvSpPr/>
        </xdr:nvSpPr>
        <xdr:spPr>
          <a:xfrm>
            <a:off x="2585671" y="106227196"/>
            <a:ext cx="1134208" cy="985470"/>
          </a:xfrm>
          <a:prstGeom prst="rect">
            <a:avLst/>
          </a:prstGeom>
          <a:noFill/>
          <a:ln w="57150">
            <a:solidFill>
              <a:srgbClr val="0A0AD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0" name="Rectangle 9"/>
          <xdr:cNvSpPr/>
        </xdr:nvSpPr>
        <xdr:spPr>
          <a:xfrm>
            <a:off x="2616890" y="106254273"/>
            <a:ext cx="298174" cy="360275"/>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a:solidFill>
                  <a:srgbClr val="0A0AD4"/>
                </a:solidFill>
                <a:latin typeface="Times New Roman" panose="02020603050405020304" pitchFamily="18" charset="0"/>
                <a:cs typeface="Times New Roman" panose="02020603050405020304" pitchFamily="18" charset="0"/>
              </a:rPr>
              <a:t>A</a:t>
            </a:r>
          </a:p>
        </xdr:txBody>
      </xdr:sp>
      <xdr:sp macro="" textlink="">
        <xdr:nvSpPr>
          <xdr:cNvPr id="11" name="Rectangle 10"/>
          <xdr:cNvSpPr/>
        </xdr:nvSpPr>
        <xdr:spPr>
          <a:xfrm>
            <a:off x="2978183" y="106267411"/>
            <a:ext cx="298174" cy="360275"/>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a:solidFill>
                  <a:srgbClr val="0A0AD4"/>
                </a:solidFill>
                <a:latin typeface="Times New Roman" panose="02020603050405020304" pitchFamily="18" charset="0"/>
                <a:cs typeface="Times New Roman" panose="02020603050405020304" pitchFamily="18" charset="0"/>
              </a:rPr>
              <a:t>B</a:t>
            </a:r>
          </a:p>
        </xdr:txBody>
      </xdr:sp>
      <xdr:sp macro="" textlink="">
        <xdr:nvSpPr>
          <xdr:cNvPr id="12" name="Rectangle 11"/>
          <xdr:cNvSpPr/>
        </xdr:nvSpPr>
        <xdr:spPr>
          <a:xfrm>
            <a:off x="3347358" y="106254273"/>
            <a:ext cx="298174" cy="360275"/>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a:solidFill>
                  <a:srgbClr val="0A0AD4"/>
                </a:solidFill>
                <a:latin typeface="Times New Roman" panose="02020603050405020304" pitchFamily="18" charset="0"/>
                <a:cs typeface="Times New Roman" panose="02020603050405020304" pitchFamily="18" charset="0"/>
              </a:rPr>
              <a:t>C</a:t>
            </a:r>
          </a:p>
        </xdr:txBody>
      </xdr:sp>
      <xdr:sp macro="" textlink="">
        <xdr:nvSpPr>
          <xdr:cNvPr id="13" name="Rectangle 12"/>
          <xdr:cNvSpPr/>
        </xdr:nvSpPr>
        <xdr:spPr>
          <a:xfrm>
            <a:off x="3360496" y="106608340"/>
            <a:ext cx="298174" cy="360275"/>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a:solidFill>
                  <a:srgbClr val="0A0AD4"/>
                </a:solidFill>
                <a:latin typeface="Times New Roman" panose="02020603050405020304" pitchFamily="18" charset="0"/>
                <a:cs typeface="Times New Roman" panose="02020603050405020304" pitchFamily="18" charset="0"/>
              </a:rPr>
              <a:t>D</a:t>
            </a:r>
          </a:p>
        </xdr:txBody>
      </xdr:sp>
      <xdr:sp macro="" textlink="">
        <xdr:nvSpPr>
          <xdr:cNvPr id="14" name="Rectangle 13"/>
          <xdr:cNvSpPr/>
        </xdr:nvSpPr>
        <xdr:spPr>
          <a:xfrm>
            <a:off x="3327651" y="106906899"/>
            <a:ext cx="298174" cy="360275"/>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a:solidFill>
                  <a:srgbClr val="0A0AD4"/>
                </a:solidFill>
                <a:latin typeface="Times New Roman" panose="02020603050405020304" pitchFamily="18" charset="0"/>
                <a:cs typeface="Times New Roman" panose="02020603050405020304" pitchFamily="18" charset="0"/>
              </a:rPr>
              <a:t>E</a:t>
            </a:r>
          </a:p>
        </xdr:txBody>
      </xdr:sp>
      <xdr:sp macro="" textlink="">
        <xdr:nvSpPr>
          <xdr:cNvPr id="15" name="Rectangle 14"/>
          <xdr:cNvSpPr/>
        </xdr:nvSpPr>
        <xdr:spPr>
          <a:xfrm>
            <a:off x="2827096" y="106913468"/>
            <a:ext cx="298174" cy="360275"/>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a:solidFill>
                  <a:srgbClr val="0A0AD4"/>
                </a:solidFill>
                <a:latin typeface="Times New Roman" panose="02020603050405020304" pitchFamily="18" charset="0"/>
                <a:cs typeface="Times New Roman" panose="02020603050405020304" pitchFamily="18" charset="0"/>
              </a:rPr>
              <a:t>F</a:t>
            </a:r>
          </a:p>
        </xdr:txBody>
      </xdr:sp>
      <xdr:sp macro="" textlink="">
        <xdr:nvSpPr>
          <xdr:cNvPr id="16" name="Rectangle 15"/>
          <xdr:cNvSpPr/>
        </xdr:nvSpPr>
        <xdr:spPr>
          <a:xfrm>
            <a:off x="2584044" y="106601771"/>
            <a:ext cx="298174" cy="360275"/>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a:solidFill>
                  <a:srgbClr val="0A0AD4"/>
                </a:solidFill>
                <a:latin typeface="Times New Roman" panose="02020603050405020304" pitchFamily="18" charset="0"/>
                <a:cs typeface="Times New Roman" panose="02020603050405020304" pitchFamily="18" charset="0"/>
              </a:rPr>
              <a:t>G</a:t>
            </a:r>
          </a:p>
        </xdr:txBody>
      </xdr:sp>
    </xdr:grpSp>
    <xdr:clientData/>
  </xdr:twoCellAnchor>
  <xdr:twoCellAnchor>
    <xdr:from>
      <xdr:col>0</xdr:col>
      <xdr:colOff>352425</xdr:colOff>
      <xdr:row>558</xdr:row>
      <xdr:rowOff>104775</xdr:rowOff>
    </xdr:from>
    <xdr:to>
      <xdr:col>7</xdr:col>
      <xdr:colOff>333375</xdr:colOff>
      <xdr:row>605</xdr:row>
      <xdr:rowOff>123825</xdr:rowOff>
    </xdr:to>
    <xdr:grpSp>
      <xdr:nvGrpSpPr>
        <xdr:cNvPr id="17" name="Group 16"/>
        <xdr:cNvGrpSpPr/>
      </xdr:nvGrpSpPr>
      <xdr:grpSpPr>
        <a:xfrm>
          <a:off x="352425" y="94660010"/>
          <a:ext cx="5886450" cy="7392521"/>
          <a:chOff x="349818" y="113907795"/>
          <a:chExt cx="5570878" cy="8217718"/>
        </a:xfrm>
      </xdr:grpSpPr>
      <xdr:pic>
        <xdr:nvPicPr>
          <xdr:cNvPr id="18" name="Picture 17"/>
          <xdr:cNvPicPr>
            <a:picLocks noChangeAspect="1"/>
          </xdr:cNvPicPr>
        </xdr:nvPicPr>
        <xdr:blipFill>
          <a:blip xmlns:r="http://schemas.openxmlformats.org/officeDocument/2006/relationships" r:embed="rId8"/>
          <a:stretch>
            <a:fillRect/>
          </a:stretch>
        </xdr:blipFill>
        <xdr:spPr>
          <a:xfrm>
            <a:off x="349818" y="113907795"/>
            <a:ext cx="5570878" cy="4280645"/>
          </a:xfrm>
          <a:prstGeom prst="rect">
            <a:avLst/>
          </a:prstGeom>
          <a:ln>
            <a:solidFill>
              <a:sysClr val="windowText" lastClr="000000"/>
            </a:solidFill>
          </a:ln>
        </xdr:spPr>
      </xdr:pic>
      <xdr:pic>
        <xdr:nvPicPr>
          <xdr:cNvPr id="19" name="Picture 18"/>
          <xdr:cNvPicPr>
            <a:picLocks noChangeAspect="1"/>
          </xdr:cNvPicPr>
        </xdr:nvPicPr>
        <xdr:blipFill>
          <a:blip xmlns:r="http://schemas.openxmlformats.org/officeDocument/2006/relationships" r:embed="rId9"/>
          <a:stretch>
            <a:fillRect/>
          </a:stretch>
        </xdr:blipFill>
        <xdr:spPr>
          <a:xfrm>
            <a:off x="898906" y="118311705"/>
            <a:ext cx="4244593" cy="3813808"/>
          </a:xfrm>
          <a:prstGeom prst="rect">
            <a:avLst/>
          </a:prstGeom>
          <a:ln>
            <a:solidFill>
              <a:sysClr val="windowText" lastClr="000000"/>
            </a:solidFill>
          </a:ln>
        </xdr:spPr>
      </xdr:pic>
      <xdr:sp macro="" textlink="">
        <xdr:nvSpPr>
          <xdr:cNvPr id="20" name="Rectangle 19"/>
          <xdr:cNvSpPr/>
        </xdr:nvSpPr>
        <xdr:spPr>
          <a:xfrm rot="19794481">
            <a:off x="2939352" y="116086607"/>
            <a:ext cx="595860" cy="544216"/>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1" name="Rectangle 20"/>
          <xdr:cNvSpPr/>
        </xdr:nvSpPr>
        <xdr:spPr>
          <a:xfrm rot="19711908">
            <a:off x="3080156" y="116572845"/>
            <a:ext cx="802925" cy="375178"/>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FF00"/>
                </a:solidFill>
                <a:latin typeface="Times New Roman" panose="02020603050405020304" pitchFamily="18" charset="0"/>
                <a:cs typeface="Times New Roman" panose="02020603050405020304" pitchFamily="18" charset="0"/>
              </a:rPr>
              <a:t>Evara</a:t>
            </a:r>
          </a:p>
        </xdr:txBody>
      </xdr:sp>
    </xdr:grpSp>
    <xdr:clientData/>
  </xdr:twoCellAnchor>
  <xdr:twoCellAnchor>
    <xdr:from>
      <xdr:col>0</xdr:col>
      <xdr:colOff>234201</xdr:colOff>
      <xdr:row>451</xdr:row>
      <xdr:rowOff>142551</xdr:rowOff>
    </xdr:from>
    <xdr:to>
      <xdr:col>7</xdr:col>
      <xdr:colOff>683558</xdr:colOff>
      <xdr:row>495</xdr:row>
      <xdr:rowOff>33618</xdr:rowOff>
    </xdr:to>
    <xdr:grpSp>
      <xdr:nvGrpSpPr>
        <xdr:cNvPr id="22" name="Group 21"/>
        <xdr:cNvGrpSpPr/>
      </xdr:nvGrpSpPr>
      <xdr:grpSpPr>
        <a:xfrm>
          <a:off x="234201" y="77911375"/>
          <a:ext cx="6354857" cy="6793890"/>
          <a:chOff x="81803" y="99599434"/>
          <a:chExt cx="6128824" cy="6765271"/>
        </a:xfrm>
      </xdr:grpSpPr>
      <xdr:grpSp>
        <xdr:nvGrpSpPr>
          <xdr:cNvPr id="23" name="Group 22"/>
          <xdr:cNvGrpSpPr/>
        </xdr:nvGrpSpPr>
        <xdr:grpSpPr>
          <a:xfrm>
            <a:off x="81803" y="99599434"/>
            <a:ext cx="6128824" cy="6765271"/>
            <a:chOff x="-432275" y="400041"/>
            <a:chExt cx="8002566" cy="7512666"/>
          </a:xfrm>
        </xdr:grpSpPr>
        <xdr:pic>
          <xdr:nvPicPr>
            <xdr:cNvPr id="31" name="Picture 30" descr="https://vsjcllp.vsjadon.com/upload/insp-248207-1525.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374358" y="5752707"/>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48207-843.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32275" y="408124"/>
              <a:ext cx="3950328" cy="296549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48207-847.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652693" y="3497223"/>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48207-851.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619964" y="400041"/>
              <a:ext cx="3950327" cy="296549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48207-874.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20749" y="5736778"/>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48207-940.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665710" y="5752707"/>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48207-931.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376880" y="3497223"/>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48207-916.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20748" y="3479378"/>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24" name="TextBox 48"/>
          <xdr:cNvSpPr txBox="1"/>
        </xdr:nvSpPr>
        <xdr:spPr>
          <a:xfrm>
            <a:off x="510294" y="100301024"/>
            <a:ext cx="758810" cy="274017"/>
          </a:xfrm>
          <a:prstGeom prst="rect">
            <a:avLst/>
          </a:prstGeom>
          <a:solidFill>
            <a:schemeClr val="bg1"/>
          </a:solidFill>
          <a:ln>
            <a:no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Wing</a:t>
            </a:r>
            <a:r>
              <a:rPr lang="en-US" sz="1200" b="1" baseline="0">
                <a:latin typeface="Times New Roman" panose="02020603050405020304" pitchFamily="18" charset="0"/>
                <a:cs typeface="Times New Roman" panose="02020603050405020304" pitchFamily="18" charset="0"/>
              </a:rPr>
              <a:t> A</a:t>
            </a:r>
            <a:endParaRPr lang="en-IN" sz="1200" b="1">
              <a:latin typeface="Times New Roman" panose="02020603050405020304" pitchFamily="18" charset="0"/>
              <a:cs typeface="Times New Roman" panose="02020603050405020304" pitchFamily="18" charset="0"/>
            </a:endParaRPr>
          </a:p>
        </xdr:txBody>
      </xdr:sp>
      <xdr:sp macro="" textlink="">
        <xdr:nvSpPr>
          <xdr:cNvPr id="25" name="TextBox 48"/>
          <xdr:cNvSpPr txBox="1"/>
        </xdr:nvSpPr>
        <xdr:spPr>
          <a:xfrm>
            <a:off x="1843378" y="101671349"/>
            <a:ext cx="758810" cy="274017"/>
          </a:xfrm>
          <a:prstGeom prst="rect">
            <a:avLst/>
          </a:prstGeom>
          <a:solidFill>
            <a:schemeClr val="bg1"/>
          </a:solidFill>
          <a:ln>
            <a:no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Wing</a:t>
            </a:r>
            <a:r>
              <a:rPr lang="en-US" sz="1200" b="1" baseline="0">
                <a:latin typeface="Times New Roman" panose="02020603050405020304" pitchFamily="18" charset="0"/>
                <a:cs typeface="Times New Roman" panose="02020603050405020304" pitchFamily="18" charset="0"/>
              </a:rPr>
              <a:t> B</a:t>
            </a:r>
            <a:endParaRPr lang="en-IN" sz="1200" b="1">
              <a:latin typeface="Times New Roman" panose="02020603050405020304" pitchFamily="18" charset="0"/>
              <a:cs typeface="Times New Roman" panose="02020603050405020304" pitchFamily="18" charset="0"/>
            </a:endParaRPr>
          </a:p>
        </xdr:txBody>
      </xdr:sp>
      <xdr:sp macro="" textlink="">
        <xdr:nvSpPr>
          <xdr:cNvPr id="26" name="TextBox 48"/>
          <xdr:cNvSpPr txBox="1"/>
        </xdr:nvSpPr>
        <xdr:spPr>
          <a:xfrm>
            <a:off x="4166752" y="101729660"/>
            <a:ext cx="758810" cy="274017"/>
          </a:xfrm>
          <a:prstGeom prst="rect">
            <a:avLst/>
          </a:prstGeom>
          <a:solidFill>
            <a:schemeClr val="bg1"/>
          </a:solidFill>
          <a:ln>
            <a:no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Wing</a:t>
            </a:r>
            <a:r>
              <a:rPr lang="en-US" sz="1200" b="1" baseline="0">
                <a:latin typeface="Times New Roman" panose="02020603050405020304" pitchFamily="18" charset="0"/>
                <a:cs typeface="Times New Roman" panose="02020603050405020304" pitchFamily="18" charset="0"/>
              </a:rPr>
              <a:t> C</a:t>
            </a:r>
            <a:endParaRPr lang="en-IN" sz="1200" b="1">
              <a:latin typeface="Times New Roman" panose="02020603050405020304" pitchFamily="18" charset="0"/>
              <a:cs typeface="Times New Roman" panose="02020603050405020304" pitchFamily="18" charset="0"/>
            </a:endParaRPr>
          </a:p>
        </xdr:txBody>
      </xdr:sp>
      <xdr:sp macro="" textlink="">
        <xdr:nvSpPr>
          <xdr:cNvPr id="27" name="TextBox 48"/>
          <xdr:cNvSpPr txBox="1"/>
        </xdr:nvSpPr>
        <xdr:spPr>
          <a:xfrm>
            <a:off x="872131" y="103916348"/>
            <a:ext cx="758810" cy="274017"/>
          </a:xfrm>
          <a:prstGeom prst="rect">
            <a:avLst/>
          </a:prstGeom>
          <a:solidFill>
            <a:schemeClr val="bg1"/>
          </a:solidFill>
          <a:ln>
            <a:no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Wing</a:t>
            </a:r>
            <a:r>
              <a:rPr lang="en-US" sz="1200" b="1" baseline="0">
                <a:latin typeface="Times New Roman" panose="02020603050405020304" pitchFamily="18" charset="0"/>
                <a:cs typeface="Times New Roman" panose="02020603050405020304" pitchFamily="18" charset="0"/>
              </a:rPr>
              <a:t> D</a:t>
            </a:r>
            <a:endParaRPr lang="en-IN" sz="1200" b="1">
              <a:latin typeface="Times New Roman" panose="02020603050405020304" pitchFamily="18" charset="0"/>
              <a:cs typeface="Times New Roman" panose="02020603050405020304" pitchFamily="18" charset="0"/>
            </a:endParaRPr>
          </a:p>
        </xdr:txBody>
      </xdr:sp>
      <xdr:sp macro="" textlink="">
        <xdr:nvSpPr>
          <xdr:cNvPr id="28" name="TextBox 48"/>
          <xdr:cNvSpPr txBox="1"/>
        </xdr:nvSpPr>
        <xdr:spPr>
          <a:xfrm>
            <a:off x="2681316" y="103896911"/>
            <a:ext cx="758810" cy="274017"/>
          </a:xfrm>
          <a:prstGeom prst="rect">
            <a:avLst/>
          </a:prstGeom>
          <a:solidFill>
            <a:schemeClr val="bg1"/>
          </a:solidFill>
          <a:ln>
            <a:no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Wing</a:t>
            </a:r>
            <a:r>
              <a:rPr lang="en-US" sz="1200" b="1" baseline="0">
                <a:latin typeface="Times New Roman" panose="02020603050405020304" pitchFamily="18" charset="0"/>
                <a:cs typeface="Times New Roman" panose="02020603050405020304" pitchFamily="18" charset="0"/>
              </a:rPr>
              <a:t> E</a:t>
            </a:r>
            <a:endParaRPr lang="en-IN" sz="1200" b="1">
              <a:latin typeface="Times New Roman" panose="02020603050405020304" pitchFamily="18" charset="0"/>
              <a:cs typeface="Times New Roman" panose="02020603050405020304" pitchFamily="18" charset="0"/>
            </a:endParaRPr>
          </a:p>
        </xdr:txBody>
      </xdr:sp>
      <xdr:sp macro="" textlink="">
        <xdr:nvSpPr>
          <xdr:cNvPr id="29" name="TextBox 48"/>
          <xdr:cNvSpPr txBox="1"/>
        </xdr:nvSpPr>
        <xdr:spPr>
          <a:xfrm>
            <a:off x="4618682" y="103913358"/>
            <a:ext cx="758810" cy="271774"/>
          </a:xfrm>
          <a:prstGeom prst="rect">
            <a:avLst/>
          </a:prstGeom>
          <a:solidFill>
            <a:schemeClr val="bg1"/>
          </a:solidFill>
          <a:ln>
            <a:no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Wing</a:t>
            </a:r>
            <a:r>
              <a:rPr lang="en-US" sz="1200" b="1" baseline="0">
                <a:latin typeface="Times New Roman" panose="02020603050405020304" pitchFamily="18" charset="0"/>
                <a:cs typeface="Times New Roman" panose="02020603050405020304" pitchFamily="18" charset="0"/>
              </a:rPr>
              <a:t> F</a:t>
            </a:r>
            <a:endParaRPr lang="en-IN" sz="1200" b="1">
              <a:latin typeface="Times New Roman" panose="02020603050405020304" pitchFamily="18" charset="0"/>
              <a:cs typeface="Times New Roman" panose="02020603050405020304" pitchFamily="18" charset="0"/>
            </a:endParaRPr>
          </a:p>
        </xdr:txBody>
      </xdr:sp>
      <xdr:sp macro="" textlink="">
        <xdr:nvSpPr>
          <xdr:cNvPr id="30" name="TextBox 48"/>
          <xdr:cNvSpPr txBox="1"/>
        </xdr:nvSpPr>
        <xdr:spPr>
          <a:xfrm>
            <a:off x="851623" y="105961741"/>
            <a:ext cx="757344" cy="271774"/>
          </a:xfrm>
          <a:prstGeom prst="rect">
            <a:avLst/>
          </a:prstGeom>
          <a:solidFill>
            <a:schemeClr val="bg1"/>
          </a:solidFill>
          <a:ln>
            <a:no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Wing</a:t>
            </a:r>
            <a:r>
              <a:rPr lang="en-US" sz="1200" b="1" baseline="0">
                <a:latin typeface="Times New Roman" panose="02020603050405020304" pitchFamily="18" charset="0"/>
                <a:cs typeface="Times New Roman" panose="02020603050405020304" pitchFamily="18" charset="0"/>
              </a:rPr>
              <a:t> G</a:t>
            </a:r>
            <a:endParaRPr lang="en-IN" sz="1200" b="1">
              <a:latin typeface="Times New Roman" panose="02020603050405020304" pitchFamily="18" charset="0"/>
              <a:cs typeface="Times New Roman" panose="02020603050405020304" pitchFamily="18" charset="0"/>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jY1J44T8q6Lua6tZ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608"/>
  <sheetViews>
    <sheetView tabSelected="1" view="pageBreakPreview" topLeftCell="A240" zoomScale="85" zoomScaleNormal="115" zoomScaleSheetLayoutView="85" workbookViewId="0">
      <selection activeCell="J262" sqref="J262"/>
    </sheetView>
  </sheetViews>
  <sheetFormatPr defaultRowHeight="12.75" x14ac:dyDescent="0.2"/>
  <cols>
    <col min="1" max="2" width="12" style="6" customWidth="1"/>
    <col min="3" max="8" width="12.85546875" style="6" customWidth="1"/>
    <col min="9" max="9" width="13.85546875" style="6" customWidth="1"/>
    <col min="10" max="16384" width="9.140625" style="6"/>
  </cols>
  <sheetData>
    <row r="1" spans="1:20" ht="41.25" customHeight="1" x14ac:dyDescent="0.2">
      <c r="A1" s="225" t="s">
        <v>142</v>
      </c>
      <c r="B1" s="225"/>
      <c r="C1" s="226"/>
      <c r="D1" s="226"/>
      <c r="E1" s="226"/>
      <c r="F1" s="226"/>
      <c r="G1" s="226"/>
      <c r="H1" s="226"/>
    </row>
    <row r="2" spans="1:20" ht="14.25" x14ac:dyDescent="0.2">
      <c r="A2" s="233" t="s">
        <v>85</v>
      </c>
      <c r="B2" s="233"/>
      <c r="C2" s="233"/>
      <c r="D2" s="233"/>
      <c r="E2" s="233"/>
      <c r="F2" s="233"/>
      <c r="G2" s="233"/>
      <c r="H2" s="233"/>
    </row>
    <row r="3" spans="1:20" ht="25.5" x14ac:dyDescent="0.2">
      <c r="A3" s="11" t="s">
        <v>102</v>
      </c>
      <c r="B3" s="11"/>
      <c r="C3" s="179" t="s">
        <v>108</v>
      </c>
      <c r="D3" s="191"/>
      <c r="E3" s="180"/>
      <c r="F3" s="53" t="s">
        <v>103</v>
      </c>
      <c r="G3" s="192">
        <v>45917</v>
      </c>
      <c r="H3" s="192"/>
    </row>
    <row r="4" spans="1:20" ht="25.5" x14ac:dyDescent="0.2">
      <c r="A4" s="11" t="s">
        <v>106</v>
      </c>
      <c r="B4" s="11"/>
      <c r="C4" s="179" t="s">
        <v>232</v>
      </c>
      <c r="D4" s="191"/>
      <c r="E4" s="180"/>
      <c r="F4" s="53" t="s">
        <v>104</v>
      </c>
      <c r="G4" s="193" t="s">
        <v>306</v>
      </c>
      <c r="H4" s="193"/>
    </row>
    <row r="5" spans="1:20" ht="25.5" x14ac:dyDescent="0.2">
      <c r="A5" s="240" t="s">
        <v>107</v>
      </c>
      <c r="B5" s="241"/>
      <c r="C5" s="179" t="s">
        <v>305</v>
      </c>
      <c r="D5" s="191"/>
      <c r="E5" s="180"/>
      <c r="F5" s="53" t="s">
        <v>105</v>
      </c>
      <c r="G5" s="192" t="str">
        <f ca="1">TEXT(TODAY(),"DD/MM/YYYY")</f>
        <v>24/09/2025</v>
      </c>
      <c r="H5" s="192"/>
    </row>
    <row r="6" spans="1:20" ht="14.25" x14ac:dyDescent="0.2">
      <c r="A6" s="233" t="s">
        <v>101</v>
      </c>
      <c r="B6" s="233"/>
      <c r="C6" s="233"/>
      <c r="D6" s="233"/>
      <c r="E6" s="233"/>
      <c r="F6" s="233"/>
      <c r="G6" s="233"/>
      <c r="H6" s="233"/>
    </row>
    <row r="7" spans="1:20" ht="14.25" x14ac:dyDescent="0.2">
      <c r="A7" s="183" t="s">
        <v>0</v>
      </c>
      <c r="B7" s="184"/>
      <c r="C7" s="234" t="s">
        <v>231</v>
      </c>
      <c r="D7" s="234"/>
      <c r="E7" s="234"/>
      <c r="F7" s="234"/>
      <c r="G7" s="234"/>
      <c r="H7" s="234"/>
    </row>
    <row r="8" spans="1:20" ht="39.75" customHeight="1" x14ac:dyDescent="0.2">
      <c r="A8" s="183" t="s">
        <v>1</v>
      </c>
      <c r="B8" s="184"/>
      <c r="C8" s="231" t="str">
        <f>CONCATENATE((IF(OR(C7="",C7="NA"),"",C7)),", ",(IF(OR(A9="",A9="NA"),"",A9)),".",(IF(OR(C9="",C9="NA"),"",C9)),", near ",(IF(OR(C17="",C17="NA"),"",C17)),", ",(IF(OR(C11="",C11="NA"),"",C11)),", ",(IF(OR(C10="",C10="NA"),"",C10)),", ",(IF(OR(C12="",C12="NA"),"",C12)),", ",(IF(OR(C13="",C13="NA"),"",C13)),", ",(IF(OR(C14="",C14="NA"),"",C14))," - ",(IF(OR(C15="",C15="NA"),"",C15)),".")</f>
        <v>Evara, Old Survey No.5, 5B, 5D, 5F, 5G &amp; New Survey No. 5/1, 5/2, 5/3, 5/4, 5/6, 5/7, 5/8, 5/5/A, 5/5/B, 5/5/C, 5/5/D, 5/5/E, near Evershine Amavi Mall, Narangi Bypass Road, Dongre, Virar West, Vasai, Palghar - 401303.</v>
      </c>
      <c r="D8" s="231"/>
      <c r="E8" s="231"/>
      <c r="F8" s="231"/>
      <c r="G8" s="231"/>
      <c r="H8" s="231"/>
      <c r="P8" s="45" t="s">
        <v>146</v>
      </c>
      <c r="Q8" s="45" t="s">
        <v>147</v>
      </c>
      <c r="R8" s="45" t="s">
        <v>148</v>
      </c>
      <c r="S8" s="45" t="s">
        <v>149</v>
      </c>
      <c r="T8" s="45" t="s">
        <v>150</v>
      </c>
    </row>
    <row r="9" spans="1:20" ht="15" x14ac:dyDescent="0.2">
      <c r="A9" s="183" t="s">
        <v>233</v>
      </c>
      <c r="B9" s="184"/>
      <c r="C9" s="231" t="s">
        <v>307</v>
      </c>
      <c r="D9" s="231"/>
      <c r="E9" s="231"/>
      <c r="F9" s="231"/>
      <c r="G9" s="231"/>
      <c r="H9" s="231"/>
      <c r="P9" s="45" t="s">
        <v>151</v>
      </c>
      <c r="Q9" s="45" t="s">
        <v>152</v>
      </c>
      <c r="R9" s="45" t="s">
        <v>153</v>
      </c>
      <c r="S9" s="45" t="s">
        <v>154</v>
      </c>
      <c r="T9" s="45" t="s">
        <v>155</v>
      </c>
    </row>
    <row r="10" spans="1:20" ht="15" x14ac:dyDescent="0.2">
      <c r="A10" s="183" t="s">
        <v>6</v>
      </c>
      <c r="B10" s="184"/>
      <c r="C10" s="232" t="s">
        <v>234</v>
      </c>
      <c r="D10" s="232"/>
      <c r="E10" s="232"/>
      <c r="F10" s="232"/>
      <c r="G10" s="232"/>
      <c r="H10" s="232"/>
      <c r="P10" s="45" t="s">
        <v>156</v>
      </c>
      <c r="Q10" s="45" t="s">
        <v>157</v>
      </c>
      <c r="R10" s="45" t="s">
        <v>158</v>
      </c>
      <c r="S10" s="45" t="s">
        <v>159</v>
      </c>
      <c r="T10" s="45" t="s">
        <v>160</v>
      </c>
    </row>
    <row r="11" spans="1:20" ht="15" x14ac:dyDescent="0.2">
      <c r="A11" s="183" t="s">
        <v>144</v>
      </c>
      <c r="B11" s="184"/>
      <c r="C11" s="232" t="s">
        <v>236</v>
      </c>
      <c r="D11" s="232"/>
      <c r="E11" s="232"/>
      <c r="F11" s="232"/>
      <c r="G11" s="232"/>
      <c r="H11" s="232"/>
      <c r="P11" s="45" t="s">
        <v>161</v>
      </c>
      <c r="Q11" s="45" t="s">
        <v>162</v>
      </c>
      <c r="R11" s="45" t="s">
        <v>163</v>
      </c>
      <c r="S11" s="45" t="s">
        <v>164</v>
      </c>
      <c r="T11" s="45" t="s">
        <v>165</v>
      </c>
    </row>
    <row r="12" spans="1:20" ht="15" x14ac:dyDescent="0.2">
      <c r="A12" s="183" t="s">
        <v>145</v>
      </c>
      <c r="B12" s="184"/>
      <c r="C12" s="232" t="s">
        <v>235</v>
      </c>
      <c r="D12" s="232"/>
      <c r="E12" s="232"/>
      <c r="F12" s="232"/>
      <c r="G12" s="232"/>
      <c r="H12" s="232"/>
      <c r="P12" s="45" t="s">
        <v>166</v>
      </c>
      <c r="Q12" s="45" t="s">
        <v>167</v>
      </c>
      <c r="R12" s="45" t="s">
        <v>148</v>
      </c>
      <c r="S12" s="45" t="s">
        <v>168</v>
      </c>
      <c r="T12" s="45" t="s">
        <v>169</v>
      </c>
    </row>
    <row r="13" spans="1:20" ht="15" x14ac:dyDescent="0.2">
      <c r="A13" s="183" t="s">
        <v>131</v>
      </c>
      <c r="B13" s="184"/>
      <c r="C13" s="232" t="s">
        <v>162</v>
      </c>
      <c r="D13" s="232"/>
      <c r="E13" s="232"/>
      <c r="F13" s="232"/>
      <c r="G13" s="232"/>
      <c r="H13" s="232"/>
      <c r="P13" s="45" t="s">
        <v>170</v>
      </c>
      <c r="Q13" s="45" t="s">
        <v>147</v>
      </c>
      <c r="R13" s="45"/>
      <c r="S13" s="45" t="s">
        <v>171</v>
      </c>
      <c r="T13" s="45" t="s">
        <v>172</v>
      </c>
    </row>
    <row r="14" spans="1:20" ht="15" x14ac:dyDescent="0.2">
      <c r="A14" s="183" t="s">
        <v>132</v>
      </c>
      <c r="B14" s="184"/>
      <c r="C14" s="232" t="s">
        <v>147</v>
      </c>
      <c r="D14" s="232"/>
      <c r="E14" s="232"/>
      <c r="F14" s="232"/>
      <c r="G14" s="232"/>
      <c r="H14" s="232"/>
      <c r="P14" s="45" t="s">
        <v>173</v>
      </c>
      <c r="Q14" s="45" t="s">
        <v>174</v>
      </c>
      <c r="R14" s="45"/>
      <c r="S14" s="45" t="s">
        <v>175</v>
      </c>
      <c r="T14" s="45" t="s">
        <v>176</v>
      </c>
    </row>
    <row r="15" spans="1:20" ht="15" x14ac:dyDescent="0.2">
      <c r="A15" s="183" t="s">
        <v>133</v>
      </c>
      <c r="B15" s="184"/>
      <c r="C15" s="238">
        <v>401303</v>
      </c>
      <c r="D15" s="238"/>
      <c r="E15" s="238"/>
      <c r="F15" s="238"/>
      <c r="G15" s="238"/>
      <c r="H15" s="238"/>
      <c r="P15" s="45" t="s">
        <v>177</v>
      </c>
      <c r="Q15" s="45" t="s">
        <v>178</v>
      </c>
      <c r="R15" s="45"/>
      <c r="S15" s="45" t="s">
        <v>179</v>
      </c>
      <c r="T15" s="45" t="s">
        <v>180</v>
      </c>
    </row>
    <row r="16" spans="1:20" ht="15" x14ac:dyDescent="0.2">
      <c r="A16" s="183" t="s">
        <v>48</v>
      </c>
      <c r="B16" s="184"/>
      <c r="C16" s="231" t="s">
        <v>237</v>
      </c>
      <c r="D16" s="231"/>
      <c r="E16" s="231"/>
      <c r="F16" s="231"/>
      <c r="G16" s="231"/>
      <c r="H16" s="231"/>
      <c r="P16" s="45"/>
      <c r="Q16" s="45"/>
      <c r="R16" s="45"/>
      <c r="S16" s="45" t="s">
        <v>181</v>
      </c>
      <c r="T16" s="45" t="s">
        <v>182</v>
      </c>
    </row>
    <row r="17" spans="1:20" ht="15" x14ac:dyDescent="0.2">
      <c r="A17" s="183" t="s">
        <v>90</v>
      </c>
      <c r="B17" s="184"/>
      <c r="C17" s="230" t="s">
        <v>238</v>
      </c>
      <c r="D17" s="230"/>
      <c r="E17" s="230"/>
      <c r="F17" s="230"/>
      <c r="G17" s="230"/>
      <c r="H17" s="230"/>
      <c r="P17" s="45"/>
      <c r="Q17" s="45"/>
      <c r="R17" s="45"/>
      <c r="S17" s="45" t="s">
        <v>183</v>
      </c>
      <c r="T17" s="45" t="s">
        <v>184</v>
      </c>
    </row>
    <row r="18" spans="1:20" ht="15" x14ac:dyDescent="0.2">
      <c r="A18" s="183" t="s">
        <v>89</v>
      </c>
      <c r="B18" s="184"/>
      <c r="C18" s="239" t="s">
        <v>143</v>
      </c>
      <c r="D18" s="236"/>
      <c r="E18" s="237"/>
      <c r="F18" s="239" t="s">
        <v>239</v>
      </c>
      <c r="G18" s="236"/>
      <c r="H18" s="237"/>
      <c r="P18" s="45"/>
      <c r="Q18" s="45"/>
      <c r="R18" s="45"/>
      <c r="S18" s="45" t="s">
        <v>185</v>
      </c>
      <c r="T18" s="45" t="s">
        <v>186</v>
      </c>
    </row>
    <row r="19" spans="1:20" ht="15" x14ac:dyDescent="0.2">
      <c r="A19" s="183" t="s">
        <v>134</v>
      </c>
      <c r="B19" s="184"/>
      <c r="C19" s="235" t="s">
        <v>240</v>
      </c>
      <c r="D19" s="236"/>
      <c r="E19" s="236"/>
      <c r="F19" s="236"/>
      <c r="G19" s="236"/>
      <c r="H19" s="237"/>
      <c r="P19" s="45"/>
      <c r="Q19" s="45"/>
      <c r="R19" s="45"/>
      <c r="S19" s="45" t="s">
        <v>187</v>
      </c>
      <c r="T19" s="45" t="s">
        <v>188</v>
      </c>
    </row>
    <row r="20" spans="1:20" ht="15" x14ac:dyDescent="0.2">
      <c r="A20" s="183" t="s">
        <v>2</v>
      </c>
      <c r="B20" s="184"/>
      <c r="C20" s="231" t="s">
        <v>241</v>
      </c>
      <c r="D20" s="231"/>
      <c r="E20" s="231"/>
      <c r="F20" s="231"/>
      <c r="G20" s="231"/>
      <c r="H20" s="231"/>
      <c r="P20" s="45"/>
      <c r="Q20" s="45"/>
      <c r="R20" s="45"/>
      <c r="S20" s="45" t="s">
        <v>189</v>
      </c>
      <c r="T20" s="45" t="s">
        <v>190</v>
      </c>
    </row>
    <row r="21" spans="1:20" ht="15" x14ac:dyDescent="0.2">
      <c r="A21" s="181" t="s">
        <v>3</v>
      </c>
      <c r="B21" s="182"/>
      <c r="C21" s="227" t="s">
        <v>242</v>
      </c>
      <c r="D21" s="227"/>
      <c r="E21" s="227"/>
      <c r="F21" s="227"/>
      <c r="G21" s="227"/>
      <c r="H21" s="227"/>
      <c r="P21" s="45"/>
      <c r="Q21" s="45"/>
      <c r="R21" s="45"/>
      <c r="S21" s="45" t="s">
        <v>191</v>
      </c>
      <c r="T21" s="45" t="s">
        <v>192</v>
      </c>
    </row>
    <row r="22" spans="1:20" ht="15" customHeight="1" x14ac:dyDescent="0.2">
      <c r="A22" s="181" t="s">
        <v>109</v>
      </c>
      <c r="B22" s="182"/>
      <c r="C22" s="229" t="s">
        <v>52</v>
      </c>
      <c r="D22" s="229"/>
      <c r="E22" s="229"/>
      <c r="F22" s="229"/>
      <c r="G22" s="229"/>
      <c r="H22" s="229"/>
      <c r="P22" s="45"/>
      <c r="Q22" s="45"/>
      <c r="R22" s="45"/>
      <c r="S22" s="45" t="s">
        <v>193</v>
      </c>
      <c r="T22" s="45" t="s">
        <v>194</v>
      </c>
    </row>
    <row r="23" spans="1:20" ht="27" customHeight="1" x14ac:dyDescent="0.2">
      <c r="A23" s="181" t="s">
        <v>4</v>
      </c>
      <c r="B23" s="182"/>
      <c r="C23" s="227" t="s">
        <v>243</v>
      </c>
      <c r="D23" s="228"/>
      <c r="E23" s="228"/>
      <c r="F23" s="228"/>
      <c r="G23" s="228"/>
      <c r="H23" s="228"/>
    </row>
    <row r="24" spans="1:20" x14ac:dyDescent="0.2">
      <c r="A24" s="181" t="s">
        <v>5</v>
      </c>
      <c r="B24" s="182"/>
      <c r="C24" s="232" t="s">
        <v>244</v>
      </c>
      <c r="D24" s="232"/>
      <c r="E24" s="232"/>
      <c r="F24" s="232"/>
      <c r="G24" s="232"/>
      <c r="H24" s="232"/>
    </row>
    <row r="25" spans="1:20" ht="27.75" customHeight="1" x14ac:dyDescent="0.2">
      <c r="A25" s="181" t="s">
        <v>87</v>
      </c>
      <c r="B25" s="182"/>
      <c r="C25" s="232" t="s">
        <v>245</v>
      </c>
      <c r="D25" s="232"/>
      <c r="E25" s="232"/>
      <c r="F25" s="232"/>
      <c r="G25" s="232"/>
      <c r="H25" s="232"/>
    </row>
    <row r="26" spans="1:20" ht="32.25" customHeight="1" x14ac:dyDescent="0.2">
      <c r="A26" s="181" t="s">
        <v>88</v>
      </c>
      <c r="B26" s="182"/>
      <c r="C26" s="229" t="s">
        <v>246</v>
      </c>
      <c r="D26" s="229"/>
      <c r="E26" s="229"/>
      <c r="F26" s="229"/>
      <c r="G26" s="229"/>
      <c r="H26" s="229"/>
    </row>
    <row r="27" spans="1:20" ht="38.25" x14ac:dyDescent="0.2">
      <c r="A27" s="183" t="s">
        <v>92</v>
      </c>
      <c r="B27" s="184"/>
      <c r="C27" s="65" t="s">
        <v>247</v>
      </c>
      <c r="D27" s="91" t="s">
        <v>248</v>
      </c>
      <c r="E27" s="92"/>
      <c r="F27" s="66" t="s">
        <v>7</v>
      </c>
      <c r="G27" s="229" t="s">
        <v>91</v>
      </c>
      <c r="H27" s="229"/>
    </row>
    <row r="28" spans="1:20" ht="25.5" x14ac:dyDescent="0.2">
      <c r="A28" s="183" t="s">
        <v>8</v>
      </c>
      <c r="B28" s="184"/>
      <c r="C28" s="230" t="s">
        <v>308</v>
      </c>
      <c r="D28" s="229"/>
      <c r="E28" s="229"/>
      <c r="F28" s="66" t="s">
        <v>124</v>
      </c>
      <c r="G28" s="229">
        <v>115</v>
      </c>
      <c r="H28" s="229"/>
      <c r="I28" s="6">
        <f>772*0.15</f>
        <v>115.8</v>
      </c>
    </row>
    <row r="29" spans="1:20" ht="28.5" customHeight="1" x14ac:dyDescent="0.2">
      <c r="A29" s="183" t="s">
        <v>203</v>
      </c>
      <c r="B29" s="184"/>
      <c r="C29" s="197" t="s">
        <v>310</v>
      </c>
      <c r="D29" s="198"/>
      <c r="E29" s="199"/>
      <c r="F29" s="199"/>
      <c r="G29" s="199"/>
      <c r="H29" s="200"/>
    </row>
    <row r="30" spans="1:20" ht="27" customHeight="1" x14ac:dyDescent="0.2">
      <c r="A30" s="183" t="s">
        <v>204</v>
      </c>
      <c r="B30" s="184"/>
      <c r="C30" s="197" t="s">
        <v>310</v>
      </c>
      <c r="D30" s="198"/>
      <c r="E30" s="199"/>
      <c r="F30" s="199"/>
      <c r="G30" s="199"/>
      <c r="H30" s="200"/>
    </row>
    <row r="31" spans="1:20" ht="12.75" customHeight="1" x14ac:dyDescent="0.2">
      <c r="A31" s="185" t="s">
        <v>9</v>
      </c>
      <c r="B31" s="186"/>
      <c r="C31" s="220" t="s">
        <v>93</v>
      </c>
      <c r="D31" s="221"/>
      <c r="E31" s="12" t="s">
        <v>12</v>
      </c>
      <c r="F31" s="12" t="s">
        <v>13</v>
      </c>
      <c r="G31" s="12" t="s">
        <v>14</v>
      </c>
      <c r="H31" s="12" t="s">
        <v>15</v>
      </c>
    </row>
    <row r="32" spans="1:20" ht="12.75" customHeight="1" x14ac:dyDescent="0.2">
      <c r="A32" s="187"/>
      <c r="B32" s="188"/>
      <c r="C32" s="222" t="s">
        <v>10</v>
      </c>
      <c r="D32" s="223"/>
      <c r="E32" s="13" t="s">
        <v>223</v>
      </c>
      <c r="F32" s="16" t="s">
        <v>223</v>
      </c>
      <c r="G32" s="16" t="s">
        <v>223</v>
      </c>
      <c r="H32" s="16" t="s">
        <v>223</v>
      </c>
    </row>
    <row r="33" spans="1:11" ht="24.75" customHeight="1" x14ac:dyDescent="0.2">
      <c r="A33" s="187"/>
      <c r="B33" s="188"/>
      <c r="C33" s="143" t="s">
        <v>86</v>
      </c>
      <c r="D33" s="144"/>
      <c r="E33" s="52" t="s">
        <v>252</v>
      </c>
      <c r="F33" s="52" t="s">
        <v>253</v>
      </c>
      <c r="G33" s="52" t="s">
        <v>251</v>
      </c>
      <c r="H33" s="52" t="s">
        <v>254</v>
      </c>
    </row>
    <row r="34" spans="1:11" ht="27" customHeight="1" x14ac:dyDescent="0.2">
      <c r="A34" s="189"/>
      <c r="B34" s="190"/>
      <c r="C34" s="143" t="s">
        <v>11</v>
      </c>
      <c r="D34" s="144"/>
      <c r="E34" s="52" t="s">
        <v>236</v>
      </c>
      <c r="F34" s="52" t="s">
        <v>249</v>
      </c>
      <c r="G34" s="52" t="s">
        <v>249</v>
      </c>
      <c r="H34" s="52" t="s">
        <v>250</v>
      </c>
    </row>
    <row r="35" spans="1:11" ht="29.25" customHeight="1" x14ac:dyDescent="0.2">
      <c r="A35" s="183" t="s">
        <v>16</v>
      </c>
      <c r="B35" s="184"/>
      <c r="C35" s="243" t="s">
        <v>255</v>
      </c>
      <c r="D35" s="243"/>
      <c r="E35" s="243"/>
      <c r="F35" s="243"/>
      <c r="G35" s="243"/>
      <c r="H35" s="243"/>
    </row>
    <row r="36" spans="1:11" ht="38.25" customHeight="1" x14ac:dyDescent="0.2">
      <c r="A36" s="183" t="s">
        <v>128</v>
      </c>
      <c r="B36" s="184"/>
      <c r="C36" s="91">
        <v>878781.01</v>
      </c>
      <c r="D36" s="92"/>
      <c r="E36" s="242" t="s">
        <v>129</v>
      </c>
      <c r="F36" s="242"/>
      <c r="G36" s="212">
        <v>585107.88</v>
      </c>
      <c r="H36" s="212"/>
    </row>
    <row r="37" spans="1:11" x14ac:dyDescent="0.2">
      <c r="A37" s="183" t="s">
        <v>17</v>
      </c>
      <c r="B37" s="184"/>
      <c r="C37" s="85" t="s">
        <v>256</v>
      </c>
      <c r="D37" s="85"/>
      <c r="E37" s="85"/>
      <c r="F37" s="85"/>
      <c r="G37" s="85"/>
      <c r="H37" s="85"/>
    </row>
    <row r="38" spans="1:11" ht="130.5" customHeight="1" x14ac:dyDescent="0.2">
      <c r="A38" s="181" t="s">
        <v>123</v>
      </c>
      <c r="B38" s="182"/>
      <c r="C38" s="230" t="s">
        <v>257</v>
      </c>
      <c r="D38" s="230"/>
      <c r="E38" s="229"/>
      <c r="F38" s="229"/>
      <c r="G38" s="229"/>
      <c r="H38" s="229"/>
      <c r="I38" s="50"/>
    </row>
    <row r="39" spans="1:11" x14ac:dyDescent="0.2">
      <c r="A39" s="244" t="s">
        <v>94</v>
      </c>
      <c r="B39" s="244"/>
      <c r="C39" s="244"/>
      <c r="D39" s="244"/>
      <c r="E39" s="244"/>
      <c r="F39" s="244"/>
      <c r="G39" s="244"/>
      <c r="H39" s="244"/>
    </row>
    <row r="40" spans="1:11" ht="12.75" customHeight="1" x14ac:dyDescent="0.2">
      <c r="A40" s="201" t="s">
        <v>19</v>
      </c>
      <c r="B40" s="202"/>
      <c r="C40" s="85" t="s">
        <v>95</v>
      </c>
      <c r="D40" s="85"/>
      <c r="E40" s="85"/>
      <c r="F40" s="85"/>
      <c r="G40" s="212">
        <v>585107.88</v>
      </c>
      <c r="H40" s="212"/>
    </row>
    <row r="41" spans="1:11" x14ac:dyDescent="0.2">
      <c r="A41" s="203"/>
      <c r="B41" s="204"/>
      <c r="C41" s="85" t="s">
        <v>96</v>
      </c>
      <c r="D41" s="85"/>
      <c r="E41" s="85"/>
      <c r="F41" s="85"/>
      <c r="G41" s="211">
        <f>643618.67/G40</f>
        <v>1.1000000034181732</v>
      </c>
      <c r="H41" s="211"/>
    </row>
    <row r="42" spans="1:11" x14ac:dyDescent="0.2">
      <c r="A42" s="203"/>
      <c r="B42" s="204"/>
      <c r="C42" s="85" t="s">
        <v>97</v>
      </c>
      <c r="D42" s="85"/>
      <c r="E42" s="85"/>
      <c r="F42" s="85"/>
      <c r="G42" s="211">
        <f>G45/G40-G41</f>
        <v>1.0877701048907424</v>
      </c>
      <c r="H42" s="211"/>
    </row>
    <row r="43" spans="1:11" x14ac:dyDescent="0.2">
      <c r="A43" s="203"/>
      <c r="B43" s="204"/>
      <c r="C43" s="85" t="s">
        <v>98</v>
      </c>
      <c r="D43" s="85"/>
      <c r="E43" s="85"/>
      <c r="F43" s="85"/>
      <c r="G43" s="211">
        <f>G41+G42</f>
        <v>2.1877701083089156</v>
      </c>
      <c r="H43" s="211"/>
    </row>
    <row r="44" spans="1:11" x14ac:dyDescent="0.2">
      <c r="A44" s="203"/>
      <c r="B44" s="204"/>
      <c r="C44" s="85" t="s">
        <v>127</v>
      </c>
      <c r="D44" s="85"/>
      <c r="E44" s="85"/>
      <c r="F44" s="85"/>
      <c r="G44" s="212">
        <f>G40*G43</f>
        <v>1280081.53</v>
      </c>
      <c r="H44" s="212"/>
    </row>
    <row r="45" spans="1:11" x14ac:dyDescent="0.2">
      <c r="A45" s="147"/>
      <c r="B45" s="148"/>
      <c r="C45" s="85" t="s">
        <v>99</v>
      </c>
      <c r="D45" s="85"/>
      <c r="E45" s="85"/>
      <c r="F45" s="85"/>
      <c r="G45" s="212">
        <v>1280081.53</v>
      </c>
      <c r="H45" s="212"/>
    </row>
    <row r="46" spans="1:11" ht="32.25" customHeight="1" x14ac:dyDescent="0.2">
      <c r="A46" s="181" t="s">
        <v>100</v>
      </c>
      <c r="B46" s="182"/>
      <c r="C46" s="152" t="s">
        <v>258</v>
      </c>
      <c r="D46" s="153"/>
      <c r="E46" s="153"/>
      <c r="F46" s="154"/>
      <c r="G46" s="55" t="s">
        <v>221</v>
      </c>
      <c r="H46" s="56" t="s">
        <v>259</v>
      </c>
    </row>
    <row r="47" spans="1:11" ht="32.25" customHeight="1" x14ac:dyDescent="0.2">
      <c r="A47" s="183" t="s">
        <v>20</v>
      </c>
      <c r="B47" s="184"/>
      <c r="C47" s="84" t="s">
        <v>261</v>
      </c>
      <c r="D47" s="84"/>
      <c r="E47" s="85"/>
      <c r="F47" s="85"/>
      <c r="G47" s="85"/>
      <c r="H47" s="85"/>
      <c r="I47" s="15"/>
      <c r="J47" s="15"/>
      <c r="K47" s="15"/>
    </row>
    <row r="48" spans="1:11" ht="43.5" customHeight="1" x14ac:dyDescent="0.2">
      <c r="A48" s="181" t="s">
        <v>262</v>
      </c>
      <c r="B48" s="182"/>
      <c r="C48" s="152" t="s">
        <v>260</v>
      </c>
      <c r="D48" s="153"/>
      <c r="E48" s="153"/>
      <c r="F48" s="154"/>
      <c r="G48" s="55" t="s">
        <v>221</v>
      </c>
      <c r="H48" s="49">
        <v>45798</v>
      </c>
      <c r="I48" s="15"/>
      <c r="J48" s="15"/>
      <c r="K48" s="15"/>
    </row>
    <row r="49" spans="1:12" x14ac:dyDescent="0.2">
      <c r="A49" s="205" t="s">
        <v>21</v>
      </c>
      <c r="B49" s="206"/>
      <c r="C49" s="161" t="s">
        <v>110</v>
      </c>
      <c r="D49" s="163"/>
      <c r="E49" s="85" t="s">
        <v>223</v>
      </c>
      <c r="F49" s="85"/>
      <c r="G49" s="85"/>
      <c r="H49" s="85"/>
      <c r="I49" s="15"/>
      <c r="J49" s="15"/>
      <c r="K49" s="15"/>
    </row>
    <row r="50" spans="1:12" x14ac:dyDescent="0.2">
      <c r="A50" s="207"/>
      <c r="B50" s="208"/>
      <c r="C50" s="161" t="s">
        <v>111</v>
      </c>
      <c r="D50" s="163"/>
      <c r="E50" s="179" t="s">
        <v>223</v>
      </c>
      <c r="F50" s="180"/>
      <c r="G50" s="48" t="s">
        <v>221</v>
      </c>
      <c r="H50" s="51" t="s">
        <v>223</v>
      </c>
      <c r="J50" s="6" t="s">
        <v>229</v>
      </c>
    </row>
    <row r="51" spans="1:12" x14ac:dyDescent="0.2">
      <c r="A51" s="209"/>
      <c r="B51" s="210"/>
      <c r="C51" s="161" t="s">
        <v>230</v>
      </c>
      <c r="D51" s="94"/>
      <c r="E51" s="84" t="s">
        <v>223</v>
      </c>
      <c r="F51" s="85"/>
      <c r="G51" s="85"/>
      <c r="H51" s="85"/>
      <c r="I51" s="84" t="s">
        <v>228</v>
      </c>
      <c r="J51" s="85"/>
      <c r="K51" s="85"/>
      <c r="L51" s="85"/>
    </row>
    <row r="52" spans="1:12" x14ac:dyDescent="0.2">
      <c r="A52" s="86" t="s">
        <v>222</v>
      </c>
      <c r="B52" s="88"/>
      <c r="C52" s="161"/>
      <c r="D52" s="162"/>
      <c r="E52" s="162"/>
      <c r="F52" s="162"/>
      <c r="G52" s="162"/>
      <c r="H52" s="163"/>
    </row>
    <row r="53" spans="1:12" x14ac:dyDescent="0.2">
      <c r="A53" s="167" t="s">
        <v>264</v>
      </c>
      <c r="B53" s="168"/>
      <c r="C53" s="152" t="s">
        <v>263</v>
      </c>
      <c r="D53" s="153"/>
      <c r="E53" s="153"/>
      <c r="F53" s="154"/>
      <c r="G53" s="55" t="s">
        <v>221</v>
      </c>
      <c r="H53" s="56"/>
    </row>
    <row r="54" spans="1:12" ht="30" customHeight="1" x14ac:dyDescent="0.2">
      <c r="A54" s="169"/>
      <c r="B54" s="170"/>
      <c r="C54" s="152" t="s">
        <v>265</v>
      </c>
      <c r="D54" s="153"/>
      <c r="E54" s="153"/>
      <c r="F54" s="153"/>
      <c r="G54" s="153"/>
      <c r="H54" s="154"/>
    </row>
    <row r="55" spans="1:12" hidden="1" x14ac:dyDescent="0.2">
      <c r="A55" s="167" t="s">
        <v>224</v>
      </c>
      <c r="B55" s="168"/>
      <c r="C55" s="164"/>
      <c r="D55" s="165"/>
      <c r="E55" s="165"/>
      <c r="F55" s="166"/>
      <c r="G55" s="55" t="s">
        <v>221</v>
      </c>
      <c r="H55" s="56"/>
    </row>
    <row r="56" spans="1:12" ht="34.5" hidden="1" customHeight="1" x14ac:dyDescent="0.2">
      <c r="A56" s="169"/>
      <c r="B56" s="170"/>
      <c r="C56" s="164"/>
      <c r="D56" s="165"/>
      <c r="E56" s="165"/>
      <c r="F56" s="166"/>
      <c r="G56" s="55"/>
      <c r="H56" s="56"/>
    </row>
    <row r="57" spans="1:12" hidden="1" x14ac:dyDescent="0.2">
      <c r="A57" s="167" t="s">
        <v>225</v>
      </c>
      <c r="B57" s="168"/>
      <c r="C57" s="173"/>
      <c r="D57" s="174"/>
      <c r="E57" s="174"/>
      <c r="F57" s="175"/>
      <c r="G57" s="55" t="s">
        <v>221</v>
      </c>
      <c r="H57" s="56"/>
    </row>
    <row r="58" spans="1:12" ht="25.5" hidden="1" customHeight="1" x14ac:dyDescent="0.2">
      <c r="A58" s="171"/>
      <c r="B58" s="172"/>
      <c r="C58" s="176"/>
      <c r="D58" s="177"/>
      <c r="E58" s="177"/>
      <c r="F58" s="178"/>
      <c r="G58" s="55" t="s">
        <v>226</v>
      </c>
      <c r="H58" s="56"/>
    </row>
    <row r="59" spans="1:12" ht="25.5" hidden="1" customHeight="1" x14ac:dyDescent="0.2">
      <c r="A59" s="169"/>
      <c r="B59" s="170"/>
      <c r="C59" s="164" t="s">
        <v>227</v>
      </c>
      <c r="D59" s="165"/>
      <c r="E59" s="165"/>
      <c r="F59" s="166"/>
      <c r="G59" s="55"/>
      <c r="H59" s="56"/>
    </row>
    <row r="60" spans="1:12" x14ac:dyDescent="0.2">
      <c r="A60" s="112" t="s">
        <v>22</v>
      </c>
      <c r="B60" s="112"/>
      <c r="C60" s="112"/>
      <c r="D60" s="112"/>
      <c r="E60" s="112"/>
      <c r="F60" s="112"/>
      <c r="G60" s="112"/>
      <c r="H60" s="112"/>
    </row>
    <row r="61" spans="1:12" ht="12.75" customHeight="1" x14ac:dyDescent="0.2">
      <c r="A61" s="136" t="s">
        <v>23</v>
      </c>
      <c r="B61" s="137"/>
      <c r="C61" s="116" t="s">
        <v>266</v>
      </c>
      <c r="D61" s="117"/>
      <c r="E61" s="136" t="s">
        <v>24</v>
      </c>
      <c r="F61" s="137"/>
      <c r="G61" s="139">
        <v>47848</v>
      </c>
      <c r="H61" s="140"/>
    </row>
    <row r="62" spans="1:12" ht="13.5" thickBot="1" x14ac:dyDescent="0.25">
      <c r="A62" s="138" t="s">
        <v>57</v>
      </c>
      <c r="B62" s="138"/>
      <c r="C62" s="138"/>
      <c r="D62" s="138"/>
      <c r="E62" s="138"/>
      <c r="F62" s="138"/>
      <c r="G62" s="138"/>
      <c r="H62" s="138"/>
    </row>
    <row r="63" spans="1:12" x14ac:dyDescent="0.2">
      <c r="A63" s="155" t="s">
        <v>267</v>
      </c>
      <c r="B63" s="156"/>
      <c r="C63" s="156"/>
      <c r="D63" s="157"/>
      <c r="E63" s="9" t="s">
        <v>58</v>
      </c>
      <c r="F63" s="9" t="s">
        <v>59</v>
      </c>
      <c r="G63" s="9" t="s">
        <v>60</v>
      </c>
      <c r="H63" s="10" t="s">
        <v>46</v>
      </c>
      <c r="I63" s="35" t="str">
        <f ca="1">(IF(G67&gt;99%,"All work completed. Please provide OC.",IF(G67&gt;89.8%,"Plinth, RCC, Brick, Plaster, Flooring, Painting work Completed. Finishing work is in process.",IF(G67&lt;94%,(IF(E67=0,"Work not yet Started.",IF(F67=25%,"Piling work in process",IF(F67=50%,"Excavation work in process",IF(F67=100%,"Excavation work Completed. ","0")))&amp;(IF(E68=0%,"",IF(E68=J69,"Footing work is process",IF(E68=J70,"Footing work Completed",IF(E68=J71,"1st Basement Completed",IF(E68=J72,"1st &amp; 2nd Basement Completed",IF(E68=J73,"1st to 3rd Basement Completed",IF(E68=J74,"1st to 4th Basement Completed",IF(E68=J75,"Plinth work is process",IF(E68=J76,"Plinth work completed","0")))))))))))&amp;(IF(E69=(F64+G64+H64),", RCC Slab",IF(E69&gt;0,", RCC upto "&amp;E69&amp;" Slab",""))&amp;(IF(E70=H64,", Brickwork",IF(E70&gt;0,", Brickwork upto "&amp;E70&amp;" Floor",""))&amp;(IF(E71=H64,", Internal Plaster",IF(E71&gt;0,", Internal Plaster upto "&amp;E71&amp;" Floor",""))&amp;(IF(E72=H64,", External Plaster",IF(E72&gt;0,", External Plaster upto "&amp;E72&amp;" Floor",""))&amp;(IF(E73=H64,", Flooring",IF(E73&gt;0,", Flooring upto "&amp;E73&amp;" Floor",""))&amp;(IF(E74=H64,", Painting",IF(E74&gt;0,", Painting upto "&amp;E74&amp;" Floor",""))&amp;(IF(E75&gt;0,", Finishing upto "&amp;E75&amp;" Floor","")&amp;(IF(E69&gt;0.5," Completed",""))))))))))))))</f>
        <v>Excavation work Completed. Footing work is process</v>
      </c>
      <c r="J63" s="36"/>
    </row>
    <row r="64" spans="1:12" x14ac:dyDescent="0.2">
      <c r="A64" s="158"/>
      <c r="B64" s="159"/>
      <c r="C64" s="159"/>
      <c r="D64" s="160"/>
      <c r="E64" s="7">
        <v>0</v>
      </c>
      <c r="F64" s="7">
        <v>1</v>
      </c>
      <c r="G64" s="7">
        <v>0</v>
      </c>
      <c r="H64" s="8">
        <f ca="1">--TRIM(RIGHT(SUBSTITUTE(LEFT(A63,_xlfn.AGGREGATE(16,6,FIND({0,1,2,3,4,5,6,7,8,9},A63,ROW(INDIRECT("1:"&amp;LEN(A63)))),1))," ",REPT(" ",LEN(A63))),LEN(A63)))</f>
        <v>21</v>
      </c>
      <c r="I64" s="37"/>
      <c r="J64" s="38"/>
    </row>
    <row r="65" spans="1:10" ht="15" customHeight="1" x14ac:dyDescent="0.2">
      <c r="A65" s="67" t="s">
        <v>135</v>
      </c>
      <c r="B65" s="68"/>
      <c r="C65" s="132" t="str">
        <f ca="1">I63</f>
        <v>Excavation work Completed. Footing work is process</v>
      </c>
      <c r="D65" s="132"/>
      <c r="E65" s="132"/>
      <c r="F65" s="132"/>
      <c r="G65" s="132"/>
      <c r="H65" s="133"/>
      <c r="I65" s="37" t="s">
        <v>136</v>
      </c>
      <c r="J65" s="38"/>
    </row>
    <row r="66" spans="1:10" x14ac:dyDescent="0.2">
      <c r="A66" s="134" t="s">
        <v>61</v>
      </c>
      <c r="B66" s="135"/>
      <c r="C66" s="130" t="s">
        <v>137</v>
      </c>
      <c r="D66" s="130"/>
      <c r="E66" s="69" t="s">
        <v>62</v>
      </c>
      <c r="F66" s="69" t="s">
        <v>63</v>
      </c>
      <c r="G66" s="213" t="s">
        <v>56</v>
      </c>
      <c r="H66" s="214"/>
      <c r="I66" s="1" t="s">
        <v>64</v>
      </c>
      <c r="J66" s="39">
        <f ca="1">H64*25%</f>
        <v>5.25</v>
      </c>
    </row>
    <row r="67" spans="1:10" x14ac:dyDescent="0.2">
      <c r="A67" s="134" t="s">
        <v>65</v>
      </c>
      <c r="B67" s="135"/>
      <c r="C67" s="131">
        <v>0</v>
      </c>
      <c r="D67" s="131"/>
      <c r="E67" s="70">
        <f ca="1">J68</f>
        <v>21</v>
      </c>
      <c r="F67" s="71">
        <f ca="1">((100/H64)*E67)/100</f>
        <v>1</v>
      </c>
      <c r="G67" s="215">
        <f ca="1">(((E68/H64*10)+(40/(F64+G64+H64)*E69)+(15/(H64)*E70)+(5/(H64)*E71)+(5/H64*E72)+(10/H64*E73)+(5/H64*E74)+(5/H64*E75)+(5/H64*E76))/100)</f>
        <v>2.5000000000000001E-2</v>
      </c>
      <c r="H67" s="216"/>
      <c r="I67" s="1" t="s">
        <v>66</v>
      </c>
      <c r="J67" s="40">
        <f ca="1">H64*50%</f>
        <v>10.5</v>
      </c>
    </row>
    <row r="68" spans="1:10" x14ac:dyDescent="0.2">
      <c r="A68" s="134" t="s">
        <v>67</v>
      </c>
      <c r="B68" s="135"/>
      <c r="C68" s="131">
        <v>0.1</v>
      </c>
      <c r="D68" s="131"/>
      <c r="E68" s="72">
        <f ca="1">J69</f>
        <v>5.25</v>
      </c>
      <c r="F68" s="71">
        <f ca="1">((100/H64)*E68)/100</f>
        <v>0.25</v>
      </c>
      <c r="G68" s="215"/>
      <c r="H68" s="216"/>
      <c r="I68" s="1" t="s">
        <v>68</v>
      </c>
      <c r="J68" s="40">
        <f ca="1">H64</f>
        <v>21</v>
      </c>
    </row>
    <row r="69" spans="1:10" x14ac:dyDescent="0.2">
      <c r="A69" s="134" t="s">
        <v>69</v>
      </c>
      <c r="B69" s="135"/>
      <c r="C69" s="131">
        <v>0.4</v>
      </c>
      <c r="D69" s="131"/>
      <c r="E69" s="72">
        <v>0</v>
      </c>
      <c r="F69" s="71">
        <f ca="1">((100/(F64+G64+H64))*E69)/100</f>
        <v>0</v>
      </c>
      <c r="G69" s="215"/>
      <c r="H69" s="216"/>
      <c r="I69" s="1" t="s">
        <v>70</v>
      </c>
      <c r="J69" s="41">
        <f ca="1">(IF(E64&gt;1,(H64/(E64+2)),H64/4))</f>
        <v>5.25</v>
      </c>
    </row>
    <row r="70" spans="1:10" x14ac:dyDescent="0.2">
      <c r="A70" s="134" t="s">
        <v>71</v>
      </c>
      <c r="B70" s="135"/>
      <c r="C70" s="131">
        <v>0.15</v>
      </c>
      <c r="D70" s="131"/>
      <c r="E70" s="70">
        <v>0</v>
      </c>
      <c r="F70" s="71">
        <f ca="1">((100/H64)*E70)/100</f>
        <v>0</v>
      </c>
      <c r="G70" s="215"/>
      <c r="H70" s="216"/>
      <c r="I70" s="1" t="s">
        <v>72</v>
      </c>
      <c r="J70" s="41">
        <f ca="1">(IF(E64&gt;1,(H64/(E64+2)+J69),H64/4+J69))</f>
        <v>10.5</v>
      </c>
    </row>
    <row r="71" spans="1:10" x14ac:dyDescent="0.2">
      <c r="A71" s="134" t="s">
        <v>73</v>
      </c>
      <c r="B71" s="135"/>
      <c r="C71" s="131">
        <v>0.05</v>
      </c>
      <c r="D71" s="131"/>
      <c r="E71" s="70">
        <v>0</v>
      </c>
      <c r="F71" s="71">
        <f ca="1">((100/H64)*E71)/100</f>
        <v>0</v>
      </c>
      <c r="G71" s="215"/>
      <c r="H71" s="216"/>
      <c r="I71" s="1" t="s">
        <v>74</v>
      </c>
      <c r="J71" s="41">
        <f>(IF(E64&gt;1,(H64/(E64+2)+J70),0))</f>
        <v>0</v>
      </c>
    </row>
    <row r="72" spans="1:10" x14ac:dyDescent="0.2">
      <c r="A72" s="134" t="s">
        <v>75</v>
      </c>
      <c r="B72" s="135"/>
      <c r="C72" s="131">
        <v>0.05</v>
      </c>
      <c r="D72" s="131"/>
      <c r="E72" s="70">
        <v>0</v>
      </c>
      <c r="F72" s="71">
        <f ca="1">((100/(H64))*E72)/100</f>
        <v>0</v>
      </c>
      <c r="G72" s="215"/>
      <c r="H72" s="216"/>
      <c r="I72" s="1" t="s">
        <v>76</v>
      </c>
      <c r="J72" s="41">
        <f>(IF(E64&gt;2,(H64/(E64+2)+J71),0))</f>
        <v>0</v>
      </c>
    </row>
    <row r="73" spans="1:10" x14ac:dyDescent="0.2">
      <c r="A73" s="134" t="s">
        <v>77</v>
      </c>
      <c r="B73" s="135"/>
      <c r="C73" s="131">
        <v>0.1</v>
      </c>
      <c r="D73" s="131"/>
      <c r="E73" s="70">
        <v>0</v>
      </c>
      <c r="F73" s="71">
        <f ca="1">((100/H64)*E73)/100</f>
        <v>0</v>
      </c>
      <c r="G73" s="215"/>
      <c r="H73" s="216"/>
      <c r="I73" s="1" t="s">
        <v>78</v>
      </c>
      <c r="J73" s="42">
        <f>(IF(E64&gt;3,(H64/(E64+2)+J72),0))</f>
        <v>0</v>
      </c>
    </row>
    <row r="74" spans="1:10" x14ac:dyDescent="0.2">
      <c r="A74" s="134" t="s">
        <v>79</v>
      </c>
      <c r="B74" s="135"/>
      <c r="C74" s="131">
        <v>0.05</v>
      </c>
      <c r="D74" s="131"/>
      <c r="E74" s="70">
        <v>0</v>
      </c>
      <c r="F74" s="71">
        <f ca="1">((100/H64)*E74)/100</f>
        <v>0</v>
      </c>
      <c r="G74" s="215"/>
      <c r="H74" s="216"/>
      <c r="I74" s="1" t="s">
        <v>80</v>
      </c>
      <c r="J74" s="41">
        <f>(IF(E64&gt;4,(H64/(E64+2)+J73),0))</f>
        <v>0</v>
      </c>
    </row>
    <row r="75" spans="1:10" x14ac:dyDescent="0.2">
      <c r="A75" s="134" t="s">
        <v>81</v>
      </c>
      <c r="B75" s="135"/>
      <c r="C75" s="131">
        <v>0.05</v>
      </c>
      <c r="D75" s="131"/>
      <c r="E75" s="70">
        <v>0</v>
      </c>
      <c r="F75" s="71">
        <f ca="1">((100/(H64))*E75)/100</f>
        <v>0</v>
      </c>
      <c r="G75" s="215"/>
      <c r="H75" s="216"/>
      <c r="I75" s="1" t="s">
        <v>82</v>
      </c>
      <c r="J75" s="41">
        <f ca="1">(IF(E64=1,(H64/(E64+3)+J70),IF(E64=0,(H64/4+J70),IF(E64&gt;1,0))))</f>
        <v>15.75</v>
      </c>
    </row>
    <row r="76" spans="1:10" ht="13.5" thickBot="1" x14ac:dyDescent="0.25">
      <c r="A76" s="145" t="s">
        <v>83</v>
      </c>
      <c r="B76" s="146"/>
      <c r="C76" s="151">
        <v>0.05</v>
      </c>
      <c r="D76" s="151"/>
      <c r="E76" s="73">
        <v>0</v>
      </c>
      <c r="F76" s="74">
        <f ca="1">((100/(H64))*E76)/100</f>
        <v>0</v>
      </c>
      <c r="G76" s="217"/>
      <c r="H76" s="218"/>
      <c r="I76" s="43" t="s">
        <v>84</v>
      </c>
      <c r="J76" s="44">
        <f ca="1">(IF(E64&gt;1.5,(H64/(E64+2)+J70+MAX(0,J71-J70)+MAX(0,J72-J71)+MAX(0,J73-J72)+MAX(0,J74-J73)+MAX(0,J75-J74)),IF(E64=1,(H64/(E64+3)+J75),IF(E64=0,H64/4+J75))))</f>
        <v>21</v>
      </c>
    </row>
    <row r="77" spans="1:10" ht="12.75" customHeight="1" x14ac:dyDescent="0.2">
      <c r="A77" s="155" t="s">
        <v>268</v>
      </c>
      <c r="B77" s="156"/>
      <c r="C77" s="156"/>
      <c r="D77" s="157"/>
      <c r="E77" s="9" t="s">
        <v>58</v>
      </c>
      <c r="F77" s="9" t="s">
        <v>59</v>
      </c>
      <c r="G77" s="9" t="s">
        <v>60</v>
      </c>
      <c r="H77" s="10" t="s">
        <v>46</v>
      </c>
      <c r="I77" s="35" t="str">
        <f ca="1">(IF(G81&gt;99%,"All work completed. Please provide OC.",IF(G81&gt;89.8%,"Plinth, RCC, Brick, Plaster, Flooring, Painting work Completed. Finishing work is in process.",IF(G81&lt;94%,(IF(E81=0,"Work not yet Started.",IF(F81=25%,"Piling work in process",IF(F81=50%,"Excavation work in process",IF(F81=100%,"Excavation work Completed. ","0")))&amp;(IF(E82=0%,"",IF(E82=J83,"Footing work is process",IF(E82=J84,"Footing work Completed",IF(E82=J85,"1st Basement Completed",IF(E82=J86,"1st &amp; 2nd Basement Completed",IF(E82=J87,"1st to 3rd Basement Completed",IF(E82=J88,"1st to 4th Basement Completed",IF(E82=J89,"Plinth work is process",IF(E82=J90,"Plinth work completed","0")))))))))))&amp;(IF(E83=(F78+G78+H78),", RCC Slab",IF(E83&gt;0,", RCC upto "&amp;E83&amp;" Slab",""))&amp;(IF(E84=H78,", Brickwork",IF(E84&gt;0,", Brickwork upto "&amp;E84&amp;" Floor",""))&amp;(IF(E85=H78,", Internal Plaster",IF(E85&gt;0,", Internal Plaster upto "&amp;E85&amp;" Floor",""))&amp;(IF(E86=H78,", External Plaster",IF(E86&gt;0,", External Plaster upto "&amp;E86&amp;" Floor",""))&amp;(IF(E87=H78,", Flooring",IF(E87&gt;0,", Flooring upto "&amp;E87&amp;" Floor",""))&amp;(IF(E88=H78,", Painting",IF(E88&gt;0,", Painting upto "&amp;E88&amp;" Floor",""))&amp;(IF(E89&gt;0,", Finishing upto "&amp;E89&amp;" Floor","")&amp;(IF(E83&gt;0.5," Completed",""))))))))))))))</f>
        <v xml:space="preserve">Excavation work Completed. </v>
      </c>
      <c r="J77" s="36"/>
    </row>
    <row r="78" spans="1:10" x14ac:dyDescent="0.2">
      <c r="A78" s="158"/>
      <c r="B78" s="159"/>
      <c r="C78" s="159"/>
      <c r="D78" s="160"/>
      <c r="E78" s="7">
        <v>0</v>
      </c>
      <c r="F78" s="7">
        <v>1</v>
      </c>
      <c r="G78" s="7">
        <v>0</v>
      </c>
      <c r="H78" s="8">
        <f ca="1">--TRIM(RIGHT(SUBSTITUTE(LEFT(A77,_xlfn.AGGREGATE(16,6,FIND({0,1,2,3,4,5,6,7,8,9},A77,ROW(INDIRECT("1:"&amp;LEN(A77)))),1))," ",REPT(" ",LEN(A77))),LEN(A77)))</f>
        <v>21</v>
      </c>
      <c r="I78" s="37"/>
      <c r="J78" s="38"/>
    </row>
    <row r="79" spans="1:10" x14ac:dyDescent="0.2">
      <c r="A79" s="67" t="s">
        <v>135</v>
      </c>
      <c r="B79" s="68"/>
      <c r="C79" s="132" t="str">
        <f ca="1">I77</f>
        <v xml:space="preserve">Excavation work Completed. </v>
      </c>
      <c r="D79" s="132"/>
      <c r="E79" s="132"/>
      <c r="F79" s="132"/>
      <c r="G79" s="132"/>
      <c r="H79" s="133"/>
      <c r="I79" s="37" t="s">
        <v>136</v>
      </c>
      <c r="J79" s="38"/>
    </row>
    <row r="80" spans="1:10" x14ac:dyDescent="0.2">
      <c r="A80" s="134" t="s">
        <v>61</v>
      </c>
      <c r="B80" s="135"/>
      <c r="C80" s="130" t="s">
        <v>137</v>
      </c>
      <c r="D80" s="130"/>
      <c r="E80" s="69" t="s">
        <v>62</v>
      </c>
      <c r="F80" s="69" t="s">
        <v>63</v>
      </c>
      <c r="G80" s="213" t="s">
        <v>56</v>
      </c>
      <c r="H80" s="214"/>
      <c r="I80" s="1" t="s">
        <v>64</v>
      </c>
      <c r="J80" s="39">
        <f ca="1">H78*25%</f>
        <v>5.25</v>
      </c>
    </row>
    <row r="81" spans="1:10" x14ac:dyDescent="0.2">
      <c r="A81" s="134" t="s">
        <v>65</v>
      </c>
      <c r="B81" s="135"/>
      <c r="C81" s="131">
        <v>0</v>
      </c>
      <c r="D81" s="131"/>
      <c r="E81" s="70">
        <f ca="1">J82</f>
        <v>21</v>
      </c>
      <c r="F81" s="71">
        <f ca="1">((100/H78)*E81)/100</f>
        <v>1</v>
      </c>
      <c r="G81" s="215">
        <f ca="1">(((E82/H78*10)+(40/(F78+G78+H78)*E83)+(15/(H78)*E84)+(5/(H78)*E85)+(5/H78*E86)+(10/H78*E87)+(5/H78*E88)+(5/H78*E89)+(5/H78*E90))/100)</f>
        <v>0</v>
      </c>
      <c r="H81" s="216"/>
      <c r="I81" s="1" t="s">
        <v>66</v>
      </c>
      <c r="J81" s="40">
        <f ca="1">H78*50%</f>
        <v>10.5</v>
      </c>
    </row>
    <row r="82" spans="1:10" x14ac:dyDescent="0.2">
      <c r="A82" s="134" t="s">
        <v>67</v>
      </c>
      <c r="B82" s="135"/>
      <c r="C82" s="131">
        <v>0.1</v>
      </c>
      <c r="D82" s="131"/>
      <c r="E82" s="72">
        <v>0</v>
      </c>
      <c r="F82" s="71">
        <f ca="1">((100/H78)*E82)/100</f>
        <v>0</v>
      </c>
      <c r="G82" s="215"/>
      <c r="H82" s="216"/>
      <c r="I82" s="1" t="s">
        <v>68</v>
      </c>
      <c r="J82" s="40">
        <f ca="1">H78</f>
        <v>21</v>
      </c>
    </row>
    <row r="83" spans="1:10" x14ac:dyDescent="0.2">
      <c r="A83" s="134" t="s">
        <v>69</v>
      </c>
      <c r="B83" s="135"/>
      <c r="C83" s="131">
        <v>0.4</v>
      </c>
      <c r="D83" s="131"/>
      <c r="E83" s="72">
        <v>0</v>
      </c>
      <c r="F83" s="71">
        <f ca="1">((100/(F78+G78+H78))*E83)/100</f>
        <v>0</v>
      </c>
      <c r="G83" s="215"/>
      <c r="H83" s="216"/>
      <c r="I83" s="1" t="s">
        <v>70</v>
      </c>
      <c r="J83" s="41">
        <f ca="1">(IF(E78&gt;1,(H78/(E78+2)),H78/4))</f>
        <v>5.25</v>
      </c>
    </row>
    <row r="84" spans="1:10" x14ac:dyDescent="0.2">
      <c r="A84" s="134" t="s">
        <v>71</v>
      </c>
      <c r="B84" s="135"/>
      <c r="C84" s="131">
        <v>0.15</v>
      </c>
      <c r="D84" s="131"/>
      <c r="E84" s="70">
        <v>0</v>
      </c>
      <c r="F84" s="71">
        <f ca="1">((100/H78)*E84)/100</f>
        <v>0</v>
      </c>
      <c r="G84" s="215"/>
      <c r="H84" s="216"/>
      <c r="I84" s="1" t="s">
        <v>72</v>
      </c>
      <c r="J84" s="41">
        <f ca="1">(IF(E78&gt;1,(H78/(E78+2)+J83),H78/4+J83))</f>
        <v>10.5</v>
      </c>
    </row>
    <row r="85" spans="1:10" x14ac:dyDescent="0.2">
      <c r="A85" s="134" t="s">
        <v>73</v>
      </c>
      <c r="B85" s="135"/>
      <c r="C85" s="131">
        <v>0.05</v>
      </c>
      <c r="D85" s="131"/>
      <c r="E85" s="70">
        <v>0</v>
      </c>
      <c r="F85" s="71">
        <f ca="1">((100/H78)*E85)/100</f>
        <v>0</v>
      </c>
      <c r="G85" s="215"/>
      <c r="H85" s="216"/>
      <c r="I85" s="1" t="s">
        <v>74</v>
      </c>
      <c r="J85" s="41">
        <f>(IF(E78&gt;1,(H78/(E78+2)+J84),0))</f>
        <v>0</v>
      </c>
    </row>
    <row r="86" spans="1:10" x14ac:dyDescent="0.2">
      <c r="A86" s="134" t="s">
        <v>75</v>
      </c>
      <c r="B86" s="135"/>
      <c r="C86" s="131">
        <v>0.05</v>
      </c>
      <c r="D86" s="131"/>
      <c r="E86" s="70">
        <v>0</v>
      </c>
      <c r="F86" s="71">
        <f ca="1">((100/(H78))*E86)/100</f>
        <v>0</v>
      </c>
      <c r="G86" s="215"/>
      <c r="H86" s="216"/>
      <c r="I86" s="1" t="s">
        <v>76</v>
      </c>
      <c r="J86" s="41">
        <f>(IF(E78&gt;2,(H78/(E78+2)+J85),0))</f>
        <v>0</v>
      </c>
    </row>
    <row r="87" spans="1:10" x14ac:dyDescent="0.2">
      <c r="A87" s="134" t="s">
        <v>77</v>
      </c>
      <c r="B87" s="135"/>
      <c r="C87" s="131">
        <v>0.1</v>
      </c>
      <c r="D87" s="131"/>
      <c r="E87" s="70">
        <v>0</v>
      </c>
      <c r="F87" s="71">
        <f ca="1">((100/H78)*E87)/100</f>
        <v>0</v>
      </c>
      <c r="G87" s="215"/>
      <c r="H87" s="216"/>
      <c r="I87" s="1" t="s">
        <v>78</v>
      </c>
      <c r="J87" s="42">
        <f>(IF(E78&gt;3,(H78/(E78+2)+J86),0))</f>
        <v>0</v>
      </c>
    </row>
    <row r="88" spans="1:10" x14ac:dyDescent="0.2">
      <c r="A88" s="134" t="s">
        <v>79</v>
      </c>
      <c r="B88" s="135"/>
      <c r="C88" s="131">
        <v>0.05</v>
      </c>
      <c r="D88" s="131"/>
      <c r="E88" s="70">
        <v>0</v>
      </c>
      <c r="F88" s="71">
        <f ca="1">((100/H78)*E88)/100</f>
        <v>0</v>
      </c>
      <c r="G88" s="215"/>
      <c r="H88" s="216"/>
      <c r="I88" s="1" t="s">
        <v>80</v>
      </c>
      <c r="J88" s="41">
        <f>(IF(E78&gt;4,(H78/(E78+2)+J87),0))</f>
        <v>0</v>
      </c>
    </row>
    <row r="89" spans="1:10" x14ac:dyDescent="0.2">
      <c r="A89" s="134" t="s">
        <v>81</v>
      </c>
      <c r="B89" s="135"/>
      <c r="C89" s="131">
        <v>0.05</v>
      </c>
      <c r="D89" s="131"/>
      <c r="E89" s="70">
        <v>0</v>
      </c>
      <c r="F89" s="71">
        <f ca="1">((100/(H78))*E89)/100</f>
        <v>0</v>
      </c>
      <c r="G89" s="215"/>
      <c r="H89" s="216"/>
      <c r="I89" s="1" t="s">
        <v>82</v>
      </c>
      <c r="J89" s="41">
        <f ca="1">(IF(E78=1,(H78/(E78+3)+J84),IF(E78=0,(H78/4+J84),IF(E78&gt;1,0))))</f>
        <v>15.75</v>
      </c>
    </row>
    <row r="90" spans="1:10" ht="13.5" thickBot="1" x14ac:dyDescent="0.25">
      <c r="A90" s="145" t="s">
        <v>83</v>
      </c>
      <c r="B90" s="146"/>
      <c r="C90" s="151">
        <v>0.05</v>
      </c>
      <c r="D90" s="151"/>
      <c r="E90" s="73">
        <v>0</v>
      </c>
      <c r="F90" s="74">
        <f ca="1">((100/(H78))*E90)/100</f>
        <v>0</v>
      </c>
      <c r="G90" s="217"/>
      <c r="H90" s="218"/>
      <c r="I90" s="43" t="s">
        <v>84</v>
      </c>
      <c r="J90" s="44">
        <f ca="1">(IF(E78&gt;1.5,(H78/(E78+2)+J84+MAX(0,J85-J84)+MAX(0,J86-J85)+MAX(0,J87-J86)+MAX(0,J88-J87)+MAX(0,J89-J88)),IF(E78=1,(H78/(E78+3)+J89),IF(E78=0,H78/4+J89))))</f>
        <v>21</v>
      </c>
    </row>
    <row r="91" spans="1:10" ht="12.75" customHeight="1" x14ac:dyDescent="0.2">
      <c r="A91" s="155" t="s">
        <v>269</v>
      </c>
      <c r="B91" s="156"/>
      <c r="C91" s="156"/>
      <c r="D91" s="157"/>
      <c r="E91" s="9" t="s">
        <v>58</v>
      </c>
      <c r="F91" s="9" t="s">
        <v>59</v>
      </c>
      <c r="G91" s="9" t="s">
        <v>60</v>
      </c>
      <c r="H91" s="10" t="s">
        <v>46</v>
      </c>
      <c r="I91" s="35" t="str">
        <f ca="1">(IF(G95&gt;99%,"All work completed. Please provide OC.",IF(G95&gt;89.8%,"Plinth, RCC, Brick, Plaster, Flooring, Painting work Completed. Finishing work is in process.",IF(G95&lt;94%,(IF(E95=0,"Work not yet Started.",IF(F95=25%,"Piling work in process",IF(F95=50%,"Excavation work in process",IF(F95=100%,"Excavation work Completed. ","0")))&amp;(IF(E96=0%,"",IF(E96=J97,"Footing work is process",IF(E96=J98,"Footing work Completed",IF(E96=J99,"1st Basement Completed",IF(E96=J100,"1st &amp; 2nd Basement Completed",IF(E96=J101,"1st to 3rd Basement Completed",IF(E96=J102,"1st to 4th Basement Completed",IF(E96=J103,"Plinth work is process",IF(E96=J104,"Plinth work completed","0")))))))))))&amp;(IF(E97=(F92+G92+H92),", RCC Slab",IF(E97&gt;0,", RCC upto "&amp;E97&amp;" Slab",""))&amp;(IF(E98=H92,", Brickwork",IF(E98&gt;0,", Brickwork upto "&amp;E98&amp;" Floor",""))&amp;(IF(E99=H92,", Internal Plaster",IF(E99&gt;0,", Internal Plaster upto "&amp;E99&amp;" Floor",""))&amp;(IF(E100=H92,", External Plaster",IF(E100&gt;0,", External Plaster upto "&amp;E100&amp;" Floor",""))&amp;(IF(E101=H92,", Flooring",IF(E101&gt;0,", Flooring upto "&amp;E101&amp;" Floor",""))&amp;(IF(E102=H92,", Painting",IF(E102&gt;0,", Painting upto "&amp;E102&amp;" Floor",""))&amp;(IF(E103&gt;0,", Finishing upto "&amp;E103&amp;" Floor","")&amp;(IF(E97&gt;0.5," Completed",""))))))))))))))</f>
        <v>Excavation work Completed. Plinth work completed</v>
      </c>
      <c r="J91" s="36"/>
    </row>
    <row r="92" spans="1:10" x14ac:dyDescent="0.2">
      <c r="A92" s="158"/>
      <c r="B92" s="159"/>
      <c r="C92" s="159"/>
      <c r="D92" s="160"/>
      <c r="E92" s="7">
        <v>0</v>
      </c>
      <c r="F92" s="7">
        <v>1</v>
      </c>
      <c r="G92" s="7">
        <v>0</v>
      </c>
      <c r="H92" s="8">
        <f ca="1">--TRIM(RIGHT(SUBSTITUTE(LEFT(A91,_xlfn.AGGREGATE(16,6,FIND({0,1,2,3,4,5,6,7,8,9},A91,ROW(INDIRECT("1:"&amp;LEN(A91)))),1))," ",REPT(" ",LEN(A91))),LEN(A91)))</f>
        <v>21</v>
      </c>
      <c r="I92" s="37"/>
      <c r="J92" s="38"/>
    </row>
    <row r="93" spans="1:10" x14ac:dyDescent="0.2">
      <c r="A93" s="67" t="s">
        <v>135</v>
      </c>
      <c r="B93" s="68"/>
      <c r="C93" s="132" t="str">
        <f ca="1">I91</f>
        <v>Excavation work Completed. Plinth work completed</v>
      </c>
      <c r="D93" s="132"/>
      <c r="E93" s="132"/>
      <c r="F93" s="132"/>
      <c r="G93" s="132"/>
      <c r="H93" s="133"/>
      <c r="I93" s="37" t="s">
        <v>136</v>
      </c>
      <c r="J93" s="38"/>
    </row>
    <row r="94" spans="1:10" x14ac:dyDescent="0.2">
      <c r="A94" s="134" t="s">
        <v>61</v>
      </c>
      <c r="B94" s="135"/>
      <c r="C94" s="130" t="s">
        <v>137</v>
      </c>
      <c r="D94" s="130"/>
      <c r="E94" s="69" t="s">
        <v>62</v>
      </c>
      <c r="F94" s="69" t="s">
        <v>63</v>
      </c>
      <c r="G94" s="213" t="s">
        <v>56</v>
      </c>
      <c r="H94" s="214"/>
      <c r="I94" s="1" t="s">
        <v>64</v>
      </c>
      <c r="J94" s="39">
        <f ca="1">H92*25%</f>
        <v>5.25</v>
      </c>
    </row>
    <row r="95" spans="1:10" x14ac:dyDescent="0.2">
      <c r="A95" s="134" t="s">
        <v>65</v>
      </c>
      <c r="B95" s="135"/>
      <c r="C95" s="131">
        <v>0</v>
      </c>
      <c r="D95" s="131"/>
      <c r="E95" s="70">
        <f ca="1">J96</f>
        <v>21</v>
      </c>
      <c r="F95" s="71">
        <f ca="1">((100/H92)*E95)/100</f>
        <v>1</v>
      </c>
      <c r="G95" s="215">
        <f ca="1">(((E96/H92*10)+(40/(F92+G92+H92)*E97)+(15/(H92)*E98)+(5/(H92)*E99)+(5/H92*E100)+(10/H92*E101)+(5/H92*E102)+(5/H92*E103)+(5/H92*E104))/100)</f>
        <v>0.1</v>
      </c>
      <c r="H95" s="216"/>
      <c r="I95" s="1" t="s">
        <v>66</v>
      </c>
      <c r="J95" s="40">
        <f ca="1">H92*50%</f>
        <v>10.5</v>
      </c>
    </row>
    <row r="96" spans="1:10" x14ac:dyDescent="0.2">
      <c r="A96" s="134" t="s">
        <v>67</v>
      </c>
      <c r="B96" s="135"/>
      <c r="C96" s="131">
        <v>0.1</v>
      </c>
      <c r="D96" s="131"/>
      <c r="E96" s="72">
        <f ca="1">J104</f>
        <v>21</v>
      </c>
      <c r="F96" s="71">
        <f ca="1">((100/H92)*E96)/100</f>
        <v>1</v>
      </c>
      <c r="G96" s="215"/>
      <c r="H96" s="216"/>
      <c r="I96" s="1" t="s">
        <v>68</v>
      </c>
      <c r="J96" s="40">
        <f ca="1">H92</f>
        <v>21</v>
      </c>
    </row>
    <row r="97" spans="1:10" x14ac:dyDescent="0.2">
      <c r="A97" s="134" t="s">
        <v>69</v>
      </c>
      <c r="B97" s="135"/>
      <c r="C97" s="131">
        <v>0.4</v>
      </c>
      <c r="D97" s="131"/>
      <c r="E97" s="72">
        <v>0</v>
      </c>
      <c r="F97" s="71">
        <f ca="1">((100/(F92+G92+H92))*E97)/100</f>
        <v>0</v>
      </c>
      <c r="G97" s="215"/>
      <c r="H97" s="216"/>
      <c r="I97" s="1" t="s">
        <v>70</v>
      </c>
      <c r="J97" s="41">
        <f ca="1">(IF(E92&gt;1,(H92/(E92+2)),H92/4))</f>
        <v>5.25</v>
      </c>
    </row>
    <row r="98" spans="1:10" x14ac:dyDescent="0.2">
      <c r="A98" s="134" t="s">
        <v>71</v>
      </c>
      <c r="B98" s="135"/>
      <c r="C98" s="131">
        <v>0.15</v>
      </c>
      <c r="D98" s="131"/>
      <c r="E98" s="70">
        <v>0</v>
      </c>
      <c r="F98" s="71">
        <f ca="1">((100/H92)*E98)/100</f>
        <v>0</v>
      </c>
      <c r="G98" s="215"/>
      <c r="H98" s="216"/>
      <c r="I98" s="1" t="s">
        <v>72</v>
      </c>
      <c r="J98" s="41">
        <f ca="1">(IF(E92&gt;1,(H92/(E92+2)+J97),H92/4+J97))</f>
        <v>10.5</v>
      </c>
    </row>
    <row r="99" spans="1:10" x14ac:dyDescent="0.2">
      <c r="A99" s="134" t="s">
        <v>73</v>
      </c>
      <c r="B99" s="135"/>
      <c r="C99" s="131">
        <v>0.05</v>
      </c>
      <c r="D99" s="131"/>
      <c r="E99" s="70">
        <v>0</v>
      </c>
      <c r="F99" s="71">
        <f ca="1">((100/H92)*E99)/100</f>
        <v>0</v>
      </c>
      <c r="G99" s="215"/>
      <c r="H99" s="216"/>
      <c r="I99" s="1" t="s">
        <v>74</v>
      </c>
      <c r="J99" s="41">
        <f>(IF(E92&gt;1,(H92/(E92+2)+J98),0))</f>
        <v>0</v>
      </c>
    </row>
    <row r="100" spans="1:10" x14ac:dyDescent="0.2">
      <c r="A100" s="134" t="s">
        <v>75</v>
      </c>
      <c r="B100" s="135"/>
      <c r="C100" s="131">
        <v>0.05</v>
      </c>
      <c r="D100" s="131"/>
      <c r="E100" s="70">
        <v>0</v>
      </c>
      <c r="F100" s="71">
        <f ca="1">((100/(H92))*E100)/100</f>
        <v>0</v>
      </c>
      <c r="G100" s="215"/>
      <c r="H100" s="216"/>
      <c r="I100" s="1" t="s">
        <v>76</v>
      </c>
      <c r="J100" s="41">
        <f>(IF(E92&gt;2,(H92/(E92+2)+J99),0))</f>
        <v>0</v>
      </c>
    </row>
    <row r="101" spans="1:10" x14ac:dyDescent="0.2">
      <c r="A101" s="134" t="s">
        <v>77</v>
      </c>
      <c r="B101" s="135"/>
      <c r="C101" s="131">
        <v>0.1</v>
      </c>
      <c r="D101" s="131"/>
      <c r="E101" s="70">
        <v>0</v>
      </c>
      <c r="F101" s="71">
        <f ca="1">((100/H92)*E101)/100</f>
        <v>0</v>
      </c>
      <c r="G101" s="215"/>
      <c r="H101" s="216"/>
      <c r="I101" s="1" t="s">
        <v>78</v>
      </c>
      <c r="J101" s="42">
        <f>(IF(E92&gt;3,(H92/(E92+2)+J100),0))</f>
        <v>0</v>
      </c>
    </row>
    <row r="102" spans="1:10" x14ac:dyDescent="0.2">
      <c r="A102" s="134" t="s">
        <v>79</v>
      </c>
      <c r="B102" s="135"/>
      <c r="C102" s="131">
        <v>0.05</v>
      </c>
      <c r="D102" s="131"/>
      <c r="E102" s="70">
        <v>0</v>
      </c>
      <c r="F102" s="71">
        <f ca="1">((100/H92)*E102)/100</f>
        <v>0</v>
      </c>
      <c r="G102" s="215"/>
      <c r="H102" s="216"/>
      <c r="I102" s="1" t="s">
        <v>80</v>
      </c>
      <c r="J102" s="41">
        <f>(IF(E92&gt;4,(H92/(E92+2)+J101),0))</f>
        <v>0</v>
      </c>
    </row>
    <row r="103" spans="1:10" x14ac:dyDescent="0.2">
      <c r="A103" s="134" t="s">
        <v>81</v>
      </c>
      <c r="B103" s="135"/>
      <c r="C103" s="131">
        <v>0.05</v>
      </c>
      <c r="D103" s="131"/>
      <c r="E103" s="70">
        <v>0</v>
      </c>
      <c r="F103" s="71">
        <f ca="1">((100/(H92))*E103)/100</f>
        <v>0</v>
      </c>
      <c r="G103" s="215"/>
      <c r="H103" s="216"/>
      <c r="I103" s="1" t="s">
        <v>82</v>
      </c>
      <c r="J103" s="41">
        <f ca="1">(IF(E92=1,(H92/(E92+3)+J98),IF(E92=0,(H92/4+J98),IF(E92&gt;1,0))))</f>
        <v>15.75</v>
      </c>
    </row>
    <row r="104" spans="1:10" ht="13.5" thickBot="1" x14ac:dyDescent="0.25">
      <c r="A104" s="145" t="s">
        <v>83</v>
      </c>
      <c r="B104" s="146"/>
      <c r="C104" s="151">
        <v>0.05</v>
      </c>
      <c r="D104" s="151"/>
      <c r="E104" s="73">
        <v>0</v>
      </c>
      <c r="F104" s="74">
        <f ca="1">((100/(H92))*E104)/100</f>
        <v>0</v>
      </c>
      <c r="G104" s="217"/>
      <c r="H104" s="218"/>
      <c r="I104" s="43" t="s">
        <v>84</v>
      </c>
      <c r="J104" s="44">
        <f ca="1">(IF(E92&gt;1.5,(H92/(E92+2)+J98+MAX(0,J99-J98)+MAX(0,J100-J99)+MAX(0,J101-J100)+MAX(0,J102-J101)+MAX(0,J103-J102)),IF(E92=1,(H92/(E92+3)+J103),IF(E92=0,H92/4+J103))))</f>
        <v>21</v>
      </c>
    </row>
    <row r="105" spans="1:10" x14ac:dyDescent="0.2">
      <c r="A105" s="155" t="s">
        <v>270</v>
      </c>
      <c r="B105" s="156"/>
      <c r="C105" s="156"/>
      <c r="D105" s="157"/>
      <c r="E105" s="9" t="s">
        <v>58</v>
      </c>
      <c r="F105" s="9" t="s">
        <v>59</v>
      </c>
      <c r="G105" s="9" t="s">
        <v>60</v>
      </c>
      <c r="H105" s="10" t="s">
        <v>46</v>
      </c>
      <c r="I105" s="35" t="str">
        <f ca="1">(IF(G109&gt;99%,"All work completed. Please provide OC.",IF(G109&gt;89.8%,"Plinth, RCC, Brick, Plaster, Flooring, Painting work Completed. Finishing work is in process.",IF(G109&lt;94%,(IF(E109=0,"Work not yet Started.",IF(F109=25%,"Piling work in process",IF(F109=50%,"Excavation work in process",IF(F109=100%,"Excavation work Completed. ","0")))&amp;(IF(E110=0%,"",IF(E110=J111,"Footing work is process",IF(E110=J112,"Footing work Completed",IF(E110=J113,"1st Basement Completed",IF(E110=J114,"1st &amp; 2nd Basement Completed",IF(E110=J115,"1st to 3rd Basement Completed",IF(E110=J116,"1st to 4th Basement Completed",IF(E110=J117,"Plinth work is process",IF(E110=J118,"Plinth work completed","0")))))))))))&amp;(IF(E111=(F106+G106+H106),", RCC Slab",IF(E111&gt;0,", RCC upto "&amp;E111&amp;" Slab",""))&amp;(IF(E112=H106,", Brickwork",IF(E112&gt;0,", Brickwork upto "&amp;E112&amp;" Floor",""))&amp;(IF(E113=H106,", Internal Plaster",IF(E113&gt;0,", Internal Plaster upto "&amp;E113&amp;" Floor",""))&amp;(IF(E114=H106,", External Plaster",IF(E114&gt;0,", External Plaster upto "&amp;E114&amp;" Floor",""))&amp;(IF(E115=H106,", Flooring",IF(E115&gt;0,", Flooring upto "&amp;E115&amp;" Floor",""))&amp;(IF(E116=H106,", Painting",IF(E116&gt;0,", Painting upto "&amp;E116&amp;" Floor",""))&amp;(IF(E117&gt;0,", Finishing upto "&amp;E117&amp;" Floor","")&amp;(IF(E111&gt;0.5," Completed",""))))))))))))))</f>
        <v>Excavation work Completed. Plinth work completed</v>
      </c>
      <c r="J105" s="36"/>
    </row>
    <row r="106" spans="1:10" x14ac:dyDescent="0.2">
      <c r="A106" s="158"/>
      <c r="B106" s="159"/>
      <c r="C106" s="159"/>
      <c r="D106" s="160"/>
      <c r="E106" s="7">
        <v>0</v>
      </c>
      <c r="F106" s="7">
        <v>1</v>
      </c>
      <c r="G106" s="7">
        <v>0</v>
      </c>
      <c r="H106" s="8">
        <f ca="1">--TRIM(RIGHT(SUBSTITUTE(LEFT(A105,_xlfn.AGGREGATE(16,6,FIND({0,1,2,3,4,5,6,7,8,9},A105,ROW(INDIRECT("1:"&amp;LEN(A105)))),1))," ",REPT(" ",LEN(A105))),LEN(A105)))</f>
        <v>22</v>
      </c>
      <c r="I106" s="37"/>
      <c r="J106" s="38"/>
    </row>
    <row r="107" spans="1:10" x14ac:dyDescent="0.2">
      <c r="A107" s="67" t="s">
        <v>135</v>
      </c>
      <c r="B107" s="68"/>
      <c r="C107" s="132" t="str">
        <f ca="1">I105</f>
        <v>Excavation work Completed. Plinth work completed</v>
      </c>
      <c r="D107" s="132"/>
      <c r="E107" s="132"/>
      <c r="F107" s="132"/>
      <c r="G107" s="132"/>
      <c r="H107" s="133"/>
      <c r="I107" s="37" t="s">
        <v>136</v>
      </c>
      <c r="J107" s="38"/>
    </row>
    <row r="108" spans="1:10" x14ac:dyDescent="0.2">
      <c r="A108" s="134" t="s">
        <v>61</v>
      </c>
      <c r="B108" s="135"/>
      <c r="C108" s="130" t="s">
        <v>137</v>
      </c>
      <c r="D108" s="130"/>
      <c r="E108" s="69" t="s">
        <v>62</v>
      </c>
      <c r="F108" s="69" t="s">
        <v>63</v>
      </c>
      <c r="G108" s="213" t="s">
        <v>56</v>
      </c>
      <c r="H108" s="214"/>
      <c r="I108" s="1" t="s">
        <v>64</v>
      </c>
      <c r="J108" s="39">
        <f ca="1">H106*25%</f>
        <v>5.5</v>
      </c>
    </row>
    <row r="109" spans="1:10" x14ac:dyDescent="0.2">
      <c r="A109" s="134" t="s">
        <v>65</v>
      </c>
      <c r="B109" s="135"/>
      <c r="C109" s="131">
        <v>0</v>
      </c>
      <c r="D109" s="131"/>
      <c r="E109" s="70">
        <f ca="1">J110</f>
        <v>22</v>
      </c>
      <c r="F109" s="71">
        <f ca="1">((100/H106)*E109)/100</f>
        <v>1.0000000000000002</v>
      </c>
      <c r="G109" s="215">
        <f ca="1">(((E110/H106*10)+(40/(F106+G106+H106)*E111)+(15/(H106)*E112)+(5/(H106)*E113)+(5/H106*E114)+(10/H106*E115)+(5/H106*E116)+(5/H106*E117)+(5/H106*E118))/100)</f>
        <v>0.1</v>
      </c>
      <c r="H109" s="216"/>
      <c r="I109" s="1" t="s">
        <v>66</v>
      </c>
      <c r="J109" s="40">
        <f ca="1">H106*50%</f>
        <v>11</v>
      </c>
    </row>
    <row r="110" spans="1:10" x14ac:dyDescent="0.2">
      <c r="A110" s="134" t="s">
        <v>67</v>
      </c>
      <c r="B110" s="135"/>
      <c r="C110" s="131">
        <v>0.1</v>
      </c>
      <c r="D110" s="131"/>
      <c r="E110" s="72">
        <f ca="1">J118</f>
        <v>22</v>
      </c>
      <c r="F110" s="71">
        <f ca="1">((100/H106)*E110)/100</f>
        <v>1.0000000000000002</v>
      </c>
      <c r="G110" s="215"/>
      <c r="H110" s="216"/>
      <c r="I110" s="1" t="s">
        <v>68</v>
      </c>
      <c r="J110" s="40">
        <f ca="1">H106</f>
        <v>22</v>
      </c>
    </row>
    <row r="111" spans="1:10" x14ac:dyDescent="0.2">
      <c r="A111" s="134" t="s">
        <v>69</v>
      </c>
      <c r="B111" s="135"/>
      <c r="C111" s="131">
        <v>0.4</v>
      </c>
      <c r="D111" s="131"/>
      <c r="E111" s="72">
        <v>0</v>
      </c>
      <c r="F111" s="71">
        <f ca="1">((100/(F106+G106+H106))*E111)/100</f>
        <v>0</v>
      </c>
      <c r="G111" s="215"/>
      <c r="H111" s="216"/>
      <c r="I111" s="1" t="s">
        <v>70</v>
      </c>
      <c r="J111" s="41">
        <f ca="1">(IF(E106&gt;1,(H106/(E106+2)),H106/4))</f>
        <v>5.5</v>
      </c>
    </row>
    <row r="112" spans="1:10" x14ac:dyDescent="0.2">
      <c r="A112" s="134" t="s">
        <v>71</v>
      </c>
      <c r="B112" s="135"/>
      <c r="C112" s="131">
        <v>0.15</v>
      </c>
      <c r="D112" s="131"/>
      <c r="E112" s="70">
        <v>0</v>
      </c>
      <c r="F112" s="71">
        <f ca="1">((100/H106)*E112)/100</f>
        <v>0</v>
      </c>
      <c r="G112" s="215"/>
      <c r="H112" s="216"/>
      <c r="I112" s="1" t="s">
        <v>72</v>
      </c>
      <c r="J112" s="41">
        <f ca="1">(IF(E106&gt;1,(H106/(E106+2)+J111),H106/4+J111))</f>
        <v>11</v>
      </c>
    </row>
    <row r="113" spans="1:10" x14ac:dyDescent="0.2">
      <c r="A113" s="134" t="s">
        <v>73</v>
      </c>
      <c r="B113" s="135"/>
      <c r="C113" s="131">
        <v>0.05</v>
      </c>
      <c r="D113" s="131"/>
      <c r="E113" s="70">
        <v>0</v>
      </c>
      <c r="F113" s="71">
        <f ca="1">((100/H106)*E113)/100</f>
        <v>0</v>
      </c>
      <c r="G113" s="215"/>
      <c r="H113" s="216"/>
      <c r="I113" s="1" t="s">
        <v>74</v>
      </c>
      <c r="J113" s="41">
        <f>(IF(E106&gt;1,(H106/(E106+2)+J112),0))</f>
        <v>0</v>
      </c>
    </row>
    <row r="114" spans="1:10" x14ac:dyDescent="0.2">
      <c r="A114" s="134" t="s">
        <v>75</v>
      </c>
      <c r="B114" s="135"/>
      <c r="C114" s="131">
        <v>0.05</v>
      </c>
      <c r="D114" s="131"/>
      <c r="E114" s="70">
        <v>0</v>
      </c>
      <c r="F114" s="71">
        <f ca="1">((100/(H106))*E114)/100</f>
        <v>0</v>
      </c>
      <c r="G114" s="215"/>
      <c r="H114" s="216"/>
      <c r="I114" s="1" t="s">
        <v>76</v>
      </c>
      <c r="J114" s="41">
        <f>(IF(E106&gt;2,(H106/(E106+2)+J113),0))</f>
        <v>0</v>
      </c>
    </row>
    <row r="115" spans="1:10" x14ac:dyDescent="0.2">
      <c r="A115" s="134" t="s">
        <v>77</v>
      </c>
      <c r="B115" s="135"/>
      <c r="C115" s="131">
        <v>0.1</v>
      </c>
      <c r="D115" s="131"/>
      <c r="E115" s="70">
        <v>0</v>
      </c>
      <c r="F115" s="71">
        <f ca="1">((100/H106)*E115)/100</f>
        <v>0</v>
      </c>
      <c r="G115" s="215"/>
      <c r="H115" s="216"/>
      <c r="I115" s="1" t="s">
        <v>78</v>
      </c>
      <c r="J115" s="42">
        <f>(IF(E106&gt;3,(H106/(E106+2)+J114),0))</f>
        <v>0</v>
      </c>
    </row>
    <row r="116" spans="1:10" x14ac:dyDescent="0.2">
      <c r="A116" s="134" t="s">
        <v>79</v>
      </c>
      <c r="B116" s="135"/>
      <c r="C116" s="131">
        <v>0.05</v>
      </c>
      <c r="D116" s="131"/>
      <c r="E116" s="70">
        <v>0</v>
      </c>
      <c r="F116" s="71">
        <f ca="1">((100/H106)*E116)/100</f>
        <v>0</v>
      </c>
      <c r="G116" s="215"/>
      <c r="H116" s="216"/>
      <c r="I116" s="1" t="s">
        <v>80</v>
      </c>
      <c r="J116" s="41">
        <f>(IF(E106&gt;4,(H106/(E106+2)+J115),0))</f>
        <v>0</v>
      </c>
    </row>
    <row r="117" spans="1:10" x14ac:dyDescent="0.2">
      <c r="A117" s="134" t="s">
        <v>81</v>
      </c>
      <c r="B117" s="135"/>
      <c r="C117" s="131">
        <v>0.05</v>
      </c>
      <c r="D117" s="131"/>
      <c r="E117" s="70">
        <v>0</v>
      </c>
      <c r="F117" s="71">
        <f ca="1">((100/(H106))*E117)/100</f>
        <v>0</v>
      </c>
      <c r="G117" s="215"/>
      <c r="H117" s="216"/>
      <c r="I117" s="1" t="s">
        <v>82</v>
      </c>
      <c r="J117" s="41">
        <f ca="1">(IF(E106=1,(H106/(E106+3)+J112),IF(E106=0,(H106/4+J112),IF(E106&gt;1,0))))</f>
        <v>16.5</v>
      </c>
    </row>
    <row r="118" spans="1:10" ht="13.5" thickBot="1" x14ac:dyDescent="0.25">
      <c r="A118" s="145" t="s">
        <v>83</v>
      </c>
      <c r="B118" s="146"/>
      <c r="C118" s="151">
        <v>0.05</v>
      </c>
      <c r="D118" s="151"/>
      <c r="E118" s="73">
        <v>0</v>
      </c>
      <c r="F118" s="74">
        <f ca="1">((100/(H106))*E118)/100</f>
        <v>0</v>
      </c>
      <c r="G118" s="217"/>
      <c r="H118" s="218"/>
      <c r="I118" s="43" t="s">
        <v>84</v>
      </c>
      <c r="J118" s="44">
        <f ca="1">(IF(E106&gt;1.5,(H106/(E106+2)+J112+MAX(0,J113-J112)+MAX(0,J114-J113)+MAX(0,J115-J114)+MAX(0,J116-J115)+MAX(0,J117-J116)),IF(E106=1,(H106/(E106+3)+J117),IF(E106=0,H106/4+J117))))</f>
        <v>22</v>
      </c>
    </row>
    <row r="119" spans="1:10" ht="12.75" customHeight="1" x14ac:dyDescent="0.2">
      <c r="A119" s="155" t="s">
        <v>271</v>
      </c>
      <c r="B119" s="156"/>
      <c r="C119" s="156"/>
      <c r="D119" s="157"/>
      <c r="E119" s="9" t="s">
        <v>58</v>
      </c>
      <c r="F119" s="9" t="s">
        <v>59</v>
      </c>
      <c r="G119" s="9" t="s">
        <v>60</v>
      </c>
      <c r="H119" s="10" t="s">
        <v>46</v>
      </c>
      <c r="I119" s="35" t="str">
        <f ca="1">(IF(G123&gt;99%,"All work completed. Please provide OC.",IF(G123&gt;89.8%,"Plinth, RCC, Brick, Plaster, Flooring, Painting work Completed. Finishing work is in process.",IF(G123&lt;94%,(IF(E123=0,"Work not yet Started.",IF(F123=25%,"Piling work in process",IF(F123=50%,"Excavation work in process",IF(F123=100%,"Excavation work Completed. ","0")))&amp;(IF(E124=0%,"",IF(E124=J125,"Footing work is process",IF(E124=J126,"Footing work Completed",IF(E124=J127,"1st Basement Completed",IF(E124=J128,"1st &amp; 2nd Basement Completed",IF(E124=J129,"1st to 3rd Basement Completed",IF(E124=J130,"1st to 4th Basement Completed",IF(E124=J131,"Plinth work is process",IF(E124=J132,"Plinth work completed","0")))))))))))&amp;(IF(E125=(F120+G120+H120),", RCC Slab",IF(E125&gt;0,", RCC upto "&amp;E125&amp;" Slab",""))&amp;(IF(E126=H120,", Brickwork",IF(E126&gt;0,", Brickwork upto "&amp;E126&amp;" Floor",""))&amp;(IF(E127=H120,", Internal Plaster",IF(E127&gt;0,", Internal Plaster upto "&amp;E127&amp;" Floor",""))&amp;(IF(E128=H120,", External Plaster",IF(E128&gt;0,", External Plaster upto "&amp;E128&amp;" Floor",""))&amp;(IF(E129=H120,", Flooring",IF(E129&gt;0,", Flooring upto "&amp;E129&amp;" Floor",""))&amp;(IF(E130=H120,", Painting",IF(E130&gt;0,", Painting upto "&amp;E130&amp;" Floor",""))&amp;(IF(E131&gt;0,", Finishing upto "&amp;E131&amp;" Floor","")&amp;(IF(E125&gt;0.5," Completed",""))))))))))))))</f>
        <v>Excavation work Completed. Plinth work is process</v>
      </c>
      <c r="J119" s="36"/>
    </row>
    <row r="120" spans="1:10" x14ac:dyDescent="0.2">
      <c r="A120" s="158"/>
      <c r="B120" s="159"/>
      <c r="C120" s="159"/>
      <c r="D120" s="160"/>
      <c r="E120" s="7">
        <v>0</v>
      </c>
      <c r="F120" s="7">
        <v>1</v>
      </c>
      <c r="G120" s="7">
        <v>0</v>
      </c>
      <c r="H120" s="8">
        <f ca="1">--TRIM(RIGHT(SUBSTITUTE(LEFT(A119,_xlfn.AGGREGATE(16,6,FIND({0,1,2,3,4,5,6,7,8,9},A119,ROW(INDIRECT("1:"&amp;LEN(A119)))),1))," ",REPT(" ",LEN(A119))),LEN(A119)))</f>
        <v>22</v>
      </c>
      <c r="I120" s="37"/>
      <c r="J120" s="38"/>
    </row>
    <row r="121" spans="1:10" x14ac:dyDescent="0.2">
      <c r="A121" s="67" t="s">
        <v>135</v>
      </c>
      <c r="B121" s="68"/>
      <c r="C121" s="132" t="str">
        <f ca="1">I119</f>
        <v>Excavation work Completed. Plinth work is process</v>
      </c>
      <c r="D121" s="132"/>
      <c r="E121" s="132"/>
      <c r="F121" s="132"/>
      <c r="G121" s="132"/>
      <c r="H121" s="133"/>
      <c r="I121" s="37" t="s">
        <v>136</v>
      </c>
      <c r="J121" s="38"/>
    </row>
    <row r="122" spans="1:10" x14ac:dyDescent="0.2">
      <c r="A122" s="134" t="s">
        <v>61</v>
      </c>
      <c r="B122" s="135"/>
      <c r="C122" s="130" t="s">
        <v>137</v>
      </c>
      <c r="D122" s="130"/>
      <c r="E122" s="69" t="s">
        <v>62</v>
      </c>
      <c r="F122" s="69" t="s">
        <v>63</v>
      </c>
      <c r="G122" s="213" t="s">
        <v>56</v>
      </c>
      <c r="H122" s="214"/>
      <c r="I122" s="1" t="s">
        <v>64</v>
      </c>
      <c r="J122" s="39">
        <f ca="1">H120*25%</f>
        <v>5.5</v>
      </c>
    </row>
    <row r="123" spans="1:10" x14ac:dyDescent="0.2">
      <c r="A123" s="134" t="s">
        <v>65</v>
      </c>
      <c r="B123" s="135"/>
      <c r="C123" s="131">
        <v>0</v>
      </c>
      <c r="D123" s="131"/>
      <c r="E123" s="70">
        <f ca="1">J124</f>
        <v>22</v>
      </c>
      <c r="F123" s="71">
        <f ca="1">((100/H120)*E123)/100</f>
        <v>1.0000000000000002</v>
      </c>
      <c r="G123" s="215">
        <f ca="1">(((E124/H120*10)+(40/(F120+G120+H120)*E125)+(15/(H120)*E126)+(5/(H120)*E127)+(5/H120*E128)+(10/H120*E129)+(5/H120*E130)+(5/H120*E131)+(5/H120*E132))/100)</f>
        <v>7.4999999999999997E-2</v>
      </c>
      <c r="H123" s="216"/>
      <c r="I123" s="1" t="s">
        <v>66</v>
      </c>
      <c r="J123" s="40">
        <f ca="1">H120*50%</f>
        <v>11</v>
      </c>
    </row>
    <row r="124" spans="1:10" x14ac:dyDescent="0.2">
      <c r="A124" s="134" t="s">
        <v>67</v>
      </c>
      <c r="B124" s="135"/>
      <c r="C124" s="131">
        <v>0.1</v>
      </c>
      <c r="D124" s="131"/>
      <c r="E124" s="72">
        <f ca="1">J131</f>
        <v>16.5</v>
      </c>
      <c r="F124" s="71">
        <f ca="1">((100/H120)*E124)/100</f>
        <v>0.75</v>
      </c>
      <c r="G124" s="215"/>
      <c r="H124" s="216"/>
      <c r="I124" s="1" t="s">
        <v>68</v>
      </c>
      <c r="J124" s="40">
        <f ca="1">H120</f>
        <v>22</v>
      </c>
    </row>
    <row r="125" spans="1:10" x14ac:dyDescent="0.2">
      <c r="A125" s="134" t="s">
        <v>69</v>
      </c>
      <c r="B125" s="135"/>
      <c r="C125" s="131">
        <v>0.4</v>
      </c>
      <c r="D125" s="131"/>
      <c r="E125" s="72">
        <v>0</v>
      </c>
      <c r="F125" s="71">
        <f ca="1">((100/(F120+G120+H120))*E125)/100</f>
        <v>0</v>
      </c>
      <c r="G125" s="215"/>
      <c r="H125" s="216"/>
      <c r="I125" s="1" t="s">
        <v>70</v>
      </c>
      <c r="J125" s="41">
        <f ca="1">(IF(E120&gt;1,(H120/(E120+2)),H120/4))</f>
        <v>5.5</v>
      </c>
    </row>
    <row r="126" spans="1:10" x14ac:dyDescent="0.2">
      <c r="A126" s="134" t="s">
        <v>71</v>
      </c>
      <c r="B126" s="135"/>
      <c r="C126" s="131">
        <v>0.15</v>
      </c>
      <c r="D126" s="131"/>
      <c r="E126" s="70">
        <v>0</v>
      </c>
      <c r="F126" s="71">
        <f ca="1">((100/H120)*E126)/100</f>
        <v>0</v>
      </c>
      <c r="G126" s="215"/>
      <c r="H126" s="216"/>
      <c r="I126" s="1" t="s">
        <v>72</v>
      </c>
      <c r="J126" s="41">
        <f ca="1">(IF(E120&gt;1,(H120/(E120+2)+J125),H120/4+J125))</f>
        <v>11</v>
      </c>
    </row>
    <row r="127" spans="1:10" x14ac:dyDescent="0.2">
      <c r="A127" s="134" t="s">
        <v>73</v>
      </c>
      <c r="B127" s="135"/>
      <c r="C127" s="131">
        <v>0.05</v>
      </c>
      <c r="D127" s="131"/>
      <c r="E127" s="70">
        <v>0</v>
      </c>
      <c r="F127" s="71">
        <f ca="1">((100/H120)*E127)/100</f>
        <v>0</v>
      </c>
      <c r="G127" s="215"/>
      <c r="H127" s="216"/>
      <c r="I127" s="1" t="s">
        <v>74</v>
      </c>
      <c r="J127" s="41">
        <f>(IF(E120&gt;1,(H120/(E120+2)+J126),0))</f>
        <v>0</v>
      </c>
    </row>
    <row r="128" spans="1:10" x14ac:dyDescent="0.2">
      <c r="A128" s="134" t="s">
        <v>75</v>
      </c>
      <c r="B128" s="135"/>
      <c r="C128" s="131">
        <v>0.05</v>
      </c>
      <c r="D128" s="131"/>
      <c r="E128" s="70">
        <v>0</v>
      </c>
      <c r="F128" s="71">
        <f ca="1">((100/(H120))*E128)/100</f>
        <v>0</v>
      </c>
      <c r="G128" s="215"/>
      <c r="H128" s="216"/>
      <c r="I128" s="1" t="s">
        <v>76</v>
      </c>
      <c r="J128" s="41">
        <f>(IF(E120&gt;2,(H120/(E120+2)+J127),0))</f>
        <v>0</v>
      </c>
    </row>
    <row r="129" spans="1:10" x14ac:dyDescent="0.2">
      <c r="A129" s="134" t="s">
        <v>77</v>
      </c>
      <c r="B129" s="135"/>
      <c r="C129" s="131">
        <v>0.1</v>
      </c>
      <c r="D129" s="131"/>
      <c r="E129" s="70">
        <v>0</v>
      </c>
      <c r="F129" s="71">
        <f ca="1">((100/H120)*E129)/100</f>
        <v>0</v>
      </c>
      <c r="G129" s="215"/>
      <c r="H129" s="216"/>
      <c r="I129" s="1" t="s">
        <v>78</v>
      </c>
      <c r="J129" s="42">
        <f>(IF(E120&gt;3,(H120/(E120+2)+J128),0))</f>
        <v>0</v>
      </c>
    </row>
    <row r="130" spans="1:10" x14ac:dyDescent="0.2">
      <c r="A130" s="134" t="s">
        <v>79</v>
      </c>
      <c r="B130" s="135"/>
      <c r="C130" s="131">
        <v>0.05</v>
      </c>
      <c r="D130" s="131"/>
      <c r="E130" s="70">
        <v>0</v>
      </c>
      <c r="F130" s="71">
        <f ca="1">((100/H120)*E130)/100</f>
        <v>0</v>
      </c>
      <c r="G130" s="215"/>
      <c r="H130" s="216"/>
      <c r="I130" s="1" t="s">
        <v>80</v>
      </c>
      <c r="J130" s="41">
        <f>(IF(E120&gt;4,(H120/(E120+2)+J129),0))</f>
        <v>0</v>
      </c>
    </row>
    <row r="131" spans="1:10" x14ac:dyDescent="0.2">
      <c r="A131" s="134" t="s">
        <v>81</v>
      </c>
      <c r="B131" s="135"/>
      <c r="C131" s="131">
        <v>0.05</v>
      </c>
      <c r="D131" s="131"/>
      <c r="E131" s="70">
        <v>0</v>
      </c>
      <c r="F131" s="71">
        <f ca="1">((100/(H120))*E131)/100</f>
        <v>0</v>
      </c>
      <c r="G131" s="215"/>
      <c r="H131" s="216"/>
      <c r="I131" s="1" t="s">
        <v>82</v>
      </c>
      <c r="J131" s="41">
        <f ca="1">(IF(E120=1,(H120/(E120+3)+J126),IF(E120=0,(H120/4+J126),IF(E120&gt;1,0))))</f>
        <v>16.5</v>
      </c>
    </row>
    <row r="132" spans="1:10" ht="13.5" thickBot="1" x14ac:dyDescent="0.25">
      <c r="A132" s="145" t="s">
        <v>83</v>
      </c>
      <c r="B132" s="146"/>
      <c r="C132" s="151">
        <v>0.05</v>
      </c>
      <c r="D132" s="151"/>
      <c r="E132" s="73">
        <v>0</v>
      </c>
      <c r="F132" s="74">
        <f ca="1">((100/(H120))*E132)/100</f>
        <v>0</v>
      </c>
      <c r="G132" s="217"/>
      <c r="H132" s="218"/>
      <c r="I132" s="43" t="s">
        <v>84</v>
      </c>
      <c r="J132" s="44">
        <f ca="1">(IF(E120&gt;1.5,(H120/(E120+2)+J126+MAX(0,J127-J126)+MAX(0,J128-J127)+MAX(0,J129-J128)+MAX(0,J130-J129)+MAX(0,J131-J130)),IF(E120=1,(H120/(E120+3)+J131),IF(E120=0,H120/4+J131))))</f>
        <v>22</v>
      </c>
    </row>
    <row r="133" spans="1:10" ht="12.75" customHeight="1" x14ac:dyDescent="0.2">
      <c r="A133" s="155" t="s">
        <v>272</v>
      </c>
      <c r="B133" s="156"/>
      <c r="C133" s="156"/>
      <c r="D133" s="157"/>
      <c r="E133" s="9" t="s">
        <v>58</v>
      </c>
      <c r="F133" s="9" t="s">
        <v>59</v>
      </c>
      <c r="G133" s="9" t="s">
        <v>60</v>
      </c>
      <c r="H133" s="10" t="s">
        <v>46</v>
      </c>
      <c r="I133" s="75" t="str">
        <f ca="1">(IF(G137&gt;99%,"All work completed. Please provide OC.",IF(G137&gt;89.8%,"Plinth, RCC, Brick, Plaster, Flooring, Painting work Completed. Finishing work is in process.",IF(G137&lt;94%,(IF(E137=0,"Work not yet Started.",IF(F137=25%,"Piling work in process",IF(F137=50%,"Excavation work in process",IF(F137=100%,"Excavation work Completed. ","0")))&amp;(IF(E138=0%,"",IF(E138=J139,"Footing work is process",IF(E138=J140,"Footing work Completed",IF(E138=J141,"1st Basement Completed",IF(E138=J142,"1st &amp; 2nd Basement Completed",IF(E138=J143,"1st to 3rd Basement Completed",IF(E138=J144,"1st to 4th Basement Completed",IF(E138=J145,"Plinth work is process",IF(E138=J146,"Plinth work completed","0")))))))))))&amp;(IF(E139=(F134+G134+H134),", RCC Slab",IF(E139&gt;0,", RCC upto "&amp;E139&amp;" Slab",""))&amp;(IF(E140=H134,", Brickwork",IF(E140&gt;0,", Brickwork upto "&amp;E140&amp;" Floor",""))&amp;(IF(E141=H134,", Internal Plaster",IF(E141&gt;0,", Internal Plaster upto "&amp;E141&amp;" Floor",""))&amp;(IF(E142=H134,", External Plaster",IF(E142&gt;0,", External Plaster upto "&amp;E142&amp;" Floor",""))&amp;(IF(E143=H134,", Flooring",IF(E143&gt;0,", Flooring upto "&amp;E143&amp;" Floor",""))&amp;(IF(E144=H134,", Painting",IF(E144&gt;0,", Painting upto "&amp;E144&amp;" Floor",""))&amp;(IF(E145&gt;0,", Finishing upto "&amp;E145&amp;" Floor","")&amp;(IF(E139&gt;0.5," Completed",""))))))))))))))</f>
        <v xml:space="preserve">Excavation work Completed. </v>
      </c>
      <c r="J133" s="36"/>
    </row>
    <row r="134" spans="1:10" x14ac:dyDescent="0.2">
      <c r="A134" s="158"/>
      <c r="B134" s="159"/>
      <c r="C134" s="159"/>
      <c r="D134" s="160"/>
      <c r="E134" s="7">
        <v>0</v>
      </c>
      <c r="F134" s="7">
        <v>1</v>
      </c>
      <c r="G134" s="7">
        <v>0</v>
      </c>
      <c r="H134" s="8">
        <f ca="1">--TRIM(RIGHT(SUBSTITUTE(LEFT(A133,_xlfn.AGGREGATE(16,6,FIND({0,1,2,3,4,5,6,7,8,9},A133,ROW(INDIRECT("1:"&amp;LEN(A133)))),1))," ",REPT(" ",LEN(A133))),LEN(A133)))</f>
        <v>22</v>
      </c>
      <c r="I134" s="76"/>
      <c r="J134" s="38"/>
    </row>
    <row r="135" spans="1:10" x14ac:dyDescent="0.2">
      <c r="A135" s="67" t="s">
        <v>135</v>
      </c>
      <c r="B135" s="68"/>
      <c r="C135" s="132" t="str">
        <f ca="1">I133</f>
        <v xml:space="preserve">Excavation work Completed. </v>
      </c>
      <c r="D135" s="132"/>
      <c r="E135" s="132"/>
      <c r="F135" s="132"/>
      <c r="G135" s="132"/>
      <c r="H135" s="133"/>
      <c r="I135" s="76" t="s">
        <v>136</v>
      </c>
      <c r="J135" s="38"/>
    </row>
    <row r="136" spans="1:10" x14ac:dyDescent="0.2">
      <c r="A136" s="134" t="s">
        <v>61</v>
      </c>
      <c r="B136" s="135"/>
      <c r="C136" s="130" t="s">
        <v>137</v>
      </c>
      <c r="D136" s="130"/>
      <c r="E136" s="69" t="s">
        <v>62</v>
      </c>
      <c r="F136" s="69" t="s">
        <v>63</v>
      </c>
      <c r="G136" s="213" t="s">
        <v>56</v>
      </c>
      <c r="H136" s="214"/>
      <c r="I136" s="77" t="s">
        <v>64</v>
      </c>
      <c r="J136" s="39">
        <f ca="1">H134*25%</f>
        <v>5.5</v>
      </c>
    </row>
    <row r="137" spans="1:10" x14ac:dyDescent="0.2">
      <c r="A137" s="134" t="s">
        <v>65</v>
      </c>
      <c r="B137" s="135"/>
      <c r="C137" s="131">
        <v>0</v>
      </c>
      <c r="D137" s="131"/>
      <c r="E137" s="70">
        <f ca="1">J138</f>
        <v>22</v>
      </c>
      <c r="F137" s="71">
        <f ca="1">((100/H134)*E137)/100</f>
        <v>1.0000000000000002</v>
      </c>
      <c r="G137" s="215">
        <f ca="1">(((E138/H134*10)+(40/(F134+G134+H134)*E139)+(15/(H134)*E140)+(5/(H134)*E141)+(5/H134*E142)+(10/H134*E143)+(5/H134*E144)+(5/H134*E145)+(5/H134*E146))/100)</f>
        <v>0</v>
      </c>
      <c r="H137" s="216"/>
      <c r="I137" s="77" t="s">
        <v>66</v>
      </c>
      <c r="J137" s="40">
        <f ca="1">H134*50%</f>
        <v>11</v>
      </c>
    </row>
    <row r="138" spans="1:10" x14ac:dyDescent="0.2">
      <c r="A138" s="134" t="s">
        <v>67</v>
      </c>
      <c r="B138" s="135"/>
      <c r="C138" s="131">
        <v>0.1</v>
      </c>
      <c r="D138" s="131"/>
      <c r="E138" s="72">
        <v>0</v>
      </c>
      <c r="F138" s="71">
        <f ca="1">((100/H134)*E138)/100</f>
        <v>0</v>
      </c>
      <c r="G138" s="215"/>
      <c r="H138" s="216"/>
      <c r="I138" s="77" t="s">
        <v>68</v>
      </c>
      <c r="J138" s="40">
        <f ca="1">H134</f>
        <v>22</v>
      </c>
    </row>
    <row r="139" spans="1:10" x14ac:dyDescent="0.2">
      <c r="A139" s="134" t="s">
        <v>69</v>
      </c>
      <c r="B139" s="135"/>
      <c r="C139" s="131">
        <v>0.4</v>
      </c>
      <c r="D139" s="131"/>
      <c r="E139" s="72">
        <v>0</v>
      </c>
      <c r="F139" s="71">
        <f ca="1">((100/(F134+G134+H134))*E139)/100</f>
        <v>0</v>
      </c>
      <c r="G139" s="215"/>
      <c r="H139" s="216"/>
      <c r="I139" s="77" t="s">
        <v>70</v>
      </c>
      <c r="J139" s="41">
        <f ca="1">(IF(E134&gt;1,(H134/(E134+2)),H134/4))</f>
        <v>5.5</v>
      </c>
    </row>
    <row r="140" spans="1:10" x14ac:dyDescent="0.2">
      <c r="A140" s="134" t="s">
        <v>71</v>
      </c>
      <c r="B140" s="135"/>
      <c r="C140" s="131">
        <v>0.15</v>
      </c>
      <c r="D140" s="131"/>
      <c r="E140" s="70">
        <v>0</v>
      </c>
      <c r="F140" s="71">
        <f ca="1">((100/H134)*E140)/100</f>
        <v>0</v>
      </c>
      <c r="G140" s="215"/>
      <c r="H140" s="216"/>
      <c r="I140" s="77" t="s">
        <v>72</v>
      </c>
      <c r="J140" s="41">
        <f ca="1">(IF(E134&gt;1,(H134/(E134+2)+J139),H134/4+J139))</f>
        <v>11</v>
      </c>
    </row>
    <row r="141" spans="1:10" x14ac:dyDescent="0.2">
      <c r="A141" s="134" t="s">
        <v>73</v>
      </c>
      <c r="B141" s="135"/>
      <c r="C141" s="131">
        <v>0.05</v>
      </c>
      <c r="D141" s="131"/>
      <c r="E141" s="70">
        <v>0</v>
      </c>
      <c r="F141" s="71">
        <f ca="1">((100/H134)*E141)/100</f>
        <v>0</v>
      </c>
      <c r="G141" s="215"/>
      <c r="H141" s="216"/>
      <c r="I141" s="77" t="s">
        <v>74</v>
      </c>
      <c r="J141" s="41">
        <f>(IF(E134&gt;1,(H134/(E134+2)+J140),0))</f>
        <v>0</v>
      </c>
    </row>
    <row r="142" spans="1:10" x14ac:dyDescent="0.2">
      <c r="A142" s="134" t="s">
        <v>75</v>
      </c>
      <c r="B142" s="135"/>
      <c r="C142" s="131">
        <v>0.05</v>
      </c>
      <c r="D142" s="131"/>
      <c r="E142" s="70">
        <v>0</v>
      </c>
      <c r="F142" s="71">
        <f ca="1">((100/(H134))*E142)/100</f>
        <v>0</v>
      </c>
      <c r="G142" s="215"/>
      <c r="H142" s="216"/>
      <c r="I142" s="77" t="s">
        <v>76</v>
      </c>
      <c r="J142" s="41">
        <f>(IF(E134&gt;2,(H134/(E134+2)+J141),0))</f>
        <v>0</v>
      </c>
    </row>
    <row r="143" spans="1:10" x14ac:dyDescent="0.2">
      <c r="A143" s="134" t="s">
        <v>77</v>
      </c>
      <c r="B143" s="135"/>
      <c r="C143" s="131">
        <v>0.1</v>
      </c>
      <c r="D143" s="131"/>
      <c r="E143" s="70">
        <v>0</v>
      </c>
      <c r="F143" s="71">
        <f ca="1">((100/H134)*E143)/100</f>
        <v>0</v>
      </c>
      <c r="G143" s="215"/>
      <c r="H143" s="216"/>
      <c r="I143" s="77" t="s">
        <v>78</v>
      </c>
      <c r="J143" s="42">
        <f>(IF(E134&gt;3,(H134/(E134+2)+J142),0))</f>
        <v>0</v>
      </c>
    </row>
    <row r="144" spans="1:10" x14ac:dyDescent="0.2">
      <c r="A144" s="134" t="s">
        <v>79</v>
      </c>
      <c r="B144" s="135"/>
      <c r="C144" s="131">
        <v>0.05</v>
      </c>
      <c r="D144" s="131"/>
      <c r="E144" s="70">
        <v>0</v>
      </c>
      <c r="F144" s="71">
        <f ca="1">((100/H134)*E144)/100</f>
        <v>0</v>
      </c>
      <c r="G144" s="215"/>
      <c r="H144" s="216"/>
      <c r="I144" s="77" t="s">
        <v>80</v>
      </c>
      <c r="J144" s="41">
        <f>(IF(E134&gt;4,(H134/(E134+2)+J143),0))</f>
        <v>0</v>
      </c>
    </row>
    <row r="145" spans="1:10" x14ac:dyDescent="0.2">
      <c r="A145" s="134" t="s">
        <v>81</v>
      </c>
      <c r="B145" s="135"/>
      <c r="C145" s="131">
        <v>0.05</v>
      </c>
      <c r="D145" s="131"/>
      <c r="E145" s="70">
        <v>0</v>
      </c>
      <c r="F145" s="71">
        <f ca="1">((100/(H134))*E145)/100</f>
        <v>0</v>
      </c>
      <c r="G145" s="215"/>
      <c r="H145" s="216"/>
      <c r="I145" s="77" t="s">
        <v>82</v>
      </c>
      <c r="J145" s="41">
        <f ca="1">(IF(E134=1,(H134/(E134+3)+J140),IF(E134=0,(H134/4+J140),IF(E134&gt;1,0))))</f>
        <v>16.5</v>
      </c>
    </row>
    <row r="146" spans="1:10" ht="13.5" thickBot="1" x14ac:dyDescent="0.25">
      <c r="A146" s="145" t="s">
        <v>83</v>
      </c>
      <c r="B146" s="146"/>
      <c r="C146" s="151">
        <v>0.05</v>
      </c>
      <c r="D146" s="151"/>
      <c r="E146" s="73">
        <v>0</v>
      </c>
      <c r="F146" s="74">
        <f ca="1">((100/(H134))*E146)/100</f>
        <v>0</v>
      </c>
      <c r="G146" s="217"/>
      <c r="H146" s="218"/>
      <c r="I146" s="78" t="s">
        <v>84</v>
      </c>
      <c r="J146" s="44">
        <f ca="1">(IF(E134&gt;1.5,(H134/(E134+2)+J140+MAX(0,J141-J140)+MAX(0,J142-J141)+MAX(0,J143-J142)+MAX(0,J144-J143)+MAX(0,J145-J144)),IF(E134=1,(H134/(E134+3)+J145),IF(E134=0,H134/4+J145))))</f>
        <v>22</v>
      </c>
    </row>
    <row r="147" spans="1:10" ht="12.75" customHeight="1" x14ac:dyDescent="0.2">
      <c r="A147" s="155" t="s">
        <v>273</v>
      </c>
      <c r="B147" s="156"/>
      <c r="C147" s="156"/>
      <c r="D147" s="157"/>
      <c r="E147" s="9" t="s">
        <v>58</v>
      </c>
      <c r="F147" s="9" t="s">
        <v>59</v>
      </c>
      <c r="G147" s="9" t="s">
        <v>60</v>
      </c>
      <c r="H147" s="10" t="s">
        <v>46</v>
      </c>
      <c r="I147" s="35" t="str">
        <f ca="1">(IF(G151&gt;99%,"All work completed. Please provide OC.",IF(G151&gt;89.8%,"Plinth, RCC, Brick, Plaster, Flooring, Painting work Completed. Finishing work is in process.",IF(G151&lt;94%,(IF(E151=0,"Work not yet Started.",IF(F151=25%,"Piling work in process",IF(F151=50%,"Excavation work in process",IF(F151=100%,"Excavation work Completed. ","0")))&amp;(IF(E152=0%,"",IF(E152=J153,"Footing work is process",IF(E152=J154,"Footing work Completed",IF(E152=J155,"1st Basement Completed",IF(E152=J156,"1st &amp; 2nd Basement Completed",IF(E152=J157,"1st to 3rd Basement Completed",IF(E152=J158,"1st to 4th Basement Completed",IF(E152=J159,"Plinth work is process",IF(E152=J160,"Plinth work completed","0")))))))))))&amp;(IF(E153=(F148+G148+H148),", RCC Slab",IF(E153&gt;0,", RCC upto "&amp;E153&amp;" Slab",""))&amp;(IF(E154=H148,", Brickwork",IF(E154&gt;0,", Brickwork upto "&amp;E154&amp;" Floor",""))&amp;(IF(E155=H148,", Internal Plaster",IF(E155&gt;0,", Internal Plaster upto "&amp;E155&amp;" Floor",""))&amp;(IF(E156=H148,", External Plaster",IF(E156&gt;0,", External Plaster upto "&amp;E156&amp;" Floor",""))&amp;(IF(E157=H148,", Flooring",IF(E157&gt;0,", Flooring upto "&amp;E157&amp;" Floor",""))&amp;(IF(E158=H148,", Painting",IF(E158&gt;0,", Painting upto "&amp;E158&amp;" Floor",""))&amp;(IF(E159&gt;0,", Finishing upto "&amp;E159&amp;" Floor","")&amp;(IF(E153&gt;0.5," Completed",""))))))))))))))</f>
        <v>Excavation work Completed. Plinth work completed</v>
      </c>
      <c r="J147" s="36"/>
    </row>
    <row r="148" spans="1:10" x14ac:dyDescent="0.2">
      <c r="A148" s="158"/>
      <c r="B148" s="159"/>
      <c r="C148" s="159"/>
      <c r="D148" s="160"/>
      <c r="E148" s="7">
        <v>0</v>
      </c>
      <c r="F148" s="7">
        <v>1</v>
      </c>
      <c r="G148" s="7">
        <v>0</v>
      </c>
      <c r="H148" s="8">
        <f ca="1">--TRIM(RIGHT(SUBSTITUTE(LEFT(A147,_xlfn.AGGREGATE(16,6,FIND({0,1,2,3,4,5,6,7,8,9},A147,ROW(INDIRECT("1:"&amp;LEN(A147)))),1))," ",REPT(" ",LEN(A147))),LEN(A147)))</f>
        <v>22</v>
      </c>
      <c r="I148" s="37"/>
      <c r="J148" s="38"/>
    </row>
    <row r="149" spans="1:10" x14ac:dyDescent="0.2">
      <c r="A149" s="67" t="s">
        <v>135</v>
      </c>
      <c r="B149" s="68"/>
      <c r="C149" s="132" t="str">
        <f ca="1">I147</f>
        <v>Excavation work Completed. Plinth work completed</v>
      </c>
      <c r="D149" s="132"/>
      <c r="E149" s="132"/>
      <c r="F149" s="132"/>
      <c r="G149" s="132"/>
      <c r="H149" s="133"/>
      <c r="I149" s="37" t="s">
        <v>136</v>
      </c>
      <c r="J149" s="38"/>
    </row>
    <row r="150" spans="1:10" x14ac:dyDescent="0.2">
      <c r="A150" s="134" t="s">
        <v>61</v>
      </c>
      <c r="B150" s="135"/>
      <c r="C150" s="130" t="s">
        <v>137</v>
      </c>
      <c r="D150" s="130"/>
      <c r="E150" s="69" t="s">
        <v>62</v>
      </c>
      <c r="F150" s="69" t="s">
        <v>63</v>
      </c>
      <c r="G150" s="213" t="s">
        <v>56</v>
      </c>
      <c r="H150" s="214"/>
      <c r="I150" s="1" t="s">
        <v>64</v>
      </c>
      <c r="J150" s="39">
        <f ca="1">H148*25%</f>
        <v>5.5</v>
      </c>
    </row>
    <row r="151" spans="1:10" x14ac:dyDescent="0.2">
      <c r="A151" s="134" t="s">
        <v>65</v>
      </c>
      <c r="B151" s="135"/>
      <c r="C151" s="131">
        <v>0</v>
      </c>
      <c r="D151" s="131"/>
      <c r="E151" s="70">
        <f ca="1">J152</f>
        <v>22</v>
      </c>
      <c r="F151" s="71">
        <f ca="1">((100/H148)*E151)/100</f>
        <v>1.0000000000000002</v>
      </c>
      <c r="G151" s="215">
        <f ca="1">(((E152/H148*10)+(40/(F148+G148+H148)*E153)+(15/(H148)*E154)+(5/(H148)*E155)+(5/H148*E156)+(10/H148*E157)+(5/H148*E158)+(5/H148*E159)+(5/H148*E160))/100)</f>
        <v>0.1</v>
      </c>
      <c r="H151" s="216"/>
      <c r="I151" s="1" t="s">
        <v>66</v>
      </c>
      <c r="J151" s="40">
        <f ca="1">H148*50%</f>
        <v>11</v>
      </c>
    </row>
    <row r="152" spans="1:10" x14ac:dyDescent="0.2">
      <c r="A152" s="134" t="s">
        <v>67</v>
      </c>
      <c r="B152" s="135"/>
      <c r="C152" s="131">
        <v>0.1</v>
      </c>
      <c r="D152" s="131"/>
      <c r="E152" s="72">
        <f ca="1">J160</f>
        <v>22</v>
      </c>
      <c r="F152" s="71">
        <f ca="1">((100/H148)*E152)/100</f>
        <v>1.0000000000000002</v>
      </c>
      <c r="G152" s="215"/>
      <c r="H152" s="216"/>
      <c r="I152" s="1" t="s">
        <v>68</v>
      </c>
      <c r="J152" s="40">
        <f ca="1">H148</f>
        <v>22</v>
      </c>
    </row>
    <row r="153" spans="1:10" x14ac:dyDescent="0.2">
      <c r="A153" s="134" t="s">
        <v>69</v>
      </c>
      <c r="B153" s="135"/>
      <c r="C153" s="131">
        <v>0.4</v>
      </c>
      <c r="D153" s="131"/>
      <c r="E153" s="72">
        <v>0</v>
      </c>
      <c r="F153" s="71">
        <f ca="1">((100/(F148+G148+H148))*E153)/100</f>
        <v>0</v>
      </c>
      <c r="G153" s="215"/>
      <c r="H153" s="216"/>
      <c r="I153" s="1" t="s">
        <v>70</v>
      </c>
      <c r="J153" s="41">
        <f ca="1">(IF(E148&gt;1,(H148/(E148+2)),H148/4))</f>
        <v>5.5</v>
      </c>
    </row>
    <row r="154" spans="1:10" x14ac:dyDescent="0.2">
      <c r="A154" s="134" t="s">
        <v>71</v>
      </c>
      <c r="B154" s="135"/>
      <c r="C154" s="131">
        <v>0.15</v>
      </c>
      <c r="D154" s="131"/>
      <c r="E154" s="70">
        <v>0</v>
      </c>
      <c r="F154" s="71">
        <f ca="1">((100/H148)*E154)/100</f>
        <v>0</v>
      </c>
      <c r="G154" s="215"/>
      <c r="H154" s="216"/>
      <c r="I154" s="1" t="s">
        <v>72</v>
      </c>
      <c r="J154" s="41">
        <f ca="1">(IF(E148&gt;1,(H148/(E148+2)+J153),H148/4+J153))</f>
        <v>11</v>
      </c>
    </row>
    <row r="155" spans="1:10" x14ac:dyDescent="0.2">
      <c r="A155" s="134" t="s">
        <v>73</v>
      </c>
      <c r="B155" s="135"/>
      <c r="C155" s="131">
        <v>0.05</v>
      </c>
      <c r="D155" s="131"/>
      <c r="E155" s="70">
        <v>0</v>
      </c>
      <c r="F155" s="71">
        <f ca="1">((100/H148)*E155)/100</f>
        <v>0</v>
      </c>
      <c r="G155" s="215"/>
      <c r="H155" s="216"/>
      <c r="I155" s="1" t="s">
        <v>74</v>
      </c>
      <c r="J155" s="41">
        <f>(IF(E148&gt;1,(H148/(E148+2)+J154),0))</f>
        <v>0</v>
      </c>
    </row>
    <row r="156" spans="1:10" x14ac:dyDescent="0.2">
      <c r="A156" s="134" t="s">
        <v>75</v>
      </c>
      <c r="B156" s="135"/>
      <c r="C156" s="131">
        <v>0.05</v>
      </c>
      <c r="D156" s="131"/>
      <c r="E156" s="70">
        <v>0</v>
      </c>
      <c r="F156" s="71">
        <f ca="1">((100/(H148))*E156)/100</f>
        <v>0</v>
      </c>
      <c r="G156" s="215"/>
      <c r="H156" s="216"/>
      <c r="I156" s="1" t="s">
        <v>76</v>
      </c>
      <c r="J156" s="41">
        <f>(IF(E148&gt;2,(H148/(E148+2)+J155),0))</f>
        <v>0</v>
      </c>
    </row>
    <row r="157" spans="1:10" x14ac:dyDescent="0.2">
      <c r="A157" s="134" t="s">
        <v>77</v>
      </c>
      <c r="B157" s="135"/>
      <c r="C157" s="131">
        <v>0.1</v>
      </c>
      <c r="D157" s="131"/>
      <c r="E157" s="70">
        <v>0</v>
      </c>
      <c r="F157" s="71">
        <f ca="1">((100/H148)*E157)/100</f>
        <v>0</v>
      </c>
      <c r="G157" s="215"/>
      <c r="H157" s="216"/>
      <c r="I157" s="1" t="s">
        <v>78</v>
      </c>
      <c r="J157" s="42">
        <f>(IF(E148&gt;3,(H148/(E148+2)+J156),0))</f>
        <v>0</v>
      </c>
    </row>
    <row r="158" spans="1:10" x14ac:dyDescent="0.2">
      <c r="A158" s="134" t="s">
        <v>79</v>
      </c>
      <c r="B158" s="135"/>
      <c r="C158" s="131">
        <v>0.05</v>
      </c>
      <c r="D158" s="131"/>
      <c r="E158" s="70">
        <v>0</v>
      </c>
      <c r="F158" s="71">
        <f ca="1">((100/H148)*E158)/100</f>
        <v>0</v>
      </c>
      <c r="G158" s="215"/>
      <c r="H158" s="216"/>
      <c r="I158" s="1" t="s">
        <v>80</v>
      </c>
      <c r="J158" s="41">
        <f>(IF(E148&gt;4,(H148/(E148+2)+J157),0))</f>
        <v>0</v>
      </c>
    </row>
    <row r="159" spans="1:10" x14ac:dyDescent="0.2">
      <c r="A159" s="134" t="s">
        <v>81</v>
      </c>
      <c r="B159" s="135"/>
      <c r="C159" s="131">
        <v>0.05</v>
      </c>
      <c r="D159" s="131"/>
      <c r="E159" s="70">
        <v>0</v>
      </c>
      <c r="F159" s="71">
        <f ca="1">((100/(H148))*E159)/100</f>
        <v>0</v>
      </c>
      <c r="G159" s="215"/>
      <c r="H159" s="216"/>
      <c r="I159" s="1" t="s">
        <v>82</v>
      </c>
      <c r="J159" s="41">
        <f ca="1">(IF(E148=1,(H148/(E148+3)+J154),IF(E148=0,(H148/4+J154),IF(E148&gt;1,0))))</f>
        <v>16.5</v>
      </c>
    </row>
    <row r="160" spans="1:10" ht="13.5" thickBot="1" x14ac:dyDescent="0.25">
      <c r="A160" s="145" t="s">
        <v>83</v>
      </c>
      <c r="B160" s="146"/>
      <c r="C160" s="151">
        <v>0.05</v>
      </c>
      <c r="D160" s="151"/>
      <c r="E160" s="73">
        <v>0</v>
      </c>
      <c r="F160" s="74">
        <f ca="1">((100/(H148))*E160)/100</f>
        <v>0</v>
      </c>
      <c r="G160" s="217"/>
      <c r="H160" s="218"/>
      <c r="I160" s="43" t="s">
        <v>84</v>
      </c>
      <c r="J160" s="44">
        <f ca="1">(IF(E148&gt;1.5,(H148/(E148+2)+J154+MAX(0,J155-J154)+MAX(0,J156-J155)+MAX(0,J157-J156)+MAX(0,J158-J157)+MAX(0,J159-J158)),IF(E148=1,(H148/(E148+3)+J159),IF(E148=0,H148/4+J159))))</f>
        <v>22</v>
      </c>
    </row>
    <row r="161" spans="1:8" x14ac:dyDescent="0.2">
      <c r="A161" s="147" t="s">
        <v>25</v>
      </c>
      <c r="B161" s="148"/>
      <c r="C161" s="224" t="s">
        <v>113</v>
      </c>
      <c r="D161" s="224"/>
      <c r="E161" s="224"/>
      <c r="F161" s="224"/>
      <c r="G161" s="224"/>
      <c r="H161" s="224"/>
    </row>
    <row r="162" spans="1:8" x14ac:dyDescent="0.2">
      <c r="A162" s="112" t="s">
        <v>26</v>
      </c>
      <c r="B162" s="112"/>
      <c r="C162" s="112"/>
      <c r="D162" s="112"/>
      <c r="E162" s="112"/>
      <c r="F162" s="112"/>
      <c r="G162" s="112"/>
      <c r="H162" s="112"/>
    </row>
    <row r="163" spans="1:8" x14ac:dyDescent="0.2">
      <c r="A163" s="149" t="s">
        <v>27</v>
      </c>
      <c r="B163" s="150"/>
      <c r="C163" s="141" t="s">
        <v>50</v>
      </c>
      <c r="D163" s="142"/>
      <c r="E163" s="219" t="s">
        <v>28</v>
      </c>
      <c r="F163" s="219"/>
      <c r="G163" s="65" t="s">
        <v>18</v>
      </c>
      <c r="H163" s="65" t="s">
        <v>51</v>
      </c>
    </row>
    <row r="164" spans="1:8" x14ac:dyDescent="0.2">
      <c r="A164" s="149" t="s">
        <v>29</v>
      </c>
      <c r="B164" s="150"/>
      <c r="C164" s="141" t="s">
        <v>49</v>
      </c>
      <c r="D164" s="142"/>
      <c r="E164" s="219" t="s">
        <v>30</v>
      </c>
      <c r="F164" s="219"/>
      <c r="G164" s="65" t="s">
        <v>18</v>
      </c>
      <c r="H164" s="65" t="s">
        <v>52</v>
      </c>
    </row>
    <row r="165" spans="1:8" x14ac:dyDescent="0.2">
      <c r="A165" s="149" t="s">
        <v>31</v>
      </c>
      <c r="B165" s="150"/>
      <c r="C165" s="141" t="s">
        <v>138</v>
      </c>
      <c r="D165" s="142"/>
      <c r="E165" s="219" t="s">
        <v>32</v>
      </c>
      <c r="F165" s="219"/>
      <c r="G165" s="65" t="s">
        <v>18</v>
      </c>
      <c r="H165" s="65" t="s">
        <v>51</v>
      </c>
    </row>
    <row r="166" spans="1:8" x14ac:dyDescent="0.2">
      <c r="A166" s="149" t="s">
        <v>33</v>
      </c>
      <c r="B166" s="150"/>
      <c r="C166" s="141" t="s">
        <v>121</v>
      </c>
      <c r="D166" s="142"/>
      <c r="E166" s="219" t="s">
        <v>34</v>
      </c>
      <c r="F166" s="219"/>
      <c r="G166" s="65" t="s">
        <v>18</v>
      </c>
      <c r="H166" s="65" t="s">
        <v>51</v>
      </c>
    </row>
    <row r="167" spans="1:8" x14ac:dyDescent="0.2">
      <c r="A167" s="149" t="s">
        <v>35</v>
      </c>
      <c r="B167" s="150"/>
      <c r="C167" s="141" t="s">
        <v>126</v>
      </c>
      <c r="D167" s="142"/>
      <c r="E167" s="219" t="s">
        <v>36</v>
      </c>
      <c r="F167" s="219"/>
      <c r="G167" s="65" t="s">
        <v>18</v>
      </c>
      <c r="H167" s="65" t="s">
        <v>52</v>
      </c>
    </row>
    <row r="168" spans="1:8" x14ac:dyDescent="0.2">
      <c r="A168" s="149" t="s">
        <v>37</v>
      </c>
      <c r="B168" s="150"/>
      <c r="C168" s="141" t="s">
        <v>139</v>
      </c>
      <c r="D168" s="142"/>
      <c r="E168" s="219" t="s">
        <v>38</v>
      </c>
      <c r="F168" s="219"/>
      <c r="G168" s="65" t="s">
        <v>18</v>
      </c>
      <c r="H168" s="65" t="s">
        <v>52</v>
      </c>
    </row>
    <row r="169" spans="1:8" x14ac:dyDescent="0.2">
      <c r="A169" s="149" t="s">
        <v>39</v>
      </c>
      <c r="B169" s="150"/>
      <c r="C169" s="141" t="s">
        <v>122</v>
      </c>
      <c r="D169" s="142"/>
      <c r="E169" s="219" t="s">
        <v>40</v>
      </c>
      <c r="F169" s="219"/>
      <c r="G169" s="65" t="s">
        <v>18</v>
      </c>
      <c r="H169" s="65" t="s">
        <v>52</v>
      </c>
    </row>
    <row r="170" spans="1:8" x14ac:dyDescent="0.2">
      <c r="A170" s="122" t="s">
        <v>41</v>
      </c>
      <c r="B170" s="123"/>
      <c r="C170" s="141" t="s">
        <v>125</v>
      </c>
      <c r="D170" s="142"/>
      <c r="E170" s="127" t="s">
        <v>42</v>
      </c>
      <c r="F170" s="127"/>
      <c r="G170" s="219" t="s">
        <v>52</v>
      </c>
      <c r="H170" s="219"/>
    </row>
    <row r="171" spans="1:8" x14ac:dyDescent="0.2">
      <c r="A171" s="122" t="s">
        <v>43</v>
      </c>
      <c r="B171" s="123"/>
      <c r="C171" s="143" t="s">
        <v>54</v>
      </c>
      <c r="D171" s="144"/>
      <c r="E171" s="127" t="s">
        <v>44</v>
      </c>
      <c r="F171" s="127"/>
      <c r="G171" s="219" t="s">
        <v>53</v>
      </c>
      <c r="H171" s="219"/>
    </row>
    <row r="172" spans="1:8" ht="14.25" customHeight="1" x14ac:dyDescent="0.2">
      <c r="A172" s="115" t="s">
        <v>275</v>
      </c>
      <c r="B172" s="115"/>
      <c r="C172" s="115"/>
      <c r="D172" s="115"/>
      <c r="E172" s="115"/>
      <c r="F172" s="115"/>
      <c r="G172" s="115"/>
      <c r="H172" s="115"/>
    </row>
    <row r="173" spans="1:8" x14ac:dyDescent="0.2">
      <c r="A173" s="89" t="s">
        <v>299</v>
      </c>
      <c r="B173" s="274"/>
      <c r="C173" s="274"/>
      <c r="D173" s="274"/>
      <c r="E173" s="274"/>
      <c r="F173" s="274"/>
      <c r="G173" s="274"/>
      <c r="H173" s="90"/>
    </row>
    <row r="174" spans="1:8" x14ac:dyDescent="0.2">
      <c r="A174" s="127" t="s">
        <v>195</v>
      </c>
      <c r="B174" s="127"/>
      <c r="C174" s="122" t="s">
        <v>196</v>
      </c>
      <c r="D174" s="123"/>
      <c r="E174" s="127" t="s">
        <v>197</v>
      </c>
      <c r="F174" s="127"/>
      <c r="G174" s="127" t="s">
        <v>198</v>
      </c>
      <c r="H174" s="127"/>
    </row>
    <row r="175" spans="1:8" x14ac:dyDescent="0.2">
      <c r="A175" s="128" t="s">
        <v>199</v>
      </c>
      <c r="B175" s="128"/>
      <c r="C175" s="118">
        <f>COUNT(F198:F202)+COUNT(F204:F205)+COUNT(F207:F208)</f>
        <v>9</v>
      </c>
      <c r="D175" s="119"/>
      <c r="E175" s="245">
        <f>SUM(F198:F202)+SUM(F204:F205)+SUM(F207:F208)</f>
        <v>11460.32316</v>
      </c>
      <c r="F175" s="273"/>
      <c r="G175" s="245">
        <f>SUM(H198:H202)+SUM(H204:H205)+SUM(H207:H208)</f>
        <v>17190.48474</v>
      </c>
      <c r="H175" s="273"/>
    </row>
    <row r="176" spans="1:8" x14ac:dyDescent="0.2">
      <c r="A176" s="128" t="s">
        <v>201</v>
      </c>
      <c r="B176" s="128"/>
      <c r="C176" s="118">
        <f>COUNT(F211:F216)+COUNT(F218:F219)+COUNT(F221:F222)</f>
        <v>10</v>
      </c>
      <c r="D176" s="119"/>
      <c r="E176" s="245">
        <f>SUM(F211:F216)+SUM(F218:F219)+SUM(F221:F222)</f>
        <v>10099.43064</v>
      </c>
      <c r="F176" s="273"/>
      <c r="G176" s="245">
        <f>SUM(H211:H216)+SUM(H218:H219)+SUM(H221:H222)</f>
        <v>15149.145960000002</v>
      </c>
      <c r="H176" s="273"/>
    </row>
    <row r="177" spans="1:8" x14ac:dyDescent="0.2">
      <c r="A177" s="128" t="s">
        <v>280</v>
      </c>
      <c r="B177" s="128"/>
      <c r="C177" s="118">
        <f>COUNT(F225:F230)+COUNT(F232:F233)+COUNT(F235:F236)</f>
        <v>10</v>
      </c>
      <c r="D177" s="119"/>
      <c r="E177" s="245">
        <f>SUM(F225:F230)+SUM(F232:F233)+SUM(F235:F236)</f>
        <v>19032.581879999998</v>
      </c>
      <c r="F177" s="273"/>
      <c r="G177" s="245">
        <f>SUM(H225:H230)+SUM(H232:H233)+SUM(H235:H236)</f>
        <v>28548.872819999997</v>
      </c>
      <c r="H177" s="273"/>
    </row>
    <row r="178" spans="1:8" x14ac:dyDescent="0.2">
      <c r="A178" s="128" t="s">
        <v>281</v>
      </c>
      <c r="B178" s="128"/>
      <c r="C178" s="118">
        <f>COUNT(F239:F248)</f>
        <v>10</v>
      </c>
      <c r="D178" s="119"/>
      <c r="E178" s="245">
        <f>SUM(F239:F248)</f>
        <v>2231.8723439999999</v>
      </c>
      <c r="F178" s="273"/>
      <c r="G178" s="245">
        <f>SUM(H239:H248)</f>
        <v>3347.8085159999987</v>
      </c>
      <c r="H178" s="273"/>
    </row>
    <row r="179" spans="1:8" x14ac:dyDescent="0.2">
      <c r="A179" s="127" t="s">
        <v>200</v>
      </c>
      <c r="B179" s="127"/>
      <c r="C179" s="120">
        <f>SUM(C175:D178)</f>
        <v>39</v>
      </c>
      <c r="D179" s="121"/>
      <c r="E179" s="194">
        <f>SUM(E175:F178)</f>
        <v>42824.208024</v>
      </c>
      <c r="F179" s="195"/>
      <c r="G179" s="194">
        <f>SUM(G175:H178)</f>
        <v>64236.312035999996</v>
      </c>
      <c r="H179" s="195"/>
    </row>
    <row r="180" spans="1:8" x14ac:dyDescent="0.2">
      <c r="A180" s="127" t="s">
        <v>300</v>
      </c>
      <c r="B180" s="127"/>
      <c r="C180" s="127"/>
      <c r="D180" s="127"/>
      <c r="E180" s="127"/>
      <c r="F180" s="127"/>
      <c r="G180" s="127"/>
      <c r="H180" s="127"/>
    </row>
    <row r="181" spans="1:8" x14ac:dyDescent="0.2">
      <c r="A181" s="127" t="s">
        <v>195</v>
      </c>
      <c r="B181" s="127"/>
      <c r="C181" s="122" t="s">
        <v>196</v>
      </c>
      <c r="D181" s="123"/>
      <c r="E181" s="127" t="s">
        <v>197</v>
      </c>
      <c r="F181" s="127"/>
      <c r="G181" s="127" t="s">
        <v>198</v>
      </c>
      <c r="H181" s="127"/>
    </row>
    <row r="182" spans="1:8" ht="12.75" customHeight="1" x14ac:dyDescent="0.2">
      <c r="A182" s="128" t="s">
        <v>199</v>
      </c>
      <c r="B182" s="128"/>
      <c r="C182" s="118">
        <f>COUNT(F255:F258)+COUNT(F260:F263)*15+COUNT(F265:F268)*3</f>
        <v>76</v>
      </c>
      <c r="D182" s="124"/>
      <c r="E182" s="245">
        <f>SUM(F255:F258)+SUM(F260:F263)*15+SUM(F265:F268)*3</f>
        <v>79506.348479999986</v>
      </c>
      <c r="F182" s="245"/>
      <c r="G182" s="245">
        <f>SUM(H255:H258)+SUM(H260:H263)*15+SUM(H265:H268)*3</f>
        <v>115435.569561</v>
      </c>
      <c r="H182" s="245"/>
    </row>
    <row r="183" spans="1:8" x14ac:dyDescent="0.2">
      <c r="A183" s="128" t="s">
        <v>201</v>
      </c>
      <c r="B183" s="128"/>
      <c r="C183" s="118">
        <f>COUNT(F272:F273)+COUNT(F275:F276)*15+COUNT(F278,F280)*3</f>
        <v>38</v>
      </c>
      <c r="D183" s="124"/>
      <c r="E183" s="245">
        <f>SUM(F272:F273)+SUM(F275:F276)*15+SUM(F278,F280)*3</f>
        <v>55107.374399999993</v>
      </c>
      <c r="F183" s="245"/>
      <c r="G183" s="245">
        <f>SUM(H272:H273)+SUM(H275:H276)*15+SUM(H278,H280)*3</f>
        <v>80172.101879999987</v>
      </c>
      <c r="H183" s="245"/>
    </row>
    <row r="184" spans="1:8" x14ac:dyDescent="0.2">
      <c r="A184" s="128" t="s">
        <v>280</v>
      </c>
      <c r="B184" s="128"/>
      <c r="C184" s="118">
        <f>COUNT(F283:F286)+COUNT(F288:F291)*15+COUNT(F293:F294,F296:F297)*3</f>
        <v>76</v>
      </c>
      <c r="D184" s="124"/>
      <c r="E184" s="245">
        <f>SUM(F283:F286)+SUM(F288:F291)*15+SUM(F293:F294,F296:F297)*3</f>
        <v>79466.144939999984</v>
      </c>
      <c r="F184" s="245"/>
      <c r="G184" s="245">
        <f>SUM(H283:H286)+SUM(H288:H291)*15+SUM(H293:H294,H296:H297)*3</f>
        <v>115917.52407299999</v>
      </c>
      <c r="H184" s="245"/>
    </row>
    <row r="185" spans="1:8" x14ac:dyDescent="0.2">
      <c r="A185" s="128" t="s">
        <v>301</v>
      </c>
      <c r="B185" s="128"/>
      <c r="C185" s="118">
        <f>COUNT(F304:F306)+COUNT(F311:F313)+COUNT(F315:F320)*17+COUNT(F322:F324,F326:F328)*3</f>
        <v>126</v>
      </c>
      <c r="D185" s="124"/>
      <c r="E185" s="245">
        <f>SUM(F304:F306)+SUM(F311:F313)+SUM(F315:F320)*17+SUM(F322:F324,F326:F328)*3</f>
        <v>90764.308439999993</v>
      </c>
      <c r="F185" s="245"/>
      <c r="G185" s="245">
        <f>SUM(H304:H306)+SUM(H311:H313)+SUM(H315:H320)*17+SUM(H322:H324,H326:H328)*3</f>
        <v>131608.24723799998</v>
      </c>
      <c r="H185" s="245"/>
    </row>
    <row r="186" spans="1:8" x14ac:dyDescent="0.2">
      <c r="A186" s="128" t="s">
        <v>295</v>
      </c>
      <c r="B186" s="128"/>
      <c r="C186" s="118">
        <f>COUNT(F336:F339)+COUNT(F345:F348)+COUNT(F350:F357)*17+COUNT(F359:F365)*3</f>
        <v>165</v>
      </c>
      <c r="D186" s="124"/>
      <c r="E186" s="245">
        <f>SUM(F336:F339)+SUM(F345:F348)+SUM(F350:F357)*17+SUM(F359:F365)*3</f>
        <v>102908.1456</v>
      </c>
      <c r="F186" s="245"/>
      <c r="G186" s="245">
        <f>SUM(H336:H339)+SUM(H345:H348)+SUM(H350:H357)*17+SUM(H359:H365)*3</f>
        <v>149216.81112</v>
      </c>
      <c r="H186" s="245"/>
    </row>
    <row r="187" spans="1:8" x14ac:dyDescent="0.2">
      <c r="A187" s="128" t="s">
        <v>297</v>
      </c>
      <c r="B187" s="128"/>
      <c r="C187" s="118">
        <f>COUNT(F374:F377)+COUNT(F383:F386)+COUNT(F388:F395)*17+COUNT(F397:F400,F402:F404)*3</f>
        <v>165</v>
      </c>
      <c r="D187" s="124"/>
      <c r="E187" s="245">
        <f>SUM(F374:F377)+SUM(F383:F386)+SUM(F388:F395)*17+SUM(F397:F400,F402:F404)*3</f>
        <v>102767.67539999999</v>
      </c>
      <c r="F187" s="245"/>
      <c r="G187" s="245">
        <f>SUM(H374:H377)+SUM(H383:H386)+SUM(H388:H395)*17+SUM(H397:H400,H402:H404)*3</f>
        <v>149013.12933</v>
      </c>
      <c r="H187" s="245"/>
    </row>
    <row r="188" spans="1:8" x14ac:dyDescent="0.2">
      <c r="A188" s="128" t="s">
        <v>281</v>
      </c>
      <c r="B188" s="128"/>
      <c r="C188" s="118">
        <f>COUNT(F407:F409)+COUNT(F414:F416)+COUNT(F421:F426)*17+COUNT(F428:F430,F432:F434)*3</f>
        <v>126</v>
      </c>
      <c r="D188" s="124"/>
      <c r="E188" s="245">
        <f>SUM(F407:F409)+SUM(F414:F416)+SUM(F421:F426)*17+SUM(F428:F430,F432:F434)*3</f>
        <v>90529.868519999989</v>
      </c>
      <c r="F188" s="245"/>
      <c r="G188" s="245">
        <f>SUM(H407:H409)+SUM(H414:H416)+SUM(H421:H426)*17+SUM(H428:H430,H432:H434)*3</f>
        <v>131442.686154</v>
      </c>
      <c r="H188" s="245"/>
    </row>
    <row r="189" spans="1:8" x14ac:dyDescent="0.2">
      <c r="A189" s="127" t="s">
        <v>200</v>
      </c>
      <c r="B189" s="127"/>
      <c r="C189" s="118">
        <f>SUM(C182:D188)</f>
        <v>772</v>
      </c>
      <c r="D189" s="119"/>
      <c r="E189" s="194">
        <f t="shared" ref="E189:G189" si="0">SUM(E182:F188)</f>
        <v>601049.86577999999</v>
      </c>
      <c r="F189" s="195"/>
      <c r="G189" s="194">
        <f t="shared" si="0"/>
        <v>872806.06935599993</v>
      </c>
      <c r="H189" s="195"/>
    </row>
    <row r="190" spans="1:8" x14ac:dyDescent="0.2">
      <c r="A190" s="127" t="s">
        <v>202</v>
      </c>
      <c r="B190" s="127"/>
      <c r="C190" s="125">
        <f>C179+C189</f>
        <v>811</v>
      </c>
      <c r="D190" s="126"/>
      <c r="E190" s="196">
        <f>E179+E189</f>
        <v>643874.07380400004</v>
      </c>
      <c r="F190" s="196"/>
      <c r="G190" s="196">
        <f>G179+G189</f>
        <v>937042.38139199989</v>
      </c>
      <c r="H190" s="196"/>
    </row>
    <row r="191" spans="1:8" x14ac:dyDescent="0.2">
      <c r="A191" s="127" t="s">
        <v>45</v>
      </c>
      <c r="B191" s="127"/>
      <c r="C191" s="127"/>
      <c r="D191" s="127"/>
      <c r="E191" s="127"/>
      <c r="F191" s="127"/>
      <c r="G191" s="127"/>
      <c r="H191" s="127"/>
    </row>
    <row r="192" spans="1:8" x14ac:dyDescent="0.2">
      <c r="A192" s="127" t="s">
        <v>274</v>
      </c>
      <c r="B192" s="127"/>
      <c r="C192" s="127"/>
      <c r="D192" s="127"/>
      <c r="E192" s="127"/>
      <c r="F192" s="127"/>
      <c r="G192" s="127"/>
      <c r="H192" s="127"/>
    </row>
    <row r="193" spans="1:8" ht="38.25" x14ac:dyDescent="0.2">
      <c r="A193" s="113" t="s">
        <v>212</v>
      </c>
      <c r="B193" s="113" t="s">
        <v>213</v>
      </c>
      <c r="C193" s="113" t="s">
        <v>276</v>
      </c>
      <c r="D193" s="113" t="s">
        <v>207</v>
      </c>
      <c r="E193" s="113" t="s">
        <v>210</v>
      </c>
      <c r="F193" s="113" t="s">
        <v>208</v>
      </c>
      <c r="G193" s="57" t="s">
        <v>209</v>
      </c>
      <c r="H193" s="57" t="s">
        <v>140</v>
      </c>
    </row>
    <row r="194" spans="1:8" x14ac:dyDescent="0.2">
      <c r="A194" s="114"/>
      <c r="B194" s="114"/>
      <c r="C194" s="114"/>
      <c r="D194" s="114"/>
      <c r="E194" s="114"/>
      <c r="F194" s="114"/>
      <c r="G194" s="58"/>
      <c r="H194" s="59">
        <v>0.5</v>
      </c>
    </row>
    <row r="195" spans="1:8" x14ac:dyDescent="0.2">
      <c r="A195" s="115" t="s">
        <v>275</v>
      </c>
      <c r="B195" s="115"/>
      <c r="C195" s="115"/>
      <c r="D195" s="115"/>
      <c r="E195" s="115"/>
      <c r="F195" s="115"/>
      <c r="G195" s="115"/>
      <c r="H195" s="115"/>
    </row>
    <row r="196" spans="1:8" x14ac:dyDescent="0.2">
      <c r="A196" s="112" t="s">
        <v>199</v>
      </c>
      <c r="B196" s="112"/>
      <c r="C196" s="112"/>
      <c r="D196" s="112"/>
      <c r="E196" s="112"/>
      <c r="F196" s="112"/>
      <c r="G196" s="112"/>
      <c r="H196" s="112"/>
    </row>
    <row r="197" spans="1:8" x14ac:dyDescent="0.2">
      <c r="A197" s="247" t="s">
        <v>277</v>
      </c>
      <c r="B197" s="247"/>
      <c r="C197" s="247"/>
      <c r="D197" s="247"/>
      <c r="E197" s="247"/>
      <c r="F197" s="247"/>
      <c r="G197" s="247"/>
      <c r="H197" s="247"/>
    </row>
    <row r="198" spans="1:8" x14ac:dyDescent="0.2">
      <c r="A198" s="116">
        <v>1</v>
      </c>
      <c r="B198" s="117"/>
      <c r="C198" s="61" t="s">
        <v>211</v>
      </c>
      <c r="D198" s="62">
        <f>(165.24)*10.764</f>
        <v>1778.64336</v>
      </c>
      <c r="E198" s="60">
        <v>0</v>
      </c>
      <c r="F198" s="60">
        <f>D198+(IF(E198&lt;201,E198,IF(E198&lt;301,E198/2,E198/3)))</f>
        <v>1778.64336</v>
      </c>
      <c r="G198" s="60">
        <v>0</v>
      </c>
      <c r="H198" s="60">
        <f t="shared" ref="H198:H208" si="1">F198*(($H$194)+1)+(IF(G198&lt;101,G198,IF(G198&lt;201,G198/2,IF(G198&lt;=301,G198/3,G198/4))))</f>
        <v>2667.96504</v>
      </c>
    </row>
    <row r="199" spans="1:8" x14ac:dyDescent="0.2">
      <c r="A199" s="116">
        <f>A198+1</f>
        <v>2</v>
      </c>
      <c r="B199" s="117"/>
      <c r="C199" s="61" t="s">
        <v>211</v>
      </c>
      <c r="D199" s="62">
        <f>(47.85)*10.764</f>
        <v>515.05740000000003</v>
      </c>
      <c r="E199" s="60">
        <v>0</v>
      </c>
      <c r="F199" s="60">
        <f t="shared" ref="F199:F208" si="2">D199+(IF(E199&lt;201,E199,IF(E199&lt;301,E199/2,E199/3)))</f>
        <v>515.05740000000003</v>
      </c>
      <c r="G199" s="60">
        <v>0</v>
      </c>
      <c r="H199" s="60">
        <f t="shared" si="1"/>
        <v>772.58609999999999</v>
      </c>
    </row>
    <row r="200" spans="1:8" x14ac:dyDescent="0.2">
      <c r="A200" s="116">
        <f t="shared" ref="A200:A208" si="3">A199+1</f>
        <v>3</v>
      </c>
      <c r="B200" s="117"/>
      <c r="C200" s="61" t="s">
        <v>211</v>
      </c>
      <c r="D200" s="62">
        <f>(28.1)*10.764</f>
        <v>302.46839999999997</v>
      </c>
      <c r="E200" s="60">
        <v>0</v>
      </c>
      <c r="F200" s="60">
        <f t="shared" si="2"/>
        <v>302.46839999999997</v>
      </c>
      <c r="G200" s="60">
        <v>0</v>
      </c>
      <c r="H200" s="60">
        <f t="shared" si="1"/>
        <v>453.70259999999996</v>
      </c>
    </row>
    <row r="201" spans="1:8" x14ac:dyDescent="0.2">
      <c r="A201" s="116">
        <f t="shared" si="3"/>
        <v>4</v>
      </c>
      <c r="B201" s="117"/>
      <c r="C201" s="61" t="s">
        <v>211</v>
      </c>
      <c r="D201" s="62">
        <f>(54.27)*10.764</f>
        <v>584.16228000000001</v>
      </c>
      <c r="E201" s="60">
        <v>0</v>
      </c>
      <c r="F201" s="60">
        <f t="shared" si="2"/>
        <v>584.16228000000001</v>
      </c>
      <c r="G201" s="60">
        <v>0</v>
      </c>
      <c r="H201" s="60">
        <f t="shared" si="1"/>
        <v>876.24342000000001</v>
      </c>
    </row>
    <row r="202" spans="1:8" x14ac:dyDescent="0.2">
      <c r="A202" s="116">
        <f t="shared" si="3"/>
        <v>5</v>
      </c>
      <c r="B202" s="117"/>
      <c r="C202" s="61" t="s">
        <v>211</v>
      </c>
      <c r="D202" s="62">
        <f>(44.37)*10.764</f>
        <v>477.59867999999994</v>
      </c>
      <c r="E202" s="60">
        <v>0</v>
      </c>
      <c r="F202" s="60">
        <f t="shared" si="2"/>
        <v>477.59867999999994</v>
      </c>
      <c r="G202" s="60">
        <v>0</v>
      </c>
      <c r="H202" s="60">
        <f t="shared" si="1"/>
        <v>716.39801999999986</v>
      </c>
    </row>
    <row r="203" spans="1:8" x14ac:dyDescent="0.2">
      <c r="A203" s="149" t="s">
        <v>278</v>
      </c>
      <c r="B203" s="248"/>
      <c r="C203" s="248"/>
      <c r="D203" s="248"/>
      <c r="E203" s="248"/>
      <c r="F203" s="248"/>
      <c r="G203" s="248"/>
      <c r="H203" s="150"/>
    </row>
    <row r="204" spans="1:8" x14ac:dyDescent="0.2">
      <c r="A204" s="116">
        <v>1</v>
      </c>
      <c r="B204" s="117"/>
      <c r="C204" s="61" t="s">
        <v>211</v>
      </c>
      <c r="D204" s="62">
        <f>(263.57)*10.764</f>
        <v>2837.0674799999997</v>
      </c>
      <c r="E204" s="60">
        <v>0</v>
      </c>
      <c r="F204" s="60">
        <f t="shared" si="2"/>
        <v>2837.0674799999997</v>
      </c>
      <c r="G204" s="60">
        <v>0</v>
      </c>
      <c r="H204" s="60">
        <f t="shared" si="1"/>
        <v>4255.6012199999996</v>
      </c>
    </row>
    <row r="205" spans="1:8" x14ac:dyDescent="0.2">
      <c r="A205" s="116">
        <f t="shared" si="3"/>
        <v>2</v>
      </c>
      <c r="B205" s="117"/>
      <c r="C205" s="61" t="s">
        <v>211</v>
      </c>
      <c r="D205" s="62">
        <f>(98.86)*10.764</f>
        <v>1064.12904</v>
      </c>
      <c r="E205" s="60">
        <v>0</v>
      </c>
      <c r="F205" s="60">
        <f t="shared" si="2"/>
        <v>1064.12904</v>
      </c>
      <c r="G205" s="60">
        <v>0</v>
      </c>
      <c r="H205" s="60">
        <f t="shared" si="1"/>
        <v>1596.1935600000002</v>
      </c>
    </row>
    <row r="206" spans="1:8" x14ac:dyDescent="0.2">
      <c r="A206" s="149" t="s">
        <v>279</v>
      </c>
      <c r="B206" s="248"/>
      <c r="C206" s="248"/>
      <c r="D206" s="248"/>
      <c r="E206" s="248"/>
      <c r="F206" s="248"/>
      <c r="G206" s="248"/>
      <c r="H206" s="150"/>
    </row>
    <row r="207" spans="1:8" x14ac:dyDescent="0.2">
      <c r="A207" s="116">
        <v>1</v>
      </c>
      <c r="B207" s="117"/>
      <c r="C207" s="54" t="s">
        <v>211</v>
      </c>
      <c r="D207" s="62">
        <f>(263.57)*10.764</f>
        <v>2837.0674799999997</v>
      </c>
      <c r="E207" s="60">
        <v>0</v>
      </c>
      <c r="F207" s="60">
        <f t="shared" si="2"/>
        <v>2837.0674799999997</v>
      </c>
      <c r="G207" s="60">
        <v>0</v>
      </c>
      <c r="H207" s="60">
        <f t="shared" si="1"/>
        <v>4255.6012199999996</v>
      </c>
    </row>
    <row r="208" spans="1:8" x14ac:dyDescent="0.2">
      <c r="A208" s="116">
        <f t="shared" si="3"/>
        <v>2</v>
      </c>
      <c r="B208" s="117"/>
      <c r="C208" s="54" t="s">
        <v>211</v>
      </c>
      <c r="D208" s="62">
        <f>(98.86)*10.764</f>
        <v>1064.12904</v>
      </c>
      <c r="E208" s="60">
        <v>0</v>
      </c>
      <c r="F208" s="60">
        <f t="shared" si="2"/>
        <v>1064.12904</v>
      </c>
      <c r="G208" s="60">
        <v>0</v>
      </c>
      <c r="H208" s="60">
        <f t="shared" si="1"/>
        <v>1596.1935600000002</v>
      </c>
    </row>
    <row r="209" spans="1:8" x14ac:dyDescent="0.2">
      <c r="A209" s="112" t="s">
        <v>201</v>
      </c>
      <c r="B209" s="112"/>
      <c r="C209" s="112"/>
      <c r="D209" s="112"/>
      <c r="E209" s="112"/>
      <c r="F209" s="112"/>
      <c r="G209" s="112"/>
      <c r="H209" s="112"/>
    </row>
    <row r="210" spans="1:8" x14ac:dyDescent="0.2">
      <c r="A210" s="247" t="s">
        <v>277</v>
      </c>
      <c r="B210" s="247"/>
      <c r="C210" s="247"/>
      <c r="D210" s="247"/>
      <c r="E210" s="247"/>
      <c r="F210" s="247"/>
      <c r="G210" s="247"/>
      <c r="H210" s="247"/>
    </row>
    <row r="211" spans="1:8" x14ac:dyDescent="0.2">
      <c r="A211" s="116">
        <v>6</v>
      </c>
      <c r="B211" s="117"/>
      <c r="C211" s="61" t="s">
        <v>211</v>
      </c>
      <c r="D211" s="62">
        <f>(48.07)*10.764</f>
        <v>517.42547999999999</v>
      </c>
      <c r="E211" s="60">
        <v>0</v>
      </c>
      <c r="F211" s="60">
        <f>D211+(IF(E211&lt;201,E211,IF(E211&lt;301,E211/2,E211/3)))</f>
        <v>517.42547999999999</v>
      </c>
      <c r="G211" s="60">
        <v>0</v>
      </c>
      <c r="H211" s="60">
        <f t="shared" ref="H211:H215" si="4">F211*(($H$194)+1)+(IF(G211&lt;101,G211,IF(G211&lt;201,G211/2,IF(G211&lt;=301,G211/3,G211/4))))</f>
        <v>776.13822000000005</v>
      </c>
    </row>
    <row r="212" spans="1:8" x14ac:dyDescent="0.2">
      <c r="A212" s="116">
        <f>A211+1</f>
        <v>7</v>
      </c>
      <c r="B212" s="117"/>
      <c r="C212" s="61" t="s">
        <v>211</v>
      </c>
      <c r="D212" s="62">
        <f>(50.52)*10.764</f>
        <v>543.79728</v>
      </c>
      <c r="E212" s="60">
        <v>0</v>
      </c>
      <c r="F212" s="60">
        <f t="shared" ref="F212:F215" si="5">D212+(IF(E212&lt;201,E212,IF(E212&lt;301,E212/2,E212/3)))</f>
        <v>543.79728</v>
      </c>
      <c r="G212" s="60">
        <v>0</v>
      </c>
      <c r="H212" s="60">
        <f t="shared" si="4"/>
        <v>815.69592</v>
      </c>
    </row>
    <row r="213" spans="1:8" x14ac:dyDescent="0.2">
      <c r="A213" s="116">
        <f t="shared" ref="A213:A222" si="6">A212+1</f>
        <v>8</v>
      </c>
      <c r="B213" s="117"/>
      <c r="C213" s="61" t="s">
        <v>211</v>
      </c>
      <c r="D213" s="62">
        <f>(46.16)*10.764</f>
        <v>496.86623999999995</v>
      </c>
      <c r="E213" s="60">
        <v>0</v>
      </c>
      <c r="F213" s="60">
        <f t="shared" si="5"/>
        <v>496.86623999999995</v>
      </c>
      <c r="G213" s="60">
        <v>0</v>
      </c>
      <c r="H213" s="60">
        <f t="shared" si="4"/>
        <v>745.29935999999998</v>
      </c>
    </row>
    <row r="214" spans="1:8" x14ac:dyDescent="0.2">
      <c r="A214" s="116">
        <f t="shared" si="6"/>
        <v>9</v>
      </c>
      <c r="B214" s="117"/>
      <c r="C214" s="61" t="s">
        <v>211</v>
      </c>
      <c r="D214" s="62">
        <f>(51.7)*10.764</f>
        <v>556.49879999999996</v>
      </c>
      <c r="E214" s="60">
        <v>0</v>
      </c>
      <c r="F214" s="60">
        <f t="shared" si="5"/>
        <v>556.49879999999996</v>
      </c>
      <c r="G214" s="60">
        <v>0</v>
      </c>
      <c r="H214" s="60">
        <f t="shared" si="4"/>
        <v>834.7482</v>
      </c>
    </row>
    <row r="215" spans="1:8" x14ac:dyDescent="0.2">
      <c r="A215" s="116">
        <f t="shared" si="6"/>
        <v>10</v>
      </c>
      <c r="B215" s="117"/>
      <c r="C215" s="61" t="s">
        <v>211</v>
      </c>
      <c r="D215" s="62">
        <f>(56.69)*10.764</f>
        <v>610.21115999999995</v>
      </c>
      <c r="E215" s="60">
        <v>0</v>
      </c>
      <c r="F215" s="60">
        <f t="shared" si="5"/>
        <v>610.21115999999995</v>
      </c>
      <c r="G215" s="60">
        <v>0</v>
      </c>
      <c r="H215" s="60">
        <f t="shared" si="4"/>
        <v>915.31673999999998</v>
      </c>
    </row>
    <row r="216" spans="1:8" x14ac:dyDescent="0.2">
      <c r="A216" s="116">
        <f t="shared" si="6"/>
        <v>11</v>
      </c>
      <c r="B216" s="117"/>
      <c r="C216" s="61" t="s">
        <v>211</v>
      </c>
      <c r="D216" s="62">
        <f>(57.36)*10.764</f>
        <v>617.4230399999999</v>
      </c>
      <c r="E216" s="60">
        <v>0</v>
      </c>
      <c r="F216" s="60">
        <f t="shared" ref="F216" si="7">D216+(IF(E216&lt;201,E216,IF(E216&lt;301,E216/2,E216/3)))</f>
        <v>617.4230399999999</v>
      </c>
      <c r="G216" s="60">
        <v>0</v>
      </c>
      <c r="H216" s="60">
        <f t="shared" ref="H216" si="8">F216*(($H$194)+1)+(IF(G216&lt;101,G216,IF(G216&lt;201,G216/2,IF(G216&lt;=301,G216/3,G216/4))))</f>
        <v>926.13455999999985</v>
      </c>
    </row>
    <row r="217" spans="1:8" x14ac:dyDescent="0.2">
      <c r="A217" s="149" t="s">
        <v>278</v>
      </c>
      <c r="B217" s="248"/>
      <c r="C217" s="248"/>
      <c r="D217" s="248"/>
      <c r="E217" s="248"/>
      <c r="F217" s="248"/>
      <c r="G217" s="248"/>
      <c r="H217" s="150"/>
    </row>
    <row r="218" spans="1:8" x14ac:dyDescent="0.2">
      <c r="A218" s="116">
        <v>3</v>
      </c>
      <c r="B218" s="117"/>
      <c r="C218" s="61" t="s">
        <v>211</v>
      </c>
      <c r="D218" s="62">
        <f>(146.3)*10.764</f>
        <v>1574.7732000000001</v>
      </c>
      <c r="E218" s="60">
        <v>0</v>
      </c>
      <c r="F218" s="60">
        <f t="shared" ref="F218:F219" si="9">D218+(IF(E218&lt;201,E218,IF(E218&lt;301,E218/2,E218/3)))</f>
        <v>1574.7732000000001</v>
      </c>
      <c r="G218" s="60">
        <v>0</v>
      </c>
      <c r="H218" s="60">
        <f t="shared" ref="H218:H219" si="10">F218*(($H$194)+1)+(IF(G218&lt;101,G218,IF(G218&lt;201,G218/2,IF(G218&lt;=301,G218/3,G218/4))))</f>
        <v>2362.1598000000004</v>
      </c>
    </row>
    <row r="219" spans="1:8" x14ac:dyDescent="0.2">
      <c r="A219" s="116">
        <f t="shared" si="6"/>
        <v>4</v>
      </c>
      <c r="B219" s="117"/>
      <c r="C219" s="61" t="s">
        <v>211</v>
      </c>
      <c r="D219" s="62">
        <f>(167.58)*10.764</f>
        <v>1803.8311200000001</v>
      </c>
      <c r="E219" s="60">
        <v>0</v>
      </c>
      <c r="F219" s="60">
        <f t="shared" si="9"/>
        <v>1803.8311200000001</v>
      </c>
      <c r="G219" s="60">
        <v>0</v>
      </c>
      <c r="H219" s="60">
        <f t="shared" si="10"/>
        <v>2705.7466800000002</v>
      </c>
    </row>
    <row r="220" spans="1:8" x14ac:dyDescent="0.2">
      <c r="A220" s="149" t="s">
        <v>279</v>
      </c>
      <c r="B220" s="248"/>
      <c r="C220" s="248"/>
      <c r="D220" s="248"/>
      <c r="E220" s="248"/>
      <c r="F220" s="248"/>
      <c r="G220" s="248"/>
      <c r="H220" s="150"/>
    </row>
    <row r="221" spans="1:8" x14ac:dyDescent="0.2">
      <c r="A221" s="116">
        <v>3</v>
      </c>
      <c r="B221" s="117"/>
      <c r="C221" s="61" t="s">
        <v>211</v>
      </c>
      <c r="D221" s="62">
        <f>(146.3)*10.764</f>
        <v>1574.7732000000001</v>
      </c>
      <c r="E221" s="60">
        <v>0</v>
      </c>
      <c r="F221" s="60">
        <f t="shared" ref="F221:F222" si="11">D221+(IF(E221&lt;201,E221,IF(E221&lt;301,E221/2,E221/3)))</f>
        <v>1574.7732000000001</v>
      </c>
      <c r="G221" s="60">
        <v>0</v>
      </c>
      <c r="H221" s="60">
        <f t="shared" ref="H221:H222" si="12">F221*(($H$194)+1)+(IF(G221&lt;101,G221,IF(G221&lt;201,G221/2,IF(G221&lt;=301,G221/3,G221/4))))</f>
        <v>2362.1598000000004</v>
      </c>
    </row>
    <row r="222" spans="1:8" x14ac:dyDescent="0.2">
      <c r="A222" s="116">
        <f t="shared" si="6"/>
        <v>4</v>
      </c>
      <c r="B222" s="117"/>
      <c r="C222" s="61" t="s">
        <v>211</v>
      </c>
      <c r="D222" s="62">
        <f>(167.58)*10.764</f>
        <v>1803.8311200000001</v>
      </c>
      <c r="E222" s="60">
        <v>0</v>
      </c>
      <c r="F222" s="60">
        <f t="shared" si="11"/>
        <v>1803.8311200000001</v>
      </c>
      <c r="G222" s="60">
        <v>0</v>
      </c>
      <c r="H222" s="60">
        <f t="shared" si="12"/>
        <v>2705.7466800000002</v>
      </c>
    </row>
    <row r="223" spans="1:8" x14ac:dyDescent="0.2">
      <c r="A223" s="112" t="s">
        <v>280</v>
      </c>
      <c r="B223" s="112"/>
      <c r="C223" s="112"/>
      <c r="D223" s="112"/>
      <c r="E223" s="112"/>
      <c r="F223" s="112"/>
      <c r="G223" s="112"/>
      <c r="H223" s="112"/>
    </row>
    <row r="224" spans="1:8" x14ac:dyDescent="0.2">
      <c r="A224" s="247" t="s">
        <v>277</v>
      </c>
      <c r="B224" s="247"/>
      <c r="C224" s="247"/>
      <c r="D224" s="247"/>
      <c r="E224" s="247"/>
      <c r="F224" s="247"/>
      <c r="G224" s="247"/>
      <c r="H224" s="247"/>
    </row>
    <row r="225" spans="1:8" x14ac:dyDescent="0.2">
      <c r="A225" s="116">
        <v>12</v>
      </c>
      <c r="B225" s="117"/>
      <c r="C225" s="61" t="s">
        <v>211</v>
      </c>
      <c r="D225" s="62">
        <f>(57.12)*10.764</f>
        <v>614.83967999999993</v>
      </c>
      <c r="E225" s="60">
        <v>0</v>
      </c>
      <c r="F225" s="60">
        <f>D225+(IF(E225&lt;201,E225,IF(E225&lt;301,E225/2,E225/3)))</f>
        <v>614.83967999999993</v>
      </c>
      <c r="G225" s="60">
        <v>0</v>
      </c>
      <c r="H225" s="60">
        <f t="shared" ref="H225:H230" si="13">F225*(($H$194)+1)+(IF(G225&lt;101,G225,IF(G225&lt;201,G225/2,IF(G225&lt;=301,G225/3,G225/4))))</f>
        <v>922.25951999999984</v>
      </c>
    </row>
    <row r="226" spans="1:8" x14ac:dyDescent="0.2">
      <c r="A226" s="116">
        <f>A225+1</f>
        <v>13</v>
      </c>
      <c r="B226" s="117"/>
      <c r="C226" s="61" t="s">
        <v>211</v>
      </c>
      <c r="D226" s="62">
        <f>(74.59)*10.764</f>
        <v>802.88675999999998</v>
      </c>
      <c r="E226" s="60">
        <v>0</v>
      </c>
      <c r="F226" s="60">
        <f t="shared" ref="F226:F230" si="14">D226+(IF(E226&lt;201,E226,IF(E226&lt;301,E226/2,E226/3)))</f>
        <v>802.88675999999998</v>
      </c>
      <c r="G226" s="60">
        <v>0</v>
      </c>
      <c r="H226" s="60">
        <f t="shared" si="13"/>
        <v>1204.33014</v>
      </c>
    </row>
    <row r="227" spans="1:8" x14ac:dyDescent="0.2">
      <c r="A227" s="116">
        <f t="shared" ref="A227:A236" si="15">A226+1</f>
        <v>14</v>
      </c>
      <c r="B227" s="117"/>
      <c r="C227" s="61" t="s">
        <v>211</v>
      </c>
      <c r="D227" s="62">
        <f>(44.7)*10.764</f>
        <v>481.1508</v>
      </c>
      <c r="E227" s="60">
        <v>0</v>
      </c>
      <c r="F227" s="60">
        <f t="shared" si="14"/>
        <v>481.1508</v>
      </c>
      <c r="G227" s="60">
        <v>0</v>
      </c>
      <c r="H227" s="60">
        <f t="shared" si="13"/>
        <v>721.72620000000006</v>
      </c>
    </row>
    <row r="228" spans="1:8" x14ac:dyDescent="0.2">
      <c r="A228" s="116">
        <f t="shared" si="15"/>
        <v>15</v>
      </c>
      <c r="B228" s="117"/>
      <c r="C228" s="61" t="s">
        <v>211</v>
      </c>
      <c r="D228" s="62">
        <f>(78.78)*10.764</f>
        <v>847.98791999999992</v>
      </c>
      <c r="E228" s="60">
        <v>0</v>
      </c>
      <c r="F228" s="60">
        <f t="shared" si="14"/>
        <v>847.98791999999992</v>
      </c>
      <c r="G228" s="60">
        <v>0</v>
      </c>
      <c r="H228" s="60">
        <f t="shared" si="13"/>
        <v>1271.9818799999998</v>
      </c>
    </row>
    <row r="229" spans="1:8" x14ac:dyDescent="0.2">
      <c r="A229" s="116">
        <f t="shared" si="15"/>
        <v>16</v>
      </c>
      <c r="B229" s="117"/>
      <c r="C229" s="61" t="s">
        <v>211</v>
      </c>
      <c r="D229" s="62">
        <f>(63.37)*10.764</f>
        <v>682.11467999999991</v>
      </c>
      <c r="E229" s="60">
        <v>0</v>
      </c>
      <c r="F229" s="60">
        <f t="shared" si="14"/>
        <v>682.11467999999991</v>
      </c>
      <c r="G229" s="60">
        <v>0</v>
      </c>
      <c r="H229" s="60">
        <f t="shared" si="13"/>
        <v>1023.1720199999999</v>
      </c>
    </row>
    <row r="230" spans="1:8" x14ac:dyDescent="0.2">
      <c r="A230" s="116">
        <f t="shared" si="15"/>
        <v>17</v>
      </c>
      <c r="B230" s="117"/>
      <c r="C230" s="61" t="s">
        <v>211</v>
      </c>
      <c r="D230" s="62">
        <f>(253.27)*10.764</f>
        <v>2726.1982800000001</v>
      </c>
      <c r="E230" s="60">
        <v>0</v>
      </c>
      <c r="F230" s="60">
        <f t="shared" si="14"/>
        <v>2726.1982800000001</v>
      </c>
      <c r="G230" s="60">
        <v>0</v>
      </c>
      <c r="H230" s="60">
        <f t="shared" si="13"/>
        <v>4089.2974199999999</v>
      </c>
    </row>
    <row r="231" spans="1:8" x14ac:dyDescent="0.2">
      <c r="A231" s="149" t="s">
        <v>278</v>
      </c>
      <c r="B231" s="248"/>
      <c r="C231" s="248"/>
      <c r="D231" s="248"/>
      <c r="E231" s="248"/>
      <c r="F231" s="248"/>
      <c r="G231" s="248"/>
      <c r="H231" s="150"/>
    </row>
    <row r="232" spans="1:8" x14ac:dyDescent="0.2">
      <c r="A232" s="116">
        <v>5</v>
      </c>
      <c r="B232" s="117"/>
      <c r="C232" s="61" t="s">
        <v>211</v>
      </c>
      <c r="D232" s="62">
        <f>(132.39)*10.764</f>
        <v>1425.0459599999997</v>
      </c>
      <c r="E232" s="60">
        <v>0</v>
      </c>
      <c r="F232" s="60">
        <f t="shared" ref="F232:F233" si="16">D232+(IF(E232&lt;201,E232,IF(E232&lt;301,E232/2,E232/3)))</f>
        <v>1425.0459599999997</v>
      </c>
      <c r="G232" s="60">
        <v>0</v>
      </c>
      <c r="H232" s="60">
        <f t="shared" ref="H232:H233" si="17">F232*(($H$194)+1)+(IF(G232&lt;101,G232,IF(G232&lt;201,G232/2,IF(G232&lt;=301,G232/3,G232/4))))</f>
        <v>2137.5689399999997</v>
      </c>
    </row>
    <row r="233" spans="1:8" x14ac:dyDescent="0.2">
      <c r="A233" s="116">
        <f t="shared" si="15"/>
        <v>6</v>
      </c>
      <c r="B233" s="117"/>
      <c r="C233" s="61" t="s">
        <v>211</v>
      </c>
      <c r="D233" s="62">
        <f>(465.78)*10.764</f>
        <v>5013.6559199999992</v>
      </c>
      <c r="E233" s="60">
        <v>0</v>
      </c>
      <c r="F233" s="60">
        <f t="shared" si="16"/>
        <v>5013.6559199999992</v>
      </c>
      <c r="G233" s="60">
        <v>0</v>
      </c>
      <c r="H233" s="60">
        <f t="shared" si="17"/>
        <v>7520.4838799999989</v>
      </c>
    </row>
    <row r="234" spans="1:8" x14ac:dyDescent="0.2">
      <c r="A234" s="149" t="s">
        <v>279</v>
      </c>
      <c r="B234" s="248"/>
      <c r="C234" s="248"/>
      <c r="D234" s="248"/>
      <c r="E234" s="248"/>
      <c r="F234" s="248"/>
      <c r="G234" s="248"/>
      <c r="H234" s="150"/>
    </row>
    <row r="235" spans="1:8" x14ac:dyDescent="0.2">
      <c r="A235" s="116">
        <v>5</v>
      </c>
      <c r="B235" s="117"/>
      <c r="C235" s="61" t="s">
        <v>211</v>
      </c>
      <c r="D235" s="62">
        <f>(132.39)*10.764</f>
        <v>1425.0459599999997</v>
      </c>
      <c r="E235" s="60">
        <v>0</v>
      </c>
      <c r="F235" s="60">
        <f t="shared" ref="F235:F236" si="18">D235+(IF(E235&lt;201,E235,IF(E235&lt;301,E235/2,E235/3)))</f>
        <v>1425.0459599999997</v>
      </c>
      <c r="G235" s="60">
        <v>0</v>
      </c>
      <c r="H235" s="60">
        <f t="shared" ref="H235:H236" si="19">F235*(($H$194)+1)+(IF(G235&lt;101,G235,IF(G235&lt;201,G235/2,IF(G235&lt;=301,G235/3,G235/4))))</f>
        <v>2137.5689399999997</v>
      </c>
    </row>
    <row r="236" spans="1:8" x14ac:dyDescent="0.2">
      <c r="A236" s="116">
        <f t="shared" si="15"/>
        <v>6</v>
      </c>
      <c r="B236" s="117"/>
      <c r="C236" s="61" t="s">
        <v>211</v>
      </c>
      <c r="D236" s="62">
        <f>(465.78)*10.764</f>
        <v>5013.6559199999992</v>
      </c>
      <c r="E236" s="60">
        <v>0</v>
      </c>
      <c r="F236" s="60">
        <f t="shared" si="18"/>
        <v>5013.6559199999992</v>
      </c>
      <c r="G236" s="60">
        <v>0</v>
      </c>
      <c r="H236" s="60">
        <f t="shared" si="19"/>
        <v>7520.4838799999989</v>
      </c>
    </row>
    <row r="237" spans="1:8" x14ac:dyDescent="0.2">
      <c r="A237" s="112" t="s">
        <v>281</v>
      </c>
      <c r="B237" s="112"/>
      <c r="C237" s="112"/>
      <c r="D237" s="112"/>
      <c r="E237" s="112"/>
      <c r="F237" s="112"/>
      <c r="G237" s="112"/>
      <c r="H237" s="112"/>
    </row>
    <row r="238" spans="1:8" x14ac:dyDescent="0.2">
      <c r="A238" s="247" t="s">
        <v>277</v>
      </c>
      <c r="B238" s="247"/>
      <c r="C238" s="247"/>
      <c r="D238" s="247"/>
      <c r="E238" s="247"/>
      <c r="F238" s="247"/>
      <c r="G238" s="247"/>
      <c r="H238" s="247"/>
    </row>
    <row r="239" spans="1:8" x14ac:dyDescent="0.2">
      <c r="A239" s="116">
        <v>18</v>
      </c>
      <c r="B239" s="117"/>
      <c r="C239" s="61" t="s">
        <v>211</v>
      </c>
      <c r="D239" s="62">
        <f>(24.05)*10.764</f>
        <v>258.87419999999997</v>
      </c>
      <c r="E239" s="60">
        <v>0</v>
      </c>
      <c r="F239" s="60">
        <f>D239+(IF(E239&lt;201,E239,IF(E239&lt;301,E239/2,E239/3)))</f>
        <v>258.87419999999997</v>
      </c>
      <c r="G239" s="60">
        <v>0</v>
      </c>
      <c r="H239" s="60">
        <f t="shared" ref="H239:H244" si="20">F239*(($H$194)+1)+(IF(G239&lt;101,G239,IF(G239&lt;201,G239/2,IF(G239&lt;=301,G239/3,G239/4))))</f>
        <v>388.31129999999996</v>
      </c>
    </row>
    <row r="240" spans="1:8" x14ac:dyDescent="0.2">
      <c r="A240" s="116">
        <f>A239+1</f>
        <v>19</v>
      </c>
      <c r="B240" s="117"/>
      <c r="C240" s="61" t="s">
        <v>211</v>
      </c>
      <c r="D240" s="62">
        <f>(22.37)*10.764</f>
        <v>240.79068000000001</v>
      </c>
      <c r="E240" s="60">
        <v>0</v>
      </c>
      <c r="F240" s="60">
        <f t="shared" ref="F240:F244" si="21">D240+(IF(E240&lt;201,E240,IF(E240&lt;301,E240/2,E240/3)))</f>
        <v>240.79068000000001</v>
      </c>
      <c r="G240" s="60">
        <v>0</v>
      </c>
      <c r="H240" s="60">
        <f t="shared" si="20"/>
        <v>361.18601999999998</v>
      </c>
    </row>
    <row r="241" spans="1:8" x14ac:dyDescent="0.2">
      <c r="A241" s="116">
        <f t="shared" ref="A241:A244" si="22">A240+1</f>
        <v>20</v>
      </c>
      <c r="B241" s="117"/>
      <c r="C241" s="61" t="s">
        <v>211</v>
      </c>
      <c r="D241" s="62">
        <f>(19.99)*10.764</f>
        <v>215.17235999999997</v>
      </c>
      <c r="E241" s="60">
        <v>0</v>
      </c>
      <c r="F241" s="60">
        <f t="shared" si="21"/>
        <v>215.17235999999997</v>
      </c>
      <c r="G241" s="60">
        <v>0</v>
      </c>
      <c r="H241" s="60">
        <f t="shared" si="20"/>
        <v>322.75853999999993</v>
      </c>
    </row>
    <row r="242" spans="1:8" x14ac:dyDescent="0.2">
      <c r="A242" s="116">
        <f t="shared" si="22"/>
        <v>21</v>
      </c>
      <c r="B242" s="117"/>
      <c r="C242" s="61" t="s">
        <v>211</v>
      </c>
      <c r="D242" s="62">
        <f>(19.99)*10.764</f>
        <v>215.17235999999997</v>
      </c>
      <c r="E242" s="60">
        <v>0</v>
      </c>
      <c r="F242" s="60">
        <f t="shared" si="21"/>
        <v>215.17235999999997</v>
      </c>
      <c r="G242" s="60">
        <v>0</v>
      </c>
      <c r="H242" s="60">
        <f t="shared" si="20"/>
        <v>322.75853999999993</v>
      </c>
    </row>
    <row r="243" spans="1:8" x14ac:dyDescent="0.2">
      <c r="A243" s="116">
        <f t="shared" si="22"/>
        <v>22</v>
      </c>
      <c r="B243" s="117"/>
      <c r="C243" s="61" t="s">
        <v>211</v>
      </c>
      <c r="D243" s="62">
        <f>(19.99)*10.764</f>
        <v>215.17235999999997</v>
      </c>
      <c r="E243" s="60">
        <v>0</v>
      </c>
      <c r="F243" s="60">
        <f t="shared" si="21"/>
        <v>215.17235999999997</v>
      </c>
      <c r="G243" s="60">
        <v>0</v>
      </c>
      <c r="H243" s="60">
        <f t="shared" si="20"/>
        <v>322.75853999999993</v>
      </c>
    </row>
    <row r="244" spans="1:8" x14ac:dyDescent="0.2">
      <c r="A244" s="116">
        <f t="shared" si="22"/>
        <v>23</v>
      </c>
      <c r="B244" s="117"/>
      <c r="C244" s="61" t="s">
        <v>211</v>
      </c>
      <c r="D244" s="62">
        <f>(14.89)*10.764</f>
        <v>160.27596</v>
      </c>
      <c r="E244" s="60">
        <v>0</v>
      </c>
      <c r="F244" s="60">
        <f t="shared" si="21"/>
        <v>160.27596</v>
      </c>
      <c r="G244" s="60">
        <v>0</v>
      </c>
      <c r="H244" s="60">
        <f t="shared" si="20"/>
        <v>240.41394</v>
      </c>
    </row>
    <row r="245" spans="1:8" x14ac:dyDescent="0.2">
      <c r="A245" s="116">
        <v>24</v>
      </c>
      <c r="B245" s="117"/>
      <c r="C245" s="61" t="s">
        <v>211</v>
      </c>
      <c r="D245" s="62">
        <f>(19.99)*10.764</f>
        <v>215.17235999999997</v>
      </c>
      <c r="E245" s="60">
        <v>0</v>
      </c>
      <c r="F245" s="60">
        <f>D245+(IF(E245&lt;201,E245,IF(E245&lt;301,E245/2,E245/3)))</f>
        <v>215.17235999999997</v>
      </c>
      <c r="G245" s="60">
        <v>0</v>
      </c>
      <c r="H245" s="60">
        <f t="shared" ref="H245:H248" si="23">F245*(($H$194)+1)+(IF(G245&lt;101,G245,IF(G245&lt;201,G245/2,IF(G245&lt;=301,G245/3,G245/4))))</f>
        <v>322.75853999999993</v>
      </c>
    </row>
    <row r="246" spans="1:8" x14ac:dyDescent="0.2">
      <c r="A246" s="116">
        <f>A245+1</f>
        <v>25</v>
      </c>
      <c r="B246" s="117"/>
      <c r="C246" s="61" t="s">
        <v>211</v>
      </c>
      <c r="D246" s="62">
        <f>(19.99)*10.764</f>
        <v>215.17235999999997</v>
      </c>
      <c r="E246" s="60">
        <v>0</v>
      </c>
      <c r="F246" s="60">
        <f t="shared" ref="F246:F248" si="24">D246+(IF(E246&lt;201,E246,IF(E246&lt;301,E246/2,E246/3)))</f>
        <v>215.17235999999997</v>
      </c>
      <c r="G246" s="60">
        <v>0</v>
      </c>
      <c r="H246" s="60">
        <f t="shared" si="23"/>
        <v>322.75853999999993</v>
      </c>
    </row>
    <row r="247" spans="1:8" ht="12.75" customHeight="1" x14ac:dyDescent="0.2">
      <c r="A247" s="116">
        <f t="shared" ref="A247:A248" si="25">A246+1</f>
        <v>26</v>
      </c>
      <c r="B247" s="117"/>
      <c r="C247" s="61" t="s">
        <v>211</v>
      </c>
      <c r="D247" s="62">
        <f>(21.73)*10.764</f>
        <v>233.90171999999998</v>
      </c>
      <c r="E247" s="60">
        <v>0</v>
      </c>
      <c r="F247" s="60">
        <f t="shared" si="24"/>
        <v>233.90171999999998</v>
      </c>
      <c r="G247" s="60">
        <v>0</v>
      </c>
      <c r="H247" s="60">
        <f t="shared" si="23"/>
        <v>350.85257999999999</v>
      </c>
    </row>
    <row r="248" spans="1:8" x14ac:dyDescent="0.2">
      <c r="A248" s="116">
        <f t="shared" si="25"/>
        <v>27</v>
      </c>
      <c r="B248" s="117"/>
      <c r="C248" s="61" t="s">
        <v>211</v>
      </c>
      <c r="D248" s="62">
        <f>(24.356)*10.764</f>
        <v>262.16798399999999</v>
      </c>
      <c r="E248" s="60">
        <v>0</v>
      </c>
      <c r="F248" s="60">
        <f t="shared" si="24"/>
        <v>262.16798399999999</v>
      </c>
      <c r="G248" s="60">
        <v>0</v>
      </c>
      <c r="H248" s="60">
        <f t="shared" si="23"/>
        <v>393.25197600000001</v>
      </c>
    </row>
    <row r="249" spans="1:8" x14ac:dyDescent="0.2">
      <c r="A249" s="116"/>
      <c r="B249" s="129"/>
      <c r="C249" s="129"/>
      <c r="D249" s="129"/>
      <c r="E249" s="129"/>
      <c r="F249" s="129"/>
      <c r="G249" s="129"/>
      <c r="H249" s="117"/>
    </row>
    <row r="250" spans="1:8" ht="38.25" x14ac:dyDescent="0.2">
      <c r="A250" s="113" t="s">
        <v>205</v>
      </c>
      <c r="B250" s="113" t="s">
        <v>206</v>
      </c>
      <c r="C250" s="113" t="s">
        <v>276</v>
      </c>
      <c r="D250" s="113" t="s">
        <v>315</v>
      </c>
      <c r="E250" s="113" t="s">
        <v>313</v>
      </c>
      <c r="F250" s="113" t="s">
        <v>208</v>
      </c>
      <c r="G250" s="79" t="s">
        <v>209</v>
      </c>
      <c r="H250" s="57" t="s">
        <v>140</v>
      </c>
    </row>
    <row r="251" spans="1:8" x14ac:dyDescent="0.2">
      <c r="A251" s="114"/>
      <c r="B251" s="114"/>
      <c r="C251" s="114"/>
      <c r="D251" s="114"/>
      <c r="E251" s="114"/>
      <c r="F251" s="114"/>
      <c r="G251" s="80"/>
      <c r="H251" s="59">
        <v>0.45</v>
      </c>
    </row>
    <row r="252" spans="1:8" x14ac:dyDescent="0.2">
      <c r="A252" s="115" t="s">
        <v>275</v>
      </c>
      <c r="B252" s="115"/>
      <c r="C252" s="115"/>
      <c r="D252" s="115"/>
      <c r="E252" s="115"/>
      <c r="F252" s="115"/>
      <c r="G252" s="115"/>
      <c r="H252" s="115"/>
    </row>
    <row r="253" spans="1:8" x14ac:dyDescent="0.2">
      <c r="A253" s="112" t="s">
        <v>199</v>
      </c>
      <c r="B253" s="112"/>
      <c r="C253" s="112"/>
      <c r="D253" s="112"/>
      <c r="E253" s="112"/>
      <c r="F253" s="112"/>
      <c r="G253" s="112"/>
      <c r="H253" s="112"/>
    </row>
    <row r="254" spans="1:8" x14ac:dyDescent="0.2">
      <c r="A254" s="247" t="s">
        <v>282</v>
      </c>
      <c r="B254" s="247"/>
      <c r="C254" s="247"/>
      <c r="D254" s="247"/>
      <c r="E254" s="247"/>
      <c r="F254" s="247"/>
      <c r="G254" s="247"/>
      <c r="H254" s="247"/>
    </row>
    <row r="255" spans="1:8" x14ac:dyDescent="0.2">
      <c r="A255" s="116">
        <v>1</v>
      </c>
      <c r="B255" s="117"/>
      <c r="C255" s="81" t="s">
        <v>283</v>
      </c>
      <c r="D255" s="82">
        <f>(88.55)*10.764</f>
        <v>953.15219999999988</v>
      </c>
      <c r="E255" s="82">
        <f>(6.92+3.05*0.9)*10.764</f>
        <v>104.03405999999998</v>
      </c>
      <c r="F255" s="60">
        <f>D255+E255</f>
        <v>1057.1862599999999</v>
      </c>
      <c r="G255" s="82">
        <f>(19.26+0.5*5*0.55)*10.764</f>
        <v>222.11514</v>
      </c>
      <c r="H255" s="60">
        <f>F255*(($H$251)+1)+(IF(G255&lt;101,G255,IF(G255&lt;201,G255/2,IF(G255&lt;=301,G255/3,G255/4))))</f>
        <v>1606.9584569999997</v>
      </c>
    </row>
    <row r="256" spans="1:8" x14ac:dyDescent="0.2">
      <c r="A256" s="93">
        <f>A255+1</f>
        <v>2</v>
      </c>
      <c r="B256" s="94"/>
      <c r="C256" s="61" t="s">
        <v>283</v>
      </c>
      <c r="D256" s="62">
        <f>(86.91)*10.764</f>
        <v>935.49923999999987</v>
      </c>
      <c r="E256" s="62">
        <f>(6.92+3.05*0.9)*10.764</f>
        <v>104.03405999999998</v>
      </c>
      <c r="F256" s="14">
        <f t="shared" ref="F256:F263" si="26">D256+E256</f>
        <v>1039.5332999999998</v>
      </c>
      <c r="G256" s="62">
        <f>(0.5*(0.55+1.2)*8+0.45*3+0.5*(1.6+1.9)*3.05+1.7*0.4)*10.764</f>
        <v>154.65177</v>
      </c>
      <c r="H256" s="14">
        <f t="shared" ref="H256:H266" si="27">F256*(($H$251)+1)+(IF(G256&lt;101,G256,IF(G256&lt;201,G256/2,IF(G256&lt;=301,G256/3,G256/4))))</f>
        <v>1584.6491699999997</v>
      </c>
    </row>
    <row r="257" spans="1:8" x14ac:dyDescent="0.2">
      <c r="A257" s="93">
        <f t="shared" ref="A257:A268" si="28">A256+1</f>
        <v>3</v>
      </c>
      <c r="B257" s="94"/>
      <c r="C257" s="61" t="s">
        <v>283</v>
      </c>
      <c r="D257" s="62">
        <f>(78.14)*10.764</f>
        <v>841.09895999999992</v>
      </c>
      <c r="E257" s="62">
        <f>(8.42+0.9*(3.3+3.05+3.05))*10.764</f>
        <v>181.69631999999999</v>
      </c>
      <c r="F257" s="14">
        <f t="shared" si="26"/>
        <v>1022.7952799999999</v>
      </c>
      <c r="G257" s="14">
        <v>0</v>
      </c>
      <c r="H257" s="14">
        <f t="shared" si="27"/>
        <v>1483.0531559999999</v>
      </c>
    </row>
    <row r="258" spans="1:8" x14ac:dyDescent="0.2">
      <c r="A258" s="93">
        <f t="shared" si="28"/>
        <v>4</v>
      </c>
      <c r="B258" s="94"/>
      <c r="C258" s="61" t="s">
        <v>283</v>
      </c>
      <c r="D258" s="62">
        <f>(79.61)*10.764</f>
        <v>856.92203999999992</v>
      </c>
      <c r="E258" s="62">
        <f>(8.42+0.9*(3.3+3.05+3.05))*10.764</f>
        <v>181.69631999999999</v>
      </c>
      <c r="F258" s="14">
        <f t="shared" si="26"/>
        <v>1038.6183599999999</v>
      </c>
      <c r="G258" s="14">
        <v>0</v>
      </c>
      <c r="H258" s="14">
        <f t="shared" si="27"/>
        <v>1505.9966219999999</v>
      </c>
    </row>
    <row r="259" spans="1:8" x14ac:dyDescent="0.2">
      <c r="A259" s="250" t="s">
        <v>284</v>
      </c>
      <c r="B259" s="251"/>
      <c r="C259" s="251"/>
      <c r="D259" s="251"/>
      <c r="E259" s="251"/>
      <c r="F259" s="251"/>
      <c r="G259" s="251"/>
      <c r="H259" s="252"/>
    </row>
    <row r="260" spans="1:8" x14ac:dyDescent="0.2">
      <c r="A260" s="93">
        <v>1</v>
      </c>
      <c r="B260" s="94"/>
      <c r="C260" s="61" t="s">
        <v>283</v>
      </c>
      <c r="D260" s="62">
        <f>(85.01)*10.764</f>
        <v>915.04764</v>
      </c>
      <c r="E260" s="62">
        <f>(6.02+0.9*(3.05+3.05+3.05))*10.764</f>
        <v>153.44081999999997</v>
      </c>
      <c r="F260" s="14">
        <f t="shared" si="26"/>
        <v>1068.48846</v>
      </c>
      <c r="G260" s="14">
        <v>0</v>
      </c>
      <c r="H260" s="14">
        <f t="shared" si="27"/>
        <v>1549.3082669999999</v>
      </c>
    </row>
    <row r="261" spans="1:8" x14ac:dyDescent="0.2">
      <c r="A261" s="93">
        <f>A260+1</f>
        <v>2</v>
      </c>
      <c r="B261" s="94"/>
      <c r="C261" s="61" t="s">
        <v>283</v>
      </c>
      <c r="D261" s="62">
        <f>(85.33)*10.764</f>
        <v>918.49211999999989</v>
      </c>
      <c r="E261" s="62">
        <f>(6.02+0.9*(3.05+3.05+3.05))*10.764</f>
        <v>153.44081999999997</v>
      </c>
      <c r="F261" s="14">
        <f t="shared" si="26"/>
        <v>1071.9329399999999</v>
      </c>
      <c r="G261" s="14">
        <v>0</v>
      </c>
      <c r="H261" s="14">
        <f t="shared" si="27"/>
        <v>1554.3027629999999</v>
      </c>
    </row>
    <row r="262" spans="1:8" x14ac:dyDescent="0.2">
      <c r="A262" s="93">
        <f t="shared" si="28"/>
        <v>3</v>
      </c>
      <c r="B262" s="94"/>
      <c r="C262" s="61" t="s">
        <v>283</v>
      </c>
      <c r="D262" s="62">
        <f>(78.14)*10.764</f>
        <v>841.09895999999992</v>
      </c>
      <c r="E262" s="62">
        <f>(8.42+0.9*(3.3+3.05+3.05))*10.764</f>
        <v>181.69631999999999</v>
      </c>
      <c r="F262" s="14">
        <f t="shared" si="26"/>
        <v>1022.7952799999999</v>
      </c>
      <c r="G262" s="14">
        <v>0</v>
      </c>
      <c r="H262" s="14">
        <f t="shared" si="27"/>
        <v>1483.0531559999999</v>
      </c>
    </row>
    <row r="263" spans="1:8" x14ac:dyDescent="0.2">
      <c r="A263" s="93">
        <f t="shared" si="28"/>
        <v>4</v>
      </c>
      <c r="B263" s="94"/>
      <c r="C263" s="61" t="s">
        <v>283</v>
      </c>
      <c r="D263" s="62">
        <f>(78.14)*10.764</f>
        <v>841.09895999999992</v>
      </c>
      <c r="E263" s="62">
        <f>(8.42+0.9*(3.3+3.05+3.05))*10.764</f>
        <v>181.69631999999999</v>
      </c>
      <c r="F263" s="14">
        <f t="shared" si="26"/>
        <v>1022.7952799999999</v>
      </c>
      <c r="G263" s="14">
        <v>0</v>
      </c>
      <c r="H263" s="14">
        <f t="shared" si="27"/>
        <v>1483.0531559999999</v>
      </c>
    </row>
    <row r="264" spans="1:8" x14ac:dyDescent="0.2">
      <c r="A264" s="250" t="s">
        <v>285</v>
      </c>
      <c r="B264" s="251"/>
      <c r="C264" s="251"/>
      <c r="D264" s="251"/>
      <c r="E264" s="251"/>
      <c r="F264" s="251"/>
      <c r="G264" s="251"/>
      <c r="H264" s="252"/>
    </row>
    <row r="265" spans="1:8" x14ac:dyDescent="0.2">
      <c r="A265" s="93">
        <v>1</v>
      </c>
      <c r="B265" s="94"/>
      <c r="C265" s="61" t="s">
        <v>283</v>
      </c>
      <c r="D265" s="62">
        <f>(85.01)*10.764</f>
        <v>915.04764</v>
      </c>
      <c r="E265" s="62">
        <f>(6.02+0.9*(3.05+3.05+3.05))*10.764</f>
        <v>153.44081999999997</v>
      </c>
      <c r="F265" s="14">
        <f t="shared" ref="F265:F268" si="29">D265+E265</f>
        <v>1068.48846</v>
      </c>
      <c r="G265" s="14">
        <v>0</v>
      </c>
      <c r="H265" s="14">
        <f t="shared" si="27"/>
        <v>1549.3082669999999</v>
      </c>
    </row>
    <row r="266" spans="1:8" x14ac:dyDescent="0.2">
      <c r="A266" s="93">
        <f>A265+1</f>
        <v>2</v>
      </c>
      <c r="B266" s="94"/>
      <c r="C266" s="61" t="s">
        <v>283</v>
      </c>
      <c r="D266" s="62">
        <f>(85.33)*10.764</f>
        <v>918.49211999999989</v>
      </c>
      <c r="E266" s="62">
        <f>(6.02+0.9*(3.05+3.05+3.05))*10.764</f>
        <v>153.44081999999997</v>
      </c>
      <c r="F266" s="14">
        <f t="shared" si="29"/>
        <v>1071.9329399999999</v>
      </c>
      <c r="G266" s="14">
        <v>0</v>
      </c>
      <c r="H266" s="14">
        <f t="shared" si="27"/>
        <v>1554.3027629999999</v>
      </c>
    </row>
    <row r="267" spans="1:8" x14ac:dyDescent="0.2">
      <c r="A267" s="93">
        <f t="shared" si="28"/>
        <v>3</v>
      </c>
      <c r="B267" s="94"/>
      <c r="C267" s="61" t="s">
        <v>283</v>
      </c>
      <c r="D267" s="62">
        <f>(78.14)*10.764</f>
        <v>841.09895999999992</v>
      </c>
      <c r="E267" s="62">
        <f>(8.42+0.9*(3.3+3.05+3.05))*10.764</f>
        <v>181.69631999999999</v>
      </c>
      <c r="F267" s="14">
        <f t="shared" si="29"/>
        <v>1022.7952799999999</v>
      </c>
      <c r="G267" s="14">
        <v>0</v>
      </c>
      <c r="H267" s="14">
        <f t="shared" ref="H267" si="30">F267*(($H$251)+1)+(IF(G267&lt;101,G267,IF(G267&lt;201,G267/2,IF(G267&lt;=301,G267/3,G267/4))))</f>
        <v>1483.0531559999999</v>
      </c>
    </row>
    <row r="268" spans="1:8" x14ac:dyDescent="0.2">
      <c r="A268" s="93">
        <f t="shared" si="28"/>
        <v>4</v>
      </c>
      <c r="B268" s="94"/>
      <c r="C268" s="61" t="s">
        <v>283</v>
      </c>
      <c r="D268" s="62">
        <f>(78.14)*10.764</f>
        <v>841.09895999999992</v>
      </c>
      <c r="E268" s="62">
        <f>(8.42+0.9*(3.3+3.05+3.05))*10.764</f>
        <v>181.69631999999999</v>
      </c>
      <c r="F268" s="14">
        <f t="shared" si="29"/>
        <v>1022.7952799999999</v>
      </c>
      <c r="G268" s="14">
        <v>0</v>
      </c>
      <c r="H268" s="14">
        <f>F268*(($H$251)+1)+(IF(G268&lt;101,G268,IF(G268&lt;201,G268/2,IF(G268&lt;=301,G268/3,G268/4))))</f>
        <v>1483.0531559999999</v>
      </c>
    </row>
    <row r="269" spans="1:8" x14ac:dyDescent="0.2">
      <c r="A269" s="93" t="s">
        <v>286</v>
      </c>
      <c r="B269" s="94"/>
      <c r="C269" s="95" t="s">
        <v>288</v>
      </c>
      <c r="D269" s="253"/>
      <c r="E269" s="253"/>
      <c r="F269" s="253"/>
      <c r="G269" s="253"/>
      <c r="H269" s="96"/>
    </row>
    <row r="270" spans="1:8" x14ac:dyDescent="0.2">
      <c r="A270" s="127" t="s">
        <v>201</v>
      </c>
      <c r="B270" s="127"/>
      <c r="C270" s="127"/>
      <c r="D270" s="127"/>
      <c r="E270" s="127"/>
      <c r="F270" s="127"/>
      <c r="G270" s="127"/>
      <c r="H270" s="127"/>
    </row>
    <row r="271" spans="1:8" x14ac:dyDescent="0.2">
      <c r="A271" s="249" t="s">
        <v>282</v>
      </c>
      <c r="B271" s="249"/>
      <c r="C271" s="249"/>
      <c r="D271" s="249"/>
      <c r="E271" s="249"/>
      <c r="F271" s="249"/>
      <c r="G271" s="249"/>
      <c r="H271" s="249"/>
    </row>
    <row r="272" spans="1:8" x14ac:dyDescent="0.2">
      <c r="A272" s="93">
        <v>1</v>
      </c>
      <c r="B272" s="94"/>
      <c r="C272" s="61" t="s">
        <v>287</v>
      </c>
      <c r="D272" s="62">
        <f>(116.5)*10.764</f>
        <v>1254.0059999999999</v>
      </c>
      <c r="E272" s="62">
        <f>(10.78+0.9*(3.05+3.05))*10.764</f>
        <v>175.13027999999997</v>
      </c>
      <c r="F272" s="14">
        <f>D272+E272</f>
        <v>1429.1362799999997</v>
      </c>
      <c r="G272" s="62">
        <f>(3.05*2.8+3.2*1.8+3*3+6.4*2.4)*10.764</f>
        <v>416.13623999999993</v>
      </c>
      <c r="H272" s="14">
        <f>F272*(($H$251)+1)+(IF(G272&lt;101,G272,IF(G272&lt;201,G272/2,IF(G272&lt;=301,G272/3,G272/4))))</f>
        <v>2176.2816659999994</v>
      </c>
    </row>
    <row r="273" spans="1:8" x14ac:dyDescent="0.2">
      <c r="A273" s="93">
        <f>A272+1</f>
        <v>2</v>
      </c>
      <c r="B273" s="94"/>
      <c r="C273" s="61" t="s">
        <v>287</v>
      </c>
      <c r="D273" s="62">
        <f>(116.5)*10.764</f>
        <v>1254.0059999999999</v>
      </c>
      <c r="E273" s="62">
        <f>(10.78+0.9*(3.05+3.05))*10.764</f>
        <v>175.13027999999997</v>
      </c>
      <c r="F273" s="14">
        <f t="shared" ref="F273" si="31">D273+E273</f>
        <v>1429.1362799999997</v>
      </c>
      <c r="G273" s="62">
        <f>(0.5*(2.8+3.2)*6.36+3.2*4.2+3*3.3+3.2*5.6)*10.764</f>
        <v>649.49976000000004</v>
      </c>
      <c r="H273" s="14">
        <f t="shared" ref="H273" si="32">F273*(($H$251)+1)+(IF(G273&lt;101,G273,IF(G273&lt;201,G273/2,IF(G273&lt;=301,G273/3,G273/4))))</f>
        <v>2234.6225459999996</v>
      </c>
    </row>
    <row r="274" spans="1:8" x14ac:dyDescent="0.2">
      <c r="A274" s="250" t="s">
        <v>284</v>
      </c>
      <c r="B274" s="251"/>
      <c r="C274" s="251"/>
      <c r="D274" s="251"/>
      <c r="E274" s="251"/>
      <c r="F274" s="251"/>
      <c r="G274" s="251"/>
      <c r="H274" s="252"/>
    </row>
    <row r="275" spans="1:8" x14ac:dyDescent="0.2">
      <c r="A275" s="93">
        <v>1</v>
      </c>
      <c r="B275" s="94"/>
      <c r="C275" s="61" t="s">
        <v>287</v>
      </c>
      <c r="D275" s="62">
        <f>(115.55)*10.764</f>
        <v>1243.7801999999999</v>
      </c>
      <c r="E275" s="62">
        <f>(9.7+0.9*(3.05*4))*10.764</f>
        <v>222.59951999999998</v>
      </c>
      <c r="F275" s="14">
        <f t="shared" ref="F275:F276" si="33">D275+E275</f>
        <v>1466.3797199999999</v>
      </c>
      <c r="G275" s="14">
        <v>0</v>
      </c>
      <c r="H275" s="14">
        <f t="shared" ref="H275:H276" si="34">F275*(($H$251)+1)+(IF(G275&lt;101,G275,IF(G275&lt;201,G275/2,IF(G275&lt;=301,G275/3,G275/4))))</f>
        <v>2126.2505939999996</v>
      </c>
    </row>
    <row r="276" spans="1:8" x14ac:dyDescent="0.2">
      <c r="A276" s="93">
        <f>A275+1</f>
        <v>2</v>
      </c>
      <c r="B276" s="94"/>
      <c r="C276" s="61" t="s">
        <v>287</v>
      </c>
      <c r="D276" s="62">
        <f>(115.55)*10.764</f>
        <v>1243.7801999999999</v>
      </c>
      <c r="E276" s="62">
        <f>(9.7+0.9*(3.05*4))*10.764</f>
        <v>222.59951999999998</v>
      </c>
      <c r="F276" s="14">
        <f t="shared" si="33"/>
        <v>1466.3797199999999</v>
      </c>
      <c r="G276" s="14">
        <v>0</v>
      </c>
      <c r="H276" s="14">
        <f t="shared" si="34"/>
        <v>2126.2505939999996</v>
      </c>
    </row>
    <row r="277" spans="1:8" x14ac:dyDescent="0.2">
      <c r="A277" s="250" t="s">
        <v>285</v>
      </c>
      <c r="B277" s="251"/>
      <c r="C277" s="251"/>
      <c r="D277" s="251"/>
      <c r="E277" s="251"/>
      <c r="F277" s="251"/>
      <c r="G277" s="251"/>
      <c r="H277" s="252"/>
    </row>
    <row r="278" spans="1:8" x14ac:dyDescent="0.2">
      <c r="A278" s="93">
        <v>1</v>
      </c>
      <c r="B278" s="94"/>
      <c r="C278" s="61" t="s">
        <v>287</v>
      </c>
      <c r="D278" s="62">
        <f>(108.87)*10.764</f>
        <v>1171.8766800000001</v>
      </c>
      <c r="E278" s="62">
        <f>(8.01+0.9*(3.05*4))*10.764</f>
        <v>204.40836000000002</v>
      </c>
      <c r="F278" s="14">
        <f t="shared" ref="F278:F280" si="35">D278+E278</f>
        <v>1376.2850400000002</v>
      </c>
      <c r="G278" s="14">
        <v>0</v>
      </c>
      <c r="H278" s="14">
        <f t="shared" ref="H278:H280" si="36">F278*(($H$251)+1)+(IF(G278&lt;101,G278,IF(G278&lt;201,G278/2,IF(G278&lt;=301,G278/3,G278/4))))</f>
        <v>1995.6133080000002</v>
      </c>
    </row>
    <row r="279" spans="1:8" x14ac:dyDescent="0.2">
      <c r="A279" s="93" t="s">
        <v>286</v>
      </c>
      <c r="B279" s="94"/>
      <c r="C279" s="95" t="s">
        <v>288</v>
      </c>
      <c r="D279" s="253"/>
      <c r="E279" s="253"/>
      <c r="F279" s="253"/>
      <c r="G279" s="253"/>
      <c r="H279" s="96"/>
    </row>
    <row r="280" spans="1:8" x14ac:dyDescent="0.2">
      <c r="A280" s="93">
        <v>2</v>
      </c>
      <c r="B280" s="94"/>
      <c r="C280" s="61" t="s">
        <v>287</v>
      </c>
      <c r="D280" s="62">
        <f>(108.87)*10.764</f>
        <v>1171.8766800000001</v>
      </c>
      <c r="E280" s="62">
        <f>(8.01+0.9*(3.05*4))*10.764</f>
        <v>204.40836000000002</v>
      </c>
      <c r="F280" s="14">
        <f t="shared" si="35"/>
        <v>1376.2850400000002</v>
      </c>
      <c r="G280" s="14">
        <v>0</v>
      </c>
      <c r="H280" s="14">
        <f t="shared" si="36"/>
        <v>1995.6133080000002</v>
      </c>
    </row>
    <row r="281" spans="1:8" x14ac:dyDescent="0.2">
      <c r="A281" s="127" t="s">
        <v>280</v>
      </c>
      <c r="B281" s="127"/>
      <c r="C281" s="127"/>
      <c r="D281" s="127"/>
      <c r="E281" s="127"/>
      <c r="F281" s="127"/>
      <c r="G281" s="127"/>
      <c r="H281" s="127"/>
    </row>
    <row r="282" spans="1:8" x14ac:dyDescent="0.2">
      <c r="A282" s="249" t="s">
        <v>282</v>
      </c>
      <c r="B282" s="249"/>
      <c r="C282" s="249"/>
      <c r="D282" s="249"/>
      <c r="E282" s="249"/>
      <c r="F282" s="249"/>
      <c r="G282" s="249"/>
      <c r="H282" s="249"/>
    </row>
    <row r="283" spans="1:8" x14ac:dyDescent="0.2">
      <c r="A283" s="93">
        <v>1</v>
      </c>
      <c r="B283" s="94"/>
      <c r="C283" s="61" t="s">
        <v>283</v>
      </c>
      <c r="D283" s="62">
        <f>(86.91)*10.764</f>
        <v>935.49923999999987</v>
      </c>
      <c r="E283" s="62">
        <f>(6.92+3.05*0.9)*10.764</f>
        <v>104.03405999999998</v>
      </c>
      <c r="F283" s="14">
        <f>D283+E283</f>
        <v>1039.5332999999998</v>
      </c>
      <c r="G283" s="62">
        <f>(3.05*4+1.6*3+3.2*4.4+0.5*(4.2+4.6)*5.3)*10.764</f>
        <v>585.5616</v>
      </c>
      <c r="H283" s="14">
        <f>F283*(($H$251)+1)+(IF(G283&lt;101,G283,IF(G283&lt;201,G283/2,IF(G283&lt;=301,G283/3,G283/4))))</f>
        <v>1653.7136849999997</v>
      </c>
    </row>
    <row r="284" spans="1:8" x14ac:dyDescent="0.2">
      <c r="A284" s="93">
        <f>A283+1</f>
        <v>2</v>
      </c>
      <c r="B284" s="94"/>
      <c r="C284" s="61" t="s">
        <v>283</v>
      </c>
      <c r="D284" s="62">
        <f>(89.04)*10.764</f>
        <v>958.42655999999999</v>
      </c>
      <c r="E284" s="62">
        <f>(6.92)*10.764</f>
        <v>74.486879999999999</v>
      </c>
      <c r="F284" s="14">
        <f t="shared" ref="F284:F286" si="37">D284+E284</f>
        <v>1032.91344</v>
      </c>
      <c r="G284" s="62">
        <f>(0.5*(4.6+5.6)*8.4+1.7*4.6+6*12.8)*10.764</f>
        <v>1371.9794400000001</v>
      </c>
      <c r="H284" s="14">
        <f t="shared" ref="H284:H286" si="38">F284*(($H$251)+1)+(IF(G284&lt;101,G284,IF(G284&lt;201,G284/2,IF(G284&lt;=301,G284/3,G284/4))))</f>
        <v>1840.7193480000001</v>
      </c>
    </row>
    <row r="285" spans="1:8" x14ac:dyDescent="0.2">
      <c r="A285" s="93">
        <f t="shared" ref="A285:A297" si="39">A284+1</f>
        <v>3</v>
      </c>
      <c r="B285" s="94"/>
      <c r="C285" s="61" t="s">
        <v>283</v>
      </c>
      <c r="D285" s="62">
        <f>(80.7)*10.764</f>
        <v>868.65480000000002</v>
      </c>
      <c r="E285" s="62">
        <f>(8.42+0.9*(3.05*2))*10.764</f>
        <v>149.72723999999999</v>
      </c>
      <c r="F285" s="14">
        <f t="shared" si="37"/>
        <v>1018.38204</v>
      </c>
      <c r="G285" s="62">
        <f>(3.6*11.2+7*4.5+3.7*0.9)*10.764</f>
        <v>808.91459999999984</v>
      </c>
      <c r="H285" s="14">
        <f t="shared" si="38"/>
        <v>1678.8826079999999</v>
      </c>
    </row>
    <row r="286" spans="1:8" x14ac:dyDescent="0.2">
      <c r="A286" s="93">
        <f t="shared" si="39"/>
        <v>4</v>
      </c>
      <c r="B286" s="94"/>
      <c r="C286" s="61" t="s">
        <v>283</v>
      </c>
      <c r="D286" s="62">
        <f>(78.54)*10.764</f>
        <v>845.40456000000006</v>
      </c>
      <c r="E286" s="62">
        <f>(8.42+0.9*(3.05*2+3.3))*10.764</f>
        <v>181.69631999999999</v>
      </c>
      <c r="F286" s="14">
        <f t="shared" si="37"/>
        <v>1027.10088</v>
      </c>
      <c r="G286" s="62">
        <v>0</v>
      </c>
      <c r="H286" s="14">
        <f t="shared" si="38"/>
        <v>1489.2962759999998</v>
      </c>
    </row>
    <row r="287" spans="1:8" x14ac:dyDescent="0.2">
      <c r="A287" s="250" t="s">
        <v>284</v>
      </c>
      <c r="B287" s="251"/>
      <c r="C287" s="251"/>
      <c r="D287" s="251"/>
      <c r="E287" s="251"/>
      <c r="F287" s="251"/>
      <c r="G287" s="251"/>
      <c r="H287" s="252"/>
    </row>
    <row r="288" spans="1:8" x14ac:dyDescent="0.2">
      <c r="A288" s="93">
        <v>1</v>
      </c>
      <c r="B288" s="94"/>
      <c r="C288" s="61" t="s">
        <v>283</v>
      </c>
      <c r="D288" s="62">
        <f>(85.33)*10.764</f>
        <v>918.49211999999989</v>
      </c>
      <c r="E288" s="62">
        <f>(6.02+0.9*(3.05*3))*10.764</f>
        <v>153.44081999999997</v>
      </c>
      <c r="F288" s="14">
        <f t="shared" ref="F288:F291" si="40">D288+E288</f>
        <v>1071.9329399999999</v>
      </c>
      <c r="G288" s="14">
        <v>0</v>
      </c>
      <c r="H288" s="14">
        <f t="shared" ref="H288:H291" si="41">F288*(($H$251)+1)+(IF(G288&lt;101,G288,IF(G288&lt;201,G288/2,IF(G288&lt;=301,G288/3,G288/4))))</f>
        <v>1554.3027629999999</v>
      </c>
    </row>
    <row r="289" spans="1:8" x14ac:dyDescent="0.2">
      <c r="A289" s="93">
        <f>A288+1</f>
        <v>2</v>
      </c>
      <c r="B289" s="94"/>
      <c r="C289" s="61" t="s">
        <v>283</v>
      </c>
      <c r="D289" s="62">
        <f>(85.01)*10.764</f>
        <v>915.04764</v>
      </c>
      <c r="E289" s="62">
        <f>(6.02+0.9*(3.05*3))*10.764</f>
        <v>153.44081999999997</v>
      </c>
      <c r="F289" s="14">
        <f t="shared" si="40"/>
        <v>1068.48846</v>
      </c>
      <c r="G289" s="14">
        <v>0</v>
      </c>
      <c r="H289" s="14">
        <f t="shared" si="41"/>
        <v>1549.3082669999999</v>
      </c>
    </row>
    <row r="290" spans="1:8" x14ac:dyDescent="0.2">
      <c r="A290" s="93">
        <f t="shared" si="39"/>
        <v>3</v>
      </c>
      <c r="B290" s="94"/>
      <c r="C290" s="61" t="s">
        <v>283</v>
      </c>
      <c r="D290" s="62">
        <f>(78.14)*10.764</f>
        <v>841.09895999999992</v>
      </c>
      <c r="E290" s="62">
        <f>(8.42+0.9*(3.05*2+3.3))*10.764</f>
        <v>181.69631999999999</v>
      </c>
      <c r="F290" s="14">
        <f t="shared" si="40"/>
        <v>1022.7952799999999</v>
      </c>
      <c r="G290" s="14">
        <v>0</v>
      </c>
      <c r="H290" s="14">
        <f t="shared" si="41"/>
        <v>1483.0531559999999</v>
      </c>
    </row>
    <row r="291" spans="1:8" x14ac:dyDescent="0.2">
      <c r="A291" s="93">
        <f t="shared" si="39"/>
        <v>4</v>
      </c>
      <c r="B291" s="94"/>
      <c r="C291" s="61" t="s">
        <v>283</v>
      </c>
      <c r="D291" s="62">
        <f>(78.14)*10.764</f>
        <v>841.09895999999992</v>
      </c>
      <c r="E291" s="62">
        <f>(8.42+0.9*(3.05*2+3.3))*10.764</f>
        <v>181.69631999999999</v>
      </c>
      <c r="F291" s="14">
        <f t="shared" si="40"/>
        <v>1022.7952799999999</v>
      </c>
      <c r="G291" s="14">
        <v>0</v>
      </c>
      <c r="H291" s="14">
        <f t="shared" si="41"/>
        <v>1483.0531559999999</v>
      </c>
    </row>
    <row r="292" spans="1:8" x14ac:dyDescent="0.2">
      <c r="A292" s="250" t="s">
        <v>285</v>
      </c>
      <c r="B292" s="251"/>
      <c r="C292" s="251"/>
      <c r="D292" s="251"/>
      <c r="E292" s="251"/>
      <c r="F292" s="251"/>
      <c r="G292" s="251"/>
      <c r="H292" s="252"/>
    </row>
    <row r="293" spans="1:8" x14ac:dyDescent="0.2">
      <c r="A293" s="93">
        <v>1</v>
      </c>
      <c r="B293" s="94"/>
      <c r="C293" s="61" t="s">
        <v>283</v>
      </c>
      <c r="D293" s="62">
        <f>(85.01)*10.764</f>
        <v>915.04764</v>
      </c>
      <c r="E293" s="62">
        <f>(6.02+0.9*(3.05+3.05+3.05))*10.764</f>
        <v>153.44081999999997</v>
      </c>
      <c r="F293" s="14">
        <f t="shared" ref="F293:F297" si="42">D293+E293</f>
        <v>1068.48846</v>
      </c>
      <c r="G293" s="14">
        <v>0</v>
      </c>
      <c r="H293" s="14">
        <f t="shared" ref="H293:H296" si="43">F293*(($H$251)+1)+(IF(G293&lt;101,G293,IF(G293&lt;201,G293/2,IF(G293&lt;=301,G293/3,G293/4))))</f>
        <v>1549.3082669999999</v>
      </c>
    </row>
    <row r="294" spans="1:8" x14ac:dyDescent="0.2">
      <c r="A294" s="93">
        <f>A293+1</f>
        <v>2</v>
      </c>
      <c r="B294" s="94"/>
      <c r="C294" s="61" t="s">
        <v>283</v>
      </c>
      <c r="D294" s="62">
        <f>(85.33)*10.764</f>
        <v>918.49211999999989</v>
      </c>
      <c r="E294" s="62">
        <f>(6.02+0.9*(3.05+3.05+3.05))*10.764</f>
        <v>153.44081999999997</v>
      </c>
      <c r="F294" s="14">
        <f t="shared" si="42"/>
        <v>1071.9329399999999</v>
      </c>
      <c r="G294" s="14">
        <v>0</v>
      </c>
      <c r="H294" s="14">
        <f t="shared" si="43"/>
        <v>1554.3027629999999</v>
      </c>
    </row>
    <row r="295" spans="1:8" x14ac:dyDescent="0.2">
      <c r="A295" s="93" t="s">
        <v>286</v>
      </c>
      <c r="B295" s="94"/>
      <c r="C295" s="95" t="s">
        <v>288</v>
      </c>
      <c r="D295" s="253"/>
      <c r="E295" s="253"/>
      <c r="F295" s="253"/>
      <c r="G295" s="253"/>
      <c r="H295" s="96"/>
    </row>
    <row r="296" spans="1:8" x14ac:dyDescent="0.2">
      <c r="A296" s="93">
        <f>A294+1</f>
        <v>3</v>
      </c>
      <c r="B296" s="94"/>
      <c r="C296" s="61" t="s">
        <v>283</v>
      </c>
      <c r="D296" s="62">
        <f>(78.14)*10.764</f>
        <v>841.09895999999992</v>
      </c>
      <c r="E296" s="62">
        <f>(8.42+0.9*(3.3+3.05+3.05))*10.764</f>
        <v>181.69631999999999</v>
      </c>
      <c r="F296" s="14">
        <f t="shared" si="42"/>
        <v>1022.7952799999999</v>
      </c>
      <c r="G296" s="14">
        <v>0</v>
      </c>
      <c r="H296" s="14">
        <f t="shared" si="43"/>
        <v>1483.0531559999999</v>
      </c>
    </row>
    <row r="297" spans="1:8" x14ac:dyDescent="0.2">
      <c r="A297" s="93">
        <f t="shared" si="39"/>
        <v>4</v>
      </c>
      <c r="B297" s="94"/>
      <c r="C297" s="61" t="s">
        <v>283</v>
      </c>
      <c r="D297" s="62">
        <f>(78.14)*10.764</f>
        <v>841.09895999999992</v>
      </c>
      <c r="E297" s="62">
        <f>(8.42+0.9*(3.3+3.05+3.05))*10.764</f>
        <v>181.69631999999999</v>
      </c>
      <c r="F297" s="14">
        <f t="shared" si="42"/>
        <v>1022.7952799999999</v>
      </c>
      <c r="G297" s="14">
        <v>0</v>
      </c>
      <c r="H297" s="14">
        <f>F297*(($H$251)+1)+(IF(G297&lt;101,G297,IF(G297&lt;201,G297/2,IF(G297&lt;=301,G297/3,G297/4))))</f>
        <v>1483.0531559999999</v>
      </c>
    </row>
    <row r="298" spans="1:8" x14ac:dyDescent="0.2">
      <c r="A298" s="127" t="s">
        <v>301</v>
      </c>
      <c r="B298" s="127"/>
      <c r="C298" s="127"/>
      <c r="D298" s="127"/>
      <c r="E298" s="127"/>
      <c r="F298" s="127"/>
      <c r="G298" s="127"/>
      <c r="H298" s="127"/>
    </row>
    <row r="299" spans="1:8" x14ac:dyDescent="0.2">
      <c r="A299" s="249" t="s">
        <v>289</v>
      </c>
      <c r="B299" s="249"/>
      <c r="C299" s="249"/>
      <c r="D299" s="249"/>
      <c r="E299" s="249"/>
      <c r="F299" s="249"/>
      <c r="G299" s="249"/>
      <c r="H299" s="249"/>
    </row>
    <row r="300" spans="1:8" x14ac:dyDescent="0.2">
      <c r="A300" s="249" t="s">
        <v>290</v>
      </c>
      <c r="B300" s="249"/>
      <c r="C300" s="249"/>
      <c r="D300" s="249"/>
      <c r="E300" s="249"/>
      <c r="F300" s="249"/>
      <c r="G300" s="249"/>
      <c r="H300" s="249"/>
    </row>
    <row r="301" spans="1:8" x14ac:dyDescent="0.2">
      <c r="A301" s="93" t="s">
        <v>286</v>
      </c>
      <c r="B301" s="94"/>
      <c r="C301" s="254" t="s">
        <v>291</v>
      </c>
      <c r="D301" s="255"/>
      <c r="E301" s="255"/>
      <c r="F301" s="255"/>
      <c r="G301" s="255"/>
      <c r="H301" s="256"/>
    </row>
    <row r="302" spans="1:8" x14ac:dyDescent="0.2">
      <c r="A302" s="93" t="s">
        <v>286</v>
      </c>
      <c r="B302" s="94"/>
      <c r="C302" s="257"/>
      <c r="D302" s="258"/>
      <c r="E302" s="258"/>
      <c r="F302" s="258"/>
      <c r="G302" s="258"/>
      <c r="H302" s="259"/>
    </row>
    <row r="303" spans="1:8" x14ac:dyDescent="0.2">
      <c r="A303" s="93" t="s">
        <v>286</v>
      </c>
      <c r="B303" s="94"/>
      <c r="C303" s="260"/>
      <c r="D303" s="261"/>
      <c r="E303" s="261"/>
      <c r="F303" s="261"/>
      <c r="G303" s="261"/>
      <c r="H303" s="262"/>
    </row>
    <row r="304" spans="1:8" x14ac:dyDescent="0.2">
      <c r="A304" s="93">
        <v>4</v>
      </c>
      <c r="B304" s="94"/>
      <c r="C304" s="61" t="s">
        <v>292</v>
      </c>
      <c r="D304" s="62">
        <f>(55.99)*10.764</f>
        <v>602.67635999999993</v>
      </c>
      <c r="E304" s="62">
        <f>(3.05+0.9*(2.9*2+2.15))*10.764</f>
        <v>109.84661999999997</v>
      </c>
      <c r="F304" s="14">
        <f t="shared" ref="F304:F306" si="44">D304+E304</f>
        <v>712.52297999999996</v>
      </c>
      <c r="G304" s="14">
        <v>0</v>
      </c>
      <c r="H304" s="14">
        <f t="shared" ref="H304:H306" si="45">F304*(($H$251)+1)+(IF(G304&lt;101,G304,IF(G304&lt;201,G304/2,IF(G304&lt;=301,G304/3,G304/4))))</f>
        <v>1033.1583209999999</v>
      </c>
    </row>
    <row r="305" spans="1:8" x14ac:dyDescent="0.2">
      <c r="A305" s="93">
        <f>A304+1</f>
        <v>5</v>
      </c>
      <c r="B305" s="94"/>
      <c r="C305" s="61" t="s">
        <v>292</v>
      </c>
      <c r="D305" s="62">
        <f>(61.94)*10.764</f>
        <v>666.72215999999992</v>
      </c>
      <c r="E305" s="62">
        <f>(3.05+0.9*(2.15+2.9+2.9))*10.764</f>
        <v>109.84661999999997</v>
      </c>
      <c r="F305" s="14">
        <f t="shared" si="44"/>
        <v>776.56877999999983</v>
      </c>
      <c r="G305" s="14">
        <v>0</v>
      </c>
      <c r="H305" s="14">
        <f t="shared" si="45"/>
        <v>1126.0247309999997</v>
      </c>
    </row>
    <row r="306" spans="1:8" x14ac:dyDescent="0.2">
      <c r="A306" s="93">
        <f t="shared" ref="A306" si="46">A305+1</f>
        <v>6</v>
      </c>
      <c r="B306" s="94"/>
      <c r="C306" s="61" t="s">
        <v>292</v>
      </c>
      <c r="D306" s="62">
        <f>(56.06)*10.764</f>
        <v>603.42984000000001</v>
      </c>
      <c r="E306" s="62">
        <f>(3.05+0.9*(2.9*2+2.15))*10.764</f>
        <v>109.84661999999997</v>
      </c>
      <c r="F306" s="14">
        <f t="shared" si="44"/>
        <v>713.27646000000004</v>
      </c>
      <c r="G306" s="14">
        <v>0</v>
      </c>
      <c r="H306" s="14">
        <f t="shared" si="45"/>
        <v>1034.250867</v>
      </c>
    </row>
    <row r="307" spans="1:8" x14ac:dyDescent="0.2">
      <c r="A307" s="249" t="s">
        <v>293</v>
      </c>
      <c r="B307" s="249"/>
      <c r="C307" s="249"/>
      <c r="D307" s="249"/>
      <c r="E307" s="249"/>
      <c r="F307" s="249"/>
      <c r="G307" s="249"/>
      <c r="H307" s="249"/>
    </row>
    <row r="308" spans="1:8" x14ac:dyDescent="0.2">
      <c r="A308" s="93" t="s">
        <v>286</v>
      </c>
      <c r="B308" s="94"/>
      <c r="C308" s="254" t="s">
        <v>291</v>
      </c>
      <c r="D308" s="255"/>
      <c r="E308" s="255"/>
      <c r="F308" s="255"/>
      <c r="G308" s="255"/>
      <c r="H308" s="256"/>
    </row>
    <row r="309" spans="1:8" x14ac:dyDescent="0.2">
      <c r="A309" s="93" t="s">
        <v>286</v>
      </c>
      <c r="B309" s="94"/>
      <c r="C309" s="257"/>
      <c r="D309" s="258"/>
      <c r="E309" s="258"/>
      <c r="F309" s="258"/>
      <c r="G309" s="258"/>
      <c r="H309" s="259"/>
    </row>
    <row r="310" spans="1:8" x14ac:dyDescent="0.2">
      <c r="A310" s="93" t="s">
        <v>286</v>
      </c>
      <c r="B310" s="94"/>
      <c r="C310" s="260"/>
      <c r="D310" s="261"/>
      <c r="E310" s="261"/>
      <c r="F310" s="261"/>
      <c r="G310" s="261"/>
      <c r="H310" s="262"/>
    </row>
    <row r="311" spans="1:8" x14ac:dyDescent="0.2">
      <c r="A311" s="93">
        <v>4</v>
      </c>
      <c r="B311" s="94"/>
      <c r="C311" s="61" t="s">
        <v>292</v>
      </c>
      <c r="D311" s="62">
        <f>(55.99)*10.764</f>
        <v>602.67635999999993</v>
      </c>
      <c r="E311" s="62">
        <f>(3.05+0.9*(2.9*2+2.15))*10.764</f>
        <v>109.84661999999997</v>
      </c>
      <c r="F311" s="14">
        <f t="shared" ref="F311:F313" si="47">D311+E311</f>
        <v>712.52297999999996</v>
      </c>
      <c r="G311" s="14">
        <v>0</v>
      </c>
      <c r="H311" s="14">
        <f t="shared" ref="H311:H328" si="48">F311*(($H$251)+1)+(IF(G311&lt;101,G311,IF(G311&lt;201,G311/2,IF(G311&lt;=301,G311/3,G311/4))))</f>
        <v>1033.1583209999999</v>
      </c>
    </row>
    <row r="312" spans="1:8" x14ac:dyDescent="0.2">
      <c r="A312" s="93">
        <f>A311+1</f>
        <v>5</v>
      </c>
      <c r="B312" s="94"/>
      <c r="C312" s="61" t="s">
        <v>292</v>
      </c>
      <c r="D312" s="62">
        <f>(61.94)*10.764</f>
        <v>666.72215999999992</v>
      </c>
      <c r="E312" s="62">
        <f>(3.05+0.9*(2.15+2.9+2.9))*10.764</f>
        <v>109.84661999999997</v>
      </c>
      <c r="F312" s="14">
        <f t="shared" si="47"/>
        <v>776.56877999999983</v>
      </c>
      <c r="G312" s="14">
        <v>0</v>
      </c>
      <c r="H312" s="14">
        <f t="shared" si="48"/>
        <v>1126.0247309999997</v>
      </c>
    </row>
    <row r="313" spans="1:8" x14ac:dyDescent="0.2">
      <c r="A313" s="93">
        <f t="shared" ref="A313" si="49">A312+1</f>
        <v>6</v>
      </c>
      <c r="B313" s="94"/>
      <c r="C313" s="61" t="s">
        <v>292</v>
      </c>
      <c r="D313" s="62">
        <f>(56.06)*10.764</f>
        <v>603.42984000000001</v>
      </c>
      <c r="E313" s="62">
        <f>(3.05+0.9*(2.9*2+2.15))*10.764</f>
        <v>109.84661999999997</v>
      </c>
      <c r="F313" s="14">
        <f t="shared" si="47"/>
        <v>713.27646000000004</v>
      </c>
      <c r="G313" s="14">
        <v>0</v>
      </c>
      <c r="H313" s="14">
        <f t="shared" si="48"/>
        <v>1034.250867</v>
      </c>
    </row>
    <row r="314" spans="1:8" x14ac:dyDescent="0.2">
      <c r="A314" s="249" t="s">
        <v>294</v>
      </c>
      <c r="B314" s="249"/>
      <c r="C314" s="249"/>
      <c r="D314" s="249"/>
      <c r="E314" s="249"/>
      <c r="F314" s="249"/>
      <c r="G314" s="249"/>
      <c r="H314" s="249"/>
    </row>
    <row r="315" spans="1:8" x14ac:dyDescent="0.2">
      <c r="A315" s="95">
        <v>1</v>
      </c>
      <c r="B315" s="96"/>
      <c r="C315" s="61" t="s">
        <v>292</v>
      </c>
      <c r="D315" s="62">
        <f>(53.71)*10.764</f>
        <v>578.13443999999993</v>
      </c>
      <c r="E315" s="62">
        <f t="shared" ref="E315:E328" si="50">(3.05+0.9*(2.9*2+2.15))*10.764</f>
        <v>109.84661999999997</v>
      </c>
      <c r="F315" s="14">
        <f t="shared" ref="F315:F328" si="51">D315+E315</f>
        <v>687.98105999999984</v>
      </c>
      <c r="G315" s="14">
        <v>0</v>
      </c>
      <c r="H315" s="14">
        <f t="shared" si="48"/>
        <v>997.57253699999978</v>
      </c>
    </row>
    <row r="316" spans="1:8" x14ac:dyDescent="0.2">
      <c r="A316" s="95">
        <v>2</v>
      </c>
      <c r="B316" s="96"/>
      <c r="C316" s="61" t="s">
        <v>292</v>
      </c>
      <c r="D316" s="62">
        <f>(58.71)*10.764</f>
        <v>631.95443999999998</v>
      </c>
      <c r="E316" s="62">
        <f t="shared" si="50"/>
        <v>109.84661999999997</v>
      </c>
      <c r="F316" s="14">
        <f t="shared" si="51"/>
        <v>741.80106000000001</v>
      </c>
      <c r="G316" s="14">
        <v>0</v>
      </c>
      <c r="H316" s="14">
        <f t="shared" si="48"/>
        <v>1075.611537</v>
      </c>
    </row>
    <row r="317" spans="1:8" x14ac:dyDescent="0.2">
      <c r="A317" s="95">
        <v>3</v>
      </c>
      <c r="B317" s="96"/>
      <c r="C317" s="61" t="s">
        <v>292</v>
      </c>
      <c r="D317" s="62">
        <f>(53.51)*10.764</f>
        <v>575.98163999999997</v>
      </c>
      <c r="E317" s="62">
        <f t="shared" si="50"/>
        <v>109.84661999999997</v>
      </c>
      <c r="F317" s="14">
        <f t="shared" si="51"/>
        <v>685.82826</v>
      </c>
      <c r="G317" s="14">
        <v>0</v>
      </c>
      <c r="H317" s="14">
        <f t="shared" si="48"/>
        <v>994.45097699999997</v>
      </c>
    </row>
    <row r="318" spans="1:8" x14ac:dyDescent="0.2">
      <c r="A318" s="95">
        <v>4</v>
      </c>
      <c r="B318" s="96"/>
      <c r="C318" s="61" t="s">
        <v>292</v>
      </c>
      <c r="D318" s="62">
        <f>(55.99)*10.764</f>
        <v>602.67635999999993</v>
      </c>
      <c r="E318" s="62">
        <f t="shared" si="50"/>
        <v>109.84661999999997</v>
      </c>
      <c r="F318" s="14">
        <f t="shared" si="51"/>
        <v>712.52297999999996</v>
      </c>
      <c r="G318" s="14">
        <v>0</v>
      </c>
      <c r="H318" s="14">
        <f t="shared" si="48"/>
        <v>1033.1583209999999</v>
      </c>
    </row>
    <row r="319" spans="1:8" x14ac:dyDescent="0.2">
      <c r="A319" s="95">
        <v>5</v>
      </c>
      <c r="B319" s="96"/>
      <c r="C319" s="61" t="s">
        <v>292</v>
      </c>
      <c r="D319" s="62">
        <f>(61.94)*10.764</f>
        <v>666.72215999999992</v>
      </c>
      <c r="E319" s="62">
        <f t="shared" si="50"/>
        <v>109.84661999999997</v>
      </c>
      <c r="F319" s="14">
        <f t="shared" si="51"/>
        <v>776.56877999999983</v>
      </c>
      <c r="G319" s="14">
        <v>0</v>
      </c>
      <c r="H319" s="14">
        <f t="shared" si="48"/>
        <v>1126.0247309999997</v>
      </c>
    </row>
    <row r="320" spans="1:8" x14ac:dyDescent="0.2">
      <c r="A320" s="95">
        <v>6</v>
      </c>
      <c r="B320" s="96"/>
      <c r="C320" s="61" t="s">
        <v>292</v>
      </c>
      <c r="D320" s="62">
        <f>(56.06)*10.764</f>
        <v>603.42984000000001</v>
      </c>
      <c r="E320" s="62">
        <f t="shared" si="50"/>
        <v>109.84661999999997</v>
      </c>
      <c r="F320" s="14">
        <f t="shared" si="51"/>
        <v>713.27646000000004</v>
      </c>
      <c r="G320" s="14">
        <v>0</v>
      </c>
      <c r="H320" s="14">
        <f t="shared" si="48"/>
        <v>1034.250867</v>
      </c>
    </row>
    <row r="321" spans="1:8" x14ac:dyDescent="0.2">
      <c r="A321" s="249" t="s">
        <v>285</v>
      </c>
      <c r="B321" s="249"/>
      <c r="C321" s="249"/>
      <c r="D321" s="249"/>
      <c r="E321" s="249"/>
      <c r="F321" s="249"/>
      <c r="G321" s="249"/>
      <c r="H321" s="249"/>
    </row>
    <row r="322" spans="1:8" x14ac:dyDescent="0.2">
      <c r="A322" s="95">
        <v>1</v>
      </c>
      <c r="B322" s="96"/>
      <c r="C322" s="61" t="s">
        <v>292</v>
      </c>
      <c r="D322" s="62">
        <f>(53.71)*10.764</f>
        <v>578.13443999999993</v>
      </c>
      <c r="E322" s="62">
        <f t="shared" si="50"/>
        <v>109.84661999999997</v>
      </c>
      <c r="F322" s="14">
        <f t="shared" si="51"/>
        <v>687.98105999999984</v>
      </c>
      <c r="G322" s="14">
        <v>0</v>
      </c>
      <c r="H322" s="14">
        <f t="shared" si="48"/>
        <v>997.57253699999978</v>
      </c>
    </row>
    <row r="323" spans="1:8" x14ac:dyDescent="0.2">
      <c r="A323" s="95">
        <v>2</v>
      </c>
      <c r="B323" s="96"/>
      <c r="C323" s="61" t="s">
        <v>292</v>
      </c>
      <c r="D323" s="62">
        <f>(58.71)*10.764</f>
        <v>631.95443999999998</v>
      </c>
      <c r="E323" s="62">
        <f t="shared" si="50"/>
        <v>109.84661999999997</v>
      </c>
      <c r="F323" s="14">
        <f t="shared" si="51"/>
        <v>741.80106000000001</v>
      </c>
      <c r="G323" s="14">
        <v>0</v>
      </c>
      <c r="H323" s="14">
        <f t="shared" si="48"/>
        <v>1075.611537</v>
      </c>
    </row>
    <row r="324" spans="1:8" x14ac:dyDescent="0.2">
      <c r="A324" s="95">
        <v>3</v>
      </c>
      <c r="B324" s="96"/>
      <c r="C324" s="61" t="s">
        <v>292</v>
      </c>
      <c r="D324" s="62">
        <f>(53.51)*10.764</f>
        <v>575.98163999999997</v>
      </c>
      <c r="E324" s="62">
        <f t="shared" si="50"/>
        <v>109.84661999999997</v>
      </c>
      <c r="F324" s="14">
        <f t="shared" si="51"/>
        <v>685.82826</v>
      </c>
      <c r="G324" s="14">
        <v>0</v>
      </c>
      <c r="H324" s="14">
        <f t="shared" si="48"/>
        <v>994.45097699999997</v>
      </c>
    </row>
    <row r="325" spans="1:8" x14ac:dyDescent="0.2">
      <c r="A325" s="93" t="s">
        <v>286</v>
      </c>
      <c r="B325" s="94"/>
      <c r="C325" s="95" t="s">
        <v>288</v>
      </c>
      <c r="D325" s="253"/>
      <c r="E325" s="253"/>
      <c r="F325" s="253"/>
      <c r="G325" s="253"/>
      <c r="H325" s="96"/>
    </row>
    <row r="326" spans="1:8" x14ac:dyDescent="0.2">
      <c r="A326" s="95">
        <v>4</v>
      </c>
      <c r="B326" s="96"/>
      <c r="C326" s="61" t="s">
        <v>292</v>
      </c>
      <c r="D326" s="62">
        <f>(55.99)*10.764</f>
        <v>602.67635999999993</v>
      </c>
      <c r="E326" s="62">
        <f t="shared" si="50"/>
        <v>109.84661999999997</v>
      </c>
      <c r="F326" s="14">
        <f t="shared" si="51"/>
        <v>712.52297999999996</v>
      </c>
      <c r="G326" s="14">
        <v>0</v>
      </c>
      <c r="H326" s="14">
        <f t="shared" si="48"/>
        <v>1033.1583209999999</v>
      </c>
    </row>
    <row r="327" spans="1:8" x14ac:dyDescent="0.2">
      <c r="A327" s="95">
        <v>5</v>
      </c>
      <c r="B327" s="96"/>
      <c r="C327" s="61" t="s">
        <v>292</v>
      </c>
      <c r="D327" s="62">
        <f>(61.94)*10.764</f>
        <v>666.72215999999992</v>
      </c>
      <c r="E327" s="62">
        <f t="shared" si="50"/>
        <v>109.84661999999997</v>
      </c>
      <c r="F327" s="14">
        <f t="shared" si="51"/>
        <v>776.56877999999983</v>
      </c>
      <c r="G327" s="14">
        <v>0</v>
      </c>
      <c r="H327" s="14">
        <f t="shared" si="48"/>
        <v>1126.0247309999997</v>
      </c>
    </row>
    <row r="328" spans="1:8" x14ac:dyDescent="0.2">
      <c r="A328" s="95">
        <v>6</v>
      </c>
      <c r="B328" s="96"/>
      <c r="C328" s="61" t="s">
        <v>292</v>
      </c>
      <c r="D328" s="62">
        <f>(56.06)*10.764</f>
        <v>603.42984000000001</v>
      </c>
      <c r="E328" s="62">
        <f t="shared" si="50"/>
        <v>109.84661999999997</v>
      </c>
      <c r="F328" s="14">
        <f t="shared" si="51"/>
        <v>713.27646000000004</v>
      </c>
      <c r="G328" s="14">
        <v>0</v>
      </c>
      <c r="H328" s="14">
        <f t="shared" si="48"/>
        <v>1034.250867</v>
      </c>
    </row>
    <row r="329" spans="1:8" x14ac:dyDescent="0.2">
      <c r="A329" s="127" t="s">
        <v>295</v>
      </c>
      <c r="B329" s="127"/>
      <c r="C329" s="127"/>
      <c r="D329" s="127"/>
      <c r="E329" s="127"/>
      <c r="F329" s="127"/>
      <c r="G329" s="127"/>
      <c r="H329" s="127"/>
    </row>
    <row r="330" spans="1:8" x14ac:dyDescent="0.2">
      <c r="A330" s="143" t="s">
        <v>289</v>
      </c>
      <c r="B330" s="263"/>
      <c r="C330" s="263"/>
      <c r="D330" s="263"/>
      <c r="E330" s="263"/>
      <c r="F330" s="263"/>
      <c r="G330" s="263"/>
      <c r="H330" s="144"/>
    </row>
    <row r="331" spans="1:8" x14ac:dyDescent="0.2">
      <c r="A331" s="143" t="s">
        <v>290</v>
      </c>
      <c r="B331" s="263"/>
      <c r="C331" s="263"/>
      <c r="D331" s="263"/>
      <c r="E331" s="263"/>
      <c r="F331" s="263"/>
      <c r="G331" s="263"/>
      <c r="H331" s="144"/>
    </row>
    <row r="332" spans="1:8" x14ac:dyDescent="0.2">
      <c r="A332" s="95" t="s">
        <v>286</v>
      </c>
      <c r="B332" s="96"/>
      <c r="C332" s="264" t="s">
        <v>296</v>
      </c>
      <c r="D332" s="265"/>
      <c r="E332" s="265"/>
      <c r="F332" s="265"/>
      <c r="G332" s="265"/>
      <c r="H332" s="266"/>
    </row>
    <row r="333" spans="1:8" x14ac:dyDescent="0.2">
      <c r="A333" s="95" t="s">
        <v>286</v>
      </c>
      <c r="B333" s="96"/>
      <c r="C333" s="267"/>
      <c r="D333" s="268"/>
      <c r="E333" s="268"/>
      <c r="F333" s="268"/>
      <c r="G333" s="268"/>
      <c r="H333" s="269"/>
    </row>
    <row r="334" spans="1:8" x14ac:dyDescent="0.2">
      <c r="A334" s="95" t="s">
        <v>286</v>
      </c>
      <c r="B334" s="96"/>
      <c r="C334" s="267"/>
      <c r="D334" s="268"/>
      <c r="E334" s="268"/>
      <c r="F334" s="268"/>
      <c r="G334" s="268"/>
      <c r="H334" s="269"/>
    </row>
    <row r="335" spans="1:8" x14ac:dyDescent="0.2">
      <c r="A335" s="95" t="s">
        <v>286</v>
      </c>
      <c r="B335" s="96"/>
      <c r="C335" s="270"/>
      <c r="D335" s="271"/>
      <c r="E335" s="271"/>
      <c r="F335" s="271"/>
      <c r="G335" s="271"/>
      <c r="H335" s="272"/>
    </row>
    <row r="336" spans="1:8" x14ac:dyDescent="0.2">
      <c r="A336" s="95">
        <v>5</v>
      </c>
      <c r="B336" s="96"/>
      <c r="C336" s="61" t="s">
        <v>292</v>
      </c>
      <c r="D336" s="62">
        <f>(52.87)*10.764</f>
        <v>569.09267999999997</v>
      </c>
      <c r="E336" s="62">
        <f>(0.9*(2.9+2.9+2.2+2.9))*10.764</f>
        <v>105.59484</v>
      </c>
      <c r="F336" s="14">
        <f t="shared" ref="F336:F357" si="52">D336+E336</f>
        <v>674.68751999999995</v>
      </c>
      <c r="G336" s="14">
        <v>0</v>
      </c>
      <c r="H336" s="14">
        <f>F336*(($H$251)+1)+(IF(G336&lt;101,G336,IF(G336&lt;201,G336/2,IF(G336&lt;=301,G336/3,G336/4))))</f>
        <v>978.29690399999993</v>
      </c>
    </row>
    <row r="337" spans="1:8" x14ac:dyDescent="0.2">
      <c r="A337" s="95">
        <f t="shared" ref="A337" si="53">A336+1</f>
        <v>6</v>
      </c>
      <c r="B337" s="96"/>
      <c r="C337" s="61" t="s">
        <v>292</v>
      </c>
      <c r="D337" s="62">
        <f>(51.27)*10.764</f>
        <v>551.87027999999998</v>
      </c>
      <c r="E337" s="62">
        <f>(0.9*(2.9+2.9+2.2+2.9))*10.764</f>
        <v>105.59484</v>
      </c>
      <c r="F337" s="14">
        <f t="shared" si="52"/>
        <v>657.46511999999996</v>
      </c>
      <c r="G337" s="14">
        <v>0</v>
      </c>
      <c r="H337" s="14">
        <f>F337*(($H$251)+1)+(IF(G337&lt;101,G337,IF(G337&lt;201,G337/2,IF(G337&lt;=301,G337/3,G337/4))))</f>
        <v>953.32442399999991</v>
      </c>
    </row>
    <row r="338" spans="1:8" x14ac:dyDescent="0.2">
      <c r="A338" s="95">
        <f>A337+1</f>
        <v>7</v>
      </c>
      <c r="B338" s="96"/>
      <c r="C338" s="61" t="s">
        <v>292</v>
      </c>
      <c r="D338" s="62">
        <f>(51.27)*10.764</f>
        <v>551.87027999999998</v>
      </c>
      <c r="E338" s="62">
        <f>(0.9*(2.9+2.9+2.2+2.9))*10.764</f>
        <v>105.59484</v>
      </c>
      <c r="F338" s="14">
        <f t="shared" si="52"/>
        <v>657.46511999999996</v>
      </c>
      <c r="G338" s="14">
        <v>0</v>
      </c>
      <c r="H338" s="14">
        <f>F338*(($H$251)+1)+(IF(G338&lt;101,G338,IF(G338&lt;201,G338/2,IF(G338&lt;=301,G338/3,G338/4))))</f>
        <v>953.32442399999991</v>
      </c>
    </row>
    <row r="339" spans="1:8" x14ac:dyDescent="0.2">
      <c r="A339" s="95">
        <f t="shared" ref="A339" si="54">A338+1</f>
        <v>8</v>
      </c>
      <c r="B339" s="96"/>
      <c r="C339" s="61" t="s">
        <v>55</v>
      </c>
      <c r="D339" s="62">
        <f>(29.28+9.6)*10.764</f>
        <v>418.50432000000001</v>
      </c>
      <c r="E339" s="62">
        <f>(0.9*(2.9+2.9+2.2))*10.764</f>
        <v>77.500799999999998</v>
      </c>
      <c r="F339" s="14">
        <f t="shared" si="52"/>
        <v>496.00512000000003</v>
      </c>
      <c r="G339" s="14">
        <v>0</v>
      </c>
      <c r="H339" s="14">
        <f>F339*(($H$251)+1)+(IF(G339&lt;101,G339,IF(G339&lt;201,G339/2,IF(G339&lt;=301,G339/3,G339/4))))</f>
        <v>719.20742400000006</v>
      </c>
    </row>
    <row r="340" spans="1:8" x14ac:dyDescent="0.2">
      <c r="A340" s="143" t="s">
        <v>293</v>
      </c>
      <c r="B340" s="263"/>
      <c r="C340" s="263"/>
      <c r="D340" s="263"/>
      <c r="E340" s="263"/>
      <c r="F340" s="263"/>
      <c r="G340" s="263"/>
      <c r="H340" s="144"/>
    </row>
    <row r="341" spans="1:8" x14ac:dyDescent="0.2">
      <c r="A341" s="95" t="s">
        <v>286</v>
      </c>
      <c r="B341" s="96"/>
      <c r="C341" s="264" t="s">
        <v>296</v>
      </c>
      <c r="D341" s="265"/>
      <c r="E341" s="265"/>
      <c r="F341" s="265"/>
      <c r="G341" s="265"/>
      <c r="H341" s="266"/>
    </row>
    <row r="342" spans="1:8" x14ac:dyDescent="0.2">
      <c r="A342" s="95" t="s">
        <v>286</v>
      </c>
      <c r="B342" s="96"/>
      <c r="C342" s="267"/>
      <c r="D342" s="268"/>
      <c r="E342" s="268"/>
      <c r="F342" s="268"/>
      <c r="G342" s="268"/>
      <c r="H342" s="269"/>
    </row>
    <row r="343" spans="1:8" x14ac:dyDescent="0.2">
      <c r="A343" s="95" t="s">
        <v>286</v>
      </c>
      <c r="B343" s="96"/>
      <c r="C343" s="267"/>
      <c r="D343" s="268"/>
      <c r="E343" s="268"/>
      <c r="F343" s="268"/>
      <c r="G343" s="268"/>
      <c r="H343" s="269"/>
    </row>
    <row r="344" spans="1:8" x14ac:dyDescent="0.2">
      <c r="A344" s="95" t="s">
        <v>286</v>
      </c>
      <c r="B344" s="96"/>
      <c r="C344" s="270"/>
      <c r="D344" s="271"/>
      <c r="E344" s="271"/>
      <c r="F344" s="271"/>
      <c r="G344" s="271"/>
      <c r="H344" s="272"/>
    </row>
    <row r="345" spans="1:8" x14ac:dyDescent="0.2">
      <c r="A345" s="95">
        <v>5</v>
      </c>
      <c r="B345" s="96"/>
      <c r="C345" s="61" t="s">
        <v>292</v>
      </c>
      <c r="D345" s="62">
        <f>(52.87)*10.764</f>
        <v>569.09267999999997</v>
      </c>
      <c r="E345" s="62">
        <f>(0.9*(2.9+2.9+2.2+2.9))*10.764</f>
        <v>105.59484</v>
      </c>
      <c r="F345" s="14">
        <f t="shared" ref="F345:F348" si="55">D345+E345</f>
        <v>674.68751999999995</v>
      </c>
      <c r="G345" s="14">
        <v>0</v>
      </c>
      <c r="H345" s="14">
        <f t="shared" ref="H345:H348" si="56">F345*(($H$251)+1)+(IF(G345&lt;101,G345,IF(G345&lt;201,G345/2,IF(G345&lt;=301,G345/3,G345/4))))</f>
        <v>978.29690399999993</v>
      </c>
    </row>
    <row r="346" spans="1:8" x14ac:dyDescent="0.2">
      <c r="A346" s="95">
        <f t="shared" ref="A346" si="57">A345+1</f>
        <v>6</v>
      </c>
      <c r="B346" s="96"/>
      <c r="C346" s="61" t="s">
        <v>292</v>
      </c>
      <c r="D346" s="62">
        <f>(51.27)*10.764</f>
        <v>551.87027999999998</v>
      </c>
      <c r="E346" s="62">
        <f>(0.9*(2.9+2.9+2.2+2.9))*10.764</f>
        <v>105.59484</v>
      </c>
      <c r="F346" s="14">
        <f t="shared" si="55"/>
        <v>657.46511999999996</v>
      </c>
      <c r="G346" s="14">
        <v>0</v>
      </c>
      <c r="H346" s="14">
        <f t="shared" si="56"/>
        <v>953.32442399999991</v>
      </c>
    </row>
    <row r="347" spans="1:8" x14ac:dyDescent="0.2">
      <c r="A347" s="95">
        <f>A346+1</f>
        <v>7</v>
      </c>
      <c r="B347" s="96"/>
      <c r="C347" s="61" t="s">
        <v>292</v>
      </c>
      <c r="D347" s="62">
        <f>(51.27)*10.764</f>
        <v>551.87027999999998</v>
      </c>
      <c r="E347" s="62">
        <f>(0.9*(2.9+2.9+2.2+2.9))*10.764</f>
        <v>105.59484</v>
      </c>
      <c r="F347" s="14">
        <f t="shared" si="55"/>
        <v>657.46511999999996</v>
      </c>
      <c r="G347" s="14">
        <v>0</v>
      </c>
      <c r="H347" s="14">
        <f t="shared" si="56"/>
        <v>953.32442399999991</v>
      </c>
    </row>
    <row r="348" spans="1:8" x14ac:dyDescent="0.2">
      <c r="A348" s="95">
        <f t="shared" ref="A348" si="58">A347+1</f>
        <v>8</v>
      </c>
      <c r="B348" s="96"/>
      <c r="C348" s="61" t="s">
        <v>55</v>
      </c>
      <c r="D348" s="62">
        <f>(29.28+9.6)*10.764</f>
        <v>418.50432000000001</v>
      </c>
      <c r="E348" s="62">
        <f>(0.9*(2.9+2.9+2.2))*10.764</f>
        <v>77.500799999999998</v>
      </c>
      <c r="F348" s="14">
        <f t="shared" si="55"/>
        <v>496.00512000000003</v>
      </c>
      <c r="G348" s="14">
        <v>0</v>
      </c>
      <c r="H348" s="14">
        <f t="shared" si="56"/>
        <v>719.20742400000006</v>
      </c>
    </row>
    <row r="349" spans="1:8" x14ac:dyDescent="0.2">
      <c r="A349" s="143" t="s">
        <v>294</v>
      </c>
      <c r="B349" s="263"/>
      <c r="C349" s="263"/>
      <c r="D349" s="263"/>
      <c r="E349" s="263"/>
      <c r="F349" s="263"/>
      <c r="G349" s="263"/>
      <c r="H349" s="144"/>
    </row>
    <row r="350" spans="1:8" x14ac:dyDescent="0.2">
      <c r="A350" s="95">
        <v>1</v>
      </c>
      <c r="B350" s="96"/>
      <c r="C350" s="61" t="s">
        <v>55</v>
      </c>
      <c r="D350" s="62">
        <f>(29.28+9.6)*10.764</f>
        <v>418.50432000000001</v>
      </c>
      <c r="E350" s="62">
        <f>(0.9*(2.9+2.9+2.2))*10.764</f>
        <v>77.500799999999998</v>
      </c>
      <c r="F350" s="14">
        <f t="shared" si="52"/>
        <v>496.00512000000003</v>
      </c>
      <c r="G350" s="14">
        <v>0</v>
      </c>
      <c r="H350" s="14">
        <f t="shared" ref="H350:H357" si="59">F350*(($H$251)+1)+(IF(G350&lt;101,G350,IF(G350&lt;201,G350/2,IF(G350&lt;=301,G350/3,G350/4))))</f>
        <v>719.20742400000006</v>
      </c>
    </row>
    <row r="351" spans="1:8" x14ac:dyDescent="0.2">
      <c r="A351" s="95">
        <f t="shared" ref="A351" si="60">A350+1</f>
        <v>2</v>
      </c>
      <c r="B351" s="96"/>
      <c r="C351" s="61" t="s">
        <v>292</v>
      </c>
      <c r="D351" s="62">
        <f>(51.27)*10.764</f>
        <v>551.87027999999998</v>
      </c>
      <c r="E351" s="62">
        <f t="shared" ref="E351:E356" si="61">(0.9*(2.9+2.9+2.2+2.9))*10.764</f>
        <v>105.59484</v>
      </c>
      <c r="F351" s="14">
        <f t="shared" si="52"/>
        <v>657.46511999999996</v>
      </c>
      <c r="G351" s="14">
        <v>0</v>
      </c>
      <c r="H351" s="14">
        <f t="shared" si="59"/>
        <v>953.32442399999991</v>
      </c>
    </row>
    <row r="352" spans="1:8" x14ac:dyDescent="0.2">
      <c r="A352" s="95">
        <f>A351+1</f>
        <v>3</v>
      </c>
      <c r="B352" s="96"/>
      <c r="C352" s="61" t="s">
        <v>292</v>
      </c>
      <c r="D352" s="62">
        <f>(51.27)*10.764</f>
        <v>551.87027999999998</v>
      </c>
      <c r="E352" s="62">
        <f t="shared" si="61"/>
        <v>105.59484</v>
      </c>
      <c r="F352" s="14">
        <f t="shared" si="52"/>
        <v>657.46511999999996</v>
      </c>
      <c r="G352" s="14">
        <v>0</v>
      </c>
      <c r="H352" s="14">
        <f t="shared" si="59"/>
        <v>953.32442399999991</v>
      </c>
    </row>
    <row r="353" spans="1:8" x14ac:dyDescent="0.2">
      <c r="A353" s="95">
        <f t="shared" ref="A353" si="62">A352+1</f>
        <v>4</v>
      </c>
      <c r="B353" s="96"/>
      <c r="C353" s="61" t="s">
        <v>292</v>
      </c>
      <c r="D353" s="62">
        <f>(52.87)*10.764</f>
        <v>569.09267999999997</v>
      </c>
      <c r="E353" s="62">
        <f t="shared" si="61"/>
        <v>105.59484</v>
      </c>
      <c r="F353" s="14">
        <f t="shared" si="52"/>
        <v>674.68751999999995</v>
      </c>
      <c r="G353" s="14">
        <v>0</v>
      </c>
      <c r="H353" s="14">
        <f t="shared" si="59"/>
        <v>978.29690399999993</v>
      </c>
    </row>
    <row r="354" spans="1:8" x14ac:dyDescent="0.2">
      <c r="A354" s="95">
        <f t="shared" ref="A354:A357" si="63">A353+1</f>
        <v>5</v>
      </c>
      <c r="B354" s="96"/>
      <c r="C354" s="61" t="s">
        <v>292</v>
      </c>
      <c r="D354" s="62">
        <f>(52.87)*10.764</f>
        <v>569.09267999999997</v>
      </c>
      <c r="E354" s="62">
        <f t="shared" si="61"/>
        <v>105.59484</v>
      </c>
      <c r="F354" s="14">
        <f t="shared" si="52"/>
        <v>674.68751999999995</v>
      </c>
      <c r="G354" s="14">
        <v>0</v>
      </c>
      <c r="H354" s="14">
        <f t="shared" si="59"/>
        <v>978.29690399999993</v>
      </c>
    </row>
    <row r="355" spans="1:8" x14ac:dyDescent="0.2">
      <c r="A355" s="95">
        <f t="shared" si="63"/>
        <v>6</v>
      </c>
      <c r="B355" s="96"/>
      <c r="C355" s="61" t="s">
        <v>292</v>
      </c>
      <c r="D355" s="62">
        <f>(51.27)*10.764</f>
        <v>551.87027999999998</v>
      </c>
      <c r="E355" s="62">
        <f t="shared" si="61"/>
        <v>105.59484</v>
      </c>
      <c r="F355" s="14">
        <f t="shared" si="52"/>
        <v>657.46511999999996</v>
      </c>
      <c r="G355" s="14">
        <v>0</v>
      </c>
      <c r="H355" s="14">
        <f t="shared" si="59"/>
        <v>953.32442399999991</v>
      </c>
    </row>
    <row r="356" spans="1:8" x14ac:dyDescent="0.2">
      <c r="A356" s="95">
        <f t="shared" si="63"/>
        <v>7</v>
      </c>
      <c r="B356" s="96"/>
      <c r="C356" s="61" t="s">
        <v>292</v>
      </c>
      <c r="D356" s="62">
        <f>(51.27)*10.764</f>
        <v>551.87027999999998</v>
      </c>
      <c r="E356" s="62">
        <f t="shared" si="61"/>
        <v>105.59484</v>
      </c>
      <c r="F356" s="14">
        <f t="shared" si="52"/>
        <v>657.46511999999996</v>
      </c>
      <c r="G356" s="14">
        <v>0</v>
      </c>
      <c r="H356" s="14">
        <f t="shared" si="59"/>
        <v>953.32442399999991</v>
      </c>
    </row>
    <row r="357" spans="1:8" x14ac:dyDescent="0.2">
      <c r="A357" s="95">
        <f t="shared" si="63"/>
        <v>8</v>
      </c>
      <c r="B357" s="96"/>
      <c r="C357" s="61" t="s">
        <v>55</v>
      </c>
      <c r="D357" s="62">
        <f>(29.28+9.6)*10.764</f>
        <v>418.50432000000001</v>
      </c>
      <c r="E357" s="62">
        <f>(0.9*(2.9+2.9+2.2))*10.764</f>
        <v>77.500799999999998</v>
      </c>
      <c r="F357" s="14">
        <f t="shared" si="52"/>
        <v>496.00512000000003</v>
      </c>
      <c r="G357" s="14">
        <v>0</v>
      </c>
      <c r="H357" s="14">
        <f t="shared" si="59"/>
        <v>719.20742400000006</v>
      </c>
    </row>
    <row r="358" spans="1:8" x14ac:dyDescent="0.2">
      <c r="A358" s="143" t="s">
        <v>285</v>
      </c>
      <c r="B358" s="263"/>
      <c r="C358" s="263"/>
      <c r="D358" s="263"/>
      <c r="E358" s="263"/>
      <c r="F358" s="263"/>
      <c r="G358" s="263"/>
      <c r="H358" s="144"/>
    </row>
    <row r="359" spans="1:8" x14ac:dyDescent="0.2">
      <c r="A359" s="95">
        <v>1</v>
      </c>
      <c r="B359" s="96"/>
      <c r="C359" s="61" t="s">
        <v>55</v>
      </c>
      <c r="D359" s="62">
        <f>(29.28+9.6)*10.764</f>
        <v>418.50432000000001</v>
      </c>
      <c r="E359" s="62">
        <f>(0.9*(2.9+2.9+2.2))*10.764</f>
        <v>77.500799999999998</v>
      </c>
      <c r="F359" s="14">
        <f t="shared" ref="F359:F365" si="64">D359+E359</f>
        <v>496.00512000000003</v>
      </c>
      <c r="G359" s="14">
        <v>0</v>
      </c>
      <c r="H359" s="14">
        <f t="shared" ref="H359:H365" si="65">F359*(($H$251)+1)+(IF(G359&lt;101,G359,IF(G359&lt;201,G359/2,IF(G359&lt;=301,G359/3,G359/4))))</f>
        <v>719.20742400000006</v>
      </c>
    </row>
    <row r="360" spans="1:8" x14ac:dyDescent="0.2">
      <c r="A360" s="95">
        <f t="shared" ref="A360" si="66">A359+1</f>
        <v>2</v>
      </c>
      <c r="B360" s="96"/>
      <c r="C360" s="61" t="s">
        <v>292</v>
      </c>
      <c r="D360" s="62">
        <f>(51.27)*10.764</f>
        <v>551.87027999999998</v>
      </c>
      <c r="E360" s="62">
        <f t="shared" ref="E360:E365" si="67">(0.9*(2.9+2.9+2.2+2.9))*10.764</f>
        <v>105.59484</v>
      </c>
      <c r="F360" s="14">
        <f t="shared" si="64"/>
        <v>657.46511999999996</v>
      </c>
      <c r="G360" s="14">
        <v>0</v>
      </c>
      <c r="H360" s="14">
        <f t="shared" si="65"/>
        <v>953.32442399999991</v>
      </c>
    </row>
    <row r="361" spans="1:8" x14ac:dyDescent="0.2">
      <c r="A361" s="95">
        <f>A360+1</f>
        <v>3</v>
      </c>
      <c r="B361" s="96"/>
      <c r="C361" s="61" t="s">
        <v>292</v>
      </c>
      <c r="D361" s="62">
        <f>(51.27)*10.764</f>
        <v>551.87027999999998</v>
      </c>
      <c r="E361" s="62">
        <f t="shared" si="67"/>
        <v>105.59484</v>
      </c>
      <c r="F361" s="14">
        <f t="shared" si="64"/>
        <v>657.46511999999996</v>
      </c>
      <c r="G361" s="14">
        <v>0</v>
      </c>
      <c r="H361" s="14">
        <f t="shared" si="65"/>
        <v>953.32442399999991</v>
      </c>
    </row>
    <row r="362" spans="1:8" x14ac:dyDescent="0.2">
      <c r="A362" s="95">
        <f t="shared" ref="A362:A366" si="68">A361+1</f>
        <v>4</v>
      </c>
      <c r="B362" s="96"/>
      <c r="C362" s="61" t="s">
        <v>292</v>
      </c>
      <c r="D362" s="62">
        <f>(52.87)*10.764</f>
        <v>569.09267999999997</v>
      </c>
      <c r="E362" s="62">
        <f t="shared" si="67"/>
        <v>105.59484</v>
      </c>
      <c r="F362" s="14">
        <f t="shared" si="64"/>
        <v>674.68751999999995</v>
      </c>
      <c r="G362" s="14">
        <v>0</v>
      </c>
      <c r="H362" s="14">
        <f t="shared" si="65"/>
        <v>978.29690399999993</v>
      </c>
    </row>
    <row r="363" spans="1:8" x14ac:dyDescent="0.2">
      <c r="A363" s="95">
        <f t="shared" si="68"/>
        <v>5</v>
      </c>
      <c r="B363" s="96"/>
      <c r="C363" s="61" t="s">
        <v>292</v>
      </c>
      <c r="D363" s="62">
        <f>(52.87)*10.764</f>
        <v>569.09267999999997</v>
      </c>
      <c r="E363" s="62">
        <f t="shared" si="67"/>
        <v>105.59484</v>
      </c>
      <c r="F363" s="14">
        <f t="shared" si="64"/>
        <v>674.68751999999995</v>
      </c>
      <c r="G363" s="14">
        <v>0</v>
      </c>
      <c r="H363" s="14">
        <f t="shared" si="65"/>
        <v>978.29690399999993</v>
      </c>
    </row>
    <row r="364" spans="1:8" x14ac:dyDescent="0.2">
      <c r="A364" s="95">
        <f t="shared" si="68"/>
        <v>6</v>
      </c>
      <c r="B364" s="96"/>
      <c r="C364" s="61" t="s">
        <v>292</v>
      </c>
      <c r="D364" s="62">
        <f>(51.27)*10.764</f>
        <v>551.87027999999998</v>
      </c>
      <c r="E364" s="62">
        <f t="shared" si="67"/>
        <v>105.59484</v>
      </c>
      <c r="F364" s="14">
        <f t="shared" si="64"/>
        <v>657.46511999999996</v>
      </c>
      <c r="G364" s="14">
        <v>0</v>
      </c>
      <c r="H364" s="14">
        <f t="shared" si="65"/>
        <v>953.32442399999991</v>
      </c>
    </row>
    <row r="365" spans="1:8" x14ac:dyDescent="0.2">
      <c r="A365" s="95">
        <f t="shared" si="68"/>
        <v>7</v>
      </c>
      <c r="B365" s="96"/>
      <c r="C365" s="61" t="s">
        <v>292</v>
      </c>
      <c r="D365" s="62">
        <f>(51.27)*10.764</f>
        <v>551.87027999999998</v>
      </c>
      <c r="E365" s="62">
        <f t="shared" si="67"/>
        <v>105.59484</v>
      </c>
      <c r="F365" s="14">
        <f t="shared" si="64"/>
        <v>657.46511999999996</v>
      </c>
      <c r="G365" s="14">
        <v>0</v>
      </c>
      <c r="H365" s="14">
        <f t="shared" si="65"/>
        <v>953.32442399999991</v>
      </c>
    </row>
    <row r="366" spans="1:8" x14ac:dyDescent="0.2">
      <c r="A366" s="95">
        <f t="shared" si="68"/>
        <v>8</v>
      </c>
      <c r="B366" s="96"/>
      <c r="C366" s="95" t="s">
        <v>288</v>
      </c>
      <c r="D366" s="253"/>
      <c r="E366" s="253"/>
      <c r="F366" s="253"/>
      <c r="G366" s="253"/>
      <c r="H366" s="96"/>
    </row>
    <row r="367" spans="1:8" x14ac:dyDescent="0.2">
      <c r="A367" s="122" t="s">
        <v>297</v>
      </c>
      <c r="B367" s="246"/>
      <c r="C367" s="246"/>
      <c r="D367" s="246"/>
      <c r="E367" s="246"/>
      <c r="F367" s="246"/>
      <c r="G367" s="246"/>
      <c r="H367" s="123"/>
    </row>
    <row r="368" spans="1:8" x14ac:dyDescent="0.2">
      <c r="A368" s="143" t="s">
        <v>289</v>
      </c>
      <c r="B368" s="263"/>
      <c r="C368" s="263"/>
      <c r="D368" s="263"/>
      <c r="E368" s="263"/>
      <c r="F368" s="263"/>
      <c r="G368" s="263"/>
      <c r="H368" s="144"/>
    </row>
    <row r="369" spans="1:8" x14ac:dyDescent="0.2">
      <c r="A369" s="143" t="s">
        <v>290</v>
      </c>
      <c r="B369" s="263"/>
      <c r="C369" s="263"/>
      <c r="D369" s="263"/>
      <c r="E369" s="263"/>
      <c r="F369" s="263"/>
      <c r="G369" s="263"/>
      <c r="H369" s="144"/>
    </row>
    <row r="370" spans="1:8" x14ac:dyDescent="0.2">
      <c r="A370" s="95" t="s">
        <v>286</v>
      </c>
      <c r="B370" s="96"/>
      <c r="C370" s="264" t="s">
        <v>296</v>
      </c>
      <c r="D370" s="265"/>
      <c r="E370" s="265"/>
      <c r="F370" s="265"/>
      <c r="G370" s="265"/>
      <c r="H370" s="266"/>
    </row>
    <row r="371" spans="1:8" x14ac:dyDescent="0.2">
      <c r="A371" s="95" t="s">
        <v>286</v>
      </c>
      <c r="B371" s="96"/>
      <c r="C371" s="267"/>
      <c r="D371" s="268"/>
      <c r="E371" s="268"/>
      <c r="F371" s="268"/>
      <c r="G371" s="268"/>
      <c r="H371" s="269"/>
    </row>
    <row r="372" spans="1:8" x14ac:dyDescent="0.2">
      <c r="A372" s="95" t="s">
        <v>286</v>
      </c>
      <c r="B372" s="96"/>
      <c r="C372" s="267"/>
      <c r="D372" s="268"/>
      <c r="E372" s="268"/>
      <c r="F372" s="268"/>
      <c r="G372" s="268"/>
      <c r="H372" s="269"/>
    </row>
    <row r="373" spans="1:8" x14ac:dyDescent="0.2">
      <c r="A373" s="95" t="s">
        <v>286</v>
      </c>
      <c r="B373" s="96"/>
      <c r="C373" s="270"/>
      <c r="D373" s="271"/>
      <c r="E373" s="271"/>
      <c r="F373" s="271"/>
      <c r="G373" s="271"/>
      <c r="H373" s="272"/>
    </row>
    <row r="374" spans="1:8" x14ac:dyDescent="0.2">
      <c r="A374" s="95">
        <v>5</v>
      </c>
      <c r="B374" s="96"/>
      <c r="C374" s="61" t="s">
        <v>55</v>
      </c>
      <c r="D374" s="62">
        <f>(29.28+9.6)*10.764</f>
        <v>418.50432000000001</v>
      </c>
      <c r="E374" s="62">
        <f>(0.9*(2.9+2.9+2.2))*10.764</f>
        <v>77.500799999999998</v>
      </c>
      <c r="F374" s="14">
        <f t="shared" ref="F374:F377" si="69">D374+E374</f>
        <v>496.00512000000003</v>
      </c>
      <c r="G374" s="14">
        <v>0</v>
      </c>
      <c r="H374" s="14">
        <f t="shared" ref="H374:H377" si="70">F374*(($H$251)+1)+(IF(G374&lt;101,G374,IF(G374&lt;201,G374/2,IF(G374&lt;=301,G374/3,G374/4))))</f>
        <v>719.20742400000006</v>
      </c>
    </row>
    <row r="375" spans="1:8" x14ac:dyDescent="0.2">
      <c r="A375" s="95">
        <f t="shared" ref="A375" si="71">A374+1</f>
        <v>6</v>
      </c>
      <c r="B375" s="96"/>
      <c r="C375" s="61" t="s">
        <v>292</v>
      </c>
      <c r="D375" s="62">
        <f>(51.27)*10.764</f>
        <v>551.87027999999998</v>
      </c>
      <c r="E375" s="62">
        <f>(0.9*(2.9+2.9+2.2+2.9))*10.764</f>
        <v>105.59484</v>
      </c>
      <c r="F375" s="14">
        <f t="shared" si="69"/>
        <v>657.46511999999996</v>
      </c>
      <c r="G375" s="14">
        <v>0</v>
      </c>
      <c r="H375" s="14">
        <f t="shared" si="70"/>
        <v>953.32442399999991</v>
      </c>
    </row>
    <row r="376" spans="1:8" x14ac:dyDescent="0.2">
      <c r="A376" s="95">
        <f>A375+1</f>
        <v>7</v>
      </c>
      <c r="B376" s="96"/>
      <c r="C376" s="61" t="s">
        <v>292</v>
      </c>
      <c r="D376" s="62">
        <f>(51.27)*10.764</f>
        <v>551.87027999999998</v>
      </c>
      <c r="E376" s="62">
        <f>(0.9*(2.9+2.9+2.2+2.9))*10.764</f>
        <v>105.59484</v>
      </c>
      <c r="F376" s="14">
        <f t="shared" si="69"/>
        <v>657.46511999999996</v>
      </c>
      <c r="G376" s="14">
        <v>0</v>
      </c>
      <c r="H376" s="14">
        <f t="shared" si="70"/>
        <v>953.32442399999991</v>
      </c>
    </row>
    <row r="377" spans="1:8" x14ac:dyDescent="0.2">
      <c r="A377" s="95">
        <f t="shared" ref="A377" si="72">A376+1</f>
        <v>8</v>
      </c>
      <c r="B377" s="96"/>
      <c r="C377" s="61" t="s">
        <v>55</v>
      </c>
      <c r="D377" s="62">
        <f>(42.43)*10.764</f>
        <v>456.71651999999995</v>
      </c>
      <c r="E377" s="62">
        <f>(0.9*(2.9+2.9+2.2))*10.764</f>
        <v>77.500799999999998</v>
      </c>
      <c r="F377" s="14">
        <f t="shared" si="69"/>
        <v>534.21731999999997</v>
      </c>
      <c r="G377" s="14">
        <v>0</v>
      </c>
      <c r="H377" s="14">
        <f t="shared" si="70"/>
        <v>774.61511399999995</v>
      </c>
    </row>
    <row r="378" spans="1:8" x14ac:dyDescent="0.2">
      <c r="A378" s="143" t="s">
        <v>293</v>
      </c>
      <c r="B378" s="263"/>
      <c r="C378" s="263"/>
      <c r="D378" s="263"/>
      <c r="E378" s="263"/>
      <c r="F378" s="263"/>
      <c r="G378" s="263"/>
      <c r="H378" s="144"/>
    </row>
    <row r="379" spans="1:8" x14ac:dyDescent="0.2">
      <c r="A379" s="95" t="s">
        <v>286</v>
      </c>
      <c r="B379" s="96"/>
      <c r="C379" s="264" t="s">
        <v>296</v>
      </c>
      <c r="D379" s="265"/>
      <c r="E379" s="265"/>
      <c r="F379" s="265"/>
      <c r="G379" s="265"/>
      <c r="H379" s="266"/>
    </row>
    <row r="380" spans="1:8" x14ac:dyDescent="0.2">
      <c r="A380" s="95" t="s">
        <v>286</v>
      </c>
      <c r="B380" s="96"/>
      <c r="C380" s="267"/>
      <c r="D380" s="268"/>
      <c r="E380" s="268"/>
      <c r="F380" s="268"/>
      <c r="G380" s="268"/>
      <c r="H380" s="269"/>
    </row>
    <row r="381" spans="1:8" x14ac:dyDescent="0.2">
      <c r="A381" s="95" t="s">
        <v>286</v>
      </c>
      <c r="B381" s="96"/>
      <c r="C381" s="267"/>
      <c r="D381" s="268"/>
      <c r="E381" s="268"/>
      <c r="F381" s="268"/>
      <c r="G381" s="268"/>
      <c r="H381" s="269"/>
    </row>
    <row r="382" spans="1:8" x14ac:dyDescent="0.2">
      <c r="A382" s="95" t="s">
        <v>286</v>
      </c>
      <c r="B382" s="96"/>
      <c r="C382" s="270"/>
      <c r="D382" s="271"/>
      <c r="E382" s="271"/>
      <c r="F382" s="271"/>
      <c r="G382" s="271"/>
      <c r="H382" s="272"/>
    </row>
    <row r="383" spans="1:8" x14ac:dyDescent="0.2">
      <c r="A383" s="95">
        <v>5</v>
      </c>
      <c r="B383" s="96"/>
      <c r="C383" s="61" t="s">
        <v>55</v>
      </c>
      <c r="D383" s="62">
        <f>(29.28+9.6)*10.764</f>
        <v>418.50432000000001</v>
      </c>
      <c r="E383" s="62">
        <f>(0.9*(2.9+2.9+2.2))*10.764</f>
        <v>77.500799999999998</v>
      </c>
      <c r="F383" s="14">
        <f t="shared" ref="F383:F386" si="73">D383+E383</f>
        <v>496.00512000000003</v>
      </c>
      <c r="G383" s="14">
        <v>0</v>
      </c>
      <c r="H383" s="14">
        <f t="shared" ref="H383:H386" si="74">F383*(($H$251)+1)+(IF(G383&lt;101,G383,IF(G383&lt;201,G383/2,IF(G383&lt;=301,G383/3,G383/4))))</f>
        <v>719.20742400000006</v>
      </c>
    </row>
    <row r="384" spans="1:8" x14ac:dyDescent="0.2">
      <c r="A384" s="95">
        <f t="shared" ref="A384" si="75">A383+1</f>
        <v>6</v>
      </c>
      <c r="B384" s="96"/>
      <c r="C384" s="61" t="s">
        <v>292</v>
      </c>
      <c r="D384" s="62">
        <f>(51.27)*10.764</f>
        <v>551.87027999999998</v>
      </c>
      <c r="E384" s="62">
        <f>(0.9*(2.9+2.9+2.2+2.9))*10.764</f>
        <v>105.59484</v>
      </c>
      <c r="F384" s="14">
        <f t="shared" si="73"/>
        <v>657.46511999999996</v>
      </c>
      <c r="G384" s="14">
        <v>0</v>
      </c>
      <c r="H384" s="14">
        <f t="shared" si="74"/>
        <v>953.32442399999991</v>
      </c>
    </row>
    <row r="385" spans="1:8" x14ac:dyDescent="0.2">
      <c r="A385" s="95">
        <f>A384+1</f>
        <v>7</v>
      </c>
      <c r="B385" s="96"/>
      <c r="C385" s="61" t="s">
        <v>292</v>
      </c>
      <c r="D385" s="62">
        <f>(51.27)*10.764</f>
        <v>551.87027999999998</v>
      </c>
      <c r="E385" s="62">
        <f>(0.9*(2.9+2.9+2.2+2.9))*10.764</f>
        <v>105.59484</v>
      </c>
      <c r="F385" s="14">
        <f t="shared" si="73"/>
        <v>657.46511999999996</v>
      </c>
      <c r="G385" s="14">
        <v>0</v>
      </c>
      <c r="H385" s="14">
        <f t="shared" si="74"/>
        <v>953.32442399999991</v>
      </c>
    </row>
    <row r="386" spans="1:8" x14ac:dyDescent="0.2">
      <c r="A386" s="95">
        <f t="shared" ref="A386" si="76">A385+1</f>
        <v>8</v>
      </c>
      <c r="B386" s="96"/>
      <c r="C386" s="61" t="s">
        <v>292</v>
      </c>
      <c r="D386" s="62">
        <f>(52.87)*10.764</f>
        <v>569.09267999999997</v>
      </c>
      <c r="E386" s="62">
        <f>(0.9*(2.9+2.9+2.2+2.9))*10.764</f>
        <v>105.59484</v>
      </c>
      <c r="F386" s="14">
        <f t="shared" si="73"/>
        <v>674.68751999999995</v>
      </c>
      <c r="G386" s="14">
        <v>0</v>
      </c>
      <c r="H386" s="14">
        <f t="shared" si="74"/>
        <v>978.29690399999993</v>
      </c>
    </row>
    <row r="387" spans="1:8" x14ac:dyDescent="0.2">
      <c r="A387" s="143" t="s">
        <v>294</v>
      </c>
      <c r="B387" s="263"/>
      <c r="C387" s="263"/>
      <c r="D387" s="263"/>
      <c r="E387" s="263"/>
      <c r="F387" s="263"/>
      <c r="G387" s="263"/>
      <c r="H387" s="144"/>
    </row>
    <row r="388" spans="1:8" x14ac:dyDescent="0.2">
      <c r="A388" s="95">
        <v>1</v>
      </c>
      <c r="B388" s="96"/>
      <c r="C388" s="61" t="s">
        <v>292</v>
      </c>
      <c r="D388" s="62">
        <f>(52.87)*10.764</f>
        <v>569.09267999999997</v>
      </c>
      <c r="E388" s="62">
        <f>(0.9*(2.9+2.9+2.2+2.9))*10.764</f>
        <v>105.59484</v>
      </c>
      <c r="F388" s="14">
        <f t="shared" ref="F388:F395" si="77">D388+E388</f>
        <v>674.68751999999995</v>
      </c>
      <c r="G388" s="14">
        <v>0</v>
      </c>
      <c r="H388" s="14">
        <f t="shared" ref="H388:H395" si="78">F388*(($H$251)+1)+(IF(G388&lt;101,G388,IF(G388&lt;201,G388/2,IF(G388&lt;=301,G388/3,G388/4))))</f>
        <v>978.29690399999993</v>
      </c>
    </row>
    <row r="389" spans="1:8" x14ac:dyDescent="0.2">
      <c r="A389" s="95">
        <f t="shared" ref="A389" si="79">A388+1</f>
        <v>2</v>
      </c>
      <c r="B389" s="96"/>
      <c r="C389" s="61" t="s">
        <v>292</v>
      </c>
      <c r="D389" s="62">
        <f>(51.27)*10.764</f>
        <v>551.87027999999998</v>
      </c>
      <c r="E389" s="62">
        <f>(0.9*(2.9+2.9+2.2+2.9))*10.764</f>
        <v>105.59484</v>
      </c>
      <c r="F389" s="14">
        <f t="shared" si="77"/>
        <v>657.46511999999996</v>
      </c>
      <c r="G389" s="14">
        <v>0</v>
      </c>
      <c r="H389" s="14">
        <f t="shared" si="78"/>
        <v>953.32442399999991</v>
      </c>
    </row>
    <row r="390" spans="1:8" x14ac:dyDescent="0.2">
      <c r="A390" s="95">
        <f>A389+1</f>
        <v>3</v>
      </c>
      <c r="B390" s="96"/>
      <c r="C390" s="61" t="s">
        <v>292</v>
      </c>
      <c r="D390" s="62">
        <f>(51.27)*10.764</f>
        <v>551.87027999999998</v>
      </c>
      <c r="E390" s="62">
        <f>(0.9*(2.9+2.9+2.2+2.9))*10.764</f>
        <v>105.59484</v>
      </c>
      <c r="F390" s="14">
        <f t="shared" si="77"/>
        <v>657.46511999999996</v>
      </c>
      <c r="G390" s="14">
        <v>0</v>
      </c>
      <c r="H390" s="14">
        <f t="shared" si="78"/>
        <v>953.32442399999991</v>
      </c>
    </row>
    <row r="391" spans="1:8" x14ac:dyDescent="0.2">
      <c r="A391" s="95">
        <f t="shared" ref="A391:A395" si="80">A390+1</f>
        <v>4</v>
      </c>
      <c r="B391" s="96"/>
      <c r="C391" s="61" t="s">
        <v>55</v>
      </c>
      <c r="D391" s="62">
        <f>(29.28+9.6)*10.764</f>
        <v>418.50432000000001</v>
      </c>
      <c r="E391" s="62">
        <f>(0.9*(2.9+2.9+2.2))*10.764</f>
        <v>77.500799999999998</v>
      </c>
      <c r="F391" s="14">
        <f t="shared" si="77"/>
        <v>496.00512000000003</v>
      </c>
      <c r="G391" s="14">
        <v>0</v>
      </c>
      <c r="H391" s="14">
        <f t="shared" si="78"/>
        <v>719.20742400000006</v>
      </c>
    </row>
    <row r="392" spans="1:8" x14ac:dyDescent="0.2">
      <c r="A392" s="95">
        <f t="shared" si="80"/>
        <v>5</v>
      </c>
      <c r="B392" s="96"/>
      <c r="C392" s="61" t="s">
        <v>55</v>
      </c>
      <c r="D392" s="62">
        <f>(29.28+9.6)*10.764</f>
        <v>418.50432000000001</v>
      </c>
      <c r="E392" s="62">
        <f>(0.9*(2.9+2.9+2.2))*10.764</f>
        <v>77.500799999999998</v>
      </c>
      <c r="F392" s="14">
        <f t="shared" si="77"/>
        <v>496.00512000000003</v>
      </c>
      <c r="G392" s="14">
        <v>0</v>
      </c>
      <c r="H392" s="14">
        <f t="shared" si="78"/>
        <v>719.20742400000006</v>
      </c>
    </row>
    <row r="393" spans="1:8" x14ac:dyDescent="0.2">
      <c r="A393" s="95">
        <f t="shared" si="80"/>
        <v>6</v>
      </c>
      <c r="B393" s="96"/>
      <c r="C393" s="61" t="s">
        <v>292</v>
      </c>
      <c r="D393" s="62">
        <f>(51.27)*10.764</f>
        <v>551.87027999999998</v>
      </c>
      <c r="E393" s="62">
        <f>(0.9*(2.9+2.9+2.2+2.9))*10.764</f>
        <v>105.59484</v>
      </c>
      <c r="F393" s="14">
        <f t="shared" si="77"/>
        <v>657.46511999999996</v>
      </c>
      <c r="G393" s="14">
        <v>0</v>
      </c>
      <c r="H393" s="14">
        <f t="shared" si="78"/>
        <v>953.32442399999991</v>
      </c>
    </row>
    <row r="394" spans="1:8" x14ac:dyDescent="0.2">
      <c r="A394" s="95">
        <f t="shared" si="80"/>
        <v>7</v>
      </c>
      <c r="B394" s="96"/>
      <c r="C394" s="61" t="s">
        <v>292</v>
      </c>
      <c r="D394" s="62">
        <f>(51.27)*10.764</f>
        <v>551.87027999999998</v>
      </c>
      <c r="E394" s="62">
        <f>(0.9*(2.9+2.9+2.2+2.9))*10.764</f>
        <v>105.59484</v>
      </c>
      <c r="F394" s="14">
        <f t="shared" si="77"/>
        <v>657.46511999999996</v>
      </c>
      <c r="G394" s="14">
        <v>0</v>
      </c>
      <c r="H394" s="14">
        <f t="shared" si="78"/>
        <v>953.32442399999991</v>
      </c>
    </row>
    <row r="395" spans="1:8" x14ac:dyDescent="0.2">
      <c r="A395" s="95">
        <f t="shared" si="80"/>
        <v>8</v>
      </c>
      <c r="B395" s="96"/>
      <c r="C395" s="61" t="s">
        <v>292</v>
      </c>
      <c r="D395" s="62">
        <f>(52.87)*10.764</f>
        <v>569.09267999999997</v>
      </c>
      <c r="E395" s="62">
        <f>(0.9*(2.9+2.9+2.2+2.9))*10.764</f>
        <v>105.59484</v>
      </c>
      <c r="F395" s="14">
        <f t="shared" si="77"/>
        <v>674.68751999999995</v>
      </c>
      <c r="G395" s="14">
        <v>0</v>
      </c>
      <c r="H395" s="14">
        <f t="shared" si="78"/>
        <v>978.29690399999993</v>
      </c>
    </row>
    <row r="396" spans="1:8" x14ac:dyDescent="0.2">
      <c r="A396" s="143" t="s">
        <v>285</v>
      </c>
      <c r="B396" s="263"/>
      <c r="C396" s="263"/>
      <c r="D396" s="263"/>
      <c r="E396" s="263"/>
      <c r="F396" s="263"/>
      <c r="G396" s="263"/>
      <c r="H396" s="144"/>
    </row>
    <row r="397" spans="1:8" x14ac:dyDescent="0.2">
      <c r="A397" s="95">
        <v>1</v>
      </c>
      <c r="B397" s="96"/>
      <c r="C397" s="61" t="s">
        <v>292</v>
      </c>
      <c r="D397" s="62">
        <f>(52.87)*10.764</f>
        <v>569.09267999999997</v>
      </c>
      <c r="E397" s="62">
        <f>(0.9*(2.9+2.9+2.2+2.9))*10.764</f>
        <v>105.59484</v>
      </c>
      <c r="F397" s="14">
        <f t="shared" ref="F397:F404" si="81">D397+E397</f>
        <v>674.68751999999995</v>
      </c>
      <c r="G397" s="14">
        <v>0</v>
      </c>
      <c r="H397" s="14">
        <f>F397*(($H$251)+1)+(IF(G397&lt;101,G397,IF(G397&lt;201,G397/2,IF(G397&lt;=301,G397/3,G397/4))))</f>
        <v>978.29690399999993</v>
      </c>
    </row>
    <row r="398" spans="1:8" x14ac:dyDescent="0.2">
      <c r="A398" s="95">
        <f t="shared" ref="A398" si="82">A397+1</f>
        <v>2</v>
      </c>
      <c r="B398" s="96"/>
      <c r="C398" s="61" t="s">
        <v>292</v>
      </c>
      <c r="D398" s="62">
        <f>(51.27)*10.764</f>
        <v>551.87027999999998</v>
      </c>
      <c r="E398" s="62">
        <f>(0.9*(2.9+2.9+2.2+2.9))*10.764</f>
        <v>105.59484</v>
      </c>
      <c r="F398" s="14">
        <f t="shared" si="81"/>
        <v>657.46511999999996</v>
      </c>
      <c r="G398" s="14">
        <v>0</v>
      </c>
      <c r="H398" s="14">
        <f>F398*(($H$251)+1)+(IF(G398&lt;101,G398,IF(G398&lt;201,G398/2,IF(G398&lt;=301,G398/3,G398/4))))</f>
        <v>953.32442399999991</v>
      </c>
    </row>
    <row r="399" spans="1:8" x14ac:dyDescent="0.2">
      <c r="A399" s="95">
        <f>A398+1</f>
        <v>3</v>
      </c>
      <c r="B399" s="96"/>
      <c r="C399" s="61" t="s">
        <v>292</v>
      </c>
      <c r="D399" s="62">
        <f>(51.27)*10.764</f>
        <v>551.87027999999998</v>
      </c>
      <c r="E399" s="62">
        <f>(0.9*(2.9+2.9+2.2+2.9))*10.764</f>
        <v>105.59484</v>
      </c>
      <c r="F399" s="14">
        <f t="shared" si="81"/>
        <v>657.46511999999996</v>
      </c>
      <c r="G399" s="14">
        <v>0</v>
      </c>
      <c r="H399" s="14">
        <f>F399*(($H$251)+1)+(IF(G399&lt;101,G399,IF(G399&lt;201,G399/2,IF(G399&lt;=301,G399/3,G399/4))))</f>
        <v>953.32442399999991</v>
      </c>
    </row>
    <row r="400" spans="1:8" x14ac:dyDescent="0.2">
      <c r="A400" s="95">
        <f t="shared" ref="A400:A404" si="83">A399+1</f>
        <v>4</v>
      </c>
      <c r="B400" s="96"/>
      <c r="C400" s="61" t="s">
        <v>55</v>
      </c>
      <c r="D400" s="62">
        <f>(29.28+9.6)*10.764</f>
        <v>418.50432000000001</v>
      </c>
      <c r="E400" s="62">
        <f>(0.9*(2.9+2.9+2.2))*10.764</f>
        <v>77.500799999999998</v>
      </c>
      <c r="F400" s="14">
        <f t="shared" si="81"/>
        <v>496.00512000000003</v>
      </c>
      <c r="G400" s="14">
        <v>0</v>
      </c>
      <c r="H400" s="14">
        <f>F400*(($H$251)+1)+(IF(G400&lt;101,G400,IF(G400&lt;201,G400/2,IF(G400&lt;=301,G400/3,G400/4))))</f>
        <v>719.20742400000006</v>
      </c>
    </row>
    <row r="401" spans="1:8" x14ac:dyDescent="0.2">
      <c r="A401" s="95">
        <f t="shared" si="83"/>
        <v>5</v>
      </c>
      <c r="B401" s="96"/>
      <c r="C401" s="95" t="s">
        <v>288</v>
      </c>
      <c r="D401" s="253"/>
      <c r="E401" s="253"/>
      <c r="F401" s="253"/>
      <c r="G401" s="253"/>
      <c r="H401" s="96"/>
    </row>
    <row r="402" spans="1:8" x14ac:dyDescent="0.2">
      <c r="A402" s="95">
        <v>6</v>
      </c>
      <c r="B402" s="96"/>
      <c r="C402" s="61" t="s">
        <v>292</v>
      </c>
      <c r="D402" s="62">
        <f>(51.27)*10.764</f>
        <v>551.87027999999998</v>
      </c>
      <c r="E402" s="62">
        <f>(0.9*(2.9+2.9+2.2+2.9))*10.764</f>
        <v>105.59484</v>
      </c>
      <c r="F402" s="14">
        <f t="shared" si="81"/>
        <v>657.46511999999996</v>
      </c>
      <c r="G402" s="14">
        <v>0</v>
      </c>
      <c r="H402" s="14">
        <f>F402*(($H$251)+1)+(IF(G402&lt;101,G402,IF(G402&lt;201,G402/2,IF(G402&lt;=301,G402/3,G402/4))))</f>
        <v>953.32442399999991</v>
      </c>
    </row>
    <row r="403" spans="1:8" x14ac:dyDescent="0.2">
      <c r="A403" s="95">
        <f t="shared" si="83"/>
        <v>7</v>
      </c>
      <c r="B403" s="96"/>
      <c r="C403" s="61" t="s">
        <v>292</v>
      </c>
      <c r="D403" s="62">
        <f>(51.27)*10.764</f>
        <v>551.87027999999998</v>
      </c>
      <c r="E403" s="62">
        <f>(0.9*(2.9+2.9+2.2+2.9))*10.764</f>
        <v>105.59484</v>
      </c>
      <c r="F403" s="14">
        <f t="shared" si="81"/>
        <v>657.46511999999996</v>
      </c>
      <c r="G403" s="14">
        <v>0</v>
      </c>
      <c r="H403" s="14">
        <f>F403*(($H$251)+1)+(IF(G403&lt;101,G403,IF(G403&lt;201,G403/2,IF(G403&lt;=301,G403/3,G403/4))))</f>
        <v>953.32442399999991</v>
      </c>
    </row>
    <row r="404" spans="1:8" x14ac:dyDescent="0.2">
      <c r="A404" s="95">
        <f t="shared" si="83"/>
        <v>8</v>
      </c>
      <c r="B404" s="96"/>
      <c r="C404" s="61" t="s">
        <v>292</v>
      </c>
      <c r="D404" s="62">
        <f>(52.87)*10.764</f>
        <v>569.09267999999997</v>
      </c>
      <c r="E404" s="62">
        <f>(0.9*(2.9+2.9+2.2+2.9))*10.764</f>
        <v>105.59484</v>
      </c>
      <c r="F404" s="14">
        <f t="shared" si="81"/>
        <v>674.68751999999995</v>
      </c>
      <c r="G404" s="14">
        <v>0</v>
      </c>
      <c r="H404" s="14">
        <f>F404*(($H$251)+1)+(IF(G404&lt;101,G404,IF(G404&lt;201,G404/2,IF(G404&lt;=301,G404/3,G404/4))))</f>
        <v>978.29690399999993</v>
      </c>
    </row>
    <row r="405" spans="1:8" x14ac:dyDescent="0.2">
      <c r="A405" s="122" t="s">
        <v>281</v>
      </c>
      <c r="B405" s="246"/>
      <c r="C405" s="246"/>
      <c r="D405" s="246"/>
      <c r="E405" s="246"/>
      <c r="F405" s="246"/>
      <c r="G405" s="246"/>
      <c r="H405" s="123"/>
    </row>
    <row r="406" spans="1:8" x14ac:dyDescent="0.2">
      <c r="A406" s="143" t="s">
        <v>290</v>
      </c>
      <c r="B406" s="263"/>
      <c r="C406" s="263"/>
      <c r="D406" s="263"/>
      <c r="E406" s="263"/>
      <c r="F406" s="263"/>
      <c r="G406" s="263"/>
      <c r="H406" s="144"/>
    </row>
    <row r="407" spans="1:8" x14ac:dyDescent="0.2">
      <c r="A407" s="95">
        <v>1</v>
      </c>
      <c r="B407" s="96"/>
      <c r="C407" s="61" t="s">
        <v>292</v>
      </c>
      <c r="D407" s="62">
        <f>(55.02)*10.764</f>
        <v>592.23527999999999</v>
      </c>
      <c r="E407" s="62">
        <f>(3.48+0.9*(2.9))*10.764</f>
        <v>65.552759999999992</v>
      </c>
      <c r="F407" s="14">
        <f t="shared" ref="F407:F409" si="84">D407+E407</f>
        <v>657.78804000000002</v>
      </c>
      <c r="G407" s="64">
        <f>(9.5+0.75*1.2)*10.764</f>
        <v>111.9456</v>
      </c>
      <c r="H407" s="14">
        <f>F407*(($H$251)+1)+(IF(G407&lt;101,G407,IF(G407&lt;201,G407/2,IF(G407&lt;=301,G407/3,G407/4))))</f>
        <v>1009.765458</v>
      </c>
    </row>
    <row r="408" spans="1:8" x14ac:dyDescent="0.2">
      <c r="A408" s="95">
        <f t="shared" ref="A408" si="85">A407+1</f>
        <v>2</v>
      </c>
      <c r="B408" s="96"/>
      <c r="C408" s="61" t="s">
        <v>292</v>
      </c>
      <c r="D408" s="62">
        <f>(59.55)*10.764</f>
        <v>640.99619999999993</v>
      </c>
      <c r="E408" s="62">
        <f>(3.48+0.9*(2.9+2.15))*10.764</f>
        <v>86.381100000000004</v>
      </c>
      <c r="F408" s="14">
        <f t="shared" si="84"/>
        <v>727.37729999999988</v>
      </c>
      <c r="G408" s="64">
        <f>(2.9+2.9)*10.764</f>
        <v>62.431199999999997</v>
      </c>
      <c r="H408" s="14">
        <f>F408*(($H$251)+1)+(IF(G408&lt;101,G408,IF(G408&lt;201,G408/2,IF(G408&lt;=301,G408/3,G408/4))))</f>
        <v>1117.1282849999998</v>
      </c>
    </row>
    <row r="409" spans="1:8" x14ac:dyDescent="0.2">
      <c r="A409" s="95">
        <f>A408+1</f>
        <v>3</v>
      </c>
      <c r="B409" s="96"/>
      <c r="C409" s="61" t="s">
        <v>292</v>
      </c>
      <c r="D409" s="62">
        <f>(54.82)*10.764</f>
        <v>590.08247999999992</v>
      </c>
      <c r="E409" s="62">
        <f>(3.48+0.9*(2.9))*10.764</f>
        <v>65.552759999999992</v>
      </c>
      <c r="F409" s="14">
        <f t="shared" si="84"/>
        <v>655.63523999999995</v>
      </c>
      <c r="G409" s="64">
        <f>(9.5+0.75*1.2)*10.764</f>
        <v>111.9456</v>
      </c>
      <c r="H409" s="14">
        <f>F409*(($H$251)+1)+(IF(G409&lt;101,G409,IF(G409&lt;201,G409/2,IF(G409&lt;=301,G409/3,G409/4))))</f>
        <v>1006.6438979999999</v>
      </c>
    </row>
    <row r="410" spans="1:8" x14ac:dyDescent="0.2">
      <c r="A410" s="95">
        <f t="shared" ref="A410:A412" si="86">A409+1</f>
        <v>4</v>
      </c>
      <c r="B410" s="96"/>
      <c r="C410" s="254" t="s">
        <v>291</v>
      </c>
      <c r="D410" s="255"/>
      <c r="E410" s="255"/>
      <c r="F410" s="255"/>
      <c r="G410" s="255"/>
      <c r="H410" s="256"/>
    </row>
    <row r="411" spans="1:8" x14ac:dyDescent="0.2">
      <c r="A411" s="95">
        <f t="shared" si="86"/>
        <v>5</v>
      </c>
      <c r="B411" s="96"/>
      <c r="C411" s="257"/>
      <c r="D411" s="258"/>
      <c r="E411" s="258"/>
      <c r="F411" s="258"/>
      <c r="G411" s="258"/>
      <c r="H411" s="259"/>
    </row>
    <row r="412" spans="1:8" x14ac:dyDescent="0.2">
      <c r="A412" s="95">
        <f t="shared" si="86"/>
        <v>6</v>
      </c>
      <c r="B412" s="96"/>
      <c r="C412" s="257"/>
      <c r="D412" s="258"/>
      <c r="E412" s="258"/>
      <c r="F412" s="258"/>
      <c r="G412" s="258"/>
      <c r="H412" s="259"/>
    </row>
    <row r="413" spans="1:8" x14ac:dyDescent="0.2">
      <c r="A413" s="143" t="s">
        <v>298</v>
      </c>
      <c r="B413" s="263"/>
      <c r="C413" s="263"/>
      <c r="D413" s="263"/>
      <c r="E413" s="263"/>
      <c r="F413" s="263"/>
      <c r="G413" s="263"/>
      <c r="H413" s="144"/>
    </row>
    <row r="414" spans="1:8" x14ac:dyDescent="0.2">
      <c r="A414" s="95">
        <v>1</v>
      </c>
      <c r="B414" s="96"/>
      <c r="C414" s="61" t="s">
        <v>292</v>
      </c>
      <c r="D414" s="62">
        <f>(53.71)*10.764</f>
        <v>578.13443999999993</v>
      </c>
      <c r="E414" s="62">
        <f>(3.48+0.9*(2.9*2+2.15))*10.764</f>
        <v>114.47514</v>
      </c>
      <c r="F414" s="14">
        <f t="shared" ref="F414:F416" si="87">D414+E414</f>
        <v>692.60957999999994</v>
      </c>
      <c r="G414" s="14">
        <v>0</v>
      </c>
      <c r="H414" s="14">
        <f t="shared" ref="H414:H416" si="88">F414*(($H$251)+1)+(IF(G414&lt;101,G414,IF(G414&lt;201,G414/2,IF(G414&lt;=301,G414/3,G414/4))))</f>
        <v>1004.2838909999999</v>
      </c>
    </row>
    <row r="415" spans="1:8" x14ac:dyDescent="0.2">
      <c r="A415" s="95">
        <f t="shared" ref="A415" si="89">A414+1</f>
        <v>2</v>
      </c>
      <c r="B415" s="96"/>
      <c r="C415" s="61" t="s">
        <v>292</v>
      </c>
      <c r="D415" s="62">
        <f>(58.71)*10.764</f>
        <v>631.95443999999998</v>
      </c>
      <c r="E415" s="62">
        <f>(3.48+0.9*(2.9*2+2.15))*10.764</f>
        <v>114.47514</v>
      </c>
      <c r="F415" s="14">
        <f t="shared" si="87"/>
        <v>746.42957999999999</v>
      </c>
      <c r="G415" s="14">
        <v>0</v>
      </c>
      <c r="H415" s="14">
        <f t="shared" si="88"/>
        <v>1082.322891</v>
      </c>
    </row>
    <row r="416" spans="1:8" x14ac:dyDescent="0.2">
      <c r="A416" s="95">
        <f>A415+1</f>
        <v>3</v>
      </c>
      <c r="B416" s="96"/>
      <c r="C416" s="61" t="s">
        <v>292</v>
      </c>
      <c r="D416" s="62">
        <f>(53.51)*10.764</f>
        <v>575.98163999999997</v>
      </c>
      <c r="E416" s="62">
        <f>(3.48+0.9*(2.9*2+2.15))*10.764</f>
        <v>114.47514</v>
      </c>
      <c r="F416" s="14">
        <f t="shared" si="87"/>
        <v>690.45677999999998</v>
      </c>
      <c r="G416" s="14">
        <v>0</v>
      </c>
      <c r="H416" s="14">
        <f t="shared" si="88"/>
        <v>1001.162331</v>
      </c>
    </row>
    <row r="417" spans="1:8" x14ac:dyDescent="0.2">
      <c r="A417" s="95">
        <f t="shared" ref="A417:A419" si="90">A416+1</f>
        <v>4</v>
      </c>
      <c r="B417" s="96"/>
      <c r="C417" s="254" t="s">
        <v>291</v>
      </c>
      <c r="D417" s="255"/>
      <c r="E417" s="255"/>
      <c r="F417" s="255"/>
      <c r="G417" s="255"/>
      <c r="H417" s="256"/>
    </row>
    <row r="418" spans="1:8" x14ac:dyDescent="0.2">
      <c r="A418" s="95">
        <f t="shared" si="90"/>
        <v>5</v>
      </c>
      <c r="B418" s="96"/>
      <c r="C418" s="257"/>
      <c r="D418" s="258"/>
      <c r="E418" s="258"/>
      <c r="F418" s="258"/>
      <c r="G418" s="258"/>
      <c r="H418" s="259"/>
    </row>
    <row r="419" spans="1:8" x14ac:dyDescent="0.2">
      <c r="A419" s="95">
        <f t="shared" si="90"/>
        <v>6</v>
      </c>
      <c r="B419" s="96"/>
      <c r="C419" s="257"/>
      <c r="D419" s="258"/>
      <c r="E419" s="258"/>
      <c r="F419" s="258"/>
      <c r="G419" s="258"/>
      <c r="H419" s="259"/>
    </row>
    <row r="420" spans="1:8" x14ac:dyDescent="0.2">
      <c r="A420" s="143" t="s">
        <v>294</v>
      </c>
      <c r="B420" s="263"/>
      <c r="C420" s="263"/>
      <c r="D420" s="263"/>
      <c r="E420" s="263"/>
      <c r="F420" s="263"/>
      <c r="G420" s="263"/>
      <c r="H420" s="144"/>
    </row>
    <row r="421" spans="1:8" x14ac:dyDescent="0.2">
      <c r="A421" s="95">
        <v>1</v>
      </c>
      <c r="B421" s="96"/>
      <c r="C421" s="61" t="s">
        <v>292</v>
      </c>
      <c r="D421" s="62">
        <f>(53.71)*10.764</f>
        <v>578.13443999999993</v>
      </c>
      <c r="E421" s="62">
        <f t="shared" ref="E421:E434" si="91">(3.05+0.9*(2.9*2+2.15))*10.764</f>
        <v>109.84661999999997</v>
      </c>
      <c r="F421" s="14">
        <f t="shared" ref="F421:F426" si="92">D421+E421</f>
        <v>687.98105999999984</v>
      </c>
      <c r="G421" s="14">
        <v>0</v>
      </c>
      <c r="H421" s="14">
        <f t="shared" ref="H421:H426" si="93">F421*(($H$251)+1)+(IF(G421&lt;101,G421,IF(G421&lt;201,G421/2,IF(G421&lt;=301,G421/3,G421/4))))</f>
        <v>997.57253699999978</v>
      </c>
    </row>
    <row r="422" spans="1:8" x14ac:dyDescent="0.2">
      <c r="A422" s="95">
        <f t="shared" ref="A422" si="94">A421+1</f>
        <v>2</v>
      </c>
      <c r="B422" s="96"/>
      <c r="C422" s="61" t="s">
        <v>292</v>
      </c>
      <c r="D422" s="62">
        <f>(58.71)*10.764</f>
        <v>631.95443999999998</v>
      </c>
      <c r="E422" s="62">
        <f t="shared" si="91"/>
        <v>109.84661999999997</v>
      </c>
      <c r="F422" s="14">
        <f t="shared" si="92"/>
        <v>741.80106000000001</v>
      </c>
      <c r="G422" s="14">
        <v>0</v>
      </c>
      <c r="H422" s="14">
        <f t="shared" si="93"/>
        <v>1075.611537</v>
      </c>
    </row>
    <row r="423" spans="1:8" x14ac:dyDescent="0.2">
      <c r="A423" s="95">
        <f>A422+1</f>
        <v>3</v>
      </c>
      <c r="B423" s="96"/>
      <c r="C423" s="61" t="s">
        <v>292</v>
      </c>
      <c r="D423" s="62">
        <f>(53.51)*10.764</f>
        <v>575.98163999999997</v>
      </c>
      <c r="E423" s="62">
        <f t="shared" si="91"/>
        <v>109.84661999999997</v>
      </c>
      <c r="F423" s="14">
        <f t="shared" si="92"/>
        <v>685.82826</v>
      </c>
      <c r="G423" s="14">
        <v>0</v>
      </c>
      <c r="H423" s="14">
        <f t="shared" si="93"/>
        <v>994.45097699999997</v>
      </c>
    </row>
    <row r="424" spans="1:8" x14ac:dyDescent="0.2">
      <c r="A424" s="95">
        <f t="shared" ref="A424:A426" si="95">A423+1</f>
        <v>4</v>
      </c>
      <c r="B424" s="96"/>
      <c r="C424" s="61" t="s">
        <v>292</v>
      </c>
      <c r="D424" s="62">
        <f>(55.99)*10.764</f>
        <v>602.67635999999993</v>
      </c>
      <c r="E424" s="62">
        <f t="shared" si="91"/>
        <v>109.84661999999997</v>
      </c>
      <c r="F424" s="14">
        <f t="shared" si="92"/>
        <v>712.52297999999996</v>
      </c>
      <c r="G424" s="14">
        <v>0</v>
      </c>
      <c r="H424" s="14">
        <f t="shared" si="93"/>
        <v>1033.1583209999999</v>
      </c>
    </row>
    <row r="425" spans="1:8" x14ac:dyDescent="0.2">
      <c r="A425" s="95">
        <f t="shared" si="95"/>
        <v>5</v>
      </c>
      <c r="B425" s="96"/>
      <c r="C425" s="61" t="s">
        <v>292</v>
      </c>
      <c r="D425" s="62">
        <f>(61.94)*10.764</f>
        <v>666.72215999999992</v>
      </c>
      <c r="E425" s="62">
        <f t="shared" si="91"/>
        <v>109.84661999999997</v>
      </c>
      <c r="F425" s="14">
        <f t="shared" si="92"/>
        <v>776.56877999999983</v>
      </c>
      <c r="G425" s="14">
        <v>0</v>
      </c>
      <c r="H425" s="14">
        <f t="shared" si="93"/>
        <v>1126.0247309999997</v>
      </c>
    </row>
    <row r="426" spans="1:8" x14ac:dyDescent="0.2">
      <c r="A426" s="95">
        <f t="shared" si="95"/>
        <v>6</v>
      </c>
      <c r="B426" s="96"/>
      <c r="C426" s="61" t="s">
        <v>292</v>
      </c>
      <c r="D426" s="62">
        <f>(56.06)*10.764</f>
        <v>603.42984000000001</v>
      </c>
      <c r="E426" s="62">
        <f t="shared" si="91"/>
        <v>109.84661999999997</v>
      </c>
      <c r="F426" s="14">
        <f t="shared" si="92"/>
        <v>713.27646000000004</v>
      </c>
      <c r="G426" s="14">
        <v>0</v>
      </c>
      <c r="H426" s="14">
        <f t="shared" si="93"/>
        <v>1034.250867</v>
      </c>
    </row>
    <row r="427" spans="1:8" x14ac:dyDescent="0.2">
      <c r="A427" s="143" t="s">
        <v>285</v>
      </c>
      <c r="B427" s="263"/>
      <c r="C427" s="263"/>
      <c r="D427" s="263"/>
      <c r="E427" s="263"/>
      <c r="F427" s="263"/>
      <c r="G427" s="263"/>
      <c r="H427" s="144"/>
    </row>
    <row r="428" spans="1:8" x14ac:dyDescent="0.2">
      <c r="A428" s="95">
        <v>1</v>
      </c>
      <c r="B428" s="96"/>
      <c r="C428" s="61" t="s">
        <v>292</v>
      </c>
      <c r="D428" s="62">
        <f>(53.71)*10.764</f>
        <v>578.13443999999993</v>
      </c>
      <c r="E428" s="62">
        <f t="shared" si="91"/>
        <v>109.84661999999997</v>
      </c>
      <c r="F428" s="14">
        <f t="shared" ref="F428:F434" si="96">D428+E428</f>
        <v>687.98105999999984</v>
      </c>
      <c r="G428" s="14">
        <v>0</v>
      </c>
      <c r="H428" s="14">
        <f t="shared" ref="H428:H434" si="97">F428*(($H$251)+1)+(IF(G428&lt;101,G428,IF(G428&lt;201,G428/2,IF(G428&lt;=301,G428/3,G428/4))))</f>
        <v>997.57253699999978</v>
      </c>
    </row>
    <row r="429" spans="1:8" x14ac:dyDescent="0.2">
      <c r="A429" s="95">
        <f t="shared" ref="A429" si="98">A428+1</f>
        <v>2</v>
      </c>
      <c r="B429" s="96"/>
      <c r="C429" s="61" t="s">
        <v>292</v>
      </c>
      <c r="D429" s="62">
        <f>(58.71)*10.764</f>
        <v>631.95443999999998</v>
      </c>
      <c r="E429" s="62">
        <f t="shared" si="91"/>
        <v>109.84661999999997</v>
      </c>
      <c r="F429" s="14">
        <f t="shared" si="96"/>
        <v>741.80106000000001</v>
      </c>
      <c r="G429" s="14">
        <v>0</v>
      </c>
      <c r="H429" s="14">
        <f t="shared" si="97"/>
        <v>1075.611537</v>
      </c>
    </row>
    <row r="430" spans="1:8" x14ac:dyDescent="0.2">
      <c r="A430" s="95">
        <f>A429+1</f>
        <v>3</v>
      </c>
      <c r="B430" s="96"/>
      <c r="C430" s="61" t="s">
        <v>292</v>
      </c>
      <c r="D430" s="62">
        <f>(53.51)*10.764</f>
        <v>575.98163999999997</v>
      </c>
      <c r="E430" s="62">
        <f t="shared" si="91"/>
        <v>109.84661999999997</v>
      </c>
      <c r="F430" s="14">
        <f t="shared" si="96"/>
        <v>685.82826</v>
      </c>
      <c r="G430" s="14">
        <v>0</v>
      </c>
      <c r="H430" s="14">
        <f t="shared" si="97"/>
        <v>994.45097699999997</v>
      </c>
    </row>
    <row r="431" spans="1:8" x14ac:dyDescent="0.2">
      <c r="A431" s="95" t="s">
        <v>286</v>
      </c>
      <c r="B431" s="96"/>
      <c r="C431" s="95" t="s">
        <v>288</v>
      </c>
      <c r="D431" s="253"/>
      <c r="E431" s="253"/>
      <c r="F431" s="253"/>
      <c r="G431" s="253"/>
      <c r="H431" s="96"/>
    </row>
    <row r="432" spans="1:8" x14ac:dyDescent="0.2">
      <c r="A432" s="95">
        <f>A430+1</f>
        <v>4</v>
      </c>
      <c r="B432" s="96"/>
      <c r="C432" s="61" t="s">
        <v>292</v>
      </c>
      <c r="D432" s="62">
        <f>(55.99)*10.764</f>
        <v>602.67635999999993</v>
      </c>
      <c r="E432" s="62">
        <f t="shared" si="91"/>
        <v>109.84661999999997</v>
      </c>
      <c r="F432" s="14">
        <f t="shared" si="96"/>
        <v>712.52297999999996</v>
      </c>
      <c r="G432" s="14">
        <v>0</v>
      </c>
      <c r="H432" s="14">
        <f t="shared" si="97"/>
        <v>1033.1583209999999</v>
      </c>
    </row>
    <row r="433" spans="1:8" x14ac:dyDescent="0.2">
      <c r="A433" s="95">
        <f t="shared" ref="A433:A434" si="99">A432+1</f>
        <v>5</v>
      </c>
      <c r="B433" s="96"/>
      <c r="C433" s="61" t="s">
        <v>292</v>
      </c>
      <c r="D433" s="62">
        <f>(61.94)*10.764</f>
        <v>666.72215999999992</v>
      </c>
      <c r="E433" s="62">
        <f t="shared" si="91"/>
        <v>109.84661999999997</v>
      </c>
      <c r="F433" s="14">
        <f t="shared" si="96"/>
        <v>776.56877999999983</v>
      </c>
      <c r="G433" s="14">
        <v>0</v>
      </c>
      <c r="H433" s="14">
        <f t="shared" si="97"/>
        <v>1126.0247309999997</v>
      </c>
    </row>
    <row r="434" spans="1:8" x14ac:dyDescent="0.2">
      <c r="A434" s="95">
        <f t="shared" si="99"/>
        <v>6</v>
      </c>
      <c r="B434" s="96"/>
      <c r="C434" s="61" t="s">
        <v>292</v>
      </c>
      <c r="D434" s="62">
        <f>(56.06)*10.764</f>
        <v>603.42984000000001</v>
      </c>
      <c r="E434" s="62">
        <f t="shared" si="91"/>
        <v>109.84661999999997</v>
      </c>
      <c r="F434" s="14">
        <f t="shared" si="96"/>
        <v>713.27646000000004</v>
      </c>
      <c r="G434" s="14">
        <v>0</v>
      </c>
      <c r="H434" s="14">
        <f t="shared" si="97"/>
        <v>1034.250867</v>
      </c>
    </row>
    <row r="435" spans="1:8" x14ac:dyDescent="0.2">
      <c r="A435" s="112" t="s">
        <v>114</v>
      </c>
      <c r="B435" s="112"/>
      <c r="C435" s="112"/>
      <c r="D435" s="112"/>
      <c r="E435" s="112"/>
      <c r="F435" s="112"/>
      <c r="G435" s="112"/>
      <c r="H435" s="112"/>
    </row>
    <row r="436" spans="1:8" x14ac:dyDescent="0.2">
      <c r="A436" s="106" t="s">
        <v>115</v>
      </c>
      <c r="B436" s="107"/>
      <c r="C436" s="107"/>
      <c r="D436" s="107"/>
      <c r="E436" s="108"/>
      <c r="F436" s="106">
        <v>6000</v>
      </c>
      <c r="G436" s="107"/>
      <c r="H436" s="108"/>
    </row>
    <row r="437" spans="1:8" x14ac:dyDescent="0.2">
      <c r="A437" s="106" t="s">
        <v>116</v>
      </c>
      <c r="B437" s="107"/>
      <c r="C437" s="107"/>
      <c r="D437" s="107"/>
      <c r="E437" s="108"/>
      <c r="F437" s="106" t="s">
        <v>302</v>
      </c>
      <c r="G437" s="107"/>
      <c r="H437" s="108"/>
    </row>
    <row r="438" spans="1:8" x14ac:dyDescent="0.2">
      <c r="A438" s="112" t="s">
        <v>47</v>
      </c>
      <c r="B438" s="112"/>
      <c r="C438" s="112"/>
      <c r="D438" s="112"/>
      <c r="E438" s="112"/>
      <c r="F438" s="112"/>
      <c r="G438" s="112"/>
      <c r="H438" s="112"/>
    </row>
    <row r="439" spans="1:8" x14ac:dyDescent="0.2">
      <c r="A439" s="63">
        <v>1</v>
      </c>
      <c r="B439" s="97" t="s">
        <v>309</v>
      </c>
      <c r="C439" s="98"/>
      <c r="D439" s="98"/>
      <c r="E439" s="98"/>
      <c r="F439" s="98"/>
      <c r="G439" s="98"/>
      <c r="H439" s="99"/>
    </row>
    <row r="440" spans="1:8" x14ac:dyDescent="0.2">
      <c r="A440" s="63">
        <f t="shared" ref="A440:A450" si="100">A439+1</f>
        <v>2</v>
      </c>
      <c r="B440" s="97" t="s">
        <v>214</v>
      </c>
      <c r="C440" s="98"/>
      <c r="D440" s="98"/>
      <c r="E440" s="98"/>
      <c r="F440" s="98"/>
      <c r="G440" s="98"/>
      <c r="H440" s="99"/>
    </row>
    <row r="441" spans="1:8" x14ac:dyDescent="0.2">
      <c r="A441" s="63">
        <f t="shared" si="100"/>
        <v>3</v>
      </c>
      <c r="B441" s="97" t="s">
        <v>215</v>
      </c>
      <c r="C441" s="98"/>
      <c r="D441" s="98"/>
      <c r="E441" s="98"/>
      <c r="F441" s="98"/>
      <c r="G441" s="98"/>
      <c r="H441" s="99"/>
    </row>
    <row r="442" spans="1:8" x14ac:dyDescent="0.2">
      <c r="A442" s="63">
        <f t="shared" si="100"/>
        <v>4</v>
      </c>
      <c r="B442" s="97" t="s">
        <v>216</v>
      </c>
      <c r="C442" s="98"/>
      <c r="D442" s="98"/>
      <c r="E442" s="98"/>
      <c r="F442" s="98"/>
      <c r="G442" s="98"/>
      <c r="H442" s="99"/>
    </row>
    <row r="443" spans="1:8" x14ac:dyDescent="0.2">
      <c r="A443" s="63">
        <f t="shared" si="100"/>
        <v>5</v>
      </c>
      <c r="B443" s="97" t="s">
        <v>314</v>
      </c>
      <c r="C443" s="98"/>
      <c r="D443" s="98"/>
      <c r="E443" s="98"/>
      <c r="F443" s="98"/>
      <c r="G443" s="98"/>
      <c r="H443" s="99"/>
    </row>
    <row r="444" spans="1:8" x14ac:dyDescent="0.2">
      <c r="A444" s="63">
        <f t="shared" si="100"/>
        <v>6</v>
      </c>
      <c r="B444" s="97" t="s">
        <v>220</v>
      </c>
      <c r="C444" s="98"/>
      <c r="D444" s="98"/>
      <c r="E444" s="98"/>
      <c r="F444" s="83">
        <f>H251</f>
        <v>0.45</v>
      </c>
      <c r="G444" s="46"/>
      <c r="H444" s="47"/>
    </row>
    <row r="445" spans="1:8" x14ac:dyDescent="0.2">
      <c r="A445" s="63">
        <f t="shared" si="100"/>
        <v>7</v>
      </c>
      <c r="B445" s="97" t="s">
        <v>217</v>
      </c>
      <c r="C445" s="98"/>
      <c r="D445" s="98"/>
      <c r="E445" s="98"/>
      <c r="F445" s="98"/>
      <c r="G445" s="98"/>
      <c r="H445" s="99"/>
    </row>
    <row r="446" spans="1:8" ht="28.5" customHeight="1" x14ac:dyDescent="0.2">
      <c r="A446" s="63">
        <f t="shared" si="100"/>
        <v>8</v>
      </c>
      <c r="B446" s="97" t="s">
        <v>218</v>
      </c>
      <c r="C446" s="98"/>
      <c r="D446" s="98"/>
      <c r="E446" s="98"/>
      <c r="F446" s="98"/>
      <c r="G446" s="98"/>
      <c r="H446" s="99"/>
    </row>
    <row r="447" spans="1:8" x14ac:dyDescent="0.2">
      <c r="A447" s="63">
        <f t="shared" si="100"/>
        <v>9</v>
      </c>
      <c r="B447" s="97" t="s">
        <v>219</v>
      </c>
      <c r="C447" s="98"/>
      <c r="D447" s="98"/>
      <c r="E447" s="98"/>
      <c r="F447" s="98"/>
      <c r="G447" s="98"/>
      <c r="H447" s="99"/>
    </row>
    <row r="448" spans="1:8" x14ac:dyDescent="0.2">
      <c r="A448" s="63">
        <f t="shared" si="100"/>
        <v>10</v>
      </c>
      <c r="B448" s="97" t="s">
        <v>304</v>
      </c>
      <c r="C448" s="98"/>
      <c r="D448" s="98"/>
      <c r="E448" s="98"/>
      <c r="F448" s="98"/>
      <c r="G448" s="98"/>
      <c r="H448" s="99"/>
    </row>
    <row r="449" spans="1:8" x14ac:dyDescent="0.2">
      <c r="A449" s="63">
        <f t="shared" si="100"/>
        <v>11</v>
      </c>
      <c r="B449" s="97" t="s">
        <v>311</v>
      </c>
      <c r="C449" s="98"/>
      <c r="D449" s="98"/>
      <c r="E449" s="98"/>
      <c r="F449" s="98"/>
      <c r="G449" s="98"/>
      <c r="H449" s="99"/>
    </row>
    <row r="450" spans="1:8" x14ac:dyDescent="0.2">
      <c r="A450" s="63">
        <f t="shared" si="100"/>
        <v>12</v>
      </c>
      <c r="B450" s="97" t="s">
        <v>312</v>
      </c>
      <c r="C450" s="98"/>
      <c r="D450" s="98"/>
      <c r="E450" s="98"/>
      <c r="F450" s="98"/>
      <c r="G450" s="98"/>
      <c r="H450" s="99"/>
    </row>
    <row r="451" spans="1:8" x14ac:dyDescent="0.2">
      <c r="A451" s="86" t="s">
        <v>119</v>
      </c>
      <c r="B451" s="88"/>
      <c r="C451" s="86" t="str">
        <f>C7</f>
        <v>Evara</v>
      </c>
      <c r="D451" s="87"/>
      <c r="E451" s="87"/>
      <c r="F451" s="87"/>
      <c r="G451" s="87"/>
      <c r="H451" s="88"/>
    </row>
    <row r="452" spans="1:8" x14ac:dyDescent="0.2">
      <c r="A452" s="109"/>
      <c r="B452" s="110"/>
      <c r="C452" s="110"/>
      <c r="D452" s="110"/>
      <c r="E452" s="110"/>
      <c r="F452" s="110"/>
      <c r="G452" s="110"/>
      <c r="H452" s="111"/>
    </row>
    <row r="453" spans="1:8" x14ac:dyDescent="0.2">
      <c r="A453" s="100"/>
      <c r="B453" s="101"/>
      <c r="C453" s="101"/>
      <c r="D453" s="101"/>
      <c r="E453" s="101"/>
      <c r="F453" s="101"/>
      <c r="G453" s="101"/>
      <c r="H453" s="102"/>
    </row>
    <row r="454" spans="1:8" x14ac:dyDescent="0.2">
      <c r="A454" s="100"/>
      <c r="B454" s="101"/>
      <c r="C454" s="101"/>
      <c r="D454" s="101"/>
      <c r="E454" s="101"/>
      <c r="F454" s="101"/>
      <c r="G454" s="101"/>
      <c r="H454" s="102"/>
    </row>
    <row r="455" spans="1:8" x14ac:dyDescent="0.2">
      <c r="A455" s="100"/>
      <c r="B455" s="101"/>
      <c r="C455" s="101"/>
      <c r="D455" s="101"/>
      <c r="E455" s="101"/>
      <c r="F455" s="101"/>
      <c r="G455" s="101"/>
      <c r="H455" s="102"/>
    </row>
    <row r="456" spans="1:8" x14ac:dyDescent="0.2">
      <c r="A456" s="100"/>
      <c r="B456" s="101"/>
      <c r="C456" s="101"/>
      <c r="D456" s="101"/>
      <c r="E456" s="101"/>
      <c r="F456" s="101"/>
      <c r="G456" s="101"/>
      <c r="H456" s="102"/>
    </row>
    <row r="457" spans="1:8" x14ac:dyDescent="0.2">
      <c r="A457" s="100"/>
      <c r="B457" s="101"/>
      <c r="C457" s="101"/>
      <c r="D457" s="101"/>
      <c r="E457" s="101"/>
      <c r="F457" s="101"/>
      <c r="G457" s="101"/>
      <c r="H457" s="102"/>
    </row>
    <row r="458" spans="1:8" x14ac:dyDescent="0.2">
      <c r="A458" s="100"/>
      <c r="B458" s="101"/>
      <c r="C458" s="101"/>
      <c r="D458" s="101"/>
      <c r="E458" s="101"/>
      <c r="F458" s="101"/>
      <c r="G458" s="101"/>
      <c r="H458" s="102"/>
    </row>
    <row r="459" spans="1:8" x14ac:dyDescent="0.2">
      <c r="A459" s="100"/>
      <c r="B459" s="101"/>
      <c r="C459" s="101"/>
      <c r="D459" s="101"/>
      <c r="E459" s="101"/>
      <c r="F459" s="101"/>
      <c r="G459" s="101"/>
      <c r="H459" s="102"/>
    </row>
    <row r="460" spans="1:8" x14ac:dyDescent="0.2">
      <c r="A460" s="100"/>
      <c r="B460" s="101"/>
      <c r="C460" s="101"/>
      <c r="D460" s="101"/>
      <c r="E460" s="101"/>
      <c r="F460" s="101"/>
      <c r="G460" s="101"/>
      <c r="H460" s="102"/>
    </row>
    <row r="461" spans="1:8" x14ac:dyDescent="0.2">
      <c r="A461" s="100"/>
      <c r="B461" s="101"/>
      <c r="C461" s="101"/>
      <c r="D461" s="101"/>
      <c r="E461" s="101"/>
      <c r="F461" s="101"/>
      <c r="G461" s="101"/>
      <c r="H461" s="102"/>
    </row>
    <row r="462" spans="1:8" x14ac:dyDescent="0.2">
      <c r="A462" s="100"/>
      <c r="B462" s="101"/>
      <c r="C462" s="101"/>
      <c r="D462" s="101"/>
      <c r="E462" s="101"/>
      <c r="F462" s="101"/>
      <c r="G462" s="101"/>
      <c r="H462" s="102"/>
    </row>
    <row r="463" spans="1:8" x14ac:dyDescent="0.2">
      <c r="A463" s="100"/>
      <c r="B463" s="101"/>
      <c r="C463" s="101"/>
      <c r="D463" s="101"/>
      <c r="E463" s="101"/>
      <c r="F463" s="101"/>
      <c r="G463" s="101"/>
      <c r="H463" s="102"/>
    </row>
    <row r="464" spans="1:8" x14ac:dyDescent="0.2">
      <c r="A464" s="100"/>
      <c r="B464" s="101"/>
      <c r="C464" s="101"/>
      <c r="D464" s="101"/>
      <c r="E464" s="101"/>
      <c r="F464" s="101"/>
      <c r="G464" s="101"/>
      <c r="H464" s="102"/>
    </row>
    <row r="465" spans="1:8" x14ac:dyDescent="0.2">
      <c r="A465" s="100"/>
      <c r="B465" s="101"/>
      <c r="C465" s="101"/>
      <c r="D465" s="101"/>
      <c r="E465" s="101"/>
      <c r="F465" s="101"/>
      <c r="G465" s="101"/>
      <c r="H465" s="102"/>
    </row>
    <row r="466" spans="1:8" x14ac:dyDescent="0.2">
      <c r="A466" s="100"/>
      <c r="B466" s="101"/>
      <c r="C466" s="101"/>
      <c r="D466" s="101"/>
      <c r="E466" s="101"/>
      <c r="F466" s="101"/>
      <c r="G466" s="101"/>
      <c r="H466" s="102"/>
    </row>
    <row r="467" spans="1:8" x14ac:dyDescent="0.2">
      <c r="A467" s="100"/>
      <c r="B467" s="101"/>
      <c r="C467" s="101"/>
      <c r="D467" s="101"/>
      <c r="E467" s="101"/>
      <c r="F467" s="101"/>
      <c r="G467" s="101"/>
      <c r="H467" s="102"/>
    </row>
    <row r="468" spans="1:8" x14ac:dyDescent="0.2">
      <c r="A468" s="100"/>
      <c r="B468" s="101"/>
      <c r="C468" s="101"/>
      <c r="D468" s="101"/>
      <c r="E468" s="101"/>
      <c r="F468" s="101"/>
      <c r="G468" s="101"/>
      <c r="H468" s="102"/>
    </row>
    <row r="469" spans="1:8" x14ac:dyDescent="0.2">
      <c r="A469" s="100"/>
      <c r="B469" s="101"/>
      <c r="C469" s="101"/>
      <c r="D469" s="101"/>
      <c r="E469" s="101"/>
      <c r="F469" s="101"/>
      <c r="G469" s="101"/>
      <c r="H469" s="102"/>
    </row>
    <row r="470" spans="1:8" x14ac:dyDescent="0.2">
      <c r="A470" s="100"/>
      <c r="B470" s="101"/>
      <c r="C470" s="101"/>
      <c r="D470" s="101"/>
      <c r="E470" s="101"/>
      <c r="F470" s="101"/>
      <c r="G470" s="101"/>
      <c r="H470" s="102"/>
    </row>
    <row r="471" spans="1:8" x14ac:dyDescent="0.2">
      <c r="A471" s="100"/>
      <c r="B471" s="101"/>
      <c r="C471" s="101"/>
      <c r="D471" s="101"/>
      <c r="E471" s="101"/>
      <c r="F471" s="101"/>
      <c r="G471" s="101"/>
      <c r="H471" s="102"/>
    </row>
    <row r="472" spans="1:8" x14ac:dyDescent="0.2">
      <c r="A472" s="100"/>
      <c r="B472" s="101"/>
      <c r="C472" s="101"/>
      <c r="D472" s="101"/>
      <c r="E472" s="101"/>
      <c r="F472" s="101"/>
      <c r="G472" s="101"/>
      <c r="H472" s="102"/>
    </row>
    <row r="473" spans="1:8" x14ac:dyDescent="0.2">
      <c r="A473" s="100"/>
      <c r="B473" s="101"/>
      <c r="C473" s="101"/>
      <c r="D473" s="101"/>
      <c r="E473" s="101"/>
      <c r="F473" s="101"/>
      <c r="G473" s="101"/>
      <c r="H473" s="102"/>
    </row>
    <row r="474" spans="1:8" x14ac:dyDescent="0.2">
      <c r="A474" s="100"/>
      <c r="B474" s="101"/>
      <c r="C474" s="101"/>
      <c r="D474" s="101"/>
      <c r="E474" s="101"/>
      <c r="F474" s="101"/>
      <c r="G474" s="101"/>
      <c r="H474" s="102"/>
    </row>
    <row r="475" spans="1:8" x14ac:dyDescent="0.2">
      <c r="A475" s="100"/>
      <c r="B475" s="101"/>
      <c r="C475" s="101"/>
      <c r="D475" s="101"/>
      <c r="E475" s="101"/>
      <c r="F475" s="101"/>
      <c r="G475" s="101"/>
      <c r="H475" s="102"/>
    </row>
    <row r="476" spans="1:8" x14ac:dyDescent="0.2">
      <c r="A476" s="100"/>
      <c r="B476" s="101"/>
      <c r="C476" s="101"/>
      <c r="D476" s="101"/>
      <c r="E476" s="101"/>
      <c r="F476" s="101"/>
      <c r="G476" s="101"/>
      <c r="H476" s="102"/>
    </row>
    <row r="477" spans="1:8" x14ac:dyDescent="0.2">
      <c r="A477" s="100"/>
      <c r="B477" s="101"/>
      <c r="C477" s="101"/>
      <c r="D477" s="101"/>
      <c r="E477" s="101"/>
      <c r="F477" s="101"/>
      <c r="G477" s="101"/>
      <c r="H477" s="102"/>
    </row>
    <row r="478" spans="1:8" x14ac:dyDescent="0.2">
      <c r="A478" s="100"/>
      <c r="B478" s="101"/>
      <c r="C478" s="101"/>
      <c r="D478" s="101"/>
      <c r="E478" s="101"/>
      <c r="F478" s="101"/>
      <c r="G478" s="101"/>
      <c r="H478" s="102"/>
    </row>
    <row r="479" spans="1:8" x14ac:dyDescent="0.2">
      <c r="A479" s="100"/>
      <c r="B479" s="101"/>
      <c r="C479" s="101"/>
      <c r="D479" s="101"/>
      <c r="E479" s="101"/>
      <c r="F479" s="101"/>
      <c r="G479" s="101"/>
      <c r="H479" s="102"/>
    </row>
    <row r="480" spans="1:8" x14ac:dyDescent="0.2">
      <c r="A480" s="100"/>
      <c r="B480" s="101"/>
      <c r="C480" s="101"/>
      <c r="D480" s="101"/>
      <c r="E480" s="101"/>
      <c r="F480" s="101"/>
      <c r="G480" s="101"/>
      <c r="H480" s="102"/>
    </row>
    <row r="481" spans="1:8" x14ac:dyDescent="0.2">
      <c r="A481" s="100"/>
      <c r="B481" s="101"/>
      <c r="C481" s="101"/>
      <c r="D481" s="101"/>
      <c r="E481" s="101"/>
      <c r="F481" s="101"/>
      <c r="G481" s="101"/>
      <c r="H481" s="102"/>
    </row>
    <row r="482" spans="1:8" x14ac:dyDescent="0.2">
      <c r="A482" s="100"/>
      <c r="B482" s="101"/>
      <c r="C482" s="101"/>
      <c r="D482" s="101"/>
      <c r="E482" s="101"/>
      <c r="F482" s="101"/>
      <c r="G482" s="101"/>
      <c r="H482" s="102"/>
    </row>
    <row r="483" spans="1:8" x14ac:dyDescent="0.2">
      <c r="A483" s="100"/>
      <c r="B483" s="101"/>
      <c r="C483" s="101"/>
      <c r="D483" s="101"/>
      <c r="E483" s="101"/>
      <c r="F483" s="101"/>
      <c r="G483" s="101"/>
      <c r="H483" s="102"/>
    </row>
    <row r="484" spans="1:8" x14ac:dyDescent="0.2">
      <c r="A484" s="100"/>
      <c r="B484" s="101"/>
      <c r="C484" s="101"/>
      <c r="D484" s="101"/>
      <c r="E484" s="101"/>
      <c r="F484" s="101"/>
      <c r="G484" s="101"/>
      <c r="H484" s="102"/>
    </row>
    <row r="485" spans="1:8" x14ac:dyDescent="0.2">
      <c r="A485" s="100"/>
      <c r="B485" s="101"/>
      <c r="C485" s="101"/>
      <c r="D485" s="101"/>
      <c r="E485" s="101"/>
      <c r="F485" s="101"/>
      <c r="G485" s="101"/>
      <c r="H485" s="102"/>
    </row>
    <row r="486" spans="1:8" x14ac:dyDescent="0.2">
      <c r="A486" s="100"/>
      <c r="B486" s="101"/>
      <c r="C486" s="101"/>
      <c r="D486" s="101"/>
      <c r="E486" s="101"/>
      <c r="F486" s="101"/>
      <c r="G486" s="101"/>
      <c r="H486" s="102"/>
    </row>
    <row r="487" spans="1:8" x14ac:dyDescent="0.2">
      <c r="A487" s="100"/>
      <c r="B487" s="101"/>
      <c r="C487" s="101"/>
      <c r="D487" s="101"/>
      <c r="E487" s="101"/>
      <c r="F487" s="101"/>
      <c r="G487" s="101"/>
      <c r="H487" s="102"/>
    </row>
    <row r="488" spans="1:8" x14ac:dyDescent="0.2">
      <c r="A488" s="100"/>
      <c r="B488" s="101"/>
      <c r="C488" s="101"/>
      <c r="D488" s="101"/>
      <c r="E488" s="101"/>
      <c r="F488" s="101"/>
      <c r="G488" s="101"/>
      <c r="H488" s="102"/>
    </row>
    <row r="489" spans="1:8" x14ac:dyDescent="0.2">
      <c r="A489" s="100"/>
      <c r="B489" s="101"/>
      <c r="C489" s="101"/>
      <c r="D489" s="101"/>
      <c r="E489" s="101"/>
      <c r="F489" s="101"/>
      <c r="G489" s="101"/>
      <c r="H489" s="102"/>
    </row>
    <row r="490" spans="1:8" x14ac:dyDescent="0.2">
      <c r="A490" s="100"/>
      <c r="B490" s="101"/>
      <c r="C490" s="101"/>
      <c r="D490" s="101"/>
      <c r="E490" s="101"/>
      <c r="F490" s="101"/>
      <c r="G490" s="101"/>
      <c r="H490" s="102"/>
    </row>
    <row r="491" spans="1:8" x14ac:dyDescent="0.2">
      <c r="A491" s="100"/>
      <c r="B491" s="101"/>
      <c r="C491" s="101"/>
      <c r="D491" s="101"/>
      <c r="E491" s="101"/>
      <c r="F491" s="101"/>
      <c r="G491" s="101"/>
      <c r="H491" s="102"/>
    </row>
    <row r="492" spans="1:8" x14ac:dyDescent="0.2">
      <c r="A492" s="100"/>
      <c r="B492" s="101"/>
      <c r="C492" s="101"/>
      <c r="D492" s="101"/>
      <c r="E492" s="101"/>
      <c r="F492" s="101"/>
      <c r="G492" s="101"/>
      <c r="H492" s="102"/>
    </row>
    <row r="493" spans="1:8" x14ac:dyDescent="0.2">
      <c r="A493" s="100"/>
      <c r="B493" s="101"/>
      <c r="C493" s="101"/>
      <c r="D493" s="101"/>
      <c r="E493" s="101"/>
      <c r="F493" s="101"/>
      <c r="G493" s="101"/>
      <c r="H493" s="102"/>
    </row>
    <row r="494" spans="1:8" x14ac:dyDescent="0.2">
      <c r="A494" s="100"/>
      <c r="B494" s="101"/>
      <c r="C494" s="101"/>
      <c r="D494" s="101"/>
      <c r="E494" s="101"/>
      <c r="F494" s="101"/>
      <c r="G494" s="101"/>
      <c r="H494" s="102"/>
    </row>
    <row r="495" spans="1:8" x14ac:dyDescent="0.2">
      <c r="A495" s="100"/>
      <c r="B495" s="101"/>
      <c r="C495" s="101"/>
      <c r="D495" s="101"/>
      <c r="E495" s="101"/>
      <c r="F495" s="101"/>
      <c r="G495" s="101"/>
      <c r="H495" s="102"/>
    </row>
    <row r="496" spans="1:8" x14ac:dyDescent="0.2">
      <c r="A496" s="100"/>
      <c r="B496" s="101"/>
      <c r="C496" s="101"/>
      <c r="D496" s="101"/>
      <c r="E496" s="101"/>
      <c r="F496" s="101"/>
      <c r="G496" s="101"/>
      <c r="H496" s="102"/>
    </row>
    <row r="497" spans="1:8" x14ac:dyDescent="0.2">
      <c r="A497" s="100"/>
      <c r="B497" s="101"/>
      <c r="C497" s="101"/>
      <c r="D497" s="101"/>
      <c r="E497" s="101"/>
      <c r="F497" s="101"/>
      <c r="G497" s="101"/>
      <c r="H497" s="102"/>
    </row>
    <row r="498" spans="1:8" x14ac:dyDescent="0.2">
      <c r="A498" s="100"/>
      <c r="B498" s="101"/>
      <c r="C498" s="101"/>
      <c r="D498" s="101"/>
      <c r="E498" s="101"/>
      <c r="F498" s="101"/>
      <c r="G498" s="101"/>
      <c r="H498" s="102"/>
    </row>
    <row r="499" spans="1:8" x14ac:dyDescent="0.2">
      <c r="A499" s="100"/>
      <c r="B499" s="101"/>
      <c r="C499" s="101"/>
      <c r="D499" s="101"/>
      <c r="E499" s="101"/>
      <c r="F499" s="101"/>
      <c r="G499" s="101"/>
      <c r="H499" s="102"/>
    </row>
    <row r="500" spans="1:8" x14ac:dyDescent="0.2">
      <c r="A500" s="100"/>
      <c r="B500" s="101"/>
      <c r="C500" s="101"/>
      <c r="D500" s="101"/>
      <c r="E500" s="101"/>
      <c r="F500" s="101"/>
      <c r="G500" s="101"/>
      <c r="H500" s="102"/>
    </row>
    <row r="501" spans="1:8" x14ac:dyDescent="0.2">
      <c r="A501" s="100"/>
      <c r="B501" s="101"/>
      <c r="C501" s="101"/>
      <c r="D501" s="101"/>
      <c r="E501" s="101"/>
      <c r="F501" s="101"/>
      <c r="G501" s="101"/>
      <c r="H501" s="102"/>
    </row>
    <row r="502" spans="1:8" x14ac:dyDescent="0.2">
      <c r="A502" s="100"/>
      <c r="B502" s="101"/>
      <c r="C502" s="101"/>
      <c r="D502" s="101"/>
      <c r="E502" s="101"/>
      <c r="F502" s="101"/>
      <c r="G502" s="101"/>
      <c r="H502" s="102"/>
    </row>
    <row r="503" spans="1:8" x14ac:dyDescent="0.2">
      <c r="A503" s="100"/>
      <c r="B503" s="101"/>
      <c r="C503" s="101"/>
      <c r="D503" s="101"/>
      <c r="E503" s="101"/>
      <c r="F503" s="101"/>
      <c r="G503" s="101"/>
      <c r="H503" s="102"/>
    </row>
    <row r="504" spans="1:8" x14ac:dyDescent="0.2">
      <c r="A504" s="86" t="s">
        <v>141</v>
      </c>
      <c r="B504" s="88"/>
      <c r="C504" s="86"/>
      <c r="D504" s="87"/>
      <c r="E504" s="87"/>
      <c r="F504" s="87"/>
      <c r="G504" s="87"/>
      <c r="H504" s="88"/>
    </row>
    <row r="505" spans="1:8" x14ac:dyDescent="0.2">
      <c r="A505" s="100"/>
      <c r="B505" s="101"/>
      <c r="C505" s="101"/>
      <c r="D505" s="101"/>
      <c r="E505" s="101"/>
      <c r="F505" s="101"/>
      <c r="G505" s="101"/>
      <c r="H505" s="102"/>
    </row>
    <row r="506" spans="1:8" x14ac:dyDescent="0.2">
      <c r="A506" s="100"/>
      <c r="B506" s="101"/>
      <c r="C506" s="101"/>
      <c r="D506" s="101"/>
      <c r="E506" s="101"/>
      <c r="F506" s="101"/>
      <c r="G506" s="101"/>
      <c r="H506" s="102"/>
    </row>
    <row r="507" spans="1:8" x14ac:dyDescent="0.2">
      <c r="A507" s="100"/>
      <c r="B507" s="101"/>
      <c r="C507" s="101"/>
      <c r="D507" s="101"/>
      <c r="E507" s="101"/>
      <c r="F507" s="101"/>
      <c r="G507" s="101"/>
      <c r="H507" s="102"/>
    </row>
    <row r="508" spans="1:8" x14ac:dyDescent="0.2">
      <c r="A508" s="100"/>
      <c r="B508" s="101"/>
      <c r="C508" s="101"/>
      <c r="D508" s="101"/>
      <c r="E508" s="101"/>
      <c r="F508" s="101"/>
      <c r="G508" s="101"/>
      <c r="H508" s="102"/>
    </row>
    <row r="509" spans="1:8" x14ac:dyDescent="0.2">
      <c r="A509" s="100"/>
      <c r="B509" s="101"/>
      <c r="C509" s="101"/>
      <c r="D509" s="101"/>
      <c r="E509" s="101"/>
      <c r="F509" s="101"/>
      <c r="G509" s="101"/>
      <c r="H509" s="102"/>
    </row>
    <row r="510" spans="1:8" x14ac:dyDescent="0.2">
      <c r="A510" s="100"/>
      <c r="B510" s="101"/>
      <c r="C510" s="101"/>
      <c r="D510" s="101"/>
      <c r="E510" s="101"/>
      <c r="F510" s="101"/>
      <c r="G510" s="101"/>
      <c r="H510" s="102"/>
    </row>
    <row r="511" spans="1:8" x14ac:dyDescent="0.2">
      <c r="A511" s="100"/>
      <c r="B511" s="101"/>
      <c r="C511" s="101"/>
      <c r="D511" s="101"/>
      <c r="E511" s="101"/>
      <c r="F511" s="101"/>
      <c r="G511" s="101"/>
      <c r="H511" s="102"/>
    </row>
    <row r="512" spans="1:8" x14ac:dyDescent="0.2">
      <c r="A512" s="100"/>
      <c r="B512" s="101"/>
      <c r="C512" s="101"/>
      <c r="D512" s="101"/>
      <c r="E512" s="101"/>
      <c r="F512" s="101"/>
      <c r="G512" s="101"/>
      <c r="H512" s="102"/>
    </row>
    <row r="513" spans="1:8" x14ac:dyDescent="0.2">
      <c r="A513" s="100"/>
      <c r="B513" s="101"/>
      <c r="C513" s="101"/>
      <c r="D513" s="101"/>
      <c r="E513" s="101"/>
      <c r="F513" s="101"/>
      <c r="G513" s="101"/>
      <c r="H513" s="102"/>
    </row>
    <row r="514" spans="1:8" x14ac:dyDescent="0.2">
      <c r="A514" s="100"/>
      <c r="B514" s="101"/>
      <c r="C514" s="101"/>
      <c r="D514" s="101"/>
      <c r="E514" s="101"/>
      <c r="F514" s="101"/>
      <c r="G514" s="101"/>
      <c r="H514" s="102"/>
    </row>
    <row r="515" spans="1:8" x14ac:dyDescent="0.2">
      <c r="A515" s="100"/>
      <c r="B515" s="101"/>
      <c r="C515" s="101"/>
      <c r="D515" s="101"/>
      <c r="E515" s="101"/>
      <c r="F515" s="101"/>
      <c r="G515" s="101"/>
      <c r="H515" s="102"/>
    </row>
    <row r="516" spans="1:8" x14ac:dyDescent="0.2">
      <c r="A516" s="100"/>
      <c r="B516" s="101"/>
      <c r="C516" s="101"/>
      <c r="D516" s="101"/>
      <c r="E516" s="101"/>
      <c r="F516" s="101"/>
      <c r="G516" s="101"/>
      <c r="H516" s="102"/>
    </row>
    <row r="517" spans="1:8" x14ac:dyDescent="0.2">
      <c r="A517" s="100"/>
      <c r="B517" s="101"/>
      <c r="C517" s="101"/>
      <c r="D517" s="101"/>
      <c r="E517" s="101"/>
      <c r="F517" s="101"/>
      <c r="G517" s="101"/>
      <c r="H517" s="102"/>
    </row>
    <row r="518" spans="1:8" x14ac:dyDescent="0.2">
      <c r="A518" s="100"/>
      <c r="B518" s="101"/>
      <c r="C518" s="101"/>
      <c r="D518" s="101"/>
      <c r="E518" s="101"/>
      <c r="F518" s="101"/>
      <c r="G518" s="101"/>
      <c r="H518" s="102"/>
    </row>
    <row r="519" spans="1:8" x14ac:dyDescent="0.2">
      <c r="A519" s="100"/>
      <c r="B519" s="101"/>
      <c r="C519" s="101"/>
      <c r="D519" s="101"/>
      <c r="E519" s="101"/>
      <c r="F519" s="101"/>
      <c r="G519" s="101"/>
      <c r="H519" s="102"/>
    </row>
    <row r="520" spans="1:8" x14ac:dyDescent="0.2">
      <c r="A520" s="100"/>
      <c r="B520" s="101"/>
      <c r="C520" s="101"/>
      <c r="D520" s="101"/>
      <c r="E520" s="101"/>
      <c r="F520" s="101"/>
      <c r="G520" s="101"/>
      <c r="H520" s="102"/>
    </row>
    <row r="521" spans="1:8" x14ac:dyDescent="0.2">
      <c r="A521" s="100"/>
      <c r="B521" s="101"/>
      <c r="C521" s="101"/>
      <c r="D521" s="101"/>
      <c r="E521" s="101"/>
      <c r="F521" s="101"/>
      <c r="G521" s="101"/>
      <c r="H521" s="102"/>
    </row>
    <row r="522" spans="1:8" x14ac:dyDescent="0.2">
      <c r="A522" s="100"/>
      <c r="B522" s="101"/>
      <c r="C522" s="101"/>
      <c r="D522" s="101"/>
      <c r="E522" s="101"/>
      <c r="F522" s="101"/>
      <c r="G522" s="101"/>
      <c r="H522" s="102"/>
    </row>
    <row r="523" spans="1:8" x14ac:dyDescent="0.2">
      <c r="A523" s="100"/>
      <c r="B523" s="101"/>
      <c r="C523" s="101"/>
      <c r="D523" s="101"/>
      <c r="E523" s="101"/>
      <c r="F523" s="101"/>
      <c r="G523" s="101"/>
      <c r="H523" s="102"/>
    </row>
    <row r="524" spans="1:8" x14ac:dyDescent="0.2">
      <c r="A524" s="100"/>
      <c r="B524" s="101"/>
      <c r="C524" s="101"/>
      <c r="D524" s="101"/>
      <c r="E524" s="101"/>
      <c r="F524" s="101"/>
      <c r="G524" s="101"/>
      <c r="H524" s="102"/>
    </row>
    <row r="525" spans="1:8" x14ac:dyDescent="0.2">
      <c r="A525" s="100"/>
      <c r="B525" s="101"/>
      <c r="C525" s="101"/>
      <c r="D525" s="101"/>
      <c r="E525" s="101"/>
      <c r="F525" s="101"/>
      <c r="G525" s="101"/>
      <c r="H525" s="102"/>
    </row>
    <row r="526" spans="1:8" x14ac:dyDescent="0.2">
      <c r="A526" s="100"/>
      <c r="B526" s="101"/>
      <c r="C526" s="101"/>
      <c r="D526" s="101"/>
      <c r="E526" s="101"/>
      <c r="F526" s="101"/>
      <c r="G526" s="101"/>
      <c r="H526" s="102"/>
    </row>
    <row r="527" spans="1:8" x14ac:dyDescent="0.2">
      <c r="A527" s="100"/>
      <c r="B527" s="101"/>
      <c r="C527" s="101"/>
      <c r="D527" s="101"/>
      <c r="E527" s="101"/>
      <c r="F527" s="101"/>
      <c r="G527" s="101"/>
      <c r="H527" s="102"/>
    </row>
    <row r="528" spans="1:8" x14ac:dyDescent="0.2">
      <c r="A528" s="100"/>
      <c r="B528" s="101"/>
      <c r="C528" s="101"/>
      <c r="D528" s="101"/>
      <c r="E528" s="101"/>
      <c r="F528" s="101"/>
      <c r="G528" s="101"/>
      <c r="H528" s="102"/>
    </row>
    <row r="529" spans="1:8" x14ac:dyDescent="0.2">
      <c r="A529" s="100"/>
      <c r="B529" s="101"/>
      <c r="C529" s="101"/>
      <c r="D529" s="101"/>
      <c r="E529" s="101"/>
      <c r="F529" s="101"/>
      <c r="G529" s="101"/>
      <c r="H529" s="102"/>
    </row>
    <row r="530" spans="1:8" x14ac:dyDescent="0.2">
      <c r="A530" s="100"/>
      <c r="B530" s="101"/>
      <c r="C530" s="101"/>
      <c r="D530" s="101"/>
      <c r="E530" s="101"/>
      <c r="F530" s="101"/>
      <c r="G530" s="101"/>
      <c r="H530" s="102"/>
    </row>
    <row r="531" spans="1:8" x14ac:dyDescent="0.2">
      <c r="A531" s="100"/>
      <c r="B531" s="101"/>
      <c r="C531" s="101"/>
      <c r="D531" s="101"/>
      <c r="E531" s="101"/>
      <c r="F531" s="101"/>
      <c r="G531" s="101"/>
      <c r="H531" s="102"/>
    </row>
    <row r="532" spans="1:8" x14ac:dyDescent="0.2">
      <c r="A532" s="100"/>
      <c r="B532" s="101"/>
      <c r="C532" s="101"/>
      <c r="D532" s="101"/>
      <c r="E532" s="101"/>
      <c r="F532" s="101"/>
      <c r="G532" s="101"/>
      <c r="H532" s="102"/>
    </row>
    <row r="533" spans="1:8" x14ac:dyDescent="0.2">
      <c r="A533" s="100"/>
      <c r="B533" s="101"/>
      <c r="C533" s="101"/>
      <c r="D533" s="101"/>
      <c r="E533" s="101"/>
      <c r="F533" s="101"/>
      <c r="G533" s="101"/>
      <c r="H533" s="102"/>
    </row>
    <row r="534" spans="1:8" x14ac:dyDescent="0.2">
      <c r="A534" s="100"/>
      <c r="B534" s="101"/>
      <c r="C534" s="101"/>
      <c r="D534" s="101"/>
      <c r="E534" s="101"/>
      <c r="F534" s="101"/>
      <c r="G534" s="101"/>
      <c r="H534" s="102"/>
    </row>
    <row r="535" spans="1:8" x14ac:dyDescent="0.2">
      <c r="A535" s="100"/>
      <c r="B535" s="101"/>
      <c r="C535" s="101"/>
      <c r="D535" s="101"/>
      <c r="E535" s="101"/>
      <c r="F535" s="101"/>
      <c r="G535" s="101"/>
      <c r="H535" s="102"/>
    </row>
    <row r="536" spans="1:8" x14ac:dyDescent="0.2">
      <c r="A536" s="100"/>
      <c r="B536" s="101"/>
      <c r="C536" s="101"/>
      <c r="D536" s="101"/>
      <c r="E536" s="101"/>
      <c r="F536" s="101"/>
      <c r="G536" s="101"/>
      <c r="H536" s="102"/>
    </row>
    <row r="537" spans="1:8" x14ac:dyDescent="0.2">
      <c r="A537" s="100"/>
      <c r="B537" s="101"/>
      <c r="C537" s="101"/>
      <c r="D537" s="101"/>
      <c r="E537" s="101"/>
      <c r="F537" s="101"/>
      <c r="G537" s="101"/>
      <c r="H537" s="102"/>
    </row>
    <row r="538" spans="1:8" x14ac:dyDescent="0.2">
      <c r="A538" s="100"/>
      <c r="B538" s="101"/>
      <c r="C538" s="101"/>
      <c r="D538" s="101"/>
      <c r="E538" s="101"/>
      <c r="F538" s="101"/>
      <c r="G538" s="101"/>
      <c r="H538" s="102"/>
    </row>
    <row r="539" spans="1:8" x14ac:dyDescent="0.2">
      <c r="A539" s="100"/>
      <c r="B539" s="101"/>
      <c r="C539" s="101"/>
      <c r="D539" s="101"/>
      <c r="E539" s="101"/>
      <c r="F539" s="101"/>
      <c r="G539" s="101"/>
      <c r="H539" s="102"/>
    </row>
    <row r="540" spans="1:8" x14ac:dyDescent="0.2">
      <c r="A540" s="100"/>
      <c r="B540" s="101"/>
      <c r="C540" s="101"/>
      <c r="D540" s="101"/>
      <c r="E540" s="101"/>
      <c r="F540" s="101"/>
      <c r="G540" s="101"/>
      <c r="H540" s="102"/>
    </row>
    <row r="541" spans="1:8" x14ac:dyDescent="0.2">
      <c r="A541" s="100"/>
      <c r="B541" s="101"/>
      <c r="C541" s="101"/>
      <c r="D541" s="101"/>
      <c r="E541" s="101"/>
      <c r="F541" s="101"/>
      <c r="G541" s="101"/>
      <c r="H541" s="102"/>
    </row>
    <row r="542" spans="1:8" x14ac:dyDescent="0.2">
      <c r="A542" s="100"/>
      <c r="B542" s="101"/>
      <c r="C542" s="101"/>
      <c r="D542" s="101"/>
      <c r="E542" s="101"/>
      <c r="F542" s="101"/>
      <c r="G542" s="101"/>
      <c r="H542" s="102"/>
    </row>
    <row r="543" spans="1:8" x14ac:dyDescent="0.2">
      <c r="A543" s="100"/>
      <c r="B543" s="101"/>
      <c r="C543" s="101"/>
      <c r="D543" s="101"/>
      <c r="E543" s="101"/>
      <c r="F543" s="101"/>
      <c r="G543" s="101"/>
      <c r="H543" s="102"/>
    </row>
    <row r="544" spans="1:8" x14ac:dyDescent="0.2">
      <c r="A544" s="100"/>
      <c r="B544" s="101"/>
      <c r="C544" s="101"/>
      <c r="D544" s="101"/>
      <c r="E544" s="101"/>
      <c r="F544" s="101"/>
      <c r="G544" s="101"/>
      <c r="H544" s="102"/>
    </row>
    <row r="545" spans="1:8" x14ac:dyDescent="0.2">
      <c r="A545" s="100"/>
      <c r="B545" s="101"/>
      <c r="C545" s="101"/>
      <c r="D545" s="101"/>
      <c r="E545" s="101"/>
      <c r="F545" s="101"/>
      <c r="G545" s="101"/>
      <c r="H545" s="102"/>
    </row>
    <row r="546" spans="1:8" x14ac:dyDescent="0.2">
      <c r="A546" s="100"/>
      <c r="B546" s="101"/>
      <c r="C546" s="101"/>
      <c r="D546" s="101"/>
      <c r="E546" s="101"/>
      <c r="F546" s="101"/>
      <c r="G546" s="101"/>
      <c r="H546" s="102"/>
    </row>
    <row r="547" spans="1:8" x14ac:dyDescent="0.2">
      <c r="A547" s="100"/>
      <c r="B547" s="101"/>
      <c r="C547" s="101"/>
      <c r="D547" s="101"/>
      <c r="E547" s="101"/>
      <c r="F547" s="101"/>
      <c r="G547" s="101"/>
      <c r="H547" s="102"/>
    </row>
    <row r="548" spans="1:8" x14ac:dyDescent="0.2">
      <c r="A548" s="100"/>
      <c r="B548" s="101"/>
      <c r="C548" s="101"/>
      <c r="D548" s="101"/>
      <c r="E548" s="101"/>
      <c r="F548" s="101"/>
      <c r="G548" s="101"/>
      <c r="H548" s="102"/>
    </row>
    <row r="549" spans="1:8" x14ac:dyDescent="0.2">
      <c r="A549" s="100"/>
      <c r="B549" s="101"/>
      <c r="C549" s="101"/>
      <c r="D549" s="101"/>
      <c r="E549" s="101"/>
      <c r="F549" s="101"/>
      <c r="G549" s="101"/>
      <c r="H549" s="102"/>
    </row>
    <row r="550" spans="1:8" x14ac:dyDescent="0.2">
      <c r="A550" s="100"/>
      <c r="B550" s="101"/>
      <c r="C550" s="101"/>
      <c r="D550" s="101"/>
      <c r="E550" s="101"/>
      <c r="F550" s="101"/>
      <c r="G550" s="101"/>
      <c r="H550" s="102"/>
    </row>
    <row r="551" spans="1:8" x14ac:dyDescent="0.2">
      <c r="A551" s="100"/>
      <c r="B551" s="101"/>
      <c r="C551" s="101"/>
      <c r="D551" s="101"/>
      <c r="E551" s="101"/>
      <c r="F551" s="101"/>
      <c r="G551" s="101"/>
      <c r="H551" s="102"/>
    </row>
    <row r="552" spans="1:8" x14ac:dyDescent="0.2">
      <c r="A552" s="100"/>
      <c r="B552" s="101"/>
      <c r="C552" s="101"/>
      <c r="D552" s="101"/>
      <c r="E552" s="101"/>
      <c r="F552" s="101"/>
      <c r="G552" s="101"/>
      <c r="H552" s="102"/>
    </row>
    <row r="553" spans="1:8" x14ac:dyDescent="0.2">
      <c r="A553" s="100"/>
      <c r="B553" s="101"/>
      <c r="C553" s="101"/>
      <c r="D553" s="101"/>
      <c r="E553" s="101"/>
      <c r="F553" s="101"/>
      <c r="G553" s="101"/>
      <c r="H553" s="102"/>
    </row>
    <row r="554" spans="1:8" x14ac:dyDescent="0.2">
      <c r="A554" s="100"/>
      <c r="B554" s="101"/>
      <c r="C554" s="101"/>
      <c r="D554" s="101"/>
      <c r="E554" s="101"/>
      <c r="F554" s="101"/>
      <c r="G554" s="101"/>
      <c r="H554" s="102"/>
    </row>
    <row r="555" spans="1:8" x14ac:dyDescent="0.2">
      <c r="A555" s="100"/>
      <c r="B555" s="101"/>
      <c r="C555" s="101"/>
      <c r="D555" s="101"/>
      <c r="E555" s="101"/>
      <c r="F555" s="101"/>
      <c r="G555" s="101"/>
      <c r="H555" s="102"/>
    </row>
    <row r="556" spans="1:8" x14ac:dyDescent="0.2">
      <c r="A556" s="100"/>
      <c r="B556" s="101"/>
      <c r="C556" s="101"/>
      <c r="D556" s="101"/>
      <c r="E556" s="101"/>
      <c r="F556" s="101"/>
      <c r="G556" s="101"/>
      <c r="H556" s="102"/>
    </row>
    <row r="557" spans="1:8" x14ac:dyDescent="0.2">
      <c r="A557" s="103"/>
      <c r="B557" s="104"/>
      <c r="C557" s="104"/>
      <c r="D557" s="104"/>
      <c r="E557" s="104"/>
      <c r="F557" s="104"/>
      <c r="G557" s="104"/>
      <c r="H557" s="105"/>
    </row>
    <row r="558" spans="1:8" x14ac:dyDescent="0.2">
      <c r="A558" s="86" t="s">
        <v>120</v>
      </c>
      <c r="B558" s="88"/>
      <c r="C558" s="122"/>
      <c r="D558" s="246"/>
      <c r="E558" s="246"/>
      <c r="F558" s="246"/>
      <c r="G558" s="246"/>
      <c r="H558" s="123"/>
    </row>
    <row r="559" spans="1:8" x14ac:dyDescent="0.2">
      <c r="A559" s="100"/>
      <c r="B559" s="101"/>
      <c r="C559" s="101"/>
      <c r="D559" s="101"/>
      <c r="E559" s="101"/>
      <c r="F559" s="101"/>
      <c r="G559" s="101"/>
      <c r="H559" s="102"/>
    </row>
    <row r="560" spans="1:8" x14ac:dyDescent="0.2">
      <c r="A560" s="100"/>
      <c r="B560" s="101"/>
      <c r="C560" s="101"/>
      <c r="D560" s="101"/>
      <c r="E560" s="101"/>
      <c r="F560" s="101"/>
      <c r="G560" s="101"/>
      <c r="H560" s="102"/>
    </row>
    <row r="561" spans="1:8" x14ac:dyDescent="0.2">
      <c r="A561" s="100"/>
      <c r="B561" s="101"/>
      <c r="C561" s="101"/>
      <c r="D561" s="101"/>
      <c r="E561" s="101"/>
      <c r="F561" s="101"/>
      <c r="G561" s="101"/>
      <c r="H561" s="102"/>
    </row>
    <row r="562" spans="1:8" x14ac:dyDescent="0.2">
      <c r="A562" s="100"/>
      <c r="B562" s="101"/>
      <c r="C562" s="101"/>
      <c r="D562" s="101"/>
      <c r="E562" s="101"/>
      <c r="F562" s="101"/>
      <c r="G562" s="101"/>
      <c r="H562" s="102"/>
    </row>
    <row r="563" spans="1:8" x14ac:dyDescent="0.2">
      <c r="A563" s="100"/>
      <c r="B563" s="101"/>
      <c r="C563" s="101"/>
      <c r="D563" s="101"/>
      <c r="E563" s="101"/>
      <c r="F563" s="101"/>
      <c r="G563" s="101"/>
      <c r="H563" s="102"/>
    </row>
    <row r="564" spans="1:8" x14ac:dyDescent="0.2">
      <c r="A564" s="100"/>
      <c r="B564" s="101"/>
      <c r="C564" s="101"/>
      <c r="D564" s="101"/>
      <c r="E564" s="101"/>
      <c r="F564" s="101"/>
      <c r="G564" s="101"/>
      <c r="H564" s="102"/>
    </row>
    <row r="565" spans="1:8" x14ac:dyDescent="0.2">
      <c r="A565" s="100"/>
      <c r="B565" s="101"/>
      <c r="C565" s="101"/>
      <c r="D565" s="101"/>
      <c r="E565" s="101"/>
      <c r="F565" s="101"/>
      <c r="G565" s="101"/>
      <c r="H565" s="102"/>
    </row>
    <row r="566" spans="1:8" x14ac:dyDescent="0.2">
      <c r="A566" s="100"/>
      <c r="B566" s="101"/>
      <c r="C566" s="101"/>
      <c r="D566" s="101"/>
      <c r="E566" s="101"/>
      <c r="F566" s="101"/>
      <c r="G566" s="101"/>
      <c r="H566" s="102"/>
    </row>
    <row r="567" spans="1:8" x14ac:dyDescent="0.2">
      <c r="A567" s="100"/>
      <c r="B567" s="101"/>
      <c r="C567" s="101"/>
      <c r="D567" s="101"/>
      <c r="E567" s="101"/>
      <c r="F567" s="101"/>
      <c r="G567" s="101"/>
      <c r="H567" s="102"/>
    </row>
    <row r="568" spans="1:8" x14ac:dyDescent="0.2">
      <c r="A568" s="100"/>
      <c r="B568" s="101"/>
      <c r="C568" s="101"/>
      <c r="D568" s="101"/>
      <c r="E568" s="101"/>
      <c r="F568" s="101"/>
      <c r="G568" s="101"/>
      <c r="H568" s="102"/>
    </row>
    <row r="569" spans="1:8" x14ac:dyDescent="0.2">
      <c r="A569" s="100"/>
      <c r="B569" s="101"/>
      <c r="C569" s="101"/>
      <c r="D569" s="101"/>
      <c r="E569" s="101"/>
      <c r="F569" s="101"/>
      <c r="G569" s="101"/>
      <c r="H569" s="102"/>
    </row>
    <row r="570" spans="1:8" x14ac:dyDescent="0.2">
      <c r="A570" s="100"/>
      <c r="B570" s="101"/>
      <c r="C570" s="101"/>
      <c r="D570" s="101"/>
      <c r="E570" s="101"/>
      <c r="F570" s="101"/>
      <c r="G570" s="101"/>
      <c r="H570" s="102"/>
    </row>
    <row r="571" spans="1:8" x14ac:dyDescent="0.2">
      <c r="A571" s="100"/>
      <c r="B571" s="101"/>
      <c r="C571" s="101"/>
      <c r="D571" s="101"/>
      <c r="E571" s="101"/>
      <c r="F571" s="101"/>
      <c r="G571" s="101"/>
      <c r="H571" s="102"/>
    </row>
    <row r="572" spans="1:8" x14ac:dyDescent="0.2">
      <c r="A572" s="100"/>
      <c r="B572" s="101"/>
      <c r="C572" s="101"/>
      <c r="D572" s="101"/>
      <c r="E572" s="101"/>
      <c r="F572" s="101"/>
      <c r="G572" s="101"/>
      <c r="H572" s="102"/>
    </row>
    <row r="573" spans="1:8" x14ac:dyDescent="0.2">
      <c r="A573" s="100"/>
      <c r="B573" s="101"/>
      <c r="C573" s="101"/>
      <c r="D573" s="101"/>
      <c r="E573" s="101"/>
      <c r="F573" s="101"/>
      <c r="G573" s="101"/>
      <c r="H573" s="102"/>
    </row>
    <row r="574" spans="1:8" x14ac:dyDescent="0.2">
      <c r="A574" s="100"/>
      <c r="B574" s="101"/>
      <c r="C574" s="101"/>
      <c r="D574" s="101"/>
      <c r="E574" s="101"/>
      <c r="F574" s="101"/>
      <c r="G574" s="101"/>
      <c r="H574" s="102"/>
    </row>
    <row r="575" spans="1:8" x14ac:dyDescent="0.2">
      <c r="A575" s="100"/>
      <c r="B575" s="101"/>
      <c r="C575" s="101"/>
      <c r="D575" s="101"/>
      <c r="E575" s="101"/>
      <c r="F575" s="101"/>
      <c r="G575" s="101"/>
      <c r="H575" s="102"/>
    </row>
    <row r="576" spans="1:8" x14ac:dyDescent="0.2">
      <c r="A576" s="100"/>
      <c r="B576" s="101"/>
      <c r="C576" s="101"/>
      <c r="D576" s="101"/>
      <c r="E576" s="101"/>
      <c r="F576" s="101"/>
      <c r="G576" s="101"/>
      <c r="H576" s="102"/>
    </row>
    <row r="577" spans="1:8" x14ac:dyDescent="0.2">
      <c r="A577" s="100"/>
      <c r="B577" s="101"/>
      <c r="C577" s="101"/>
      <c r="D577" s="101"/>
      <c r="E577" s="101"/>
      <c r="F577" s="101"/>
      <c r="G577" s="101"/>
      <c r="H577" s="102"/>
    </row>
    <row r="578" spans="1:8" x14ac:dyDescent="0.2">
      <c r="A578" s="100"/>
      <c r="B578" s="101"/>
      <c r="C578" s="101"/>
      <c r="D578" s="101"/>
      <c r="E578" s="101"/>
      <c r="F578" s="101"/>
      <c r="G578" s="101"/>
      <c r="H578" s="102"/>
    </row>
    <row r="579" spans="1:8" x14ac:dyDescent="0.2">
      <c r="A579" s="100"/>
      <c r="B579" s="101"/>
      <c r="C579" s="101"/>
      <c r="D579" s="101"/>
      <c r="E579" s="101"/>
      <c r="F579" s="101"/>
      <c r="G579" s="101"/>
      <c r="H579" s="102"/>
    </row>
    <row r="580" spans="1:8" x14ac:dyDescent="0.2">
      <c r="A580" s="100"/>
      <c r="B580" s="101"/>
      <c r="C580" s="101"/>
      <c r="D580" s="101"/>
      <c r="E580" s="101"/>
      <c r="F580" s="101"/>
      <c r="G580" s="101"/>
      <c r="H580" s="102"/>
    </row>
    <row r="581" spans="1:8" x14ac:dyDescent="0.2">
      <c r="A581" s="100"/>
      <c r="B581" s="101"/>
      <c r="C581" s="101"/>
      <c r="D581" s="101"/>
      <c r="E581" s="101"/>
      <c r="F581" s="101"/>
      <c r="G581" s="101"/>
      <c r="H581" s="102"/>
    </row>
    <row r="582" spans="1:8" x14ac:dyDescent="0.2">
      <c r="A582" s="100"/>
      <c r="B582" s="101"/>
      <c r="C582" s="101"/>
      <c r="D582" s="101"/>
      <c r="E582" s="101"/>
      <c r="F582" s="101"/>
      <c r="G582" s="101"/>
      <c r="H582" s="102"/>
    </row>
    <row r="583" spans="1:8" x14ac:dyDescent="0.2">
      <c r="A583" s="100"/>
      <c r="B583" s="101"/>
      <c r="C583" s="101"/>
      <c r="D583" s="101"/>
      <c r="E583" s="101"/>
      <c r="F583" s="101"/>
      <c r="G583" s="101"/>
      <c r="H583" s="102"/>
    </row>
    <row r="584" spans="1:8" x14ac:dyDescent="0.2">
      <c r="A584" s="100"/>
      <c r="B584" s="101"/>
      <c r="C584" s="101"/>
      <c r="D584" s="101"/>
      <c r="E584" s="101"/>
      <c r="F584" s="101"/>
      <c r="G584" s="101"/>
      <c r="H584" s="102"/>
    </row>
    <row r="585" spans="1:8" x14ac:dyDescent="0.2">
      <c r="A585" s="100"/>
      <c r="B585" s="101"/>
      <c r="C585" s="101"/>
      <c r="D585" s="101"/>
      <c r="E585" s="101"/>
      <c r="F585" s="101"/>
      <c r="G585" s="101"/>
      <c r="H585" s="102"/>
    </row>
    <row r="586" spans="1:8" x14ac:dyDescent="0.2">
      <c r="A586" s="100"/>
      <c r="B586" s="101"/>
      <c r="C586" s="101"/>
      <c r="D586" s="101"/>
      <c r="E586" s="101"/>
      <c r="F586" s="101"/>
      <c r="G586" s="101"/>
      <c r="H586" s="102"/>
    </row>
    <row r="587" spans="1:8" x14ac:dyDescent="0.2">
      <c r="A587" s="100"/>
      <c r="B587" s="101"/>
      <c r="C587" s="101"/>
      <c r="D587" s="101"/>
      <c r="E587" s="101"/>
      <c r="F587" s="101"/>
      <c r="G587" s="101"/>
      <c r="H587" s="102"/>
    </row>
    <row r="588" spans="1:8" x14ac:dyDescent="0.2">
      <c r="A588" s="100"/>
      <c r="B588" s="101"/>
      <c r="C588" s="101"/>
      <c r="D588" s="101"/>
      <c r="E588" s="101"/>
      <c r="F588" s="101"/>
      <c r="G588" s="101"/>
      <c r="H588" s="102"/>
    </row>
    <row r="589" spans="1:8" x14ac:dyDescent="0.2">
      <c r="A589" s="100"/>
      <c r="B589" s="101"/>
      <c r="C589" s="101"/>
      <c r="D589" s="101"/>
      <c r="E589" s="101"/>
      <c r="F589" s="101"/>
      <c r="G589" s="101"/>
      <c r="H589" s="102"/>
    </row>
    <row r="590" spans="1:8" x14ac:dyDescent="0.2">
      <c r="A590" s="100"/>
      <c r="B590" s="101"/>
      <c r="C590" s="101"/>
      <c r="D590" s="101"/>
      <c r="E590" s="101"/>
      <c r="F590" s="101"/>
      <c r="G590" s="101"/>
      <c r="H590" s="102"/>
    </row>
    <row r="591" spans="1:8" x14ac:dyDescent="0.2">
      <c r="A591" s="100"/>
      <c r="B591" s="101"/>
      <c r="C591" s="101"/>
      <c r="D591" s="101"/>
      <c r="E591" s="101"/>
      <c r="F591" s="101"/>
      <c r="G591" s="101"/>
      <c r="H591" s="102"/>
    </row>
    <row r="592" spans="1:8" x14ac:dyDescent="0.2">
      <c r="A592" s="100"/>
      <c r="B592" s="101"/>
      <c r="C592" s="101"/>
      <c r="D592" s="101"/>
      <c r="E592" s="101"/>
      <c r="F592" s="101"/>
      <c r="G592" s="101"/>
      <c r="H592" s="102"/>
    </row>
    <row r="593" spans="1:8" x14ac:dyDescent="0.2">
      <c r="A593" s="100"/>
      <c r="B593" s="101"/>
      <c r="C593" s="101"/>
      <c r="D593" s="101"/>
      <c r="E593" s="101"/>
      <c r="F593" s="101"/>
      <c r="G593" s="101"/>
      <c r="H593" s="102"/>
    </row>
    <row r="594" spans="1:8" x14ac:dyDescent="0.2">
      <c r="A594" s="100"/>
      <c r="B594" s="101"/>
      <c r="C594" s="101"/>
      <c r="D594" s="101"/>
      <c r="E594" s="101"/>
      <c r="F594" s="101"/>
      <c r="G594" s="101"/>
      <c r="H594" s="102"/>
    </row>
    <row r="595" spans="1:8" x14ac:dyDescent="0.2">
      <c r="A595" s="100"/>
      <c r="B595" s="101"/>
      <c r="C595" s="101"/>
      <c r="D595" s="101"/>
      <c r="E595" s="101"/>
      <c r="F595" s="101"/>
      <c r="G595" s="101"/>
      <c r="H595" s="102"/>
    </row>
    <row r="596" spans="1:8" x14ac:dyDescent="0.2">
      <c r="A596" s="100"/>
      <c r="B596" s="101"/>
      <c r="C596" s="101"/>
      <c r="D596" s="101"/>
      <c r="E596" s="101"/>
      <c r="F596" s="101"/>
      <c r="G596" s="101"/>
      <c r="H596" s="102"/>
    </row>
    <row r="597" spans="1:8" x14ac:dyDescent="0.2">
      <c r="A597" s="100"/>
      <c r="B597" s="101"/>
      <c r="C597" s="101"/>
      <c r="D597" s="101"/>
      <c r="E597" s="101"/>
      <c r="F597" s="101"/>
      <c r="G597" s="101"/>
      <c r="H597" s="102"/>
    </row>
    <row r="598" spans="1:8" x14ac:dyDescent="0.2">
      <c r="A598" s="100"/>
      <c r="B598" s="101"/>
      <c r="C598" s="101"/>
      <c r="D598" s="101"/>
      <c r="E598" s="101"/>
      <c r="F598" s="101"/>
      <c r="G598" s="101"/>
      <c r="H598" s="102"/>
    </row>
    <row r="599" spans="1:8" x14ac:dyDescent="0.2">
      <c r="A599" s="100"/>
      <c r="B599" s="101"/>
      <c r="C599" s="101"/>
      <c r="D599" s="101"/>
      <c r="E599" s="101"/>
      <c r="F599" s="101"/>
      <c r="G599" s="101"/>
      <c r="H599" s="102"/>
    </row>
    <row r="600" spans="1:8" x14ac:dyDescent="0.2">
      <c r="A600" s="100"/>
      <c r="B600" s="101"/>
      <c r="C600" s="101"/>
      <c r="D600" s="101"/>
      <c r="E600" s="101"/>
      <c r="F600" s="101"/>
      <c r="G600" s="101"/>
      <c r="H600" s="102"/>
    </row>
    <row r="601" spans="1:8" x14ac:dyDescent="0.2">
      <c r="A601" s="100"/>
      <c r="B601" s="101"/>
      <c r="C601" s="101"/>
      <c r="D601" s="101"/>
      <c r="E601" s="101"/>
      <c r="F601" s="101"/>
      <c r="G601" s="101"/>
      <c r="H601" s="102"/>
    </row>
    <row r="602" spans="1:8" x14ac:dyDescent="0.2">
      <c r="A602" s="100"/>
      <c r="B602" s="101"/>
      <c r="C602" s="101"/>
      <c r="D602" s="101"/>
      <c r="E602" s="101"/>
      <c r="F602" s="101"/>
      <c r="G602" s="101"/>
      <c r="H602" s="102"/>
    </row>
    <row r="603" spans="1:8" x14ac:dyDescent="0.2">
      <c r="A603" s="100"/>
      <c r="B603" s="101"/>
      <c r="C603" s="101"/>
      <c r="D603" s="101"/>
      <c r="E603" s="101"/>
      <c r="F603" s="101"/>
      <c r="G603" s="101"/>
      <c r="H603" s="102"/>
    </row>
    <row r="604" spans="1:8" x14ac:dyDescent="0.2">
      <c r="A604" s="100"/>
      <c r="B604" s="101"/>
      <c r="C604" s="101"/>
      <c r="D604" s="101"/>
      <c r="E604" s="101"/>
      <c r="F604" s="101"/>
      <c r="G604" s="101"/>
      <c r="H604" s="102"/>
    </row>
    <row r="605" spans="1:8" x14ac:dyDescent="0.2">
      <c r="A605" s="100"/>
      <c r="B605" s="101"/>
      <c r="C605" s="101"/>
      <c r="D605" s="101"/>
      <c r="E605" s="101"/>
      <c r="F605" s="101"/>
      <c r="G605" s="101"/>
      <c r="H605" s="102"/>
    </row>
    <row r="606" spans="1:8" x14ac:dyDescent="0.2">
      <c r="A606" s="100"/>
      <c r="B606" s="101"/>
      <c r="C606" s="101"/>
      <c r="D606" s="101"/>
      <c r="E606" s="101"/>
      <c r="F606" s="101"/>
      <c r="G606" s="101"/>
      <c r="H606" s="102"/>
    </row>
    <row r="607" spans="1:8" x14ac:dyDescent="0.2">
      <c r="A607" s="100"/>
      <c r="B607" s="101"/>
      <c r="C607" s="101"/>
      <c r="D607" s="101"/>
      <c r="E607" s="101"/>
      <c r="F607" s="101"/>
      <c r="G607" s="101"/>
      <c r="H607" s="102"/>
    </row>
    <row r="608" spans="1:8" ht="56.25" customHeight="1" x14ac:dyDescent="0.2">
      <c r="A608" s="89" t="s">
        <v>117</v>
      </c>
      <c r="B608" s="90"/>
      <c r="C608" s="91" t="s">
        <v>303</v>
      </c>
      <c r="D608" s="92"/>
      <c r="E608" s="112" t="s">
        <v>118</v>
      </c>
      <c r="F608" s="112"/>
      <c r="G608" s="219"/>
      <c r="H608" s="219"/>
    </row>
  </sheetData>
  <mergeCells count="851">
    <mergeCell ref="A188:B188"/>
    <mergeCell ref="E184:F184"/>
    <mergeCell ref="G184:H184"/>
    <mergeCell ref="E185:F185"/>
    <mergeCell ref="G185:H185"/>
    <mergeCell ref="E186:F186"/>
    <mergeCell ref="G186:H186"/>
    <mergeCell ref="E187:F187"/>
    <mergeCell ref="G187:H187"/>
    <mergeCell ref="E188:F188"/>
    <mergeCell ref="G188:H188"/>
    <mergeCell ref="C184:D184"/>
    <mergeCell ref="C185:D185"/>
    <mergeCell ref="C186:D186"/>
    <mergeCell ref="C187:D187"/>
    <mergeCell ref="C188:D188"/>
    <mergeCell ref="A178:B178"/>
    <mergeCell ref="C178:D178"/>
    <mergeCell ref="E178:F178"/>
    <mergeCell ref="G178:H178"/>
    <mergeCell ref="E183:F183"/>
    <mergeCell ref="G183:H183"/>
    <mergeCell ref="A173:H173"/>
    <mergeCell ref="E175:F175"/>
    <mergeCell ref="G175:H175"/>
    <mergeCell ref="E179:F179"/>
    <mergeCell ref="G179:H179"/>
    <mergeCell ref="A419:B419"/>
    <mergeCell ref="C410:H412"/>
    <mergeCell ref="C417:H419"/>
    <mergeCell ref="A420:H420"/>
    <mergeCell ref="A421:B421"/>
    <mergeCell ref="A422:B422"/>
    <mergeCell ref="A423:B423"/>
    <mergeCell ref="A424:B424"/>
    <mergeCell ref="A425:B425"/>
    <mergeCell ref="A413:H413"/>
    <mergeCell ref="A414:B414"/>
    <mergeCell ref="A415:B415"/>
    <mergeCell ref="A416:B416"/>
    <mergeCell ref="A417:B417"/>
    <mergeCell ref="A418:B418"/>
    <mergeCell ref="A426:B426"/>
    <mergeCell ref="A427:H427"/>
    <mergeCell ref="A428:B428"/>
    <mergeCell ref="A429:B429"/>
    <mergeCell ref="A430:B430"/>
    <mergeCell ref="A432:B432"/>
    <mergeCell ref="A433:B433"/>
    <mergeCell ref="A434:B434"/>
    <mergeCell ref="A431:B431"/>
    <mergeCell ref="C431:H431"/>
    <mergeCell ref="C401:H401"/>
    <mergeCell ref="A405:H405"/>
    <mergeCell ref="A406:H406"/>
    <mergeCell ref="A407:B407"/>
    <mergeCell ref="A408:B408"/>
    <mergeCell ref="A409:B409"/>
    <mergeCell ref="A410:B410"/>
    <mergeCell ref="A411:B411"/>
    <mergeCell ref="A412:B412"/>
    <mergeCell ref="A392:B392"/>
    <mergeCell ref="A393:B393"/>
    <mergeCell ref="A394:B394"/>
    <mergeCell ref="A395:B395"/>
    <mergeCell ref="A396:H396"/>
    <mergeCell ref="A397:B397"/>
    <mergeCell ref="A398:B398"/>
    <mergeCell ref="A399:B399"/>
    <mergeCell ref="A400:B400"/>
    <mergeCell ref="A383:B383"/>
    <mergeCell ref="A384:B384"/>
    <mergeCell ref="A385:B385"/>
    <mergeCell ref="A386:B386"/>
    <mergeCell ref="A387:H387"/>
    <mergeCell ref="A388:B388"/>
    <mergeCell ref="A389:B389"/>
    <mergeCell ref="A390:B390"/>
    <mergeCell ref="A391:B391"/>
    <mergeCell ref="A374:B374"/>
    <mergeCell ref="A375:B375"/>
    <mergeCell ref="A376:B376"/>
    <mergeCell ref="A377:B377"/>
    <mergeCell ref="A378:H378"/>
    <mergeCell ref="A379:B379"/>
    <mergeCell ref="C379:H382"/>
    <mergeCell ref="A380:B380"/>
    <mergeCell ref="A381:B381"/>
    <mergeCell ref="A382:B382"/>
    <mergeCell ref="A363:B363"/>
    <mergeCell ref="A364:B364"/>
    <mergeCell ref="A365:B365"/>
    <mergeCell ref="A366:B366"/>
    <mergeCell ref="C366:H366"/>
    <mergeCell ref="A367:H367"/>
    <mergeCell ref="A368:H368"/>
    <mergeCell ref="A369:H369"/>
    <mergeCell ref="A370:B370"/>
    <mergeCell ref="C370:H373"/>
    <mergeCell ref="A371:B371"/>
    <mergeCell ref="A372:B372"/>
    <mergeCell ref="A373:B373"/>
    <mergeCell ref="A354:B354"/>
    <mergeCell ref="A355:B355"/>
    <mergeCell ref="A356:B356"/>
    <mergeCell ref="A357:B357"/>
    <mergeCell ref="A358:H358"/>
    <mergeCell ref="A359:B359"/>
    <mergeCell ref="A360:B360"/>
    <mergeCell ref="A361:B361"/>
    <mergeCell ref="A362:B362"/>
    <mergeCell ref="A349:H349"/>
    <mergeCell ref="A350:B350"/>
    <mergeCell ref="A351:B351"/>
    <mergeCell ref="A352:B352"/>
    <mergeCell ref="A353:B353"/>
    <mergeCell ref="A341:B341"/>
    <mergeCell ref="C341:H344"/>
    <mergeCell ref="A342:B342"/>
    <mergeCell ref="A343:B343"/>
    <mergeCell ref="A344:B344"/>
    <mergeCell ref="A345:B345"/>
    <mergeCell ref="A346:B346"/>
    <mergeCell ref="A347:B347"/>
    <mergeCell ref="A348:B348"/>
    <mergeCell ref="A333:B333"/>
    <mergeCell ref="A334:B334"/>
    <mergeCell ref="A335:B335"/>
    <mergeCell ref="A336:B336"/>
    <mergeCell ref="A337:B337"/>
    <mergeCell ref="A338:B338"/>
    <mergeCell ref="A339:B339"/>
    <mergeCell ref="C332:H335"/>
    <mergeCell ref="A340:H340"/>
    <mergeCell ref="A325:B325"/>
    <mergeCell ref="C325:H325"/>
    <mergeCell ref="A326:B326"/>
    <mergeCell ref="A327:B327"/>
    <mergeCell ref="A328:B328"/>
    <mergeCell ref="A329:H329"/>
    <mergeCell ref="A330:H330"/>
    <mergeCell ref="A331:H331"/>
    <mergeCell ref="A332:B332"/>
    <mergeCell ref="A316:B316"/>
    <mergeCell ref="A317:B317"/>
    <mergeCell ref="A318:B318"/>
    <mergeCell ref="A319:B319"/>
    <mergeCell ref="A320:B320"/>
    <mergeCell ref="A321:H321"/>
    <mergeCell ref="A322:B322"/>
    <mergeCell ref="A323:B323"/>
    <mergeCell ref="A324:B324"/>
    <mergeCell ref="A308:B308"/>
    <mergeCell ref="C308:H310"/>
    <mergeCell ref="A309:B309"/>
    <mergeCell ref="A310:B310"/>
    <mergeCell ref="A311:B311"/>
    <mergeCell ref="A312:B312"/>
    <mergeCell ref="A313:B313"/>
    <mergeCell ref="A314:H314"/>
    <mergeCell ref="A315:B315"/>
    <mergeCell ref="A295:B295"/>
    <mergeCell ref="C295:H295"/>
    <mergeCell ref="A298:H298"/>
    <mergeCell ref="A299:H299"/>
    <mergeCell ref="A300:H300"/>
    <mergeCell ref="A304:B304"/>
    <mergeCell ref="A305:B305"/>
    <mergeCell ref="A306:B306"/>
    <mergeCell ref="C301:H303"/>
    <mergeCell ref="A301:B301"/>
    <mergeCell ref="A302:B302"/>
    <mergeCell ref="A303:B303"/>
    <mergeCell ref="A307:H307"/>
    <mergeCell ref="A254:H254"/>
    <mergeCell ref="A259:H259"/>
    <mergeCell ref="A264:H264"/>
    <mergeCell ref="A267:B267"/>
    <mergeCell ref="A270:H270"/>
    <mergeCell ref="A271:H271"/>
    <mergeCell ref="A274:H274"/>
    <mergeCell ref="C279:H279"/>
    <mergeCell ref="A281:H281"/>
    <mergeCell ref="A269:B269"/>
    <mergeCell ref="C269:H269"/>
    <mergeCell ref="A265:B265"/>
    <mergeCell ref="A266:B266"/>
    <mergeCell ref="A293:B293"/>
    <mergeCell ref="A277:H277"/>
    <mergeCell ref="A272:B272"/>
    <mergeCell ref="A273:B273"/>
    <mergeCell ref="A275:B275"/>
    <mergeCell ref="A276:B276"/>
    <mergeCell ref="A282:H282"/>
    <mergeCell ref="A287:H287"/>
    <mergeCell ref="A289:B289"/>
    <mergeCell ref="A292:H292"/>
    <mergeCell ref="A232:B232"/>
    <mergeCell ref="A242:B242"/>
    <mergeCell ref="A243:B243"/>
    <mergeCell ref="A244:B244"/>
    <mergeCell ref="A245:B245"/>
    <mergeCell ref="A246:B246"/>
    <mergeCell ref="A247:B247"/>
    <mergeCell ref="A248:B248"/>
    <mergeCell ref="A233:B233"/>
    <mergeCell ref="A234:H234"/>
    <mergeCell ref="A235:B235"/>
    <mergeCell ref="A236:B236"/>
    <mergeCell ref="A237:H237"/>
    <mergeCell ref="A238:H238"/>
    <mergeCell ref="A239:B239"/>
    <mergeCell ref="A240:B240"/>
    <mergeCell ref="A241:B241"/>
    <mergeCell ref="A223:H223"/>
    <mergeCell ref="A224:H224"/>
    <mergeCell ref="A225:B225"/>
    <mergeCell ref="A226:B226"/>
    <mergeCell ref="A227:B227"/>
    <mergeCell ref="A228:B228"/>
    <mergeCell ref="A229:B229"/>
    <mergeCell ref="A230:B230"/>
    <mergeCell ref="A231:H231"/>
    <mergeCell ref="C159:D159"/>
    <mergeCell ref="A160:B160"/>
    <mergeCell ref="C160:D160"/>
    <mergeCell ref="A197:H197"/>
    <mergeCell ref="A203:H203"/>
    <mergeCell ref="A206:H206"/>
    <mergeCell ref="A209:H209"/>
    <mergeCell ref="A210:H210"/>
    <mergeCell ref="A211:B211"/>
    <mergeCell ref="A207:B207"/>
    <mergeCell ref="A208:B208"/>
    <mergeCell ref="A172:H172"/>
    <mergeCell ref="A184:B184"/>
    <mergeCell ref="A185:B185"/>
    <mergeCell ref="A186:B186"/>
    <mergeCell ref="A187:B187"/>
    <mergeCell ref="A176:B176"/>
    <mergeCell ref="C176:D176"/>
    <mergeCell ref="E176:F176"/>
    <mergeCell ref="G176:H176"/>
    <mergeCell ref="A177:B177"/>
    <mergeCell ref="C177:D177"/>
    <mergeCell ref="E177:F177"/>
    <mergeCell ref="G177:H177"/>
    <mergeCell ref="C146:D146"/>
    <mergeCell ref="A147:D148"/>
    <mergeCell ref="C149:H149"/>
    <mergeCell ref="A150:B150"/>
    <mergeCell ref="C150:D150"/>
    <mergeCell ref="G150:H150"/>
    <mergeCell ref="A151:B151"/>
    <mergeCell ref="C151:D151"/>
    <mergeCell ref="G151:H160"/>
    <mergeCell ref="A152:B152"/>
    <mergeCell ref="C152:D152"/>
    <mergeCell ref="A153:B153"/>
    <mergeCell ref="C153:D153"/>
    <mergeCell ref="A154:B154"/>
    <mergeCell ref="C154:D154"/>
    <mergeCell ref="A155:B155"/>
    <mergeCell ref="C155:D155"/>
    <mergeCell ref="A156:B156"/>
    <mergeCell ref="C156:D156"/>
    <mergeCell ref="A157:B157"/>
    <mergeCell ref="C157:D157"/>
    <mergeCell ref="A158:B158"/>
    <mergeCell ref="C158:D158"/>
    <mergeCell ref="A159:B159"/>
    <mergeCell ref="C135:H135"/>
    <mergeCell ref="A136:B136"/>
    <mergeCell ref="C136:D136"/>
    <mergeCell ref="G136:H136"/>
    <mergeCell ref="A137:B137"/>
    <mergeCell ref="C137:D137"/>
    <mergeCell ref="G137:H146"/>
    <mergeCell ref="A138:B138"/>
    <mergeCell ref="C138:D138"/>
    <mergeCell ref="A139:B139"/>
    <mergeCell ref="C139:D139"/>
    <mergeCell ref="A140:B140"/>
    <mergeCell ref="C140:D140"/>
    <mergeCell ref="A141:B141"/>
    <mergeCell ref="C141:D141"/>
    <mergeCell ref="A142:B142"/>
    <mergeCell ref="C142:D142"/>
    <mergeCell ref="A143:B143"/>
    <mergeCell ref="C143:D143"/>
    <mergeCell ref="A144:B144"/>
    <mergeCell ref="C144:D144"/>
    <mergeCell ref="A145:B145"/>
    <mergeCell ref="C145:D145"/>
    <mergeCell ref="A146:B146"/>
    <mergeCell ref="A129:B129"/>
    <mergeCell ref="C129:D129"/>
    <mergeCell ref="A130:B130"/>
    <mergeCell ref="C130:D130"/>
    <mergeCell ref="A131:B131"/>
    <mergeCell ref="C131:D131"/>
    <mergeCell ref="A132:B132"/>
    <mergeCell ref="C132:D132"/>
    <mergeCell ref="A133:D134"/>
    <mergeCell ref="C124:D124"/>
    <mergeCell ref="A125:B125"/>
    <mergeCell ref="C125:D125"/>
    <mergeCell ref="A126:B126"/>
    <mergeCell ref="C126:D126"/>
    <mergeCell ref="A127:B127"/>
    <mergeCell ref="C127:D127"/>
    <mergeCell ref="A128:B128"/>
    <mergeCell ref="C128:D128"/>
    <mergeCell ref="G108:H108"/>
    <mergeCell ref="A109:B109"/>
    <mergeCell ref="C109:D109"/>
    <mergeCell ref="G109:H118"/>
    <mergeCell ref="A110:B110"/>
    <mergeCell ref="C110:D110"/>
    <mergeCell ref="A111:B111"/>
    <mergeCell ref="C111:D111"/>
    <mergeCell ref="A112:B112"/>
    <mergeCell ref="C112:D112"/>
    <mergeCell ref="A113:B113"/>
    <mergeCell ref="C113:D113"/>
    <mergeCell ref="A114:B114"/>
    <mergeCell ref="C114:D114"/>
    <mergeCell ref="A115:B115"/>
    <mergeCell ref="C115:D115"/>
    <mergeCell ref="A116:B116"/>
    <mergeCell ref="C116:D116"/>
    <mergeCell ref="A117:B117"/>
    <mergeCell ref="C117:D117"/>
    <mergeCell ref="A118:B118"/>
    <mergeCell ref="C118:D118"/>
    <mergeCell ref="C101:D101"/>
    <mergeCell ref="A102:B102"/>
    <mergeCell ref="C102:D102"/>
    <mergeCell ref="A103:B103"/>
    <mergeCell ref="C103:D103"/>
    <mergeCell ref="A104:B104"/>
    <mergeCell ref="C104:D104"/>
    <mergeCell ref="A108:B108"/>
    <mergeCell ref="C108:D108"/>
    <mergeCell ref="A579:H579"/>
    <mergeCell ref="A89:B89"/>
    <mergeCell ref="C89:D89"/>
    <mergeCell ref="A90:B90"/>
    <mergeCell ref="C90:D90"/>
    <mergeCell ref="A91:D92"/>
    <mergeCell ref="C93:H93"/>
    <mergeCell ref="A94:B94"/>
    <mergeCell ref="C94:D94"/>
    <mergeCell ref="G94:H94"/>
    <mergeCell ref="A95:B95"/>
    <mergeCell ref="C95:D95"/>
    <mergeCell ref="G95:H104"/>
    <mergeCell ref="A96:B96"/>
    <mergeCell ref="C96:D96"/>
    <mergeCell ref="A97:B97"/>
    <mergeCell ref="C97:D97"/>
    <mergeCell ref="A98:B98"/>
    <mergeCell ref="C98:D98"/>
    <mergeCell ref="A99:B99"/>
    <mergeCell ref="C99:D99"/>
    <mergeCell ref="A100:B100"/>
    <mergeCell ref="C100:D100"/>
    <mergeCell ref="A101:B101"/>
    <mergeCell ref="A589:H589"/>
    <mergeCell ref="A590:H590"/>
    <mergeCell ref="A591:H591"/>
    <mergeCell ref="A592:H592"/>
    <mergeCell ref="A593:H593"/>
    <mergeCell ref="A594:H594"/>
    <mergeCell ref="A595:H595"/>
    <mergeCell ref="A582:H582"/>
    <mergeCell ref="A583:H583"/>
    <mergeCell ref="A584:H584"/>
    <mergeCell ref="A585:H585"/>
    <mergeCell ref="A586:H586"/>
    <mergeCell ref="A587:H587"/>
    <mergeCell ref="A588:H588"/>
    <mergeCell ref="A596:H596"/>
    <mergeCell ref="A597:H597"/>
    <mergeCell ref="A607:H607"/>
    <mergeCell ref="A598:H598"/>
    <mergeCell ref="A599:H599"/>
    <mergeCell ref="A600:H600"/>
    <mergeCell ref="A601:H601"/>
    <mergeCell ref="A602:H602"/>
    <mergeCell ref="A603:H603"/>
    <mergeCell ref="A604:H604"/>
    <mergeCell ref="A605:H605"/>
    <mergeCell ref="A606:H606"/>
    <mergeCell ref="A523:H523"/>
    <mergeCell ref="A542:H542"/>
    <mergeCell ref="A543:H543"/>
    <mergeCell ref="A558:B558"/>
    <mergeCell ref="A580:H580"/>
    <mergeCell ref="A581:H581"/>
    <mergeCell ref="A562:H562"/>
    <mergeCell ref="A563:H563"/>
    <mergeCell ref="A564:H564"/>
    <mergeCell ref="A565:H565"/>
    <mergeCell ref="A566:H566"/>
    <mergeCell ref="A567:H567"/>
    <mergeCell ref="A568:H568"/>
    <mergeCell ref="A569:H569"/>
    <mergeCell ref="A570:H570"/>
    <mergeCell ref="C558:H558"/>
    <mergeCell ref="A571:H571"/>
    <mergeCell ref="A572:H572"/>
    <mergeCell ref="A573:H573"/>
    <mergeCell ref="A574:H574"/>
    <mergeCell ref="A575:H575"/>
    <mergeCell ref="A576:H576"/>
    <mergeCell ref="A577:H577"/>
    <mergeCell ref="A578:H578"/>
    <mergeCell ref="A490:H490"/>
    <mergeCell ref="A491:H491"/>
    <mergeCell ref="A492:H492"/>
    <mergeCell ref="A493:H493"/>
    <mergeCell ref="A559:H559"/>
    <mergeCell ref="A560:H560"/>
    <mergeCell ref="A561:H561"/>
    <mergeCell ref="A503:H503"/>
    <mergeCell ref="A494:H494"/>
    <mergeCell ref="A495:H495"/>
    <mergeCell ref="A496:H496"/>
    <mergeCell ref="A497:H497"/>
    <mergeCell ref="A498:H498"/>
    <mergeCell ref="A499:H499"/>
    <mergeCell ref="A500:H500"/>
    <mergeCell ref="A501:H501"/>
    <mergeCell ref="A502:H502"/>
    <mergeCell ref="A516:H516"/>
    <mergeCell ref="A517:H517"/>
    <mergeCell ref="A518:H518"/>
    <mergeCell ref="A519:H519"/>
    <mergeCell ref="A520:H520"/>
    <mergeCell ref="A521:H521"/>
    <mergeCell ref="A522:H522"/>
    <mergeCell ref="A481:H481"/>
    <mergeCell ref="A482:H482"/>
    <mergeCell ref="A483:H483"/>
    <mergeCell ref="A484:H484"/>
    <mergeCell ref="A485:H485"/>
    <mergeCell ref="A486:H486"/>
    <mergeCell ref="A487:H487"/>
    <mergeCell ref="A488:H488"/>
    <mergeCell ref="A489:H489"/>
    <mergeCell ref="A472:H472"/>
    <mergeCell ref="A473:H473"/>
    <mergeCell ref="A474:H474"/>
    <mergeCell ref="A475:H475"/>
    <mergeCell ref="A476:H476"/>
    <mergeCell ref="A477:H477"/>
    <mergeCell ref="A478:H478"/>
    <mergeCell ref="A479:H479"/>
    <mergeCell ref="A480:H480"/>
    <mergeCell ref="A463:H463"/>
    <mergeCell ref="A464:H464"/>
    <mergeCell ref="A465:H465"/>
    <mergeCell ref="A466:H466"/>
    <mergeCell ref="A467:H467"/>
    <mergeCell ref="A468:H468"/>
    <mergeCell ref="A469:H469"/>
    <mergeCell ref="A470:H470"/>
    <mergeCell ref="A471:H471"/>
    <mergeCell ref="B447:H447"/>
    <mergeCell ref="B448:H448"/>
    <mergeCell ref="A451:B451"/>
    <mergeCell ref="B444:E444"/>
    <mergeCell ref="A458:H458"/>
    <mergeCell ref="A459:H459"/>
    <mergeCell ref="A460:H460"/>
    <mergeCell ref="A461:H461"/>
    <mergeCell ref="A462:H462"/>
    <mergeCell ref="A69:B69"/>
    <mergeCell ref="C451:H451"/>
    <mergeCell ref="E167:F167"/>
    <mergeCell ref="E168:F168"/>
    <mergeCell ref="E169:F169"/>
    <mergeCell ref="G170:H170"/>
    <mergeCell ref="G171:H171"/>
    <mergeCell ref="E170:F170"/>
    <mergeCell ref="A174:B174"/>
    <mergeCell ref="A175:B175"/>
    <mergeCell ref="A179:B179"/>
    <mergeCell ref="C69:D69"/>
    <mergeCell ref="C70:D70"/>
    <mergeCell ref="C71:D71"/>
    <mergeCell ref="C72:D72"/>
    <mergeCell ref="C73:D73"/>
    <mergeCell ref="C74:D74"/>
    <mergeCell ref="E165:F165"/>
    <mergeCell ref="E174:F174"/>
    <mergeCell ref="A77:D78"/>
    <mergeCell ref="C79:H79"/>
    <mergeCell ref="C174:D174"/>
    <mergeCell ref="A170:B170"/>
    <mergeCell ref="B441:H441"/>
    <mergeCell ref="G44:H44"/>
    <mergeCell ref="C38:H38"/>
    <mergeCell ref="G42:H42"/>
    <mergeCell ref="E51:H51"/>
    <mergeCell ref="C34:D34"/>
    <mergeCell ref="C36:D36"/>
    <mergeCell ref="C42:F42"/>
    <mergeCell ref="E182:F182"/>
    <mergeCell ref="G182:H182"/>
    <mergeCell ref="C54:H54"/>
    <mergeCell ref="C80:D80"/>
    <mergeCell ref="G80:H80"/>
    <mergeCell ref="C81:D81"/>
    <mergeCell ref="G81:H90"/>
    <mergeCell ref="C82:D82"/>
    <mergeCell ref="C83:D83"/>
    <mergeCell ref="C84:D84"/>
    <mergeCell ref="C85:D85"/>
    <mergeCell ref="C86:D86"/>
    <mergeCell ref="C87:D87"/>
    <mergeCell ref="C88:D88"/>
    <mergeCell ref="A105:D106"/>
    <mergeCell ref="C107:H107"/>
    <mergeCell ref="A68:B68"/>
    <mergeCell ref="G41:H41"/>
    <mergeCell ref="C37:H37"/>
    <mergeCell ref="C28:E28"/>
    <mergeCell ref="E36:F36"/>
    <mergeCell ref="G27:H27"/>
    <mergeCell ref="G28:H28"/>
    <mergeCell ref="C35:H35"/>
    <mergeCell ref="G36:H36"/>
    <mergeCell ref="A39:H39"/>
    <mergeCell ref="C40:F40"/>
    <mergeCell ref="G40:H40"/>
    <mergeCell ref="C41:F41"/>
    <mergeCell ref="A35:B35"/>
    <mergeCell ref="A36:B36"/>
    <mergeCell ref="D27:E27"/>
    <mergeCell ref="A1:H1"/>
    <mergeCell ref="C23:H23"/>
    <mergeCell ref="C22:H22"/>
    <mergeCell ref="C26:H26"/>
    <mergeCell ref="C17:H17"/>
    <mergeCell ref="C16:H16"/>
    <mergeCell ref="C25:H25"/>
    <mergeCell ref="C10:H10"/>
    <mergeCell ref="A6:H6"/>
    <mergeCell ref="C20:H20"/>
    <mergeCell ref="C21:H21"/>
    <mergeCell ref="C24:H24"/>
    <mergeCell ref="A2:H2"/>
    <mergeCell ref="C7:H7"/>
    <mergeCell ref="C8:H8"/>
    <mergeCell ref="C19:H19"/>
    <mergeCell ref="C9:H9"/>
    <mergeCell ref="C13:H13"/>
    <mergeCell ref="C14:H14"/>
    <mergeCell ref="C15:H15"/>
    <mergeCell ref="C18:E18"/>
    <mergeCell ref="C11:H11"/>
    <mergeCell ref="C12:H12"/>
    <mergeCell ref="A5:B5"/>
    <mergeCell ref="E608:F608"/>
    <mergeCell ref="G608:H608"/>
    <mergeCell ref="C161:H161"/>
    <mergeCell ref="A162:H162"/>
    <mergeCell ref="E163:F163"/>
    <mergeCell ref="E164:F164"/>
    <mergeCell ref="E171:F171"/>
    <mergeCell ref="A191:H191"/>
    <mergeCell ref="A507:H507"/>
    <mergeCell ref="A508:H508"/>
    <mergeCell ref="A509:H509"/>
    <mergeCell ref="A510:H510"/>
    <mergeCell ref="A511:H511"/>
    <mergeCell ref="A512:H512"/>
    <mergeCell ref="A513:H513"/>
    <mergeCell ref="A514:H514"/>
    <mergeCell ref="A515:H515"/>
    <mergeCell ref="A435:H435"/>
    <mergeCell ref="A168:B168"/>
    <mergeCell ref="A169:B169"/>
    <mergeCell ref="B442:H442"/>
    <mergeCell ref="B443:H443"/>
    <mergeCell ref="B445:H445"/>
    <mergeCell ref="B446:H446"/>
    <mergeCell ref="A544:H544"/>
    <mergeCell ref="A545:H545"/>
    <mergeCell ref="A546:H546"/>
    <mergeCell ref="A547:H547"/>
    <mergeCell ref="A548:H548"/>
    <mergeCell ref="A549:H549"/>
    <mergeCell ref="A550:H550"/>
    <mergeCell ref="A538:H538"/>
    <mergeCell ref="A539:H539"/>
    <mergeCell ref="A540:H540"/>
    <mergeCell ref="A541:H541"/>
    <mergeCell ref="E189:F189"/>
    <mergeCell ref="G189:H189"/>
    <mergeCell ref="E190:F190"/>
    <mergeCell ref="G190:H190"/>
    <mergeCell ref="C29:H29"/>
    <mergeCell ref="C30:H30"/>
    <mergeCell ref="A37:B37"/>
    <mergeCell ref="A38:B38"/>
    <mergeCell ref="A40:B45"/>
    <mergeCell ref="A46:B46"/>
    <mergeCell ref="A47:B47"/>
    <mergeCell ref="A48:B48"/>
    <mergeCell ref="A49:B51"/>
    <mergeCell ref="A61:B61"/>
    <mergeCell ref="A66:B66"/>
    <mergeCell ref="C43:F43"/>
    <mergeCell ref="G43:H43"/>
    <mergeCell ref="C45:F45"/>
    <mergeCell ref="G45:H45"/>
    <mergeCell ref="G66:H66"/>
    <mergeCell ref="G67:H76"/>
    <mergeCell ref="E166:F166"/>
    <mergeCell ref="C31:D31"/>
    <mergeCell ref="C32:D32"/>
    <mergeCell ref="A22:B22"/>
    <mergeCell ref="A23:B23"/>
    <mergeCell ref="A24:B24"/>
    <mergeCell ref="C3:E3"/>
    <mergeCell ref="C4:E4"/>
    <mergeCell ref="C5:E5"/>
    <mergeCell ref="G3:H3"/>
    <mergeCell ref="G4:H4"/>
    <mergeCell ref="G5:H5"/>
    <mergeCell ref="A15:B15"/>
    <mergeCell ref="F18:H18"/>
    <mergeCell ref="A16:B16"/>
    <mergeCell ref="A17:B17"/>
    <mergeCell ref="A18:B18"/>
    <mergeCell ref="A19:B19"/>
    <mergeCell ref="A20:B20"/>
    <mergeCell ref="A7:B7"/>
    <mergeCell ref="A8:B8"/>
    <mergeCell ref="A9:B9"/>
    <mergeCell ref="A10:B10"/>
    <mergeCell ref="A11:B11"/>
    <mergeCell ref="A12:B12"/>
    <mergeCell ref="A13:B13"/>
    <mergeCell ref="A14:B14"/>
    <mergeCell ref="A21:B21"/>
    <mergeCell ref="A53:B54"/>
    <mergeCell ref="C49:D49"/>
    <mergeCell ref="C50:D50"/>
    <mergeCell ref="C51:D51"/>
    <mergeCell ref="A25:B25"/>
    <mergeCell ref="A26:B26"/>
    <mergeCell ref="A27:B27"/>
    <mergeCell ref="A28:B28"/>
    <mergeCell ref="A29:B29"/>
    <mergeCell ref="A30:B30"/>
    <mergeCell ref="A31:B34"/>
    <mergeCell ref="C44:F44"/>
    <mergeCell ref="C75:D75"/>
    <mergeCell ref="C76:D76"/>
    <mergeCell ref="C163:D163"/>
    <mergeCell ref="C164:D164"/>
    <mergeCell ref="C165:D165"/>
    <mergeCell ref="E181:F181"/>
    <mergeCell ref="G181:H181"/>
    <mergeCell ref="C33:D33"/>
    <mergeCell ref="C46:F46"/>
    <mergeCell ref="C48:F48"/>
    <mergeCell ref="C53:F53"/>
    <mergeCell ref="A63:D64"/>
    <mergeCell ref="A52:B52"/>
    <mergeCell ref="C52:H52"/>
    <mergeCell ref="C55:F55"/>
    <mergeCell ref="A55:B56"/>
    <mergeCell ref="C56:F56"/>
    <mergeCell ref="C59:F59"/>
    <mergeCell ref="A57:B59"/>
    <mergeCell ref="C57:F58"/>
    <mergeCell ref="E50:F50"/>
    <mergeCell ref="A60:H60"/>
    <mergeCell ref="C47:H47"/>
    <mergeCell ref="E49:H49"/>
    <mergeCell ref="A73:B73"/>
    <mergeCell ref="A74:B74"/>
    <mergeCell ref="A75:B75"/>
    <mergeCell ref="A76:B76"/>
    <mergeCell ref="A161:B161"/>
    <mergeCell ref="A163:B163"/>
    <mergeCell ref="A164:B164"/>
    <mergeCell ref="A165:B165"/>
    <mergeCell ref="A171:B171"/>
    <mergeCell ref="A85:B85"/>
    <mergeCell ref="A86:B86"/>
    <mergeCell ref="A87:B87"/>
    <mergeCell ref="A88:B88"/>
    <mergeCell ref="A166:B166"/>
    <mergeCell ref="A167:B167"/>
    <mergeCell ref="A119:D120"/>
    <mergeCell ref="C121:H121"/>
    <mergeCell ref="A122:B122"/>
    <mergeCell ref="C122:D122"/>
    <mergeCell ref="G122:H122"/>
    <mergeCell ref="A123:B123"/>
    <mergeCell ref="C123:D123"/>
    <mergeCell ref="G123:H132"/>
    <mergeCell ref="A124:B124"/>
    <mergeCell ref="C66:D66"/>
    <mergeCell ref="C67:D67"/>
    <mergeCell ref="C68:D68"/>
    <mergeCell ref="C65:H65"/>
    <mergeCell ref="A67:B67"/>
    <mergeCell ref="G174:H174"/>
    <mergeCell ref="E61:F61"/>
    <mergeCell ref="A62:H62"/>
    <mergeCell ref="G61:H61"/>
    <mergeCell ref="C61:D61"/>
    <mergeCell ref="C166:D166"/>
    <mergeCell ref="C167:D167"/>
    <mergeCell ref="C168:D168"/>
    <mergeCell ref="C169:D169"/>
    <mergeCell ref="C170:D170"/>
    <mergeCell ref="C171:D171"/>
    <mergeCell ref="A80:B80"/>
    <mergeCell ref="A81:B81"/>
    <mergeCell ref="A82:B82"/>
    <mergeCell ref="A83:B83"/>
    <mergeCell ref="A84:B84"/>
    <mergeCell ref="A70:B70"/>
    <mergeCell ref="A71:B71"/>
    <mergeCell ref="A72:B72"/>
    <mergeCell ref="C175:D175"/>
    <mergeCell ref="C179:D179"/>
    <mergeCell ref="C181:D181"/>
    <mergeCell ref="C182:D182"/>
    <mergeCell ref="C183:D183"/>
    <mergeCell ref="C189:D189"/>
    <mergeCell ref="C190:D190"/>
    <mergeCell ref="D193:D194"/>
    <mergeCell ref="A250:A251"/>
    <mergeCell ref="C250:C251"/>
    <mergeCell ref="D250:D251"/>
    <mergeCell ref="A181:B181"/>
    <mergeCell ref="A182:B182"/>
    <mergeCell ref="A183:B183"/>
    <mergeCell ref="A189:B189"/>
    <mergeCell ref="A190:B190"/>
    <mergeCell ref="A249:H249"/>
    <mergeCell ref="A192:H192"/>
    <mergeCell ref="A196:H196"/>
    <mergeCell ref="A198:B198"/>
    <mergeCell ref="A199:B199"/>
    <mergeCell ref="B193:B194"/>
    <mergeCell ref="B250:B251"/>
    <mergeCell ref="A180:H180"/>
    <mergeCell ref="A268:B268"/>
    <mergeCell ref="A253:H253"/>
    <mergeCell ref="A255:B255"/>
    <mergeCell ref="A256:B256"/>
    <mergeCell ref="A257:B257"/>
    <mergeCell ref="A258:B258"/>
    <mergeCell ref="A260:B260"/>
    <mergeCell ref="A261:B261"/>
    <mergeCell ref="A262:B262"/>
    <mergeCell ref="A263:B263"/>
    <mergeCell ref="E250:E251"/>
    <mergeCell ref="F250:F251"/>
    <mergeCell ref="A252:H252"/>
    <mergeCell ref="A201:B201"/>
    <mergeCell ref="C193:C194"/>
    <mergeCell ref="E193:E194"/>
    <mergeCell ref="F193:F194"/>
    <mergeCell ref="A200:B200"/>
    <mergeCell ref="A204:B204"/>
    <mergeCell ref="A205:B205"/>
    <mergeCell ref="A195:H195"/>
    <mergeCell ref="A202:B202"/>
    <mergeCell ref="A193:A194"/>
    <mergeCell ref="A212:B212"/>
    <mergeCell ref="A213:B213"/>
    <mergeCell ref="A214:B214"/>
    <mergeCell ref="A215:B215"/>
    <mergeCell ref="A217:H217"/>
    <mergeCell ref="A218:B218"/>
    <mergeCell ref="A219:B219"/>
    <mergeCell ref="A220:H220"/>
    <mergeCell ref="A221:B221"/>
    <mergeCell ref="A222:B222"/>
    <mergeCell ref="A216:B216"/>
    <mergeCell ref="A505:H505"/>
    <mergeCell ref="A506:H506"/>
    <mergeCell ref="A437:E437"/>
    <mergeCell ref="F437:H437"/>
    <mergeCell ref="A452:H452"/>
    <mergeCell ref="A278:B278"/>
    <mergeCell ref="A279:B279"/>
    <mergeCell ref="A280:B280"/>
    <mergeCell ref="A283:B283"/>
    <mergeCell ref="F436:H436"/>
    <mergeCell ref="A284:B284"/>
    <mergeCell ref="A285:B285"/>
    <mergeCell ref="A286:B286"/>
    <mergeCell ref="A288:B288"/>
    <mergeCell ref="A290:B290"/>
    <mergeCell ref="A291:B291"/>
    <mergeCell ref="A436:E436"/>
    <mergeCell ref="A453:H453"/>
    <mergeCell ref="A454:H454"/>
    <mergeCell ref="A455:H455"/>
    <mergeCell ref="A456:H456"/>
    <mergeCell ref="A457:H457"/>
    <mergeCell ref="A438:H438"/>
    <mergeCell ref="B440:H440"/>
    <mergeCell ref="A535:H535"/>
    <mergeCell ref="A536:H536"/>
    <mergeCell ref="A537:H537"/>
    <mergeCell ref="A524:H524"/>
    <mergeCell ref="A525:H525"/>
    <mergeCell ref="A526:H526"/>
    <mergeCell ref="A527:H527"/>
    <mergeCell ref="A528:H528"/>
    <mergeCell ref="A529:H529"/>
    <mergeCell ref="A532:H532"/>
    <mergeCell ref="A530:H530"/>
    <mergeCell ref="A531:H531"/>
    <mergeCell ref="I51:L51"/>
    <mergeCell ref="C504:H504"/>
    <mergeCell ref="A608:B608"/>
    <mergeCell ref="C608:D608"/>
    <mergeCell ref="A504:B504"/>
    <mergeCell ref="A294:B294"/>
    <mergeCell ref="A296:B296"/>
    <mergeCell ref="A297:B297"/>
    <mergeCell ref="A401:B401"/>
    <mergeCell ref="A402:B402"/>
    <mergeCell ref="A403:B403"/>
    <mergeCell ref="A404:B404"/>
    <mergeCell ref="B439:H439"/>
    <mergeCell ref="A551:H551"/>
    <mergeCell ref="A552:H552"/>
    <mergeCell ref="A553:H553"/>
    <mergeCell ref="A554:H554"/>
    <mergeCell ref="A555:H555"/>
    <mergeCell ref="A556:H556"/>
    <mergeCell ref="A557:H557"/>
    <mergeCell ref="A533:H533"/>
    <mergeCell ref="A534:H534"/>
    <mergeCell ref="B449:H449"/>
    <mergeCell ref="B450:H450"/>
  </mergeCells>
  <dataValidations count="8">
    <dataValidation type="list" allowBlank="1" showInputMessage="1" showErrorMessage="1" sqref="A9:B9">
      <formula1>"CTS No,Old Survey No,Plot No,Gut No,FP No,"</formula1>
    </dataValidation>
    <dataValidation type="list" allowBlank="1" showInputMessage="1" showErrorMessage="1" sqref="B250">
      <formula1>"Flat No. (Sale Plan),Sale / Rehab,Sale / Mhada"</formula1>
    </dataValidation>
    <dataValidation type="list" allowBlank="1" showInputMessage="1" showErrorMessage="1" sqref="E250:E251">
      <formula1>"Fungible area,Balcony Area,Balcony + AP Area,Cornice Area,AP Area,WS Area"</formula1>
    </dataValidation>
    <dataValidation type="list" allowBlank="1" showInputMessage="1" showErrorMessage="1" sqref="E193:E194">
      <formula1>"Attached Loft area,Attached Otla area,Attached Mezzanine area"</formula1>
    </dataValidation>
    <dataValidation type="list" allowBlank="1" showInputMessage="1" showErrorMessage="1" sqref="B193">
      <formula1>"Shop No. (Sale Plan),Sale / Rehab,Sale / Mhada"</formula1>
    </dataValidation>
    <dataValidation type="list" allowBlank="1" showInputMessage="1" showErrorMessage="1" sqref="H251 H194">
      <formula1>".45,.50,.55,.60"</formula1>
    </dataValidation>
    <dataValidation type="list" allowBlank="1" showInputMessage="1" showErrorMessage="1" sqref="D193:D194">
      <formula1>"Carpet area,RERA Carpet + Encl Balcony Area"</formula1>
    </dataValidation>
    <dataValidation type="list" allowBlank="1" showInputMessage="1" showErrorMessage="1" sqref="D250:D251">
      <formula1>"Carpet area,RERA Carpet +  Encl Balcony Area"</formula1>
    </dataValidation>
  </dataValidations>
  <hyperlinks>
    <hyperlink ref="C19" r:id="rId1"/>
  </hyperlinks>
  <printOptions horizontalCentered="1"/>
  <pageMargins left="0.23622047244094491" right="0.23622047244094491" top="0.78740157480314965" bottom="0.70866141732283472" header="0.19685039370078741" footer="0.19685039370078741"/>
  <pageSetup paperSize="2" fitToHeight="0" orientation="portrait" r:id="rId2"/>
  <headerFooter>
    <oddHeader>&amp;C&amp;G</oddHeader>
    <oddFooter>&amp;L&amp;"Times New Roman,Bold"&amp;F&amp;R&amp;"Times New Roman,Bold"&amp;P</oddFooter>
  </headerFooter>
  <rowBreaks count="8" manualBreakCount="8">
    <brk id="30" max="7" man="1"/>
    <brk id="61" max="7" man="1"/>
    <brk id="222" max="7" man="1"/>
    <brk id="328" max="7" man="1"/>
    <brk id="434" max="7" man="1"/>
    <brk id="450" max="7" man="1"/>
    <brk id="503" max="7" man="1"/>
    <brk id="557"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115" zoomScaleNormal="115" workbookViewId="0">
      <selection activeCell="C1" sqref="A1:XFD13"/>
    </sheetView>
  </sheetViews>
  <sheetFormatPr defaultRowHeight="15" x14ac:dyDescent="0.25"/>
  <cols>
    <col min="1" max="1" width="24.140625" customWidth="1"/>
    <col min="2" max="6" width="17.5703125" customWidth="1"/>
    <col min="7" max="7" width="10.42578125" customWidth="1"/>
  </cols>
  <sheetData>
    <row r="1" spans="1:8" x14ac:dyDescent="0.25">
      <c r="A1" s="275" t="s">
        <v>112</v>
      </c>
      <c r="B1" s="276"/>
      <c r="C1" s="9" t="s">
        <v>58</v>
      </c>
      <c r="D1" s="9" t="s">
        <v>59</v>
      </c>
      <c r="E1" s="9" t="s">
        <v>60</v>
      </c>
      <c r="F1" s="10" t="s">
        <v>46</v>
      </c>
    </row>
    <row r="2" spans="1:8" x14ac:dyDescent="0.25">
      <c r="A2" s="277"/>
      <c r="B2" s="278"/>
      <c r="C2" s="7">
        <v>0</v>
      </c>
      <c r="D2" s="19">
        <v>1</v>
      </c>
      <c r="E2" s="7">
        <v>0</v>
      </c>
      <c r="F2" s="8">
        <f ca="1">--TRIM(RIGHT(SUBSTITUTE(LEFT(A1,_xlfn.AGGREGATE(16,6,FIND({0,1,2,3,4,5,6,7,8,9},A1,ROW(INDIRECT("1:"&amp;LEN(A1)))),1))," ",REPT(" ",LEN(A1))),LEN(A1)))</f>
        <v>3</v>
      </c>
    </row>
    <row r="3" spans="1:8" x14ac:dyDescent="0.25">
      <c r="A3" s="2" t="s">
        <v>61</v>
      </c>
      <c r="B3" s="3" t="s">
        <v>62</v>
      </c>
      <c r="C3" s="17" t="s">
        <v>63</v>
      </c>
      <c r="D3" s="20" t="s">
        <v>56</v>
      </c>
      <c r="E3" s="279" t="s">
        <v>130</v>
      </c>
      <c r="F3" s="280"/>
      <c r="G3" s="29" t="s">
        <v>64</v>
      </c>
      <c r="H3" s="24">
        <f ca="1">F2*25%</f>
        <v>0.75</v>
      </c>
    </row>
    <row r="4" spans="1:8" x14ac:dyDescent="0.25">
      <c r="A4" s="2" t="s">
        <v>65</v>
      </c>
      <c r="B4" s="4">
        <f ca="1">H5</f>
        <v>3</v>
      </c>
      <c r="C4" s="18">
        <f ca="1">((100/F2)*B4)/100</f>
        <v>1</v>
      </c>
      <c r="D4" s="22" t="str">
        <f ca="1">IF(C13=100%,"All work Completed. Possession granted to the Building.",IF(C12=100%,"All work Completed, Waiting for OC",D10&amp;""&amp;D11&amp;""&amp;D9&amp;""&amp;D12&amp;" "&amp;D13))</f>
        <v xml:space="preserve">Excavation, Plinth, RCC Slab, Brickwork Completed </v>
      </c>
      <c r="E4" s="281" t="str">
        <f ca="1">D4</f>
        <v xml:space="preserve">Excavation, Plinth, RCC Slab, Brickwork Completed </v>
      </c>
      <c r="F4" s="282"/>
      <c r="G4" s="1" t="s">
        <v>66</v>
      </c>
      <c r="H4" s="25">
        <f ca="1">F2*50%</f>
        <v>1.5</v>
      </c>
    </row>
    <row r="5" spans="1:8" x14ac:dyDescent="0.25">
      <c r="A5" s="2" t="s">
        <v>67</v>
      </c>
      <c r="B5" s="5">
        <f ca="1">H13</f>
        <v>3</v>
      </c>
      <c r="C5" s="18">
        <f ca="1">((100/F2)*B5)/100</f>
        <v>1</v>
      </c>
      <c r="D5" s="23"/>
      <c r="E5" s="283"/>
      <c r="F5" s="284"/>
      <c r="G5" s="1" t="s">
        <v>68</v>
      </c>
      <c r="H5" s="25">
        <f ca="1">F2</f>
        <v>3</v>
      </c>
    </row>
    <row r="6" spans="1:8" x14ac:dyDescent="0.25">
      <c r="A6" s="2" t="s">
        <v>69</v>
      </c>
      <c r="B6" s="5">
        <v>4</v>
      </c>
      <c r="C6" s="18">
        <f ca="1">((100/(D2+E2+F2))*B6)/100</f>
        <v>1</v>
      </c>
      <c r="D6" s="23"/>
      <c r="E6" s="283"/>
      <c r="F6" s="284"/>
      <c r="G6" s="1" t="s">
        <v>70</v>
      </c>
      <c r="H6" s="26">
        <f ca="1">(IF(C2&gt;1,(F2/(C2+2)),F2/4))</f>
        <v>0.75</v>
      </c>
    </row>
    <row r="7" spans="1:8" x14ac:dyDescent="0.25">
      <c r="A7" s="2" t="s">
        <v>71</v>
      </c>
      <c r="B7" s="4">
        <v>3</v>
      </c>
      <c r="C7" s="18">
        <f ca="1">((100/F2)*B7)/100</f>
        <v>1</v>
      </c>
      <c r="D7" s="23"/>
      <c r="E7" s="283"/>
      <c r="F7" s="284"/>
      <c r="G7" s="1" t="s">
        <v>72</v>
      </c>
      <c r="H7" s="26">
        <f ca="1">(IF(C2&gt;1,(F2/(C2+2)+H6),F2/4+H6))</f>
        <v>1.5</v>
      </c>
    </row>
    <row r="8" spans="1:8" x14ac:dyDescent="0.25">
      <c r="A8" s="2" t="s">
        <v>73</v>
      </c>
      <c r="B8" s="4">
        <v>0</v>
      </c>
      <c r="C8" s="18">
        <f ca="1">((100/F2)*B8)/100</f>
        <v>0</v>
      </c>
      <c r="D8" s="21">
        <f ca="1">(((B5/F2*10)+(40/(D2+E2+F2)*B6)+(15/(F2)*B7)+(5/(F2)*B8)+(5/F2*B9)+(10/F2*B10)+(5/F2*B11)+(5/F2*B12)+(5/F2*B13))/100)</f>
        <v>0.65</v>
      </c>
      <c r="E8" s="283"/>
      <c r="F8" s="284"/>
      <c r="G8" s="1" t="s">
        <v>74</v>
      </c>
      <c r="H8" s="26">
        <f>(IF(C2&gt;1,(F2/(C2+2)+H7),0))</f>
        <v>0</v>
      </c>
    </row>
    <row r="9" spans="1:8" x14ac:dyDescent="0.25">
      <c r="A9" s="2" t="s">
        <v>75</v>
      </c>
      <c r="B9" s="4">
        <v>0</v>
      </c>
      <c r="C9" s="18">
        <f ca="1">((100/(F2))*B9)/100</f>
        <v>0</v>
      </c>
      <c r="D9" s="23" t="str">
        <f ca="1">(IF(B4=0,"Work not yet Started.",IF(C4=25%,"Piling work in process",IF(C4=50%,"Excavation work in process",IF(C4=100%,"","0")))))&amp;(IF(B5=0%,"",IF(B5=H6,", Footing work is process",IF(B5=H7,", Footing work Completed",IF(B5=H8,", 1st Basement Completed",IF(B5=H9,", 1st &amp; 2nd Basement Completed",IF(B5=H10,", 1st to 3rd Basement Completed",IF(B5=H11,", 1st to 4th Basement Completed",IF(B5=H12,", Plinth work is process",IF(B5=H13,"","0"))))))))))</f>
        <v/>
      </c>
      <c r="E9" s="283"/>
      <c r="F9" s="284"/>
      <c r="G9" s="1" t="s">
        <v>76</v>
      </c>
      <c r="H9" s="26">
        <f>(IF(C2&gt;2,(F2/(C2+2)+H8),0))</f>
        <v>0</v>
      </c>
    </row>
    <row r="10" spans="1:8" x14ac:dyDescent="0.25">
      <c r="A10" s="2" t="s">
        <v>77</v>
      </c>
      <c r="B10" s="4">
        <v>0</v>
      </c>
      <c r="C10" s="18">
        <f ca="1">((100/F2)*B10)/100</f>
        <v>0</v>
      </c>
      <c r="D10" s="23" t="str">
        <f ca="1">IF(C4=100%,"Excavation","")&amp;IF(C5=100%,", Plinth","")&amp;IF(C6=100%,", RCC Slab","")&amp;IF(C7=100%,", Brickwork","")&amp;IF(C8=100%,", Internal Plaster","")&amp;IF(C9=100%,", External Plaster","")&amp;IF(C10=100%,", Flooring","")&amp;IF(C11=100%,", Painting","")&amp;IF(C12=100%,", Building common Amenities","")</f>
        <v>Excavation, Plinth, RCC Slab, Brickwork</v>
      </c>
      <c r="E10" s="283"/>
      <c r="F10" s="284"/>
      <c r="G10" s="1" t="s">
        <v>78</v>
      </c>
      <c r="H10" s="27">
        <f>(IF(C2&gt;3,(F2/(C2+2)+H9),0))</f>
        <v>0</v>
      </c>
    </row>
    <row r="11" spans="1:8" x14ac:dyDescent="0.25">
      <c r="A11" s="2" t="s">
        <v>79</v>
      </c>
      <c r="B11" s="4">
        <v>0</v>
      </c>
      <c r="C11" s="18">
        <f ca="1">((100/F2)*B11)/100</f>
        <v>0</v>
      </c>
      <c r="D11" s="23" t="str">
        <f ca="1">IF(D10&lt;&gt;""," Completed","")</f>
        <v xml:space="preserve"> Completed</v>
      </c>
      <c r="E11" s="283"/>
      <c r="F11" s="284"/>
      <c r="G11" s="1" t="s">
        <v>80</v>
      </c>
      <c r="H11" s="26">
        <f>(IF(C2&gt;4,(F2/(C2+2)+H10),0))</f>
        <v>0</v>
      </c>
    </row>
    <row r="12" spans="1:8" x14ac:dyDescent="0.25">
      <c r="A12" s="2" t="s">
        <v>81</v>
      </c>
      <c r="B12" s="4">
        <v>0</v>
      </c>
      <c r="C12" s="18">
        <f ca="1">((100/(F2))*B12)/100</f>
        <v>0</v>
      </c>
      <c r="D12" s="23" t="str">
        <f ca="1">(IF(B6=(D2+E2+F2),"",IF(B6&gt;0,", RCC upto "&amp;B6&amp;" Slab","")))&amp;(IF(B7=F2,"",IF(B7&gt;0,", Brickwork upto "&amp;B7&amp;" Floor","")))&amp;(IF(B8=F2,"",IF(B8&gt;0,", Internal Plaster upto "&amp;B8&amp;" Floor","")))&amp;(IF(B9=F2,"",IF(B9&gt;0,", External Plaster upto "&amp;B9&amp;" Floor","")))&amp;(IF(B10=F2,"",IF(B10&gt;0,", Flooring upto "&amp;B10&amp;" Floor","")))&amp;(IF(B11=F2,"",IF(B11&gt;0,", Painting upto "&amp;B11&amp;" Floor","")))&amp;(IF(B12=F2,"",IF(B12&gt;0,", Finishing upto "&amp;B12&amp;" Floor","")))&amp;(IF(B13=F2,"",IF(B13&gt;0,", Possession upto "&amp;B13&amp;" Floor","")))</f>
        <v/>
      </c>
      <c r="E12" s="283"/>
      <c r="F12" s="284"/>
      <c r="G12" s="1" t="s">
        <v>82</v>
      </c>
      <c r="H12" s="26">
        <f ca="1">(IF(C2=1,(F2/(C2+3)+H7),IF(C2=0,(F2/4+H7),IF(C2&gt;1,0))))</f>
        <v>2.25</v>
      </c>
    </row>
    <row r="13" spans="1:8" ht="15.75" thickBot="1" x14ac:dyDescent="0.3">
      <c r="A13" s="31" t="s">
        <v>83</v>
      </c>
      <c r="B13" s="32">
        <v>0</v>
      </c>
      <c r="C13" s="33">
        <f ca="1">((100/(F2))*B13)/100</f>
        <v>0</v>
      </c>
      <c r="D13" s="34" t="str">
        <f ca="1">IF(D12&lt;&gt;"","Completed","")</f>
        <v/>
      </c>
      <c r="E13" s="285"/>
      <c r="F13" s="286"/>
      <c r="G13" s="30" t="s">
        <v>84</v>
      </c>
      <c r="H13" s="28">
        <f ca="1">(IF(C2&gt;1.5,(F2/(C2+2)+H7+MAX(0,H8-H7)+MAX(0,H9-H8)+MAX(0,H10-H9)+MAX(0,H11-H10)+MAX(0,H12-H11)),IF(C2=1,(F2/(C2+3)+H12),IF(C2=0,F2/4+H12))))</f>
        <v>3</v>
      </c>
    </row>
  </sheetData>
  <mergeCells count="3">
    <mergeCell ref="A1:B2"/>
    <mergeCell ref="E3:F3"/>
    <mergeCell ref="E4:F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vt:lpstr>
      <vt:lpstr>C%</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MANGESH AMDEKAR</dc:creator>
  <cp:lastModifiedBy>VSJC-06</cp:lastModifiedBy>
  <cp:lastPrinted>2025-09-24T10:16:39Z</cp:lastPrinted>
  <dcterms:created xsi:type="dcterms:W3CDTF">2019-01-21T04:29:02Z</dcterms:created>
  <dcterms:modified xsi:type="dcterms:W3CDTF">2025-09-24T10:16:40Z</dcterms:modified>
</cp:coreProperties>
</file>