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25-26\Sep 2025\GHF\New\Gaurav\Marina 64\Report\"/>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Report!$A$1:$H$343</definedName>
  </definedNames>
  <calcPr calcId="162913"/>
</workbook>
</file>

<file path=xl/calcChain.xml><?xml version="1.0" encoding="utf-8"?>
<calcChain xmlns="http://schemas.openxmlformats.org/spreadsheetml/2006/main">
  <c r="G115" i="3" l="1"/>
  <c r="G114" i="3"/>
  <c r="I173" i="3" l="1"/>
  <c r="I139" i="3" l="1"/>
  <c r="J132" i="3"/>
  <c r="E139" i="3" l="1"/>
  <c r="E138" i="3"/>
  <c r="J57" i="3"/>
  <c r="I57" i="3"/>
  <c r="J108" i="3" l="1"/>
  <c r="I110" i="3"/>
  <c r="I108" i="3"/>
  <c r="F191" i="3" l="1"/>
  <c r="E191" i="3"/>
  <c r="H191" i="3" s="1"/>
  <c r="F190" i="3"/>
  <c r="E190" i="3"/>
  <c r="F189" i="3"/>
  <c r="E189" i="3"/>
  <c r="H189" i="3" s="1"/>
  <c r="F188" i="3"/>
  <c r="E188" i="3"/>
  <c r="F196" i="3"/>
  <c r="E196" i="3"/>
  <c r="H196" i="3" s="1"/>
  <c r="F195" i="3"/>
  <c r="E195" i="3"/>
  <c r="F194" i="3"/>
  <c r="E194" i="3"/>
  <c r="H194" i="3" s="1"/>
  <c r="F193" i="3"/>
  <c r="E193" i="3"/>
  <c r="F176" i="3"/>
  <c r="E176" i="3"/>
  <c r="H176" i="3" s="1"/>
  <c r="F175" i="3"/>
  <c r="E175" i="3"/>
  <c r="F174" i="3"/>
  <c r="E174" i="3"/>
  <c r="H174" i="3" s="1"/>
  <c r="F173" i="3"/>
  <c r="E173" i="3"/>
  <c r="F181" i="3"/>
  <c r="E181" i="3"/>
  <c r="H181" i="3" s="1"/>
  <c r="F180" i="3"/>
  <c r="E180" i="3"/>
  <c r="F179" i="3"/>
  <c r="E179" i="3"/>
  <c r="H179" i="3" s="1"/>
  <c r="F178" i="3"/>
  <c r="E178" i="3"/>
  <c r="F171" i="3"/>
  <c r="E171" i="3"/>
  <c r="H171" i="3" s="1"/>
  <c r="F170" i="3"/>
  <c r="E170" i="3"/>
  <c r="F169" i="3"/>
  <c r="E169" i="3"/>
  <c r="H169" i="3" s="1"/>
  <c r="F168" i="3"/>
  <c r="E168" i="3"/>
  <c r="F166" i="3"/>
  <c r="E166" i="3"/>
  <c r="H166" i="3" s="1"/>
  <c r="F165" i="3"/>
  <c r="E165" i="3"/>
  <c r="F164" i="3"/>
  <c r="E164" i="3"/>
  <c r="H164" i="3" s="1"/>
  <c r="F163" i="3"/>
  <c r="E163" i="3"/>
  <c r="F186" i="3"/>
  <c r="E186" i="3"/>
  <c r="H186" i="3" s="1"/>
  <c r="F185" i="3"/>
  <c r="E185" i="3"/>
  <c r="F184" i="3"/>
  <c r="E184" i="3"/>
  <c r="H184" i="3" s="1"/>
  <c r="F183" i="3"/>
  <c r="E183" i="3"/>
  <c r="F159" i="3"/>
  <c r="E159" i="3"/>
  <c r="F158" i="3"/>
  <c r="E158" i="3"/>
  <c r="F154" i="3"/>
  <c r="E154" i="3"/>
  <c r="F153" i="3"/>
  <c r="E153" i="3"/>
  <c r="F149" i="3"/>
  <c r="E149" i="3"/>
  <c r="F148" i="3"/>
  <c r="E148" i="3"/>
  <c r="F144" i="3"/>
  <c r="E144" i="3"/>
  <c r="F143" i="3"/>
  <c r="E143" i="3"/>
  <c r="A155" i="3"/>
  <c r="A156" i="3" s="1"/>
  <c r="A150" i="3"/>
  <c r="A151" i="3" s="1"/>
  <c r="G138" i="3"/>
  <c r="G139" i="3"/>
  <c r="H139" i="3" s="1"/>
  <c r="A145" i="3"/>
  <c r="A146" i="3" s="1"/>
  <c r="A160" i="3"/>
  <c r="A161" i="3" s="1"/>
  <c r="E136" i="3"/>
  <c r="E135" i="3"/>
  <c r="E134" i="3"/>
  <c r="E133" i="3"/>
  <c r="H138" i="3"/>
  <c r="H143" i="3" l="1"/>
  <c r="E124" i="3" s="1"/>
  <c r="H148" i="3"/>
  <c r="G124" i="3" s="1"/>
  <c r="H153" i="3"/>
  <c r="H158" i="3"/>
  <c r="H178" i="3"/>
  <c r="H180" i="3"/>
  <c r="H173" i="3"/>
  <c r="H175" i="3"/>
  <c r="H193" i="3"/>
  <c r="H195" i="3"/>
  <c r="H188" i="3"/>
  <c r="H190" i="3"/>
  <c r="H149" i="3"/>
  <c r="E119" i="3"/>
  <c r="E121" i="3" s="1"/>
  <c r="H144" i="3"/>
  <c r="H154" i="3"/>
  <c r="H159" i="3"/>
  <c r="H183" i="3"/>
  <c r="H185" i="3"/>
  <c r="H165" i="3"/>
  <c r="G125" i="3" s="1"/>
  <c r="H168" i="3"/>
  <c r="H163" i="3"/>
  <c r="H170" i="3"/>
  <c r="I135" i="3"/>
  <c r="I133" i="3"/>
  <c r="A134" i="3"/>
  <c r="A135" i="3" s="1"/>
  <c r="A136" i="3" s="1"/>
  <c r="H136" i="3"/>
  <c r="H135" i="3"/>
  <c r="H134" i="3"/>
  <c r="H133" i="3"/>
  <c r="E125" i="3" l="1"/>
  <c r="E126" i="3" s="1"/>
  <c r="G126" i="3"/>
  <c r="G119" i="3"/>
  <c r="G121" i="3" s="1"/>
  <c r="D207" i="3"/>
  <c r="D205" i="3"/>
  <c r="A61"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G127" i="3"/>
  <c r="E127" i="3"/>
  <c r="A93" i="3" l="1"/>
  <c r="D94" i="3" s="1"/>
  <c r="J103" i="3" s="1"/>
  <c r="A77" i="3"/>
  <c r="D78" i="3" s="1"/>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8" i="3"/>
  <c r="I5" i="4"/>
  <c r="F38" i="4" l="1"/>
  <c r="G38" i="4"/>
  <c r="E18" i="4"/>
  <c r="E15" i="4"/>
  <c r="E17" i="4"/>
  <c r="E11" i="4"/>
  <c r="K6" i="4"/>
  <c r="E9" i="4"/>
  <c r="K8" i="4"/>
  <c r="C7" i="4" s="1"/>
  <c r="E14" i="4"/>
  <c r="E12" i="4"/>
  <c r="E16" i="4"/>
  <c r="E10" i="4"/>
  <c r="K9" i="4"/>
  <c r="K10" i="4" s="1"/>
  <c r="K11" i="4" s="1"/>
  <c r="E13" i="4"/>
  <c r="K7" i="4"/>
  <c r="J87" i="3"/>
  <c r="J86" i="3"/>
  <c r="K12" i="4" l="1"/>
  <c r="K16" i="4" s="1"/>
  <c r="C8" i="4" s="1"/>
  <c r="E8" i="4" s="1"/>
  <c r="E7" i="4"/>
  <c r="F7" i="4" l="1"/>
  <c r="J4" i="4" s="1"/>
  <c r="H7" i="4" s="1"/>
  <c r="G4" i="3" l="1"/>
  <c r="D206" i="3" l="1"/>
  <c r="G116" i="3"/>
  <c r="J71" i="3"/>
  <c r="J70" i="3"/>
  <c r="H62" i="3"/>
  <c r="J66" i="3" l="1"/>
  <c r="D71" i="3"/>
  <c r="D68" i="3"/>
  <c r="D66" i="3"/>
  <c r="J64" i="3"/>
  <c r="D75" i="3"/>
  <c r="D73" i="3"/>
  <c r="D70" i="3"/>
  <c r="D67" i="3"/>
  <c r="J65" i="3"/>
  <c r="J63" i="3"/>
  <c r="D74" i="3"/>
  <c r="D72" i="3"/>
  <c r="D69" i="3"/>
  <c r="D91" i="3" l="1"/>
  <c r="D83" i="3"/>
  <c r="D86" i="3"/>
  <c r="J80" i="3"/>
  <c r="D90" i="3"/>
  <c r="D84" i="3"/>
  <c r="J79" i="3"/>
  <c r="D89" i="3"/>
  <c r="J82" i="3"/>
  <c r="J83" i="3" s="1"/>
  <c r="D88" i="3"/>
  <c r="D82" i="3"/>
  <c r="J81" i="3"/>
  <c r="C80" i="3" s="1"/>
  <c r="D87" i="3"/>
  <c r="D85" i="3"/>
  <c r="J67" i="3"/>
  <c r="J72" i="3" s="1"/>
  <c r="D80" i="3" l="1"/>
  <c r="J84" i="3"/>
  <c r="J88" i="3"/>
  <c r="J85"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D64" i="3" l="1"/>
  <c r="E96" i="3"/>
  <c r="I93" i="3" s="1"/>
  <c r="G96" i="3" s="1"/>
  <c r="E64" i="3"/>
  <c r="G108" i="3" s="1"/>
  <c r="D65" i="3" l="1"/>
  <c r="I61" i="3"/>
  <c r="G64"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<sst xmlns="http://schemas.openxmlformats.org/spreadsheetml/2006/main" count="716" uniqueCount="382">
  <si>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</si>
  <si>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</si>
  <si>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</si>
  <si>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</si>
  <si>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</si>
  <si>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</si>
  <si>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</si>
  <si>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</si>
  <si>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</si>
  <si>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</si>
  <si>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</si>
  <si>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</si>
  <si>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</si>
  <si>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</si>
  <si>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</si>
  <si>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</si>
  <si>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</si>
  <si>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</si>
  <si>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</si>
  <si>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</si>
  <si>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</si>
  <si>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</si>
  <si>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</si>
  <si>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</si>
  <si>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</si>
  <si>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</si>
  <si>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</si>
  <si>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</si>
  <si>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</si>
  <si>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</si>
  <si>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</si>
  <si>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</si>
  <si>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</si>
  <si>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</si>
  <si>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</si>
  <si>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</si>
  <si>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</si>
  <si>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</si>
  <si>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</si>
  <si>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</si>
  <si>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</si>
  <si>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</si>
  <si>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</si>
  <si>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</si>
  <si>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</si>
  <si>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</si>
  <si>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</si>
  <si>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</si>
  <si>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</si>
  <si>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</si>
  <si>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</si>
  <si>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</si>
  <si>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</si>
  <si>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</si>
  <si>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</si>
  <si>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</si>
  <si>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</si>
  <si>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</si>
  <si>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</si>
  <si>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</si>
  <si>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</si>
  <si>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</si>
  <si>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</si>
  <si>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</si>
  <si>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</si>
  <si>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</si>
  <si>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</si>
  <si>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</si>
  <si>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</si>
  <si>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</si>
  <si>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</si>
  <si>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</si>
  <si>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</si>
  <si>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</si>
  <si>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</si>
  <si>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</si>
  <si>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</si>
  <si>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</si>
  <si>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</si>
  <si>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</si>
  <si>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</si>
  <si>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</si>
  <si>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</si>
  <si>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</si>
  <si>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</si>
  <si>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</si>
  <si>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</si>
  <si>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</si>
  <si>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</si>
  <si>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</si>
  <si>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</si>
  <si>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</si>
  <si>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</si>
  <si>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</si>
  <si>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</si>
  <si>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</si>
  <si>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</si>
  <si>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</si>
  <si>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</si>
  <si>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</si>
  <si>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</si>
  <si>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</si>
  <si>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</si>
  <si>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</si>
  <si>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</si>
  <si>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</si>
  <si>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</si>
  <si>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</si>
  <si>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</si>
  <si>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</si>
  <si>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</si>
  <si>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</si>
  <si>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</si>
  <si>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</si>
  <si>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</si>
  <si>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</si>
  <si>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</si>
  <si>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</si>
  <si>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</si>
  <si>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</si>
  <si>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</si>
  <si>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</si>
  <si>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</si>
  <si>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</si>
  <si>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</si>
  <si>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</si>
  <si>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</si>
  <si>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</si>
  <si>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</si>
  <si>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</si>
  <si>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</si>
  <si>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</si>
  <si>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</si>
  <si>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</si>
  <si>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</si>
  <si>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</si>
  <si>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</si>
  <si>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</si>
  <si>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</si>
  <si>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</si>
  <si>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</si>
  <si>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</si>
  <si>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</si>
  <si>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</si>
  <si>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</si>
  <si>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</si>
  <si>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</si>
  <si>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</si>
  <si>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</si>
  <si>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</si>
  <si>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</si>
  <si>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</si>
  <si>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</si>
  <si>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</si>
  <si>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</si>
  <si>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</si>
  <si>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</si>
  <si>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</si>
  <si>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</si>
  <si>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</si>
  <si>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</si>
  <si>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</si>
  <si>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</si>
  <si>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</si>
  <si>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</si>
  <si>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</si>
  <si>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</si>
  <si>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</si>
  <si>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</si>
  <si>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</si>
  <si>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</si>
  <si>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</si>
  <si>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</si>
  <si>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</si>
  <si>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</si>
  <si>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</si>
  <si>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</si>
  <si>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</si>
  <si>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</si>
  <si>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</si>
  <si>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</si>
  <si>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</si>
  <si>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</si>
  <si>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</si>
  <si>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</si>
  <si>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</si>
  <si>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</si>
  <si>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</si>
  <si>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</si>
  <si>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</si>
  <si>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</si>
  <si>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</si>
  <si>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</si>
  <si>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</si>
  <si>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</si>
  <si>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</si>
  <si>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</si>
  <si>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</si>
  <si>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</si>
  <si>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</si>
  <si>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</si>
  <si>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</si>
  <si>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</si>
  <si>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</si>
  <si>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</si>
  <si>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</si>
  <si>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</si>
  <si>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</si>
  <si>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</si>
  <si>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</si>
  <si>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</si>
  <si>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</si>
  <si>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</si>
  <si>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</si>
  <si>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</si>
  <si>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</si>
  <si>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</si>
  <si>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</si>
  <si>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</si>
  <si>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</si>
  <si>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</si>
  <si>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</si>
  <si>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</si>
  <si>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</si>
  <si>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</si>
  <si>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</si>
  <si>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</si>
  <si>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</si>
  <si>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</si>
  <si>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</si>
  <si>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</si>
  <si>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</si>
  <si>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</si>
  <si>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</si>
  <si>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</si>
  <si>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</si>
  <si>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</si>
  <si>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</si>
  <si>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9m</t>
  </si>
  <si>
    <t xml:space="preserve">CC Details
Valid Up to: </t>
  </si>
  <si>
    <t>Valid Upto 
Date</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</si>
  <si>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</si>
  <si>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</si>
  <si>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</si>
  <si>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</si>
  <si>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</si>
  <si>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</si>
  <si>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</si>
  <si>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</si>
  <si>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</si>
  <si>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</si>
  <si>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</si>
  <si>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</si>
  <si>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</si>
  <si>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</si>
  <si>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</si>
  <si>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</si>
  <si>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</si>
  <si>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</si>
  <si>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</si>
  <si>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</si>
  <si>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</si>
  <si>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</si>
  <si>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</si>
  <si>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</si>
  <si>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</si>
  <si>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</si>
  <si>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</si>
  <si>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</si>
  <si>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</si>
  <si>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</si>
  <si>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</si>
  <si>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</si>
  <si>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</si>
  <si>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</si>
  <si>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</si>
  <si>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</si>
  <si>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</si>
  <si>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</si>
  <si>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</si>
  <si>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</si>
  <si>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</si>
  <si>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</si>
  <si>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</si>
  <si>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</si>
  <si>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</si>
  <si>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</si>
  <si>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</si>
  <si>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</si>
  <si>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</si>
  <si>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</si>
  <si>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</si>
  <si>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</si>
  <si>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</si>
  <si>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</si>
  <si>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</si>
  <si>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</si>
  <si>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</si>
  <si>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</si>
  <si>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Upper</t>
  </si>
  <si>
    <t>Bitumen</t>
  </si>
  <si>
    <t>7 RCC
3Brick 
2 plaster</t>
  </si>
  <si>
    <t>Mr. Suraj Khare</t>
  </si>
  <si>
    <t>PR1181012500523</t>
  </si>
  <si>
    <t>Mahindra Marina64 - Phase 2</t>
  </si>
  <si>
    <t>Mahindra Lifespace Developers limited</t>
  </si>
  <si>
    <t>Marina64 Phase 2, 2/5 at Malad, Borivali, Mumbai Suburban, 400064</t>
  </si>
  <si>
    <t>Proposed Redevlopement on Plot Bearing CTS No. 2/5 of Village Malad-South, Near Liberty Garden, Malad West, Mumbai in P/North Ward</t>
  </si>
  <si>
    <t>Municipal Corporation of
Greater Mumbai (MCGM)</t>
  </si>
  <si>
    <t>KOTAK MAHINDRA BANK LIMITED
IFSC Code - KKBK0000958</t>
  </si>
  <si>
    <t>https://maps.app.goo.gl/agELZHVTVmNBDyJf9</t>
  </si>
  <si>
    <t>0.05 KM from Navy Nagar
(Malad-W) Bus Stop</t>
  </si>
  <si>
    <t>About 1.0KM from Criticare
Asia Multispeciality Hospital</t>
  </si>
  <si>
    <t>About 0.8KM from Rejoice
International School</t>
  </si>
  <si>
    <t>1. Approx. 0.4KM from
Reliance SMART Superstore.
2. Approx. 0.9KM from DMart.</t>
  </si>
  <si>
    <t>1.9KM from Malad Railway
Station
2.7KM from Kandivali
Railway Station</t>
  </si>
  <si>
    <t>CTS No. 2/7A</t>
  </si>
  <si>
    <t>9.14M (30'0") Wide Internal Road</t>
  </si>
  <si>
    <t>Other Plot</t>
  </si>
  <si>
    <t>Nau Sena Baug</t>
  </si>
  <si>
    <t>Navy Nagar Road</t>
  </si>
  <si>
    <t>Mamledarwadi Main Road</t>
  </si>
  <si>
    <t>Tower F</t>
  </si>
  <si>
    <t>P-20018/2023/(2/5)/P/N Ward/Malad South/337/1/Amend</t>
  </si>
  <si>
    <t>P-20018/2023/(2/5)/P/N Ward/Malad South/CC/1/New</t>
  </si>
  <si>
    <t>JUHU/WEST/B/061623/763689</t>
  </si>
  <si>
    <t xml:space="preserve">12/07/2023
</t>
  </si>
  <si>
    <t>Ground Floor For Commercial, Entrance Lobby, Meter Room, Society office, DG Room, Substation &amp; Parking</t>
  </si>
  <si>
    <t>Shop</t>
  </si>
  <si>
    <t>2BHK</t>
  </si>
  <si>
    <t>2nd Floor</t>
  </si>
  <si>
    <t xml:space="preserve">3rd Floor </t>
  </si>
  <si>
    <t>4th Floor</t>
  </si>
  <si>
    <t>Fitness Center</t>
  </si>
  <si>
    <t>Parking</t>
  </si>
  <si>
    <t>Void</t>
  </si>
  <si>
    <t>Rehab</t>
  </si>
  <si>
    <t>3BHK</t>
  </si>
  <si>
    <t xml:space="preserve"> 8th Floor </t>
  </si>
  <si>
    <t xml:space="preserve">10th, 12th, 14th, 16th, 18th Floor </t>
  </si>
  <si>
    <t>7th Floor For Refuge Area at Midlanding of Staircase</t>
  </si>
  <si>
    <t xml:space="preserve"> 9th Floor For Refuge Area at Midlanding of Staircase</t>
  </si>
  <si>
    <t>11th Floor For Refuge Area at Midlanding of Staircase</t>
  </si>
  <si>
    <t xml:space="preserve"> 13th, 15th, 17th, 19th Floor For Refuge Area at Midlanding of Staircase</t>
  </si>
  <si>
    <t>5th Floor, Mahindra Towers, Near Doordarshan, Dr. GM Bhosale Road, Worli, Mumbai - 400018</t>
  </si>
  <si>
    <t>https://www.99acres.com/mahindra-marina-64-malad-west-mumbai-andheri-dahisar-npxid-r446737</t>
  </si>
  <si>
    <t>Mr.Sanket Salvi</t>
  </si>
  <si>
    <t>18/09/2025 at 11:07AM</t>
  </si>
  <si>
    <t>Work not yet Started.</t>
  </si>
  <si>
    <t>19.187006,72.839322</t>
  </si>
  <si>
    <t xml:space="preserve">We considered Gross carpet area = Net carpet + Deck Area.
</t>
  </si>
  <si>
    <t>Mr. Atul Malusare 9029015131</t>
  </si>
  <si>
    <t>Approved Layout &amp; Floor Plans, CC, RERA certificate, Airport NOC, Fire Noc</t>
  </si>
  <si>
    <t>Work not yet started.</t>
  </si>
  <si>
    <t>Airport Authority Clearance Details
Valid For</t>
  </si>
  <si>
    <t>Fire NOC Details
Valid For</t>
  </si>
  <si>
    <t>P-20018/2023/(2/5)/P/N Ward/Malad SouthCFO/1/New</t>
  </si>
  <si>
    <t>18.30M (60'0") Wide 
Mamledar Wadi Road</t>
  </si>
  <si>
    <t>B + G + 1st to 19th Floor</t>
  </si>
  <si>
    <t>B + G + 1st to 22nd Floor</t>
  </si>
  <si>
    <t>The first C.C. is granted for the work up to top of plinth level only for the portion marked on attached plan (i.e.hatched portion marked ‘A’ to ‘Y-1’) as per Approved Amended plans dt. 25.06.2025.</t>
  </si>
  <si>
    <t>Basement Floor For Pump Room</t>
  </si>
  <si>
    <t>Deck Area</t>
  </si>
  <si>
    <t>30000 to 31000</t>
  </si>
  <si>
    <t>B + G + 1st to 22nd Floor (Total Height = 69.95 Mtrs)</t>
  </si>
  <si>
    <t>6th Floor For Residential</t>
  </si>
  <si>
    <t>We have given Valuation for Sale Flats only.</t>
  </si>
  <si>
    <t xml:space="preserve">Sale Flats = 34 
Shop = 4
Rehab Flats = 32   
</t>
  </si>
  <si>
    <t xml:space="preserve">As per RERA Site Flats = 
Total Flat  = 66
Rehab Flat = 32
NR = 4
</t>
  </si>
  <si>
    <t xml:space="preserve">Open Plot </t>
  </si>
  <si>
    <t>GHFL Mumbai</t>
  </si>
  <si>
    <t>1st Floor For Residential &amp; Part Parking Area</t>
  </si>
  <si>
    <t>5th Floor For Part Fitness Center Area</t>
  </si>
  <si>
    <t>Site Elevation (AMSL) = 4.92M
Permissible Top Elevation (AMSL) = 194.68M</t>
  </si>
  <si>
    <t>Mahindra Marina64 - Phase 2, CTS No.2/5, Redevelopment of " The Nau
Sanrakshan Co-Operative Housing Society Limited ", near Raj Manor, Navy Nagar Road, NSC Colony, Malad South, Malad West, Borivali, Mumbai - 400064.</t>
  </si>
  <si>
    <t>https://www.99acres.com/mahindra-marina-64-malad-west-mumbai-andheri-dahisar-npxid-r446737#showModal</t>
  </si>
  <si>
    <t xml:space="preserve">Amphitheater, Multipurpose court, Party Lawn, Meditation Zone, Kids Play Area, Outdoor Gym, Library, Multipurpose Hall, Senior Citizen Nook, Indoor Games Room, etc.
</t>
  </si>
  <si>
    <t>Sale + Rehab</t>
  </si>
  <si>
    <t>31/12/2029</t>
  </si>
  <si>
    <t>Raj Manor</t>
  </si>
  <si>
    <t xml:space="preserve">Tower F </t>
  </si>
  <si>
    <t>Unit Details, Nomenclature and Area Details (Shop)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</si>
</sst>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24" fillId="0" borderId="0" applyNumberFormat="0" applyFill="0" applyBorder="0" applyAlignment="0" applyProtection="0"/>
  </cellStyleXfs>
  <cellXfs count="219">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8"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3" fillId="4" borderId="1" xfId="1" applyFont="1" applyFill="1" applyBorder="1" applyAlignment="1" applyProtection="1">
      <alignment horizontal="center" vertical="center" wrapText="1"/>
      <protection hidden="1"/>
    </xf>
    <xf numFmtId="1" fontId="3" fillId="0" borderId="0" xfId="0" applyNumberFormat="1" applyFont="1" applyAlignment="1">
      <alignment vertical="top"/>
    </xf>
    <xf numFmtId="1" fontId="3" fillId="0" borderId="0" xfId="0" applyNumberFormat="1" applyFont="1" applyAlignment="1">
      <alignment horizontal="center" vertical="top"/>
    </xf>
    <xf numFmtId="1" fontId="5" fillId="4" borderId="1" xfId="1" applyNumberFormat="1" applyFont="1" applyFill="1" applyBorder="1" applyAlignment="1">
      <alignment horizontal="center" vertical="center" wrapText="1"/>
    </xf>
    <xf numFmtId="1" fontId="7" fillId="0" borderId="1" xfId="1" applyNumberFormat="1" applyFont="1" applyBorder="1" applyAlignment="1">
      <alignment horizontal="center" vertical="top" wrapText="1"/>
    </xf>
    <xf numFmtId="1" fontId="9" fillId="0" borderId="0" xfId="0" applyNumberFormat="1" applyFont="1" applyProtection="1">
      <protection hidden="1"/>
    </xf>
    <xf numFmtId="0" fontId="24" fillId="0" borderId="0" xfId="2" applyAlignment="1">
      <alignment vertical="top"/>
    </xf>
    <xf numFmtId="1" fontId="3"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7" fillId="0" borderId="0" xfId="0" applyFont="1" applyAlignment="1">
      <alignment vertical="top"/>
    </xf>
    <xf numFmtId="0" fontId="4" fillId="4" borderId="1" xfId="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0" fontId="3" fillId="4" borderId="1" xfId="0" applyFont="1" applyFill="1" applyBorder="1" applyAlignment="1">
      <alignment horizontal="left" vertical="top" wrapText="1"/>
    </xf>
    <xf numFmtId="0" fontId="25" fillId="4" borderId="1" xfId="2" applyFont="1" applyFill="1" applyBorder="1" applyAlignment="1">
      <alignment horizontal="left" vertical="top" wrapText="1"/>
    </xf>
    <xf numFmtId="0" fontId="4" fillId="4" borderId="1"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7" fillId="2" borderId="1" xfId="0" applyFont="1" applyFill="1" applyBorder="1" applyAlignment="1">
      <alignment horizontal="center" vertical="top"/>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7" fillId="4" borderId="1" xfId="1" applyNumberFormat="1" applyFont="1" applyFill="1" applyBorder="1" applyAlignment="1" applyProtection="1">
      <alignment horizontal="left" vertical="top" wrapText="1"/>
      <protection hidden="1"/>
    </xf>
    <xf numFmtId="0" fontId="4" fillId="0" borderId="1" xfId="0" applyFont="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5" fillId="4" borderId="22" xfId="1" applyNumberFormat="1" applyFont="1" applyFill="1" applyBorder="1" applyAlignment="1">
      <alignment horizontal="center" vertical="center" wrapText="1"/>
    </xf>
    <xf numFmtId="1" fontId="5" fillId="4" borderId="21"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0" xfId="1" applyNumberFormat="1" applyFont="1" applyFill="1" applyBorder="1" applyAlignment="1">
      <alignment horizontal="center" vertical="center" wrapText="1"/>
    </xf>
    <xf numFmtId="1" fontId="5" fillId="4" borderId="23" xfId="1" applyNumberFormat="1" applyFont="1" applyFill="1" applyBorder="1" applyAlignment="1">
      <alignment horizontal="center" vertical="center"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13"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49" fontId="4" fillId="4" borderId="1" xfId="0" applyNumberFormat="1" applyFont="1" applyFill="1" applyBorder="1" applyAlignment="1">
      <alignment horizontal="left" vertical="top" wrapText="1"/>
    </xf>
    <xf numFmtId="0" fontId="3"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1" fontId="5" fillId="4" borderId="12" xfId="1" applyNumberFormat="1" applyFont="1" applyFill="1" applyBorder="1" applyAlignment="1">
      <alignment horizontal="center" vertical="center"/>
    </xf>
    <xf numFmtId="1" fontId="5" fillId="4" borderId="8" xfId="1" applyNumberFormat="1" applyFont="1" applyFill="1" applyBorder="1" applyAlignment="1">
      <alignment horizontal="center" vertical="center"/>
    </xf>
    <xf numFmtId="1" fontId="5" fillId="4" borderId="13" xfId="1" applyNumberFormat="1" applyFont="1" applyFill="1" applyBorder="1" applyAlignment="1">
      <alignment horizontal="center" vertical="center"/>
    </xf>
    <xf numFmtId="1" fontId="6" fillId="4" borderId="7"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4" fillId="0" borderId="3" xfId="0" applyFont="1" applyBorder="1" applyAlignment="1">
      <alignment horizontal="left" vertical="top"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0" fontId="4" fillId="4" borderId="1" xfId="0" applyFont="1" applyFill="1" applyBorder="1" applyAlignment="1">
      <alignment horizontal="left" vertical="top"/>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00FFFF"/>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8</xdr:col>
      <xdr:colOff>326571</xdr:colOff>
      <xdr:row>49</xdr:row>
      <xdr:rowOff>312964</xdr:rowOff>
    </xdr:from>
    <xdr:to>
      <xdr:col>17</xdr:col>
      <xdr:colOff>45899</xdr:colOff>
      <xdr:row>52</xdr:row>
      <xdr:rowOff>891981</xdr:rowOff>
    </xdr:to>
    <xdr:pic>
      <xdr:nvPicPr>
        <xdr:cNvPr id="2" name="Picture 1">
          <a:extLst>
            <a:ext uri="{FF2B5EF4-FFF2-40B4-BE49-F238E27FC236}">
              <a16:creationId xmlns:a16="http://schemas.microsoft.com/office/drawing/2014/main" id="{524B3A71-B81E-40BC-8816-4072B7ECDFB4}"/>
            </a:ext>
          </a:extLst>
        </xdr:cNvPr>
        <xdr:cNvPicPr>
          <a:picLocks noChangeAspect="1"/>
        </xdr:cNvPicPr>
      </xdr:nvPicPr>
      <xdr:blipFill>
        <a:blip xmlns:r="http://schemas.openxmlformats.org/officeDocument/2006/relationships" r:embed="rId1"/>
        <a:stretch>
          <a:fillRect/>
        </a:stretch>
      </xdr:blipFill>
      <xdr:spPr>
        <a:xfrm>
          <a:off x="9688285" y="24016607"/>
          <a:ext cx="7135221" cy="1667108"/>
        </a:xfrm>
        <a:prstGeom prst="rect">
          <a:avLst/>
        </a:prstGeom>
      </xdr:spPr>
    </xdr:pic>
    <xdr:clientData/>
  </xdr:twoCellAnchor>
  <xdr:twoCellAnchor editAs="oneCell">
    <xdr:from>
      <xdr:col>8</xdr:col>
      <xdr:colOff>285750</xdr:colOff>
      <xdr:row>47</xdr:row>
      <xdr:rowOff>394608</xdr:rowOff>
    </xdr:from>
    <xdr:to>
      <xdr:col>13</xdr:col>
      <xdr:colOff>82308</xdr:colOff>
      <xdr:row>50</xdr:row>
      <xdr:rowOff>190619</xdr:rowOff>
    </xdr:to>
    <xdr:pic>
      <xdr:nvPicPr>
        <xdr:cNvPr id="3" name="Picture 2">
          <a:extLst>
            <a:ext uri="{FF2B5EF4-FFF2-40B4-BE49-F238E27FC236}">
              <a16:creationId xmlns:a16="http://schemas.microsoft.com/office/drawing/2014/main" id="{5F8A5E74-2E01-4576-B156-F6DE7495D6A9}"/>
            </a:ext>
          </a:extLst>
        </xdr:cNvPr>
        <xdr:cNvPicPr>
          <a:picLocks noChangeAspect="1"/>
        </xdr:cNvPicPr>
      </xdr:nvPicPr>
      <xdr:blipFill>
        <a:blip xmlns:r="http://schemas.openxmlformats.org/officeDocument/2006/relationships" r:embed="rId2"/>
        <a:stretch>
          <a:fillRect/>
        </a:stretch>
      </xdr:blipFill>
      <xdr:spPr>
        <a:xfrm>
          <a:off x="9647464" y="22996072"/>
          <a:ext cx="4763165" cy="857370"/>
        </a:xfrm>
        <a:prstGeom prst="rect">
          <a:avLst/>
        </a:prstGeom>
      </xdr:spPr>
    </xdr:pic>
    <xdr:clientData/>
  </xdr:twoCellAnchor>
  <xdr:twoCellAnchor editAs="oneCell">
    <xdr:from>
      <xdr:col>8</xdr:col>
      <xdr:colOff>1561114</xdr:colOff>
      <xdr:row>48</xdr:row>
      <xdr:rowOff>219446</xdr:rowOff>
    </xdr:from>
    <xdr:to>
      <xdr:col>17</xdr:col>
      <xdr:colOff>394493</xdr:colOff>
      <xdr:row>57</xdr:row>
      <xdr:rowOff>190182</xdr:rowOff>
    </xdr:to>
    <xdr:pic>
      <xdr:nvPicPr>
        <xdr:cNvPr id="4" name="Picture 3">
          <a:extLst>
            <a:ext uri="{FF2B5EF4-FFF2-40B4-BE49-F238E27FC236}">
              <a16:creationId xmlns:a16="http://schemas.microsoft.com/office/drawing/2014/main" id="{7F118C67-1512-4ECA-BD04-0F6C2A0BFF9B}"/>
            </a:ext>
          </a:extLst>
        </xdr:cNvPr>
        <xdr:cNvPicPr>
          <a:picLocks noChangeAspect="1"/>
        </xdr:cNvPicPr>
      </xdr:nvPicPr>
      <xdr:blipFill>
        <a:blip xmlns:r="http://schemas.openxmlformats.org/officeDocument/2006/relationships" r:embed="rId3"/>
        <a:stretch>
          <a:fillRect/>
        </a:stretch>
      </xdr:blipFill>
      <xdr:spPr>
        <a:xfrm>
          <a:off x="10922828" y="22535160"/>
          <a:ext cx="6249272" cy="3045950"/>
        </a:xfrm>
        <a:prstGeom prst="rect">
          <a:avLst/>
        </a:prstGeom>
      </xdr:spPr>
    </xdr:pic>
    <xdr:clientData/>
  </xdr:twoCellAnchor>
  <xdr:twoCellAnchor editAs="oneCell">
    <xdr:from>
      <xdr:col>8</xdr:col>
      <xdr:colOff>880753</xdr:colOff>
      <xdr:row>47</xdr:row>
      <xdr:rowOff>121227</xdr:rowOff>
    </xdr:from>
    <xdr:to>
      <xdr:col>16</xdr:col>
      <xdr:colOff>402664</xdr:colOff>
      <xdr:row>52</xdr:row>
      <xdr:rowOff>331925</xdr:rowOff>
    </xdr:to>
    <xdr:pic>
      <xdr:nvPicPr>
        <xdr:cNvPr id="5" name="Picture 4">
          <a:extLst>
            <a:ext uri="{FF2B5EF4-FFF2-40B4-BE49-F238E27FC236}">
              <a16:creationId xmlns:a16="http://schemas.microsoft.com/office/drawing/2014/main" id="{54680F25-279F-4986-B14B-81B49B778719}"/>
            </a:ext>
          </a:extLst>
        </xdr:cNvPr>
        <xdr:cNvPicPr>
          <a:picLocks noChangeAspect="1"/>
        </xdr:cNvPicPr>
      </xdr:nvPicPr>
      <xdr:blipFill>
        <a:blip xmlns:r="http://schemas.openxmlformats.org/officeDocument/2006/relationships" r:embed="rId4"/>
        <a:stretch>
          <a:fillRect/>
        </a:stretch>
      </xdr:blipFill>
      <xdr:spPr>
        <a:xfrm>
          <a:off x="10242467" y="21892656"/>
          <a:ext cx="6325483" cy="2047663"/>
        </a:xfrm>
        <a:prstGeom prst="rect">
          <a:avLst/>
        </a:prstGeom>
      </xdr:spPr>
    </xdr:pic>
    <xdr:clientData/>
  </xdr:twoCellAnchor>
  <xdr:twoCellAnchor editAs="oneCell">
    <xdr:from>
      <xdr:col>10</xdr:col>
      <xdr:colOff>146259</xdr:colOff>
      <xdr:row>69</xdr:row>
      <xdr:rowOff>234577</xdr:rowOff>
    </xdr:from>
    <xdr:to>
      <xdr:col>30</xdr:col>
      <xdr:colOff>102672</xdr:colOff>
      <xdr:row>124</xdr:row>
      <xdr:rowOff>15834</xdr:rowOff>
    </xdr:to>
    <xdr:pic>
      <xdr:nvPicPr>
        <xdr:cNvPr id="6" name="Picture 5">
          <a:extLst>
            <a:ext uri="{FF2B5EF4-FFF2-40B4-BE49-F238E27FC236}">
              <a16:creationId xmlns:a16="http://schemas.microsoft.com/office/drawing/2014/main" id="{10DA710E-3CF4-4CD5-9233-84D4A68A0F8F}"/>
            </a:ext>
          </a:extLst>
        </xdr:cNvPr>
        <xdr:cNvPicPr>
          <a:picLocks noChangeAspect="1"/>
        </xdr:cNvPicPr>
      </xdr:nvPicPr>
      <xdr:blipFill>
        <a:blip xmlns:r="http://schemas.openxmlformats.org/officeDocument/2006/relationships" r:embed="rId5"/>
        <a:stretch>
          <a:fillRect/>
        </a:stretch>
      </xdr:blipFill>
      <xdr:spPr>
        <a:xfrm>
          <a:off x="12637616" y="28809577"/>
          <a:ext cx="10284235" cy="6258257"/>
        </a:xfrm>
        <a:prstGeom prst="rect">
          <a:avLst/>
        </a:prstGeom>
      </xdr:spPr>
    </xdr:pic>
    <xdr:clientData/>
  </xdr:twoCellAnchor>
  <xdr:twoCellAnchor editAs="oneCell">
    <xdr:from>
      <xdr:col>8</xdr:col>
      <xdr:colOff>262536</xdr:colOff>
      <xdr:row>130</xdr:row>
      <xdr:rowOff>176891</xdr:rowOff>
    </xdr:from>
    <xdr:to>
      <xdr:col>16</xdr:col>
      <xdr:colOff>290712</xdr:colOff>
      <xdr:row>140</xdr:row>
      <xdr:rowOff>150478</xdr:rowOff>
    </xdr:to>
    <xdr:pic>
      <xdr:nvPicPr>
        <xdr:cNvPr id="7" name="Picture 6">
          <a:extLst>
            <a:ext uri="{FF2B5EF4-FFF2-40B4-BE49-F238E27FC236}">
              <a16:creationId xmlns:a16="http://schemas.microsoft.com/office/drawing/2014/main" id="{BB150FCE-A74C-4AA9-B7AE-69D309E2E8CB}"/>
            </a:ext>
          </a:extLst>
        </xdr:cNvPr>
        <xdr:cNvPicPr>
          <a:picLocks noChangeAspect="1"/>
        </xdr:cNvPicPr>
      </xdr:nvPicPr>
      <xdr:blipFill>
        <a:blip xmlns:r="http://schemas.openxmlformats.org/officeDocument/2006/relationships" r:embed="rId6"/>
        <a:stretch>
          <a:fillRect/>
        </a:stretch>
      </xdr:blipFill>
      <xdr:spPr>
        <a:xfrm>
          <a:off x="9624250" y="37392427"/>
          <a:ext cx="6831748" cy="2558945"/>
        </a:xfrm>
        <a:prstGeom prst="rect">
          <a:avLst/>
        </a:prstGeom>
      </xdr:spPr>
    </xdr:pic>
    <xdr:clientData/>
  </xdr:twoCellAnchor>
  <xdr:twoCellAnchor editAs="oneCell">
    <xdr:from>
      <xdr:col>8</xdr:col>
      <xdr:colOff>1144600</xdr:colOff>
      <xdr:row>140</xdr:row>
      <xdr:rowOff>132069</xdr:rowOff>
    </xdr:from>
    <xdr:to>
      <xdr:col>17</xdr:col>
      <xdr:colOff>277542</xdr:colOff>
      <xdr:row>156</xdr:row>
      <xdr:rowOff>104855</xdr:rowOff>
    </xdr:to>
    <xdr:pic>
      <xdr:nvPicPr>
        <xdr:cNvPr id="8" name="Picture 7">
          <a:extLst>
            <a:ext uri="{FF2B5EF4-FFF2-40B4-BE49-F238E27FC236}">
              <a16:creationId xmlns:a16="http://schemas.microsoft.com/office/drawing/2014/main" id="{CABE6ACD-C0CA-4FAA-BDB9-7B3782475267}"/>
            </a:ext>
          </a:extLst>
        </xdr:cNvPr>
        <xdr:cNvPicPr>
          <a:picLocks noChangeAspect="1"/>
        </xdr:cNvPicPr>
      </xdr:nvPicPr>
      <xdr:blipFill>
        <a:blip xmlns:r="http://schemas.openxmlformats.org/officeDocument/2006/relationships" r:embed="rId7"/>
        <a:stretch>
          <a:fillRect/>
        </a:stretch>
      </xdr:blipFill>
      <xdr:spPr>
        <a:xfrm>
          <a:off x="10506314" y="39932962"/>
          <a:ext cx="6548835" cy="4109357"/>
        </a:xfrm>
        <a:prstGeom prst="rect">
          <a:avLst/>
        </a:prstGeom>
      </xdr:spPr>
    </xdr:pic>
    <xdr:clientData/>
  </xdr:twoCellAnchor>
  <xdr:twoCellAnchor editAs="oneCell">
    <xdr:from>
      <xdr:col>8</xdr:col>
      <xdr:colOff>1947422</xdr:colOff>
      <xdr:row>189</xdr:row>
      <xdr:rowOff>5458</xdr:rowOff>
    </xdr:from>
    <xdr:to>
      <xdr:col>23</xdr:col>
      <xdr:colOff>401006</xdr:colOff>
      <xdr:row>195</xdr:row>
      <xdr:rowOff>50425</xdr:rowOff>
    </xdr:to>
    <xdr:pic>
      <xdr:nvPicPr>
        <xdr:cNvPr id="9" name="Picture 8">
          <a:extLst>
            <a:ext uri="{FF2B5EF4-FFF2-40B4-BE49-F238E27FC236}">
              <a16:creationId xmlns:a16="http://schemas.microsoft.com/office/drawing/2014/main" id="{57857991-78A1-4F32-9C1A-C97B7E460595}"/>
            </a:ext>
          </a:extLst>
        </xdr:cNvPr>
        <xdr:cNvPicPr>
          <a:picLocks noChangeAspect="1"/>
        </xdr:cNvPicPr>
      </xdr:nvPicPr>
      <xdr:blipFill>
        <a:blip xmlns:r="http://schemas.openxmlformats.org/officeDocument/2006/relationships" r:embed="rId8"/>
        <a:stretch>
          <a:fillRect/>
        </a:stretch>
      </xdr:blipFill>
      <xdr:spPr>
        <a:xfrm>
          <a:off x="11309136" y="55971637"/>
          <a:ext cx="7706441" cy="1596183"/>
        </a:xfrm>
        <a:prstGeom prst="rect">
          <a:avLst/>
        </a:prstGeom>
      </xdr:spPr>
    </xdr:pic>
    <xdr:clientData/>
  </xdr:twoCellAnchor>
  <xdr:twoCellAnchor editAs="oneCell">
    <xdr:from>
      <xdr:col>12</xdr:col>
      <xdr:colOff>421821</xdr:colOff>
      <xdr:row>177</xdr:row>
      <xdr:rowOff>27268</xdr:rowOff>
    </xdr:from>
    <xdr:to>
      <xdr:col>26</xdr:col>
      <xdr:colOff>587024</xdr:colOff>
      <xdr:row>182</xdr:row>
      <xdr:rowOff>147596</xdr:rowOff>
    </xdr:to>
    <xdr:pic>
      <xdr:nvPicPr>
        <xdr:cNvPr id="10" name="Picture 9">
          <a:extLst>
            <a:ext uri="{FF2B5EF4-FFF2-40B4-BE49-F238E27FC236}">
              <a16:creationId xmlns:a16="http://schemas.microsoft.com/office/drawing/2014/main" id="{1E75376E-55E7-4F49-B256-CA900E5C7B3A}"/>
            </a:ext>
          </a:extLst>
        </xdr:cNvPr>
        <xdr:cNvPicPr>
          <a:picLocks noChangeAspect="1"/>
        </xdr:cNvPicPr>
      </xdr:nvPicPr>
      <xdr:blipFill>
        <a:blip xmlns:r="http://schemas.openxmlformats.org/officeDocument/2006/relationships" r:embed="rId8"/>
        <a:stretch>
          <a:fillRect/>
        </a:stretch>
      </xdr:blipFill>
      <xdr:spPr>
        <a:xfrm>
          <a:off x="14137821" y="49598089"/>
          <a:ext cx="6819096" cy="1413007"/>
        </a:xfrm>
        <a:prstGeom prst="rect">
          <a:avLst/>
        </a:prstGeom>
      </xdr:spPr>
    </xdr:pic>
    <xdr:clientData/>
  </xdr:twoCellAnchor>
  <xdr:twoCellAnchor>
    <xdr:from>
      <xdr:col>1</xdr:col>
      <xdr:colOff>149679</xdr:colOff>
      <xdr:row>254</xdr:row>
      <xdr:rowOff>13607</xdr:rowOff>
    </xdr:from>
    <xdr:to>
      <xdr:col>6</xdr:col>
      <xdr:colOff>1047750</xdr:colOff>
      <xdr:row>299</xdr:row>
      <xdr:rowOff>212911</xdr:rowOff>
    </xdr:to>
    <xdr:grpSp>
      <xdr:nvGrpSpPr>
        <xdr:cNvPr id="11" name="Group 10">
          <a:extLst>
            <a:ext uri="{FF2B5EF4-FFF2-40B4-BE49-F238E27FC236}">
              <a16:creationId xmlns:a16="http://schemas.microsoft.com/office/drawing/2014/main" id="{90404BBD-9960-4332-BF59-F49C9789CD98}"/>
            </a:ext>
          </a:extLst>
        </xdr:cNvPr>
        <xdr:cNvGrpSpPr/>
      </xdr:nvGrpSpPr>
      <xdr:grpSpPr>
        <a:xfrm>
          <a:off x="1319893" y="68974607"/>
          <a:ext cx="6749143" cy="11833411"/>
          <a:chOff x="1309426" y="428299"/>
          <a:chExt cx="3743847" cy="8037923"/>
        </a:xfrm>
      </xdr:grpSpPr>
      <xdr:pic>
        <xdr:nvPicPr>
          <xdr:cNvPr id="12" name="Picture 11">
            <a:extLst>
              <a:ext uri="{FF2B5EF4-FFF2-40B4-BE49-F238E27FC236}">
                <a16:creationId xmlns:a16="http://schemas.microsoft.com/office/drawing/2014/main" id="{0D5E7343-899F-499C-AF99-8259120BDE41}"/>
              </a:ext>
            </a:extLst>
          </xdr:cNvPr>
          <xdr:cNvPicPr>
            <a:picLocks noChangeAspect="1"/>
          </xdr:cNvPicPr>
        </xdr:nvPicPr>
        <xdr:blipFill>
          <a:blip xmlns:r="http://schemas.openxmlformats.org/officeDocument/2006/relationships" r:embed="rId9"/>
          <a:stretch>
            <a:fillRect/>
          </a:stretch>
        </xdr:blipFill>
        <xdr:spPr>
          <a:xfrm>
            <a:off x="1309426" y="428299"/>
            <a:ext cx="3743847" cy="4667901"/>
          </a:xfrm>
          <a:prstGeom prst="rect">
            <a:avLst/>
          </a:prstGeom>
          <a:ln>
            <a:solidFill>
              <a:schemeClr val="tx1"/>
            </a:solidFill>
          </a:ln>
        </xdr:spPr>
      </xdr:pic>
      <xdr:pic>
        <xdr:nvPicPr>
          <xdr:cNvPr id="13" name="Picture 12">
            <a:extLst>
              <a:ext uri="{FF2B5EF4-FFF2-40B4-BE49-F238E27FC236}">
                <a16:creationId xmlns:a16="http://schemas.microsoft.com/office/drawing/2014/main" id="{E2D4B7AB-DC51-4680-9134-F4AFDA31D113}"/>
              </a:ext>
            </a:extLst>
          </xdr:cNvPr>
          <xdr:cNvPicPr>
            <a:picLocks noChangeAspect="1"/>
          </xdr:cNvPicPr>
        </xdr:nvPicPr>
        <xdr:blipFill>
          <a:blip xmlns:r="http://schemas.openxmlformats.org/officeDocument/2006/relationships" r:embed="rId10"/>
          <a:stretch>
            <a:fillRect/>
          </a:stretch>
        </xdr:blipFill>
        <xdr:spPr>
          <a:xfrm>
            <a:off x="1645670" y="5157030"/>
            <a:ext cx="2860850" cy="3309192"/>
          </a:xfrm>
          <a:prstGeom prst="rect">
            <a:avLst/>
          </a:prstGeom>
          <a:ln>
            <a:solidFill>
              <a:schemeClr val="tx1"/>
            </a:solidFill>
          </a:ln>
        </xdr:spPr>
      </xdr:pic>
    </xdr:grpSp>
    <xdr:clientData/>
  </xdr:twoCellAnchor>
  <xdr:twoCellAnchor editAs="oneCell">
    <xdr:from>
      <xdr:col>16</xdr:col>
      <xdr:colOff>593766</xdr:colOff>
      <xdr:row>69</xdr:row>
      <xdr:rowOff>217716</xdr:rowOff>
    </xdr:from>
    <xdr:to>
      <xdr:col>30</xdr:col>
      <xdr:colOff>403673</xdr:colOff>
      <xdr:row>109</xdr:row>
      <xdr:rowOff>491797</xdr:rowOff>
    </xdr:to>
    <xdr:pic>
      <xdr:nvPicPr>
        <xdr:cNvPr id="14" name="Picture 13">
          <a:extLst>
            <a:ext uri="{FF2B5EF4-FFF2-40B4-BE49-F238E27FC236}">
              <a16:creationId xmlns:a16="http://schemas.microsoft.com/office/drawing/2014/main" id="{43D0F185-A88D-456B-A084-0F9459F58DD0}"/>
            </a:ext>
          </a:extLst>
        </xdr:cNvPr>
        <xdr:cNvPicPr>
          <a:picLocks noChangeAspect="1"/>
        </xdr:cNvPicPr>
      </xdr:nvPicPr>
      <xdr:blipFill>
        <a:blip xmlns:r="http://schemas.openxmlformats.org/officeDocument/2006/relationships" r:embed="rId11"/>
        <a:stretch>
          <a:fillRect/>
        </a:stretch>
      </xdr:blipFill>
      <xdr:spPr>
        <a:xfrm>
          <a:off x="16768948" y="28740761"/>
          <a:ext cx="6390816" cy="2373292"/>
        </a:xfrm>
        <a:prstGeom prst="rect">
          <a:avLst/>
        </a:prstGeom>
      </xdr:spPr>
    </xdr:pic>
    <xdr:clientData/>
  </xdr:twoCellAnchor>
  <xdr:twoCellAnchor editAs="oneCell">
    <xdr:from>
      <xdr:col>9</xdr:col>
      <xdr:colOff>401074</xdr:colOff>
      <xdr:row>57</xdr:row>
      <xdr:rowOff>121228</xdr:rowOff>
    </xdr:from>
    <xdr:to>
      <xdr:col>26</xdr:col>
      <xdr:colOff>50539</xdr:colOff>
      <xdr:row>67</xdr:row>
      <xdr:rowOff>161973</xdr:rowOff>
    </xdr:to>
    <xdr:pic>
      <xdr:nvPicPr>
        <xdr:cNvPr id="15" name="Picture 14">
          <a:extLst>
            <a:ext uri="{FF2B5EF4-FFF2-40B4-BE49-F238E27FC236}">
              <a16:creationId xmlns:a16="http://schemas.microsoft.com/office/drawing/2014/main" id="{F06257C6-990B-4535-94AE-3E06FD055875}"/>
            </a:ext>
          </a:extLst>
        </xdr:cNvPr>
        <xdr:cNvPicPr>
          <a:picLocks noChangeAspect="1"/>
        </xdr:cNvPicPr>
      </xdr:nvPicPr>
      <xdr:blipFill>
        <a:blip xmlns:r="http://schemas.openxmlformats.org/officeDocument/2006/relationships" r:embed="rId12"/>
        <a:stretch>
          <a:fillRect/>
        </a:stretch>
      </xdr:blipFill>
      <xdr:spPr>
        <a:xfrm>
          <a:off x="12073529" y="24972819"/>
          <a:ext cx="8308555" cy="2638472"/>
        </a:xfrm>
        <a:prstGeom prst="rect">
          <a:avLst/>
        </a:prstGeom>
      </xdr:spPr>
    </xdr:pic>
    <xdr:clientData/>
  </xdr:twoCellAnchor>
  <xdr:twoCellAnchor>
    <xdr:from>
      <xdr:col>1</xdr:col>
      <xdr:colOff>1092654</xdr:colOff>
      <xdr:row>302</xdr:row>
      <xdr:rowOff>102054</xdr:rowOff>
    </xdr:from>
    <xdr:to>
      <xdr:col>6</xdr:col>
      <xdr:colOff>942975</xdr:colOff>
      <xdr:row>330</xdr:row>
      <xdr:rowOff>95251</xdr:rowOff>
    </xdr:to>
    <xdr:grpSp>
      <xdr:nvGrpSpPr>
        <xdr:cNvPr id="42" name="Group 41"/>
        <xdr:cNvGrpSpPr/>
      </xdr:nvGrpSpPr>
      <xdr:grpSpPr>
        <a:xfrm>
          <a:off x="2262868" y="81472768"/>
          <a:ext cx="5701393" cy="7232197"/>
          <a:chOff x="2178504" y="82026578"/>
          <a:chExt cx="4928648" cy="6403168"/>
        </a:xfrm>
      </xdr:grpSpPr>
      <xdr:pic>
        <xdr:nvPicPr>
          <xdr:cNvPr id="41" name="Picture 40"/>
          <xdr:cNvPicPr>
            <a:picLocks noChangeAspect="1"/>
          </xdr:cNvPicPr>
        </xdr:nvPicPr>
        <xdr:blipFill>
          <a:blip xmlns:r="http://schemas.openxmlformats.org/officeDocument/2006/relationships" r:embed="rId13"/>
          <a:stretch>
            <a:fillRect/>
          </a:stretch>
        </xdr:blipFill>
        <xdr:spPr>
          <a:xfrm>
            <a:off x="2178504" y="82026578"/>
            <a:ext cx="4928648" cy="3697836"/>
          </a:xfrm>
          <a:prstGeom prst="rect">
            <a:avLst/>
          </a:prstGeom>
          <a:ln>
            <a:solidFill>
              <a:sysClr val="windowText" lastClr="000000"/>
            </a:solidFill>
          </a:ln>
        </xdr:spPr>
      </xdr:pic>
      <xdr:grpSp>
        <xdr:nvGrpSpPr>
          <xdr:cNvPr id="16" name="Group 15">
            <a:extLst>
              <a:ext uri="{FF2B5EF4-FFF2-40B4-BE49-F238E27FC236}">
                <a16:creationId xmlns:a16="http://schemas.microsoft.com/office/drawing/2014/main" id="{32563D0A-81B9-4DA4-ACC7-41115B6AC8A9}"/>
              </a:ext>
            </a:extLst>
          </xdr:cNvPr>
          <xdr:cNvGrpSpPr/>
        </xdr:nvGrpSpPr>
        <xdr:grpSpPr>
          <a:xfrm>
            <a:off x="2488013" y="82683390"/>
            <a:ext cx="4307912" cy="5746356"/>
            <a:chOff x="1518061" y="1960472"/>
            <a:chExt cx="3607522" cy="5033330"/>
          </a:xfrm>
        </xdr:grpSpPr>
        <xdr:pic>
          <xdr:nvPicPr>
            <xdr:cNvPr id="18" name="Picture 17">
              <a:extLst>
                <a:ext uri="{FF2B5EF4-FFF2-40B4-BE49-F238E27FC236}">
                  <a16:creationId xmlns:a16="http://schemas.microsoft.com/office/drawing/2014/main" id="{38B7473A-DD48-4749-982F-E3AC8FE14E88}"/>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1518061" y="4711856"/>
              <a:ext cx="3607522" cy="2281946"/>
            </a:xfrm>
            <a:prstGeom prst="rect">
              <a:avLst/>
            </a:prstGeom>
            <a:ln>
              <a:solidFill>
                <a:schemeClr val="tx1"/>
              </a:solidFill>
            </a:ln>
          </xdr:spPr>
        </xdr:pic>
        <xdr:sp macro="" textlink="">
          <xdr:nvSpPr>
            <xdr:cNvPr id="19" name="Rectangle 18">
              <a:extLst>
                <a:ext uri="{FF2B5EF4-FFF2-40B4-BE49-F238E27FC236}">
                  <a16:creationId xmlns:a16="http://schemas.microsoft.com/office/drawing/2014/main" id="{F4456BBA-5DE4-4BFC-A88A-D854EAEC2E9F}"/>
                </a:ext>
              </a:extLst>
            </xdr:cNvPr>
            <xdr:cNvSpPr/>
          </xdr:nvSpPr>
          <xdr:spPr>
            <a:xfrm>
              <a:off x="3191441" y="2462380"/>
              <a:ext cx="406797" cy="56519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0" name="TextBox 48">
              <a:extLst>
                <a:ext uri="{FF2B5EF4-FFF2-40B4-BE49-F238E27FC236}">
                  <a16:creationId xmlns:a16="http://schemas.microsoft.com/office/drawing/2014/main" id="{8F946778-E787-4570-A263-BA63A47DD303}"/>
                </a:ext>
              </a:extLst>
            </xdr:cNvPr>
            <xdr:cNvSpPr txBox="1"/>
          </xdr:nvSpPr>
          <xdr:spPr>
            <a:xfrm>
              <a:off x="2443350" y="1960472"/>
              <a:ext cx="1657964" cy="48667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solidFill>
                    <a:srgbClr val="FFFF00"/>
                  </a:solidFill>
                  <a:latin typeface="Times New Roman" panose="02020603050405020304" pitchFamily="18" charset="0"/>
                  <a:cs typeface="Times New Roman" panose="02020603050405020304" pitchFamily="18" charset="0"/>
                </a:rPr>
                <a:t>Mahindra Marina64</a:t>
              </a:r>
              <a:r>
                <a:rPr lang="en-US" sz="1800" b="1" baseline="0">
                  <a:solidFill>
                    <a:srgbClr val="FFFF00"/>
                  </a:solidFill>
                  <a:latin typeface="Times New Roman" panose="02020603050405020304" pitchFamily="18" charset="0"/>
                  <a:cs typeface="Times New Roman" panose="02020603050405020304" pitchFamily="18" charset="0"/>
                </a:rPr>
                <a:t> </a:t>
              </a:r>
              <a:r>
                <a:rPr lang="en-US" sz="1800" b="1">
                  <a:solidFill>
                    <a:srgbClr val="FFFF00"/>
                  </a:solidFill>
                  <a:latin typeface="Times New Roman" panose="02020603050405020304" pitchFamily="18" charset="0"/>
                  <a:cs typeface="Times New Roman" panose="02020603050405020304" pitchFamily="18" charset="0"/>
                </a:rPr>
                <a:t>Phase 2</a:t>
              </a:r>
              <a:endParaRPr lang="en-IN" sz="1800" b="1">
                <a:solidFill>
                  <a:srgbClr val="FFFF00"/>
                </a:solidFill>
                <a:latin typeface="Times New Roman" panose="02020603050405020304" pitchFamily="18" charset="0"/>
                <a:cs typeface="Times New Roman" panose="02020603050405020304" pitchFamily="18" charset="0"/>
              </a:endParaRPr>
            </a:p>
          </xdr:txBody>
        </xdr:sp>
        <xdr:sp macro="" textlink="">
          <xdr:nvSpPr>
            <xdr:cNvPr id="38" name="Rectangle 37">
              <a:extLst>
                <a:ext uri="{FF2B5EF4-FFF2-40B4-BE49-F238E27FC236}">
                  <a16:creationId xmlns:a16="http://schemas.microsoft.com/office/drawing/2014/main" id="{F4456BBA-5DE4-4BFC-A88A-D854EAEC2E9F}"/>
                </a:ext>
              </a:extLst>
            </xdr:cNvPr>
            <xdr:cNvSpPr/>
          </xdr:nvSpPr>
          <xdr:spPr>
            <a:xfrm>
              <a:off x="3199417" y="3104797"/>
              <a:ext cx="430725" cy="565193"/>
            </a:xfrm>
            <a:prstGeom prst="rect">
              <a:avLst/>
            </a:prstGeom>
            <a:noFill/>
            <a:ln w="28575">
              <a:solidFill>
                <a:srgbClr val="00FF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TextBox 48">
              <a:extLst>
                <a:ext uri="{FF2B5EF4-FFF2-40B4-BE49-F238E27FC236}">
                  <a16:creationId xmlns:a16="http://schemas.microsoft.com/office/drawing/2014/main" id="{8F946778-E787-4570-A263-BA63A47DD303}"/>
                </a:ext>
              </a:extLst>
            </xdr:cNvPr>
            <xdr:cNvSpPr txBox="1"/>
          </xdr:nvSpPr>
          <xdr:spPr>
            <a:xfrm>
              <a:off x="2602020" y="3634018"/>
              <a:ext cx="1517320" cy="4399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00FFFF"/>
                  </a:solidFill>
                  <a:latin typeface="Times New Roman" panose="02020603050405020304" pitchFamily="18" charset="0"/>
                  <a:cs typeface="Times New Roman" panose="02020603050405020304" pitchFamily="18" charset="0"/>
                </a:rPr>
                <a:t>Mahindra Marina64</a:t>
              </a:r>
              <a:r>
                <a:rPr lang="en-US" sz="1600" b="1" baseline="0">
                  <a:solidFill>
                    <a:srgbClr val="00FFFF"/>
                  </a:solidFill>
                  <a:latin typeface="Times New Roman" panose="02020603050405020304" pitchFamily="18" charset="0"/>
                  <a:cs typeface="Times New Roman" panose="02020603050405020304" pitchFamily="18" charset="0"/>
                </a:rPr>
                <a:t> </a:t>
              </a:r>
              <a:r>
                <a:rPr lang="en-US" sz="1600" b="1">
                  <a:solidFill>
                    <a:srgbClr val="00FFFF"/>
                  </a:solidFill>
                  <a:latin typeface="Times New Roman" panose="02020603050405020304" pitchFamily="18" charset="0"/>
                  <a:cs typeface="Times New Roman" panose="02020603050405020304" pitchFamily="18" charset="0"/>
                </a:rPr>
                <a:t>Phase 1</a:t>
              </a:r>
              <a:endParaRPr lang="en-IN" sz="1600" b="1">
                <a:solidFill>
                  <a:srgbClr val="00FFFF"/>
                </a:solidFill>
                <a:latin typeface="Times New Roman" panose="02020603050405020304" pitchFamily="18" charset="0"/>
                <a:cs typeface="Times New Roman" panose="02020603050405020304" pitchFamily="18" charset="0"/>
              </a:endParaRPr>
            </a:p>
          </xdr:txBody>
        </xdr:sp>
      </xdr:grpSp>
    </xdr:grpSp>
    <xdr:clientData/>
  </xdr:twoCellAnchor>
  <xdr:twoCellAnchor editAs="oneCell">
    <xdr:from>
      <xdr:col>17</xdr:col>
      <xdr:colOff>320895</xdr:colOff>
      <xdr:row>118</xdr:row>
      <xdr:rowOff>173183</xdr:rowOff>
    </xdr:from>
    <xdr:to>
      <xdr:col>30</xdr:col>
      <xdr:colOff>230997</xdr:colOff>
      <xdr:row>123</xdr:row>
      <xdr:rowOff>63596</xdr:rowOff>
    </xdr:to>
    <xdr:pic>
      <xdr:nvPicPr>
        <xdr:cNvPr id="21" name="Picture 20">
          <a:extLst>
            <a:ext uri="{FF2B5EF4-FFF2-40B4-BE49-F238E27FC236}">
              <a16:creationId xmlns:a16="http://schemas.microsoft.com/office/drawing/2014/main" id="{AAE89559-6965-441C-B59A-7C597340F2B8}"/>
            </a:ext>
          </a:extLst>
        </xdr:cNvPr>
        <xdr:cNvPicPr>
          <a:picLocks noChangeAspect="1"/>
        </xdr:cNvPicPr>
      </xdr:nvPicPr>
      <xdr:blipFill>
        <a:blip xmlns:r="http://schemas.openxmlformats.org/officeDocument/2006/relationships" r:embed="rId15"/>
        <a:stretch>
          <a:fillRect/>
        </a:stretch>
      </xdr:blipFill>
      <xdr:spPr>
        <a:xfrm>
          <a:off x="17102213" y="34064865"/>
          <a:ext cx="5884875" cy="929504"/>
        </a:xfrm>
        <a:prstGeom prst="rect">
          <a:avLst/>
        </a:prstGeom>
      </xdr:spPr>
    </xdr:pic>
    <xdr:clientData/>
  </xdr:twoCellAnchor>
  <xdr:twoCellAnchor>
    <xdr:from>
      <xdr:col>0</xdr:col>
      <xdr:colOff>485054</xdr:colOff>
      <xdr:row>207</xdr:row>
      <xdr:rowOff>160079</xdr:rowOff>
    </xdr:from>
    <xdr:to>
      <xdr:col>7</xdr:col>
      <xdr:colOff>775605</xdr:colOff>
      <xdr:row>249</xdr:row>
      <xdr:rowOff>190498</xdr:rowOff>
    </xdr:to>
    <xdr:grpSp>
      <xdr:nvGrpSpPr>
        <xdr:cNvPr id="22" name="Group 21">
          <a:extLst>
            <a:ext uri="{FF2B5EF4-FFF2-40B4-BE49-F238E27FC236}">
              <a16:creationId xmlns:a16="http://schemas.microsoft.com/office/drawing/2014/main" id="{FE2384A6-5A3E-4DC4-9C20-ECAF51D31EE4}"/>
            </a:ext>
          </a:extLst>
        </xdr:cNvPr>
        <xdr:cNvGrpSpPr/>
      </xdr:nvGrpSpPr>
      <xdr:grpSpPr>
        <a:xfrm>
          <a:off x="485054" y="56969900"/>
          <a:ext cx="8482051" cy="10888919"/>
          <a:chOff x="294563" y="620363"/>
          <a:chExt cx="5782846" cy="7903274"/>
        </a:xfrm>
      </xdr:grpSpPr>
      <xdr:pic>
        <xdr:nvPicPr>
          <xdr:cNvPr id="23" name="Picture 22">
            <a:extLst>
              <a:ext uri="{FF2B5EF4-FFF2-40B4-BE49-F238E27FC236}">
                <a16:creationId xmlns:a16="http://schemas.microsoft.com/office/drawing/2014/main" id="{1B73142F-8D29-4B63-B639-F39F67054FBC}"/>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41540" y="620363"/>
            <a:ext cx="5405381" cy="3600000"/>
          </a:xfrm>
          <a:prstGeom prst="rect">
            <a:avLst/>
          </a:prstGeom>
          <a:ln>
            <a:solidFill>
              <a:schemeClr val="tx1"/>
            </a:solidFill>
          </a:ln>
        </xdr:spPr>
      </xdr:pic>
      <xdr:pic>
        <xdr:nvPicPr>
          <xdr:cNvPr id="24" name="Picture 23">
            <a:extLst>
              <a:ext uri="{FF2B5EF4-FFF2-40B4-BE49-F238E27FC236}">
                <a16:creationId xmlns:a16="http://schemas.microsoft.com/office/drawing/2014/main" id="{90561691-67AA-4870-A6E7-4BCB69252377}"/>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441540" y="4382478"/>
            <a:ext cx="2637555" cy="1980000"/>
          </a:xfrm>
          <a:prstGeom prst="rect">
            <a:avLst/>
          </a:prstGeom>
          <a:ln>
            <a:solidFill>
              <a:schemeClr val="tx1"/>
            </a:solidFill>
          </a:ln>
        </xdr:spPr>
      </xdr:pic>
      <xdr:pic>
        <xdr:nvPicPr>
          <xdr:cNvPr id="25" name="Picture 24">
            <a:extLst>
              <a:ext uri="{FF2B5EF4-FFF2-40B4-BE49-F238E27FC236}">
                <a16:creationId xmlns:a16="http://schemas.microsoft.com/office/drawing/2014/main" id="{9A194B69-EE59-40C2-A602-63F13E65EE28}"/>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209366" y="4382478"/>
            <a:ext cx="2637555" cy="1980000"/>
          </a:xfrm>
          <a:prstGeom prst="rect">
            <a:avLst/>
          </a:prstGeom>
          <a:ln>
            <a:solidFill>
              <a:schemeClr val="tx1"/>
            </a:solidFill>
          </a:ln>
        </xdr:spPr>
      </xdr:pic>
      <xdr:pic>
        <xdr:nvPicPr>
          <xdr:cNvPr id="26" name="Picture 25">
            <a:extLst>
              <a:ext uri="{FF2B5EF4-FFF2-40B4-BE49-F238E27FC236}">
                <a16:creationId xmlns:a16="http://schemas.microsoft.com/office/drawing/2014/main" id="{13824E4E-324D-43F0-BAA4-1E1671E03883}"/>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021311" y="6543637"/>
            <a:ext cx="1483453" cy="1980000"/>
          </a:xfrm>
          <a:prstGeom prst="rect">
            <a:avLst/>
          </a:prstGeom>
          <a:ln>
            <a:solidFill>
              <a:schemeClr val="tx1"/>
            </a:solidFill>
          </a:ln>
        </xdr:spPr>
      </xdr:pic>
      <xdr:pic>
        <xdr:nvPicPr>
          <xdr:cNvPr id="27" name="Picture 26">
            <a:extLst>
              <a:ext uri="{FF2B5EF4-FFF2-40B4-BE49-F238E27FC236}">
                <a16:creationId xmlns:a16="http://schemas.microsoft.com/office/drawing/2014/main" id="{61963A86-4C13-41C7-87E0-C0DF078AB7CA}"/>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593956" y="6524593"/>
            <a:ext cx="1483453" cy="1980000"/>
          </a:xfrm>
          <a:prstGeom prst="rect">
            <a:avLst/>
          </a:prstGeom>
          <a:ln>
            <a:solidFill>
              <a:schemeClr val="tx1"/>
            </a:solidFill>
          </a:ln>
        </xdr:spPr>
      </xdr:pic>
      <xdr:pic>
        <xdr:nvPicPr>
          <xdr:cNvPr id="28" name="Picture 27">
            <a:extLst>
              <a:ext uri="{FF2B5EF4-FFF2-40B4-BE49-F238E27FC236}">
                <a16:creationId xmlns:a16="http://schemas.microsoft.com/office/drawing/2014/main" id="{65E63789-D441-4018-A59A-957AB5E345AA}"/>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94563" y="6543637"/>
            <a:ext cx="2637556" cy="1980000"/>
          </a:xfrm>
          <a:prstGeom prst="rect">
            <a:avLst/>
          </a:prstGeom>
          <a:ln>
            <a:solidFill>
              <a:schemeClr val="tx1"/>
            </a:solidFill>
          </a:ln>
        </xdr:spPr>
      </xdr:pic>
    </xdr:grpSp>
    <xdr:clientData/>
  </xdr:twoCellAnchor>
  <xdr:twoCellAnchor editAs="oneCell">
    <xdr:from>
      <xdr:col>8</xdr:col>
      <xdr:colOff>403412</xdr:colOff>
      <xdr:row>9</xdr:row>
      <xdr:rowOff>168088</xdr:rowOff>
    </xdr:from>
    <xdr:to>
      <xdr:col>14</xdr:col>
      <xdr:colOff>469188</xdr:colOff>
      <xdr:row>10</xdr:row>
      <xdr:rowOff>295947</xdr:rowOff>
    </xdr:to>
    <xdr:pic>
      <xdr:nvPicPr>
        <xdr:cNvPr id="29" name="Picture 28">
          <a:extLst>
            <a:ext uri="{FF2B5EF4-FFF2-40B4-BE49-F238E27FC236}">
              <a16:creationId xmlns:a16="http://schemas.microsoft.com/office/drawing/2014/main" id="{0702F194-BA51-42E4-8AD0-AA7FA7A79A97}"/>
            </a:ext>
          </a:extLst>
        </xdr:cNvPr>
        <xdr:cNvPicPr>
          <a:picLocks noChangeAspect="1"/>
        </xdr:cNvPicPr>
      </xdr:nvPicPr>
      <xdr:blipFill>
        <a:blip xmlns:r="http://schemas.openxmlformats.org/officeDocument/2006/relationships" r:embed="rId22"/>
        <a:stretch>
          <a:fillRect/>
        </a:stretch>
      </xdr:blipFill>
      <xdr:spPr>
        <a:xfrm>
          <a:off x="9816353" y="4639235"/>
          <a:ext cx="5601482" cy="800212"/>
        </a:xfrm>
        <a:prstGeom prst="rect">
          <a:avLst/>
        </a:prstGeom>
      </xdr:spPr>
    </xdr:pic>
    <xdr:clientData/>
  </xdr:twoCellAnchor>
  <xdr:twoCellAnchor>
    <xdr:from>
      <xdr:col>11</xdr:col>
      <xdr:colOff>385001</xdr:colOff>
      <xdr:row>121</xdr:row>
      <xdr:rowOff>79243</xdr:rowOff>
    </xdr:from>
    <xdr:to>
      <xdr:col>28</xdr:col>
      <xdr:colOff>86539</xdr:colOff>
      <xdr:row>135</xdr:row>
      <xdr:rowOff>150633</xdr:rowOff>
    </xdr:to>
    <xdr:grpSp>
      <xdr:nvGrpSpPr>
        <xdr:cNvPr id="32" name="Group 31">
          <a:extLst>
            <a:ext uri="{FF2B5EF4-FFF2-40B4-BE49-F238E27FC236}">
              <a16:creationId xmlns:a16="http://schemas.microsoft.com/office/drawing/2014/main" id="{AEA19C31-7213-4ED9-A6AF-774AD85AF264}"/>
            </a:ext>
          </a:extLst>
        </xdr:cNvPr>
        <xdr:cNvGrpSpPr/>
      </xdr:nvGrpSpPr>
      <xdr:grpSpPr>
        <a:xfrm>
          <a:off x="13488680" y="34042672"/>
          <a:ext cx="8192395" cy="4303211"/>
          <a:chOff x="10940142" y="40549286"/>
          <a:chExt cx="8220409" cy="4545739"/>
        </a:xfrm>
      </xdr:grpSpPr>
      <xdr:pic>
        <xdr:nvPicPr>
          <xdr:cNvPr id="30" name="Picture 29">
            <a:extLst>
              <a:ext uri="{FF2B5EF4-FFF2-40B4-BE49-F238E27FC236}">
                <a16:creationId xmlns:a16="http://schemas.microsoft.com/office/drawing/2014/main" id="{3751222B-BA24-4457-95A9-09EC3BFD7788}"/>
              </a:ext>
            </a:extLst>
          </xdr:cNvPr>
          <xdr:cNvPicPr>
            <a:picLocks noChangeAspect="1"/>
          </xdr:cNvPicPr>
        </xdr:nvPicPr>
        <xdr:blipFill>
          <a:blip xmlns:r="http://schemas.openxmlformats.org/officeDocument/2006/relationships" r:embed="rId23"/>
          <a:stretch>
            <a:fillRect/>
          </a:stretch>
        </xdr:blipFill>
        <xdr:spPr>
          <a:xfrm>
            <a:off x="10940142" y="40549286"/>
            <a:ext cx="8220409" cy="4545739"/>
          </a:xfrm>
          <a:prstGeom prst="rect">
            <a:avLst/>
          </a:prstGeom>
        </xdr:spPr>
      </xdr:pic>
      <xdr:sp macro="" textlink="">
        <xdr:nvSpPr>
          <xdr:cNvPr id="31" name="TextBox 30">
            <a:extLst>
              <a:ext uri="{FF2B5EF4-FFF2-40B4-BE49-F238E27FC236}">
                <a16:creationId xmlns:a16="http://schemas.microsoft.com/office/drawing/2014/main" id="{1D131F6C-BDFA-4B5F-9BCC-5488A6B18212}"/>
              </a:ext>
            </a:extLst>
          </xdr:cNvPr>
          <xdr:cNvSpPr txBox="1"/>
        </xdr:nvSpPr>
        <xdr:spPr>
          <a:xfrm>
            <a:off x="11416393" y="40848643"/>
            <a:ext cx="18977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Terrace area is counted in FSI</a:t>
            </a:r>
          </a:p>
        </xdr:txBody>
      </xdr:sp>
    </xdr:grpSp>
    <xdr:clientData/>
  </xdr:twoCellAnchor>
  <xdr:twoCellAnchor editAs="oneCell">
    <xdr:from>
      <xdr:col>8</xdr:col>
      <xdr:colOff>340179</xdr:colOff>
      <xdr:row>20</xdr:row>
      <xdr:rowOff>217714</xdr:rowOff>
    </xdr:from>
    <xdr:to>
      <xdr:col>18</xdr:col>
      <xdr:colOff>428397</xdr:colOff>
      <xdr:row>20</xdr:row>
      <xdr:rowOff>465399</xdr:rowOff>
    </xdr:to>
    <xdr:pic>
      <xdr:nvPicPr>
        <xdr:cNvPr id="33" name="Picture 32">
          <a:extLst>
            <a:ext uri="{FF2B5EF4-FFF2-40B4-BE49-F238E27FC236}">
              <a16:creationId xmlns:a16="http://schemas.microsoft.com/office/drawing/2014/main" id="{EE29CD1C-3B79-4168-A39C-481F5B50EFD1}"/>
            </a:ext>
          </a:extLst>
        </xdr:cNvPr>
        <xdr:cNvPicPr>
          <a:picLocks noChangeAspect="1"/>
        </xdr:cNvPicPr>
      </xdr:nvPicPr>
      <xdr:blipFill>
        <a:blip xmlns:r="http://schemas.openxmlformats.org/officeDocument/2006/relationships" r:embed="rId24"/>
        <a:stretch>
          <a:fillRect/>
        </a:stretch>
      </xdr:blipFill>
      <xdr:spPr>
        <a:xfrm>
          <a:off x="9701893" y="11498035"/>
          <a:ext cx="8116433" cy="247685"/>
        </a:xfrm>
        <a:prstGeom prst="rect">
          <a:avLst/>
        </a:prstGeom>
      </xdr:spPr>
    </xdr:pic>
    <xdr:clientData/>
  </xdr:twoCellAnchor>
  <xdr:twoCellAnchor editAs="oneCell">
    <xdr:from>
      <xdr:col>8</xdr:col>
      <xdr:colOff>714375</xdr:colOff>
      <xdr:row>6</xdr:row>
      <xdr:rowOff>98653</xdr:rowOff>
    </xdr:from>
    <xdr:to>
      <xdr:col>18</xdr:col>
      <xdr:colOff>459645</xdr:colOff>
      <xdr:row>10</xdr:row>
      <xdr:rowOff>292201</xdr:rowOff>
    </xdr:to>
    <xdr:pic>
      <xdr:nvPicPr>
        <xdr:cNvPr id="34" name="Picture 33"/>
        <xdr:cNvPicPr>
          <a:picLocks noChangeAspect="1"/>
        </xdr:cNvPicPr>
      </xdr:nvPicPr>
      <xdr:blipFill>
        <a:blip xmlns:r="http://schemas.openxmlformats.org/officeDocument/2006/relationships" r:embed="rId25"/>
        <a:stretch>
          <a:fillRect/>
        </a:stretch>
      </xdr:blipFill>
      <xdr:spPr>
        <a:xfrm>
          <a:off x="10048875" y="2789466"/>
          <a:ext cx="7817708" cy="2336673"/>
        </a:xfrm>
        <a:prstGeom prst="rect">
          <a:avLst/>
        </a:prstGeom>
      </xdr:spPr>
    </xdr:pic>
    <xdr:clientData/>
  </xdr:twoCellAnchor>
  <xdr:twoCellAnchor editAs="oneCell">
    <xdr:from>
      <xdr:col>8</xdr:col>
      <xdr:colOff>1210235</xdr:colOff>
      <xdr:row>118</xdr:row>
      <xdr:rowOff>22412</xdr:rowOff>
    </xdr:from>
    <xdr:to>
      <xdr:col>10</xdr:col>
      <xdr:colOff>381319</xdr:colOff>
      <xdr:row>127</xdr:row>
      <xdr:rowOff>62489</xdr:rowOff>
    </xdr:to>
    <xdr:pic>
      <xdr:nvPicPr>
        <xdr:cNvPr id="35" name="Picture 34"/>
        <xdr:cNvPicPr>
          <a:picLocks noChangeAspect="1"/>
        </xdr:cNvPicPr>
      </xdr:nvPicPr>
      <xdr:blipFill>
        <a:blip xmlns:r="http://schemas.openxmlformats.org/officeDocument/2006/relationships" r:embed="rId26"/>
        <a:stretch>
          <a:fillRect/>
        </a:stretch>
      </xdr:blipFill>
      <xdr:spPr>
        <a:xfrm>
          <a:off x="10623176" y="33640059"/>
          <a:ext cx="2286319" cy="2124371"/>
        </a:xfrm>
        <a:prstGeom prst="rect">
          <a:avLst/>
        </a:prstGeom>
      </xdr:spPr>
    </xdr:pic>
    <xdr:clientData/>
  </xdr:twoCellAnchor>
  <xdr:twoCellAnchor editAs="oneCell">
    <xdr:from>
      <xdr:col>11</xdr:col>
      <xdr:colOff>353787</xdr:colOff>
      <xdr:row>165</xdr:row>
      <xdr:rowOff>3709</xdr:rowOff>
    </xdr:from>
    <xdr:to>
      <xdr:col>25</xdr:col>
      <xdr:colOff>148480</xdr:colOff>
      <xdr:row>179</xdr:row>
      <xdr:rowOff>196475</xdr:rowOff>
    </xdr:to>
    <xdr:pic>
      <xdr:nvPicPr>
        <xdr:cNvPr id="36" name="Picture 35"/>
        <xdr:cNvPicPr>
          <a:picLocks noChangeAspect="1"/>
        </xdr:cNvPicPr>
      </xdr:nvPicPr>
      <xdr:blipFill>
        <a:blip xmlns:r="http://schemas.openxmlformats.org/officeDocument/2006/relationships" r:embed="rId27"/>
        <a:stretch>
          <a:fillRect/>
        </a:stretch>
      </xdr:blipFill>
      <xdr:spPr>
        <a:xfrm>
          <a:off x="13457466" y="46472102"/>
          <a:ext cx="6530228" cy="3812266"/>
        </a:xfrm>
        <a:prstGeom prst="rect">
          <a:avLst/>
        </a:prstGeom>
      </xdr:spPr>
    </xdr:pic>
    <xdr:clientData/>
  </xdr:twoCellAnchor>
  <xdr:twoCellAnchor editAs="oneCell">
    <xdr:from>
      <xdr:col>8</xdr:col>
      <xdr:colOff>1436464</xdr:colOff>
      <xdr:row>74</xdr:row>
      <xdr:rowOff>54428</xdr:rowOff>
    </xdr:from>
    <xdr:to>
      <xdr:col>24</xdr:col>
      <xdr:colOff>209234</xdr:colOff>
      <xdr:row>117</xdr:row>
      <xdr:rowOff>59607</xdr:rowOff>
    </xdr:to>
    <xdr:pic>
      <xdr:nvPicPr>
        <xdr:cNvPr id="37" name="Picture 36">
          <a:extLst>
            <a:ext uri="{FF2B5EF4-FFF2-40B4-BE49-F238E27FC236}">
              <a16:creationId xmlns:a16="http://schemas.microsoft.com/office/drawing/2014/main" id="{378650C6-9C8C-418F-8F35-213ACE10B09D}"/>
            </a:ext>
          </a:extLst>
        </xdr:cNvPr>
        <xdr:cNvPicPr>
          <a:picLocks noChangeAspect="1"/>
        </xdr:cNvPicPr>
      </xdr:nvPicPr>
      <xdr:blipFill>
        <a:blip xmlns:r="http://schemas.openxmlformats.org/officeDocument/2006/relationships" r:embed="rId28"/>
        <a:stretch>
          <a:fillRect/>
        </a:stretch>
      </xdr:blipFill>
      <xdr:spPr>
        <a:xfrm>
          <a:off x="10798178" y="30017357"/>
          <a:ext cx="8637949" cy="3583857"/>
        </a:xfrm>
        <a:prstGeom prst="rect">
          <a:avLst/>
        </a:prstGeom>
      </xdr:spPr>
    </xdr:pic>
    <xdr:clientData/>
  </xdr:twoCellAnchor>
  <xdr:twoCellAnchor editAs="oneCell">
    <xdr:from>
      <xdr:col>8</xdr:col>
      <xdr:colOff>2000250</xdr:colOff>
      <xdr:row>19</xdr:row>
      <xdr:rowOff>312965</xdr:rowOff>
    </xdr:from>
    <xdr:to>
      <xdr:col>13</xdr:col>
      <xdr:colOff>234490</xdr:colOff>
      <xdr:row>29</xdr:row>
      <xdr:rowOff>331371</xdr:rowOff>
    </xdr:to>
    <xdr:pic>
      <xdr:nvPicPr>
        <xdr:cNvPr id="40" name="Picture 39"/>
        <xdr:cNvPicPr>
          <a:picLocks noChangeAspect="1"/>
        </xdr:cNvPicPr>
      </xdr:nvPicPr>
      <xdr:blipFill>
        <a:blip xmlns:r="http://schemas.openxmlformats.org/officeDocument/2006/relationships" r:embed="rId29"/>
        <a:stretch>
          <a:fillRect/>
        </a:stretch>
      </xdr:blipFill>
      <xdr:spPr>
        <a:xfrm>
          <a:off x="11361964" y="9674679"/>
          <a:ext cx="3200847" cy="51346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99acres.com/mahindra-marina-64-malad-west-mumbai-andheri-dahisar-npxid-r446737" TargetMode="External"/><Relationship Id="rId7" Type="http://schemas.openxmlformats.org/officeDocument/2006/relationships/vmlDrawing" Target="../drawings/vmlDrawing2.vml"/><Relationship Id="rId2" Type="http://schemas.openxmlformats.org/officeDocument/2006/relationships/hyperlink" Target="https://www.99acres.com/mahindra-marina-64-malad-west-mumbai-andheri-dahisar-npxid-r446737" TargetMode="External"/><Relationship Id="rId1" Type="http://schemas.openxmlformats.org/officeDocument/2006/relationships/hyperlink" Target="https://maps.app.goo.gl/agELZHVTVmNBDyJf9"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43"/>
  <sheetViews>
    <sheetView tabSelected="1" view="pageBreakPreview" topLeftCell="A111" zoomScale="70" zoomScaleNormal="85" zoomScaleSheetLayoutView="70" zoomScalePageLayoutView="70" workbookViewId="0">
      <selection activeCell="I126" sqref="I126"/>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3"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06" t="s">
        <v>38</v>
      </c>
      <c r="B1" s="107"/>
      <c r="C1" s="107"/>
      <c r="D1" s="107"/>
      <c r="E1" s="107"/>
      <c r="F1" s="107"/>
      <c r="G1" s="107"/>
      <c r="H1" s="108"/>
    </row>
    <row r="2" spans="1:11" ht="42" customHeight="1" x14ac:dyDescent="0.25">
      <c r="A2" s="102" t="s">
        <v>10</v>
      </c>
      <c r="B2" s="102"/>
      <c r="C2" s="94" t="s">
        <v>85</v>
      </c>
      <c r="D2" s="94"/>
      <c r="E2" s="102" t="s">
        <v>12</v>
      </c>
      <c r="F2" s="102"/>
      <c r="G2" s="183">
        <v>45917</v>
      </c>
      <c r="H2" s="94"/>
      <c r="J2" s="180"/>
      <c r="K2" s="181"/>
    </row>
    <row r="3" spans="1:11" ht="42.75" customHeight="1" x14ac:dyDescent="0.25">
      <c r="A3" s="102" t="s">
        <v>39</v>
      </c>
      <c r="B3" s="102"/>
      <c r="C3" s="182" t="s">
        <v>304</v>
      </c>
      <c r="D3" s="182"/>
      <c r="E3" s="102" t="s">
        <v>154</v>
      </c>
      <c r="F3" s="102"/>
      <c r="G3" s="94" t="s">
        <v>347</v>
      </c>
      <c r="H3" s="94"/>
    </row>
    <row r="4" spans="1:11" ht="43.5" customHeight="1" x14ac:dyDescent="0.25">
      <c r="A4" s="102" t="s">
        <v>36</v>
      </c>
      <c r="B4" s="102"/>
      <c r="C4" s="94" t="s">
        <v>351</v>
      </c>
      <c r="D4" s="94"/>
      <c r="E4" s="102" t="s">
        <v>33</v>
      </c>
      <c r="F4" s="102"/>
      <c r="G4" s="94" t="str">
        <f ca="1">TEXT(TODAY(),"DD/MM/YYYY")</f>
        <v>22/09/2025</v>
      </c>
      <c r="H4" s="94"/>
    </row>
    <row r="5" spans="1:11" ht="20.25" x14ac:dyDescent="0.25">
      <c r="A5" s="119" t="s">
        <v>40</v>
      </c>
      <c r="B5" s="119"/>
      <c r="C5" s="119"/>
      <c r="D5" s="119"/>
      <c r="E5" s="119"/>
      <c r="F5" s="119"/>
      <c r="G5" s="119"/>
      <c r="H5" s="119"/>
    </row>
    <row r="6" spans="1:11" ht="43.5" customHeight="1" x14ac:dyDescent="0.25">
      <c r="A6" s="102" t="s">
        <v>29</v>
      </c>
      <c r="B6" s="102"/>
      <c r="C6" s="94" t="s">
        <v>370</v>
      </c>
      <c r="D6" s="94"/>
      <c r="E6" s="102" t="s">
        <v>35</v>
      </c>
      <c r="F6" s="102"/>
      <c r="G6" s="92" t="s">
        <v>302</v>
      </c>
      <c r="H6" s="92"/>
    </row>
    <row r="7" spans="1:11" ht="46.5" customHeight="1" x14ac:dyDescent="0.25">
      <c r="A7" s="102" t="s">
        <v>42</v>
      </c>
      <c r="B7" s="102"/>
      <c r="C7" s="94" t="s">
        <v>305</v>
      </c>
      <c r="D7" s="94"/>
      <c r="E7" s="102" t="s">
        <v>43</v>
      </c>
      <c r="F7" s="102"/>
      <c r="G7" s="94" t="s">
        <v>305</v>
      </c>
      <c r="H7" s="94"/>
    </row>
    <row r="8" spans="1:11" ht="48.75" customHeight="1" x14ac:dyDescent="0.25">
      <c r="A8" s="102" t="s">
        <v>44</v>
      </c>
      <c r="B8" s="102"/>
      <c r="C8" s="94" t="s">
        <v>344</v>
      </c>
      <c r="D8" s="94"/>
      <c r="E8" s="94"/>
      <c r="F8" s="94"/>
      <c r="G8" s="94"/>
      <c r="H8" s="94"/>
    </row>
    <row r="9" spans="1:11" ht="20.25" x14ac:dyDescent="0.25">
      <c r="A9" s="134" t="s">
        <v>145</v>
      </c>
      <c r="B9" s="33" t="s">
        <v>41</v>
      </c>
      <c r="C9" s="94" t="s">
        <v>306</v>
      </c>
      <c r="D9" s="94"/>
      <c r="E9" s="94"/>
      <c r="F9" s="94"/>
      <c r="G9" s="94"/>
      <c r="H9" s="94"/>
    </row>
    <row r="10" spans="1:11" ht="53.25" customHeight="1" x14ac:dyDescent="0.25">
      <c r="A10" s="134"/>
      <c r="B10" s="33" t="s">
        <v>11</v>
      </c>
      <c r="C10" s="94" t="s">
        <v>307</v>
      </c>
      <c r="D10" s="94"/>
      <c r="E10" s="94"/>
      <c r="F10" s="94"/>
      <c r="G10" s="94"/>
      <c r="H10" s="94"/>
    </row>
    <row r="11" spans="1:11" ht="66.75" customHeight="1" x14ac:dyDescent="0.25">
      <c r="A11" s="134"/>
      <c r="B11" s="33" t="s">
        <v>5</v>
      </c>
      <c r="C11" s="94" t="s">
        <v>374</v>
      </c>
      <c r="D11" s="94"/>
      <c r="E11" s="94"/>
      <c r="F11" s="94"/>
      <c r="G11" s="94"/>
      <c r="H11" s="94"/>
    </row>
    <row r="12" spans="1:11" ht="40.5" customHeight="1" x14ac:dyDescent="0.25">
      <c r="A12" s="102" t="s">
        <v>34</v>
      </c>
      <c r="B12" s="102"/>
      <c r="C12" s="92" t="s">
        <v>352</v>
      </c>
      <c r="D12" s="92"/>
      <c r="E12" s="92"/>
      <c r="F12" s="92"/>
      <c r="G12" s="92"/>
      <c r="H12" s="92"/>
    </row>
    <row r="13" spans="1:11" ht="20.100000000000001" customHeight="1" x14ac:dyDescent="0.25">
      <c r="A13" s="119" t="s">
        <v>45</v>
      </c>
      <c r="B13" s="119"/>
      <c r="C13" s="119"/>
      <c r="D13" s="119"/>
      <c r="E13" s="119"/>
      <c r="F13" s="119"/>
      <c r="G13" s="119"/>
      <c r="H13" s="119"/>
    </row>
    <row r="14" spans="1:11" ht="41.25" customHeight="1" x14ac:dyDescent="0.25">
      <c r="A14" s="102" t="s">
        <v>27</v>
      </c>
      <c r="B14" s="102" t="s">
        <v>4</v>
      </c>
      <c r="C14" s="94" t="s">
        <v>86</v>
      </c>
      <c r="D14" s="94"/>
      <c r="E14" s="102" t="s">
        <v>46</v>
      </c>
      <c r="F14" s="102" t="s">
        <v>4</v>
      </c>
      <c r="G14" s="94" t="s">
        <v>308</v>
      </c>
      <c r="H14" s="94"/>
    </row>
    <row r="15" spans="1:11" ht="20.25" x14ac:dyDescent="0.25">
      <c r="A15" s="102" t="s">
        <v>47</v>
      </c>
      <c r="B15" s="102" t="s">
        <v>4</v>
      </c>
      <c r="C15" s="94" t="s">
        <v>303</v>
      </c>
      <c r="D15" s="94"/>
      <c r="E15" s="102" t="s">
        <v>48</v>
      </c>
      <c r="F15" s="102" t="s">
        <v>4</v>
      </c>
      <c r="G15" s="185" t="s">
        <v>378</v>
      </c>
      <c r="H15" s="185"/>
    </row>
    <row r="16" spans="1:11" ht="20.25" x14ac:dyDescent="0.25">
      <c r="A16" s="102" t="s">
        <v>49</v>
      </c>
      <c r="B16" s="102" t="s">
        <v>4</v>
      </c>
      <c r="C16" s="183">
        <v>45880</v>
      </c>
      <c r="D16" s="94"/>
      <c r="E16" s="186" t="s">
        <v>50</v>
      </c>
      <c r="F16" s="186" t="s">
        <v>4</v>
      </c>
      <c r="G16" s="184" t="s">
        <v>353</v>
      </c>
      <c r="H16" s="94"/>
    </row>
    <row r="17" spans="1:9" ht="84" customHeight="1" x14ac:dyDescent="0.25">
      <c r="A17" s="102" t="s">
        <v>51</v>
      </c>
      <c r="B17" s="102" t="s">
        <v>4</v>
      </c>
      <c r="C17" s="183">
        <v>47483</v>
      </c>
      <c r="D17" s="94"/>
      <c r="E17" s="102" t="s">
        <v>52</v>
      </c>
      <c r="F17" s="102" t="s">
        <v>4</v>
      </c>
      <c r="G17" s="94" t="s">
        <v>309</v>
      </c>
      <c r="H17" s="94"/>
    </row>
    <row r="18" spans="1:9" ht="41.25" customHeight="1" x14ac:dyDescent="0.25">
      <c r="A18" s="102" t="s">
        <v>53</v>
      </c>
      <c r="B18" s="102" t="s">
        <v>4</v>
      </c>
      <c r="C18" s="94"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4"/>
      <c r="E18" s="102" t="s">
        <v>93</v>
      </c>
      <c r="F18" s="102" t="s">
        <v>4</v>
      </c>
      <c r="G18" s="94">
        <v>1744.7</v>
      </c>
      <c r="H18" s="94"/>
    </row>
    <row r="19" spans="1:9" ht="20.25" x14ac:dyDescent="0.25">
      <c r="A19" s="102" t="s">
        <v>54</v>
      </c>
      <c r="B19" s="102" t="s">
        <v>4</v>
      </c>
      <c r="C19" s="94">
        <v>1</v>
      </c>
      <c r="D19" s="94"/>
      <c r="E19" s="102" t="s">
        <v>237</v>
      </c>
      <c r="F19" s="102" t="s">
        <v>4</v>
      </c>
      <c r="G19" s="94">
        <v>1474.55</v>
      </c>
      <c r="H19" s="94"/>
    </row>
    <row r="20" spans="1:9" ht="41.25" customHeight="1" x14ac:dyDescent="0.25">
      <c r="A20" s="102" t="s">
        <v>91</v>
      </c>
      <c r="B20" s="102" t="s">
        <v>4</v>
      </c>
      <c r="C20" s="94">
        <v>5827.11</v>
      </c>
      <c r="D20" s="94"/>
      <c r="E20" s="102" t="s">
        <v>92</v>
      </c>
      <c r="F20" s="102" t="s">
        <v>4</v>
      </c>
      <c r="G20" s="94">
        <v>5792.75</v>
      </c>
      <c r="H20" s="94"/>
    </row>
    <row r="21" spans="1:9" ht="83.25" customHeight="1" x14ac:dyDescent="0.25">
      <c r="A21" s="102" t="s">
        <v>56</v>
      </c>
      <c r="B21" s="102" t="s">
        <v>4</v>
      </c>
      <c r="C21" s="94" t="s">
        <v>367</v>
      </c>
      <c r="D21" s="94"/>
      <c r="E21" s="102" t="s">
        <v>55</v>
      </c>
      <c r="F21" s="102" t="s">
        <v>4</v>
      </c>
      <c r="G21" s="94" t="s">
        <v>368</v>
      </c>
      <c r="H21" s="94"/>
    </row>
    <row r="22" spans="1:9" ht="20.25" x14ac:dyDescent="0.25">
      <c r="A22" s="102" t="s">
        <v>158</v>
      </c>
      <c r="B22" s="102" t="s">
        <v>4</v>
      </c>
      <c r="C22" s="94" t="s">
        <v>349</v>
      </c>
      <c r="D22" s="94"/>
      <c r="E22" s="102" t="s">
        <v>159</v>
      </c>
      <c r="F22" s="102" t="s">
        <v>4</v>
      </c>
      <c r="G22" s="94" t="s">
        <v>379</v>
      </c>
      <c r="H22" s="94"/>
    </row>
    <row r="23" spans="1:9" ht="20.25" x14ac:dyDescent="0.25">
      <c r="A23" s="102" t="s">
        <v>156</v>
      </c>
      <c r="B23" s="102" t="s">
        <v>4</v>
      </c>
      <c r="C23" s="93" t="s">
        <v>310</v>
      </c>
      <c r="D23" s="94"/>
      <c r="E23" s="94"/>
      <c r="F23" s="94"/>
      <c r="G23" s="94"/>
      <c r="H23" s="94"/>
    </row>
    <row r="24" spans="1:9" ht="40.5" customHeight="1" x14ac:dyDescent="0.25">
      <c r="A24" s="102" t="s">
        <v>25</v>
      </c>
      <c r="B24" s="102" t="s">
        <v>4</v>
      </c>
      <c r="C24" s="92" t="s">
        <v>376</v>
      </c>
      <c r="D24" s="92"/>
      <c r="E24" s="92"/>
      <c r="F24" s="92"/>
      <c r="G24" s="92"/>
      <c r="H24" s="92"/>
      <c r="I24" s="80" t="s">
        <v>375</v>
      </c>
    </row>
    <row r="25" spans="1:9" ht="20.25" x14ac:dyDescent="0.25">
      <c r="A25" s="119" t="s">
        <v>20</v>
      </c>
      <c r="B25" s="119"/>
      <c r="C25" s="119"/>
      <c r="D25" s="119"/>
      <c r="E25" s="119"/>
      <c r="F25" s="119"/>
      <c r="G25" s="119"/>
      <c r="H25" s="119"/>
    </row>
    <row r="26" spans="1:9" ht="43.5" customHeight="1" x14ac:dyDescent="0.25">
      <c r="A26" s="102" t="s">
        <v>26</v>
      </c>
      <c r="B26" s="102" t="s">
        <v>4</v>
      </c>
      <c r="C26" s="94" t="str">
        <f>IF(AND(G26="Upper"),"Developed","Developing")</f>
        <v>Developed</v>
      </c>
      <c r="D26" s="94"/>
      <c r="E26" s="102" t="s">
        <v>13</v>
      </c>
      <c r="F26" s="102" t="s">
        <v>4</v>
      </c>
      <c r="G26" s="92" t="s">
        <v>299</v>
      </c>
      <c r="H26" s="92"/>
    </row>
    <row r="27" spans="1:9" ht="43.5" customHeight="1" x14ac:dyDescent="0.25">
      <c r="A27" s="102" t="s">
        <v>14</v>
      </c>
      <c r="B27" s="102" t="s">
        <v>4</v>
      </c>
      <c r="C27" s="92" t="s">
        <v>300</v>
      </c>
      <c r="D27" s="92"/>
      <c r="E27" s="102" t="s">
        <v>146</v>
      </c>
      <c r="F27" s="102" t="s">
        <v>4</v>
      </c>
      <c r="G27" s="92" t="s">
        <v>238</v>
      </c>
      <c r="H27" s="92"/>
    </row>
    <row r="28" spans="1:9" ht="43.5" customHeight="1" x14ac:dyDescent="0.25">
      <c r="A28" s="102" t="s">
        <v>23</v>
      </c>
      <c r="B28" s="102" t="s">
        <v>4</v>
      </c>
      <c r="C28" s="94" t="s">
        <v>95</v>
      </c>
      <c r="D28" s="94"/>
      <c r="E28" s="102" t="s">
        <v>16</v>
      </c>
      <c r="F28" s="102" t="s">
        <v>4</v>
      </c>
      <c r="G28" s="92" t="s">
        <v>311</v>
      </c>
      <c r="H28" s="92"/>
    </row>
    <row r="29" spans="1:9" ht="43.5" customHeight="1" x14ac:dyDescent="0.25">
      <c r="A29" s="102" t="s">
        <v>104</v>
      </c>
      <c r="B29" s="102" t="s">
        <v>4</v>
      </c>
      <c r="C29" s="92" t="s">
        <v>313</v>
      </c>
      <c r="D29" s="92"/>
      <c r="E29" s="102" t="s">
        <v>105</v>
      </c>
      <c r="F29" s="102" t="s">
        <v>4</v>
      </c>
      <c r="G29" s="92" t="s">
        <v>312</v>
      </c>
      <c r="H29" s="92"/>
    </row>
    <row r="30" spans="1:9" ht="101.25" customHeight="1" x14ac:dyDescent="0.25">
      <c r="A30" s="102" t="s">
        <v>17</v>
      </c>
      <c r="B30" s="102" t="s">
        <v>4</v>
      </c>
      <c r="C30" s="92" t="s">
        <v>314</v>
      </c>
      <c r="D30" s="92"/>
      <c r="E30" s="102" t="s">
        <v>15</v>
      </c>
      <c r="F30" s="102" t="s">
        <v>4</v>
      </c>
      <c r="G30" s="92" t="s">
        <v>315</v>
      </c>
      <c r="H30" s="92"/>
    </row>
    <row r="31" spans="1:9" ht="20.25" x14ac:dyDescent="0.25">
      <c r="A31" s="102" t="s">
        <v>110</v>
      </c>
      <c r="B31" s="102" t="s">
        <v>4</v>
      </c>
      <c r="C31" s="94" t="s">
        <v>111</v>
      </c>
      <c r="D31" s="94"/>
      <c r="E31" s="102" t="s">
        <v>112</v>
      </c>
      <c r="F31" s="102" t="s">
        <v>4</v>
      </c>
      <c r="G31" s="94" t="s">
        <v>111</v>
      </c>
      <c r="H31" s="94"/>
    </row>
    <row r="32" spans="1:9" ht="21.75" customHeight="1" x14ac:dyDescent="0.25">
      <c r="A32" s="102" t="s">
        <v>113</v>
      </c>
      <c r="B32" s="102" t="s">
        <v>4</v>
      </c>
      <c r="C32" s="94" t="s">
        <v>111</v>
      </c>
      <c r="D32" s="94"/>
      <c r="E32" s="94"/>
      <c r="F32" s="94"/>
      <c r="G32" s="94"/>
      <c r="H32" s="94"/>
    </row>
    <row r="33" spans="1:15" ht="20.25" x14ac:dyDescent="0.25">
      <c r="A33" s="135" t="s">
        <v>37</v>
      </c>
      <c r="B33" s="135"/>
      <c r="C33" s="135"/>
      <c r="D33" s="135"/>
      <c r="E33" s="135"/>
      <c r="F33" s="135"/>
      <c r="G33" s="135"/>
      <c r="H33" s="135"/>
    </row>
    <row r="34" spans="1:15" ht="43.5" customHeight="1" x14ac:dyDescent="0.25">
      <c r="A34" s="102" t="s">
        <v>18</v>
      </c>
      <c r="B34" s="102"/>
      <c r="C34" s="94" t="s">
        <v>96</v>
      </c>
      <c r="D34" s="94"/>
      <c r="E34" s="102" t="s">
        <v>19</v>
      </c>
      <c r="F34" s="102" t="s">
        <v>4</v>
      </c>
      <c r="G34" s="94" t="s">
        <v>97</v>
      </c>
      <c r="H34" s="94"/>
    </row>
    <row r="35" spans="1:15" ht="43.5" customHeight="1" x14ac:dyDescent="0.25">
      <c r="A35" s="102" t="s">
        <v>22</v>
      </c>
      <c r="B35" s="102"/>
      <c r="C35" s="94" t="s">
        <v>97</v>
      </c>
      <c r="D35" s="94"/>
      <c r="E35" s="102" t="s">
        <v>32</v>
      </c>
      <c r="F35" s="102" t="s">
        <v>4</v>
      </c>
      <c r="G35" s="92" t="s">
        <v>97</v>
      </c>
      <c r="H35" s="92"/>
    </row>
    <row r="36" spans="1:15" ht="20.25" x14ac:dyDescent="0.25">
      <c r="A36" s="102" t="s">
        <v>31</v>
      </c>
      <c r="B36" s="102"/>
      <c r="C36" s="94" t="s">
        <v>98</v>
      </c>
      <c r="D36" s="94"/>
      <c r="E36" s="102" t="s">
        <v>21</v>
      </c>
      <c r="F36" s="102" t="s">
        <v>4</v>
      </c>
      <c r="G36" s="94" t="s">
        <v>99</v>
      </c>
      <c r="H36" s="94"/>
    </row>
    <row r="37" spans="1:15" ht="20.25" x14ac:dyDescent="0.25">
      <c r="A37" s="119" t="s">
        <v>0</v>
      </c>
      <c r="B37" s="119"/>
      <c r="C37" s="119"/>
      <c r="D37" s="119"/>
      <c r="E37" s="119"/>
      <c r="F37" s="119"/>
      <c r="G37" s="119"/>
      <c r="H37" s="119"/>
    </row>
    <row r="38" spans="1:15" ht="20.25" x14ac:dyDescent="0.25">
      <c r="A38" s="103" t="s">
        <v>0</v>
      </c>
      <c r="B38" s="103"/>
      <c r="C38" s="103" t="s">
        <v>224</v>
      </c>
      <c r="D38" s="103"/>
      <c r="E38" s="103"/>
      <c r="F38" s="103" t="s">
        <v>7</v>
      </c>
      <c r="G38" s="103"/>
      <c r="H38" s="103"/>
      <c r="J38" s="188" t="s">
        <v>1</v>
      </c>
      <c r="K38" s="189"/>
      <c r="L38" s="2" t="s">
        <v>6</v>
      </c>
      <c r="M38" s="188" t="s">
        <v>2</v>
      </c>
      <c r="N38" s="189"/>
      <c r="O38" s="2" t="s">
        <v>3</v>
      </c>
    </row>
    <row r="39" spans="1:15" ht="20.25" x14ac:dyDescent="0.25">
      <c r="A39" s="134" t="s">
        <v>2</v>
      </c>
      <c r="B39" s="134"/>
      <c r="C39" s="187" t="s">
        <v>318</v>
      </c>
      <c r="D39" s="187"/>
      <c r="E39" s="187"/>
      <c r="F39" s="187" t="s">
        <v>369</v>
      </c>
      <c r="G39" s="187"/>
      <c r="H39" s="187"/>
    </row>
    <row r="40" spans="1:15" ht="20.25" x14ac:dyDescent="0.25">
      <c r="A40" s="134" t="s">
        <v>3</v>
      </c>
      <c r="B40" s="134"/>
      <c r="C40" s="187" t="s">
        <v>317</v>
      </c>
      <c r="D40" s="187"/>
      <c r="E40" s="187"/>
      <c r="F40" s="187" t="s">
        <v>320</v>
      </c>
      <c r="G40" s="187"/>
      <c r="H40" s="187"/>
    </row>
    <row r="41" spans="1:15" ht="42" customHeight="1" x14ac:dyDescent="0.25">
      <c r="A41" s="134" t="s">
        <v>1</v>
      </c>
      <c r="B41" s="134"/>
      <c r="C41" s="138" t="s">
        <v>357</v>
      </c>
      <c r="D41" s="138"/>
      <c r="E41" s="138"/>
      <c r="F41" s="138" t="s">
        <v>321</v>
      </c>
      <c r="G41" s="138"/>
      <c r="H41" s="138"/>
    </row>
    <row r="42" spans="1:15" ht="20.25" x14ac:dyDescent="0.25">
      <c r="A42" s="134" t="s">
        <v>6</v>
      </c>
      <c r="B42" s="134"/>
      <c r="C42" s="187" t="s">
        <v>316</v>
      </c>
      <c r="D42" s="187"/>
      <c r="E42" s="187"/>
      <c r="F42" s="187" t="s">
        <v>319</v>
      </c>
      <c r="G42" s="187"/>
      <c r="H42" s="187"/>
    </row>
    <row r="43" spans="1:15" ht="51" customHeight="1" x14ac:dyDescent="0.25">
      <c r="A43" s="102" t="s">
        <v>225</v>
      </c>
      <c r="B43" s="102"/>
      <c r="C43" s="94" t="s">
        <v>95</v>
      </c>
      <c r="D43" s="94"/>
      <c r="E43" s="94"/>
      <c r="F43" s="94"/>
      <c r="G43" s="94"/>
      <c r="H43" s="94"/>
    </row>
    <row r="44" spans="1:15" ht="20.25" x14ac:dyDescent="0.25">
      <c r="A44" s="119" t="s">
        <v>57</v>
      </c>
      <c r="B44" s="119"/>
      <c r="C44" s="119"/>
      <c r="D44" s="119"/>
      <c r="E44" s="119"/>
      <c r="F44" s="119"/>
      <c r="G44" s="119"/>
      <c r="H44" s="119"/>
    </row>
    <row r="45" spans="1:15" ht="21" customHeight="1" x14ac:dyDescent="0.25">
      <c r="A45" s="103" t="s">
        <v>58</v>
      </c>
      <c r="B45" s="103"/>
      <c r="C45" s="2" t="s">
        <v>59</v>
      </c>
      <c r="D45" s="103" t="s">
        <v>144</v>
      </c>
      <c r="E45" s="103"/>
      <c r="F45" s="103"/>
      <c r="G45" s="103" t="s">
        <v>60</v>
      </c>
      <c r="H45" s="103"/>
    </row>
    <row r="46" spans="1:15" ht="20.25" x14ac:dyDescent="0.25">
      <c r="A46" s="104" t="s">
        <v>380</v>
      </c>
      <c r="B46" s="104"/>
      <c r="C46" s="32" t="s">
        <v>377</v>
      </c>
      <c r="D46" s="94" t="s">
        <v>359</v>
      </c>
      <c r="E46" s="94"/>
      <c r="F46" s="94"/>
      <c r="G46" s="94" t="s">
        <v>358</v>
      </c>
      <c r="H46" s="94"/>
    </row>
    <row r="47" spans="1:15" ht="20.25" x14ac:dyDescent="0.25">
      <c r="A47" s="119" t="s">
        <v>61</v>
      </c>
      <c r="B47" s="119"/>
      <c r="C47" s="119"/>
      <c r="D47" s="119"/>
      <c r="E47" s="119"/>
      <c r="F47" s="119"/>
      <c r="G47" s="119"/>
      <c r="H47" s="119"/>
    </row>
    <row r="48" spans="1:15" ht="42.75" customHeight="1" x14ac:dyDescent="0.25">
      <c r="A48" s="102" t="s">
        <v>62</v>
      </c>
      <c r="B48" s="102" t="s">
        <v>4</v>
      </c>
      <c r="C48" s="92" t="s">
        <v>95</v>
      </c>
      <c r="D48" s="92"/>
      <c r="E48" s="92"/>
      <c r="F48" s="92"/>
      <c r="G48" s="92"/>
      <c r="H48" s="92"/>
    </row>
    <row r="49" spans="1:14" ht="20.25" x14ac:dyDescent="0.25">
      <c r="A49" s="102" t="s">
        <v>63</v>
      </c>
      <c r="B49" s="102" t="s">
        <v>4</v>
      </c>
      <c r="C49" s="94" t="s">
        <v>323</v>
      </c>
      <c r="D49" s="94"/>
      <c r="E49" s="94"/>
      <c r="F49" s="94"/>
      <c r="G49" s="48" t="s">
        <v>226</v>
      </c>
      <c r="H49" s="84">
        <v>45833</v>
      </c>
    </row>
    <row r="50" spans="1:14" ht="20.25" x14ac:dyDescent="0.25">
      <c r="A50" s="102" t="s">
        <v>64</v>
      </c>
      <c r="B50" s="102" t="s">
        <v>4</v>
      </c>
      <c r="C50" s="94" t="s">
        <v>323</v>
      </c>
      <c r="D50" s="94"/>
      <c r="E50" s="94"/>
      <c r="F50" s="94"/>
      <c r="G50" s="48" t="s">
        <v>226</v>
      </c>
      <c r="H50" s="84">
        <v>45833</v>
      </c>
    </row>
    <row r="51" spans="1:14" ht="20.25" customHeight="1" x14ac:dyDescent="0.25">
      <c r="A51" s="143" t="s">
        <v>239</v>
      </c>
      <c r="B51" s="145"/>
      <c r="C51" s="174" t="s">
        <v>324</v>
      </c>
      <c r="D51" s="175"/>
      <c r="E51" s="175"/>
      <c r="F51" s="176"/>
      <c r="G51" s="48" t="s">
        <v>226</v>
      </c>
      <c r="H51" s="84">
        <v>45849</v>
      </c>
    </row>
    <row r="52" spans="1:14" ht="40.5" x14ac:dyDescent="0.25">
      <c r="A52" s="146"/>
      <c r="B52" s="148"/>
      <c r="C52" s="177"/>
      <c r="D52" s="178"/>
      <c r="E52" s="178"/>
      <c r="F52" s="179"/>
      <c r="G52" s="48" t="s">
        <v>240</v>
      </c>
      <c r="H52" s="84">
        <v>46213</v>
      </c>
    </row>
    <row r="53" spans="1:14" ht="70.5" customHeight="1" x14ac:dyDescent="0.25">
      <c r="A53" s="149"/>
      <c r="B53" s="151"/>
      <c r="C53" s="140" t="s">
        <v>360</v>
      </c>
      <c r="D53" s="141"/>
      <c r="E53" s="141"/>
      <c r="F53" s="141"/>
      <c r="G53" s="141"/>
      <c r="H53" s="142"/>
    </row>
    <row r="54" spans="1:14" ht="46.5" hidden="1" customHeight="1" x14ac:dyDescent="0.25">
      <c r="A54" s="102" t="s">
        <v>65</v>
      </c>
      <c r="B54" s="102" t="s">
        <v>4</v>
      </c>
      <c r="C54" s="94" t="s">
        <v>143</v>
      </c>
      <c r="D54" s="94"/>
      <c r="E54" s="94"/>
      <c r="F54" s="94"/>
      <c r="G54" s="48" t="s">
        <v>227</v>
      </c>
      <c r="H54" s="71"/>
    </row>
    <row r="55" spans="1:14" ht="45" hidden="1" customHeight="1" x14ac:dyDescent="0.25">
      <c r="A55" s="102" t="s">
        <v>66</v>
      </c>
      <c r="B55" s="102" t="s">
        <v>4</v>
      </c>
      <c r="C55" s="94" t="s">
        <v>143</v>
      </c>
      <c r="D55" s="94"/>
      <c r="E55" s="94"/>
      <c r="F55" s="94"/>
      <c r="G55" s="48" t="s">
        <v>227</v>
      </c>
      <c r="H55" s="82" t="s">
        <v>143</v>
      </c>
    </row>
    <row r="56" spans="1:14" ht="24" customHeight="1" x14ac:dyDescent="0.25">
      <c r="A56" s="143" t="s">
        <v>354</v>
      </c>
      <c r="B56" s="145"/>
      <c r="C56" s="94" t="s">
        <v>325</v>
      </c>
      <c r="D56" s="94"/>
      <c r="E56" s="94"/>
      <c r="F56" s="94"/>
      <c r="G56" s="48" t="s">
        <v>227</v>
      </c>
      <c r="H56" s="86" t="s">
        <v>326</v>
      </c>
      <c r="N56" s="70" t="s">
        <v>301</v>
      </c>
    </row>
    <row r="57" spans="1:14" ht="46.5" customHeight="1" x14ac:dyDescent="0.25">
      <c r="A57" s="149"/>
      <c r="B57" s="151"/>
      <c r="C57" s="140" t="s">
        <v>373</v>
      </c>
      <c r="D57" s="141"/>
      <c r="E57" s="141"/>
      <c r="F57" s="142"/>
      <c r="G57" s="48" t="s">
        <v>240</v>
      </c>
      <c r="H57" s="88">
        <v>48040</v>
      </c>
      <c r="I57" s="89">
        <f>194.68-4.92</f>
        <v>189.76000000000002</v>
      </c>
      <c r="J57" s="1">
        <f>61.35+3*3</f>
        <v>70.349999999999994</v>
      </c>
      <c r="N57" s="70"/>
    </row>
    <row r="58" spans="1:14" ht="21" customHeight="1" x14ac:dyDescent="0.25">
      <c r="A58" s="143" t="s">
        <v>355</v>
      </c>
      <c r="B58" s="145"/>
      <c r="C58" s="94" t="s">
        <v>356</v>
      </c>
      <c r="D58" s="94"/>
      <c r="E58" s="94"/>
      <c r="F58" s="94"/>
      <c r="G58" s="48" t="s">
        <v>227</v>
      </c>
      <c r="H58" s="88">
        <v>45317</v>
      </c>
    </row>
    <row r="59" spans="1:14" ht="20.25" x14ac:dyDescent="0.25">
      <c r="A59" s="149"/>
      <c r="B59" s="151"/>
      <c r="C59" s="140" t="s">
        <v>364</v>
      </c>
      <c r="D59" s="141"/>
      <c r="E59" s="141"/>
      <c r="F59" s="141"/>
      <c r="G59" s="141"/>
      <c r="H59" s="142"/>
    </row>
    <row r="60" spans="1:14" ht="21" thickBot="1" x14ac:dyDescent="0.3">
      <c r="A60" s="98" t="s">
        <v>67</v>
      </c>
      <c r="B60" s="98"/>
      <c r="C60" s="98"/>
      <c r="D60" s="98"/>
      <c r="E60" s="98"/>
      <c r="F60" s="98"/>
      <c r="G60" s="98"/>
      <c r="H60" s="98"/>
    </row>
    <row r="61" spans="1:14" ht="20.25" customHeight="1" x14ac:dyDescent="0.3">
      <c r="A61" s="101" t="str">
        <f>CONCATENATE((IF(OR(A46="",A46="NA"),"",A46)),"= ",(IF(OR(D46="",D46="NA"),"",D46)),".")</f>
        <v>Tower F = B + G + 1st to 22nd Floor.</v>
      </c>
      <c r="B61" s="101"/>
      <c r="C61" s="101"/>
      <c r="D61" s="28" t="s">
        <v>114</v>
      </c>
      <c r="E61" s="100" t="s">
        <v>101</v>
      </c>
      <c r="F61" s="100"/>
      <c r="G61" s="28" t="s">
        <v>115</v>
      </c>
      <c r="H61" s="28" t="s">
        <v>116</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Work not yet Started.</v>
      </c>
      <c r="J61" s="17"/>
    </row>
    <row r="62" spans="1:14" ht="20.25" x14ac:dyDescent="0.3">
      <c r="A62" s="101"/>
      <c r="B62" s="101"/>
      <c r="C62" s="101"/>
      <c r="D62" s="74">
        <v>1</v>
      </c>
      <c r="E62" s="100">
        <v>1</v>
      </c>
      <c r="F62" s="100"/>
      <c r="G62" s="74">
        <v>0</v>
      </c>
      <c r="H62" s="28">
        <f ca="1">--TRIM(RIGHT(SUBSTITUTE(LEFT(A61,_xlfn.AGGREGATE(16,6,FIND({0,1,2,3,4,5,6,7,8,9},A61,ROW(INDIRECT("1:"&amp;LEN(A61)))),1))," ",REPT(" ",LEN(A61))),LEN(A61)))</f>
        <v>22</v>
      </c>
      <c r="I62" s="16" t="s">
        <v>120</v>
      </c>
      <c r="J62" s="17"/>
    </row>
    <row r="63" spans="1:14" ht="20.25" customHeight="1" x14ac:dyDescent="0.3">
      <c r="A63" s="99" t="s">
        <v>118</v>
      </c>
      <c r="B63" s="99"/>
      <c r="C63" s="26" t="s">
        <v>128</v>
      </c>
      <c r="D63" s="26" t="s">
        <v>129</v>
      </c>
      <c r="E63" s="99" t="s">
        <v>119</v>
      </c>
      <c r="F63" s="99"/>
      <c r="G63" s="27" t="s">
        <v>117</v>
      </c>
      <c r="H63" s="27"/>
      <c r="I63" s="19" t="s">
        <v>130</v>
      </c>
      <c r="J63" s="18">
        <f ca="1">H62*25%</f>
        <v>5.5</v>
      </c>
    </row>
    <row r="64" spans="1:14" ht="20.25" customHeight="1" x14ac:dyDescent="0.3">
      <c r="A64" s="97" t="s">
        <v>131</v>
      </c>
      <c r="B64" s="97"/>
      <c r="C64" s="81">
        <v>0</v>
      </c>
      <c r="D64" s="5">
        <f ca="1">((100/H62)*C64)/100</f>
        <v>0</v>
      </c>
      <c r="E64" s="111">
        <f ca="1">(((C64/H62*10)+(C65/H62*15)+(25/(E62+G62+H62)*C66)+(5/(H62)*C67)+(2.5/(H62)*C68)+(2.5/(H62)*C69)+(5/H62*C70)+(10/H62*C71)+(2.5/H62*C72)+(2.5/H62*C73)+(10/H62*C74)+(10/H62*C75))/100)</f>
        <v>0</v>
      </c>
      <c r="F64" s="112"/>
      <c r="G64" s="97" t="str">
        <f ca="1">I61</f>
        <v>Work not yet Started.</v>
      </c>
      <c r="H64" s="97"/>
      <c r="I64" s="19" t="s">
        <v>121</v>
      </c>
      <c r="J64" s="22">
        <f ca="1">H62*50%</f>
        <v>11</v>
      </c>
    </row>
    <row r="65" spans="1:10" ht="20.25" x14ac:dyDescent="0.3">
      <c r="A65" s="97" t="s">
        <v>102</v>
      </c>
      <c r="B65" s="97"/>
      <c r="C65" s="81">
        <v>0</v>
      </c>
      <c r="D65" s="5">
        <f ca="1">((100/H62)*C65)/100</f>
        <v>0</v>
      </c>
      <c r="E65" s="113"/>
      <c r="F65" s="114"/>
      <c r="G65" s="97"/>
      <c r="H65" s="97"/>
      <c r="I65" s="19" t="s">
        <v>122</v>
      </c>
      <c r="J65" s="22">
        <f ca="1">H62</f>
        <v>22</v>
      </c>
    </row>
    <row r="66" spans="1:10" ht="21" customHeight="1" x14ac:dyDescent="0.35">
      <c r="A66" s="97" t="s">
        <v>132</v>
      </c>
      <c r="B66" s="97"/>
      <c r="C66" s="74">
        <v>0</v>
      </c>
      <c r="D66" s="5">
        <f ca="1">((100/(E62+G62+H62))*C66)/100</f>
        <v>0</v>
      </c>
      <c r="E66" s="113"/>
      <c r="F66" s="114"/>
      <c r="G66" s="97"/>
      <c r="H66" s="97"/>
      <c r="I66" s="19" t="s">
        <v>123</v>
      </c>
      <c r="J66" s="23">
        <f ca="1">(IF(D62&gt;1,(H62/(D62+2)),H62*0.2))</f>
        <v>4.4000000000000004</v>
      </c>
    </row>
    <row r="67" spans="1:10" ht="21" customHeight="1" x14ac:dyDescent="0.35">
      <c r="A67" s="97" t="s">
        <v>133</v>
      </c>
      <c r="B67" s="97"/>
      <c r="C67" s="74">
        <v>0</v>
      </c>
      <c r="D67" s="5">
        <f ca="1">((100/H62)*C67)/100</f>
        <v>0</v>
      </c>
      <c r="E67" s="113"/>
      <c r="F67" s="114"/>
      <c r="G67" s="97"/>
      <c r="H67" s="97"/>
      <c r="I67" s="19" t="s">
        <v>124</v>
      </c>
      <c r="J67" s="23">
        <f ca="1">(IF(D62&gt;1,(H62/(D62+2)+J66),H62*0.2+J66))</f>
        <v>8.8000000000000007</v>
      </c>
    </row>
    <row r="68" spans="1:10" ht="21" customHeight="1" x14ac:dyDescent="0.35">
      <c r="A68" s="95" t="s">
        <v>134</v>
      </c>
      <c r="B68" s="96"/>
      <c r="C68" s="74">
        <v>0</v>
      </c>
      <c r="D68" s="5">
        <f ca="1">((100/H62)*C68)/100</f>
        <v>0</v>
      </c>
      <c r="E68" s="113"/>
      <c r="F68" s="114"/>
      <c r="G68" s="97"/>
      <c r="H68" s="97"/>
      <c r="I68" s="19" t="s">
        <v>135</v>
      </c>
      <c r="J68" s="23">
        <f>(IF(D62&gt;1,(H62/(D62+2)+J67),0))</f>
        <v>0</v>
      </c>
    </row>
    <row r="69" spans="1:10" ht="21" customHeight="1" x14ac:dyDescent="0.35">
      <c r="A69" s="95" t="s">
        <v>165</v>
      </c>
      <c r="B69" s="96"/>
      <c r="C69" s="74">
        <v>0</v>
      </c>
      <c r="D69" s="5">
        <f ca="1">((100/H62)*C69)/100</f>
        <v>0</v>
      </c>
      <c r="E69" s="113"/>
      <c r="F69" s="114"/>
      <c r="G69" s="97"/>
      <c r="H69" s="97"/>
      <c r="I69" s="19" t="s">
        <v>136</v>
      </c>
      <c r="J69" s="23">
        <f>(IF(D62&gt;2,(H62/(D62+2)+J68),0))</f>
        <v>0</v>
      </c>
    </row>
    <row r="70" spans="1:10" ht="21" x14ac:dyDescent="0.35">
      <c r="A70" s="95" t="s">
        <v>162</v>
      </c>
      <c r="B70" s="96"/>
      <c r="C70" s="74">
        <v>0</v>
      </c>
      <c r="D70" s="5">
        <f ca="1">((100/(H62))*C70)/100</f>
        <v>0</v>
      </c>
      <c r="E70" s="113"/>
      <c r="F70" s="114"/>
      <c r="G70" s="97"/>
      <c r="H70" s="97"/>
      <c r="I70" s="19" t="s">
        <v>138</v>
      </c>
      <c r="J70" s="24">
        <f>(IF(D62&gt;3,(H62/(D62+2)+J69),0))</f>
        <v>0</v>
      </c>
    </row>
    <row r="71" spans="1:10" ht="21" x14ac:dyDescent="0.35">
      <c r="A71" s="97" t="s">
        <v>137</v>
      </c>
      <c r="B71" s="97"/>
      <c r="C71" s="74">
        <v>0</v>
      </c>
      <c r="D71" s="5">
        <f ca="1">((100/(H62))*C71)/100</f>
        <v>0</v>
      </c>
      <c r="E71" s="113"/>
      <c r="F71" s="114"/>
      <c r="G71" s="97"/>
      <c r="H71" s="97"/>
      <c r="I71" s="19" t="s">
        <v>139</v>
      </c>
      <c r="J71" s="23">
        <f>(IF(D62&gt;4,(H62/(D62+2)+J70),0))</f>
        <v>0</v>
      </c>
    </row>
    <row r="72" spans="1:10" ht="21" customHeight="1" x14ac:dyDescent="0.35">
      <c r="A72" s="97" t="s">
        <v>164</v>
      </c>
      <c r="B72" s="97"/>
      <c r="C72" s="74">
        <v>0</v>
      </c>
      <c r="D72" s="5">
        <f ca="1">((100/H62)*C72)/100</f>
        <v>0</v>
      </c>
      <c r="E72" s="113"/>
      <c r="F72" s="114"/>
      <c r="G72" s="97"/>
      <c r="H72" s="97"/>
      <c r="I72" s="19" t="s">
        <v>125</v>
      </c>
      <c r="J72" s="23">
        <f ca="1">(IF(D62=1,(H62/(D62+3)+J67),IF(D62=0,(H62*0.3+J67),IF(D62&gt;1,0))))</f>
        <v>14.3</v>
      </c>
    </row>
    <row r="73" spans="1:10" ht="21.75" thickBot="1" x14ac:dyDescent="0.4">
      <c r="A73" s="97" t="s">
        <v>163</v>
      </c>
      <c r="B73" s="97"/>
      <c r="C73" s="74">
        <v>0</v>
      </c>
      <c r="D73" s="5">
        <f ca="1">((100/H62)*C73)/100</f>
        <v>0</v>
      </c>
      <c r="E73" s="113"/>
      <c r="F73" s="114"/>
      <c r="G73" s="97"/>
      <c r="H73" s="97"/>
      <c r="I73" s="21" t="s">
        <v>126</v>
      </c>
      <c r="J73" s="25">
        <f ca="1">(IF(D62&gt;1.5,(H62/(D62+2)+J67+MAX(0,J68-J67)+MAX(0,J69-J68)+MAX(0,J70-J69)+MAX(0,J71-J70)+MAX(0,J72-J71)),IF(D62=1,(H62/(D62+3)+J72),IF(D62=0,H62*0.3+J72))))</f>
        <v>19.8</v>
      </c>
    </row>
    <row r="74" spans="1:10" ht="20.25" x14ac:dyDescent="0.25">
      <c r="A74" s="97" t="s">
        <v>140</v>
      </c>
      <c r="B74" s="97"/>
      <c r="C74" s="28">
        <v>0</v>
      </c>
      <c r="D74" s="5">
        <f ca="1">((100/(H62))*C74)/100</f>
        <v>0</v>
      </c>
      <c r="E74" s="113"/>
      <c r="F74" s="114"/>
      <c r="G74" s="97"/>
      <c r="H74" s="97"/>
    </row>
    <row r="75" spans="1:10" ht="20.25" x14ac:dyDescent="0.25">
      <c r="A75" s="97" t="s">
        <v>141</v>
      </c>
      <c r="B75" s="97"/>
      <c r="C75" s="28">
        <v>0</v>
      </c>
      <c r="D75" s="5">
        <f ca="1">((100/(H62))*C75)/100</f>
        <v>0</v>
      </c>
      <c r="E75" s="115"/>
      <c r="F75" s="116"/>
      <c r="G75" s="97"/>
      <c r="H75" s="97"/>
      <c r="I75" s="80" t="s">
        <v>345</v>
      </c>
    </row>
    <row r="76" spans="1:10" ht="21" hidden="1" thickBot="1" x14ac:dyDescent="0.3">
      <c r="A76" s="119" t="s">
        <v>67</v>
      </c>
      <c r="B76" s="119"/>
      <c r="C76" s="119"/>
      <c r="D76" s="119"/>
      <c r="E76" s="119"/>
      <c r="F76" s="119"/>
      <c r="G76" s="119"/>
      <c r="H76" s="119"/>
    </row>
    <row r="77" spans="1:10" ht="20.25" hidden="1" customHeight="1" x14ac:dyDescent="0.3">
      <c r="A77" s="120" t="e">
        <f>CONCATENATE((IF(OR(#REF!="",#REF!="NA"),"",#REF!)),"= ",(IF(OR(#REF!="",#REF!="NA"),"",#REF!)),".")</f>
        <v>#REF!</v>
      </c>
      <c r="B77" s="120"/>
      <c r="C77" s="120"/>
      <c r="D77" s="28" t="s">
        <v>114</v>
      </c>
      <c r="E77" s="100" t="s">
        <v>101</v>
      </c>
      <c r="F77" s="100"/>
      <c r="G77" s="28" t="s">
        <v>115</v>
      </c>
      <c r="H77" s="28" t="s">
        <v>116</v>
      </c>
      <c r="I77" s="15" t="e">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#REF!</v>
      </c>
      <c r="J77" s="17"/>
    </row>
    <row r="78" spans="1:10" ht="20.25" hidden="1" x14ac:dyDescent="0.3">
      <c r="A78" s="120"/>
      <c r="B78" s="120"/>
      <c r="C78" s="120"/>
      <c r="D78" s="49">
        <f>IF(AND(ISNUMBER(SEARCH("1B",A77))),1,IF(AND(ISNUMBER(SEARCH("2B",A77))),2,IF(AND(ISNUMBER(SEARCH("3B",A77))),3,IF(AND(ISNUMBER(SEARCH("4B",A77))),4,IF(ISNUMBER(SEARCH("5B",A77)),5,0)))))</f>
        <v>0</v>
      </c>
      <c r="E78" s="100">
        <v>1</v>
      </c>
      <c r="F78" s="100"/>
      <c r="G78" s="49">
        <v>0</v>
      </c>
      <c r="H78" s="28" t="e">
        <f ca="1">--TRIM(RIGHT(SUBSTITUTE(LEFT(A77,_xlfn.AGGREGATE(16,6,FIND({0,1,2,3,4,5,6,7,8,9},A77,ROW(INDIRECT("1:"&amp;LEN(A77)))),1))," ",REPT(" ",LEN(A77))),LEN(A77)))</f>
        <v>#REF!</v>
      </c>
      <c r="I78" s="16" t="s">
        <v>120</v>
      </c>
      <c r="J78" s="17"/>
    </row>
    <row r="79" spans="1:10" ht="20.25" hidden="1" customHeight="1" x14ac:dyDescent="0.3">
      <c r="A79" s="99" t="s">
        <v>118</v>
      </c>
      <c r="B79" s="99"/>
      <c r="C79" s="26" t="s">
        <v>128</v>
      </c>
      <c r="D79" s="26" t="s">
        <v>129</v>
      </c>
      <c r="E79" s="99" t="s">
        <v>119</v>
      </c>
      <c r="F79" s="99"/>
      <c r="G79" s="27" t="s">
        <v>117</v>
      </c>
      <c r="H79" s="27"/>
      <c r="I79" s="19" t="s">
        <v>130</v>
      </c>
      <c r="J79" s="18" t="e">
        <f ca="1">H78*25%</f>
        <v>#REF!</v>
      </c>
    </row>
    <row r="80" spans="1:10" ht="20.25" hidden="1" customHeight="1" x14ac:dyDescent="0.3">
      <c r="A80" s="97" t="s">
        <v>131</v>
      </c>
      <c r="B80" s="97"/>
      <c r="C80" s="28" t="e">
        <f ca="1">J81</f>
        <v>#REF!</v>
      </c>
      <c r="D80" s="5" t="e">
        <f ca="1">((100/H78)*C80)/100</f>
        <v>#REF!</v>
      </c>
      <c r="E80" s="111" t="e">
        <f ca="1">(((C80/H78*10)+(C81/H78*15)+(25/(E78+G78+H78)*C82)+(5/(H78)*C83)+(2.5/(H78)*C84)+(2.5/(H78)*C85)+(5/H78*C86)+(10/H78*C87)+(2.5/H78*C88)+(2.5/H78*C89)+(10/H78*C90)+(10/H78*C91))/100)</f>
        <v>#REF!</v>
      </c>
      <c r="F80" s="112"/>
      <c r="G80" s="97" t="e">
        <f ca="1">I77</f>
        <v>#REF!</v>
      </c>
      <c r="H80" s="97"/>
      <c r="I80" s="19" t="s">
        <v>121</v>
      </c>
      <c r="J80" s="22" t="e">
        <f ca="1">H78*50%</f>
        <v>#REF!</v>
      </c>
    </row>
    <row r="81" spans="1:10" ht="20.25" hidden="1" x14ac:dyDescent="0.3">
      <c r="A81" s="97" t="s">
        <v>102</v>
      </c>
      <c r="B81" s="97"/>
      <c r="C81" s="30" t="e">
        <f ca="1">J89</f>
        <v>#REF!</v>
      </c>
      <c r="D81" s="5" t="e">
        <f ca="1">((100/H78)*C81)/100</f>
        <v>#REF!</v>
      </c>
      <c r="E81" s="113"/>
      <c r="F81" s="114"/>
      <c r="G81" s="97"/>
      <c r="H81" s="97"/>
      <c r="I81" s="19" t="s">
        <v>122</v>
      </c>
      <c r="J81" s="22" t="e">
        <f ca="1">H78</f>
        <v>#REF!</v>
      </c>
    </row>
    <row r="82" spans="1:10" ht="21" hidden="1" customHeight="1" x14ac:dyDescent="0.35">
      <c r="A82" s="97" t="s">
        <v>132</v>
      </c>
      <c r="B82" s="97"/>
      <c r="C82" s="28">
        <v>0</v>
      </c>
      <c r="D82" s="5" t="e">
        <f ca="1">((100/(E78+G78+H78))*C82)/100</f>
        <v>#REF!</v>
      </c>
      <c r="E82" s="113"/>
      <c r="F82" s="114"/>
      <c r="G82" s="97"/>
      <c r="H82" s="97"/>
      <c r="I82" s="19" t="s">
        <v>123</v>
      </c>
      <c r="J82" s="23" t="e">
        <f ca="1">(IF(D78&gt;1,(H78/(D78+2)),H78*0.2))</f>
        <v>#REF!</v>
      </c>
    </row>
    <row r="83" spans="1:10" ht="21" hidden="1" customHeight="1" x14ac:dyDescent="0.35">
      <c r="A83" s="97" t="s">
        <v>133</v>
      </c>
      <c r="B83" s="97"/>
      <c r="C83" s="28">
        <v>0</v>
      </c>
      <c r="D83" s="5" t="e">
        <f ca="1">((100/H78)*C83)/100</f>
        <v>#REF!</v>
      </c>
      <c r="E83" s="113"/>
      <c r="F83" s="114"/>
      <c r="G83" s="97"/>
      <c r="H83" s="97"/>
      <c r="I83" s="19" t="s">
        <v>124</v>
      </c>
      <c r="J83" s="23" t="e">
        <f ca="1">(IF(D78&gt;1,(H78/(D78+2)+J82),H78*0.2+J82))</f>
        <v>#REF!</v>
      </c>
    </row>
    <row r="84" spans="1:10" ht="21" hidden="1" customHeight="1" x14ac:dyDescent="0.35">
      <c r="A84" s="95" t="s">
        <v>134</v>
      </c>
      <c r="B84" s="96"/>
      <c r="C84" s="28">
        <v>0</v>
      </c>
      <c r="D84" s="5" t="e">
        <f ca="1">((100/H78)*C84)/100</f>
        <v>#REF!</v>
      </c>
      <c r="E84" s="113"/>
      <c r="F84" s="114"/>
      <c r="G84" s="97"/>
      <c r="H84" s="97"/>
      <c r="I84" s="19" t="s">
        <v>135</v>
      </c>
      <c r="J84" s="23">
        <f>(IF(D78&gt;1,(H78/(D78+2)+J83),0))</f>
        <v>0</v>
      </c>
    </row>
    <row r="85" spans="1:10" ht="21" hidden="1" customHeight="1" x14ac:dyDescent="0.35">
      <c r="A85" s="95" t="s">
        <v>165</v>
      </c>
      <c r="B85" s="96"/>
      <c r="C85" s="28">
        <v>0</v>
      </c>
      <c r="D85" s="5" t="e">
        <f ca="1">((100/H78)*C85)/100</f>
        <v>#REF!</v>
      </c>
      <c r="E85" s="113"/>
      <c r="F85" s="114"/>
      <c r="G85" s="97"/>
      <c r="H85" s="97"/>
      <c r="I85" s="19" t="s">
        <v>136</v>
      </c>
      <c r="J85" s="23">
        <f>(IF(D78&gt;2,(H78/(D78+2)+J84),0))</f>
        <v>0</v>
      </c>
    </row>
    <row r="86" spans="1:10" ht="57.75" hidden="1" customHeight="1" x14ac:dyDescent="0.35">
      <c r="A86" s="95" t="s">
        <v>162</v>
      </c>
      <c r="B86" s="96"/>
      <c r="C86" s="28">
        <v>0</v>
      </c>
      <c r="D86" s="5" t="e">
        <f ca="1">((100/(H78))*C86)/100</f>
        <v>#REF!</v>
      </c>
      <c r="E86" s="113"/>
      <c r="F86" s="114"/>
      <c r="G86" s="97"/>
      <c r="H86" s="97"/>
      <c r="I86" s="19" t="s">
        <v>138</v>
      </c>
      <c r="J86" s="24">
        <f>(IF(D78&gt;3,(H78/(D78+2)+J85),0))</f>
        <v>0</v>
      </c>
    </row>
    <row r="87" spans="1:10" ht="21" hidden="1" x14ac:dyDescent="0.35">
      <c r="A87" s="97" t="s">
        <v>137</v>
      </c>
      <c r="B87" s="97"/>
      <c r="C87" s="28">
        <v>0</v>
      </c>
      <c r="D87" s="5" t="e">
        <f ca="1">((100/(H78))*C87)/100</f>
        <v>#REF!</v>
      </c>
      <c r="E87" s="113"/>
      <c r="F87" s="114"/>
      <c r="G87" s="97"/>
      <c r="H87" s="97"/>
      <c r="I87" s="19" t="s">
        <v>139</v>
      </c>
      <c r="J87" s="23">
        <f>(IF(D78&gt;4,(H78/(D78+2)+J86),0))</f>
        <v>0</v>
      </c>
    </row>
    <row r="88" spans="1:10" ht="21" hidden="1" customHeight="1" x14ac:dyDescent="0.35">
      <c r="A88" s="97" t="s">
        <v>164</v>
      </c>
      <c r="B88" s="97"/>
      <c r="C88" s="28">
        <v>0</v>
      </c>
      <c r="D88" s="5" t="e">
        <f ca="1">((100/H78)*C88)/100</f>
        <v>#REF!</v>
      </c>
      <c r="E88" s="113"/>
      <c r="F88" s="114"/>
      <c r="G88" s="97"/>
      <c r="H88" s="97"/>
      <c r="I88" s="19" t="s">
        <v>125</v>
      </c>
      <c r="J88" s="23" t="e">
        <f ca="1">(IF(D78=1,(H78/(D78+3)+J83),IF(D78=0,(H78*0.3+J83),IF(D78&gt;1,0))))</f>
        <v>#REF!</v>
      </c>
    </row>
    <row r="89" spans="1:10" ht="21.75" hidden="1" thickBot="1" x14ac:dyDescent="0.4">
      <c r="A89" s="97" t="s">
        <v>163</v>
      </c>
      <c r="B89" s="97"/>
      <c r="C89" s="28">
        <v>0</v>
      </c>
      <c r="D89" s="5" t="e">
        <f ca="1">((100/H78)*C89)/100</f>
        <v>#REF!</v>
      </c>
      <c r="E89" s="113"/>
      <c r="F89" s="114"/>
      <c r="G89" s="97"/>
      <c r="H89" s="97"/>
      <c r="I89" s="21" t="s">
        <v>126</v>
      </c>
      <c r="J89" s="25" t="e">
        <f ca="1">(IF(D78&gt;1.5,(H78/(D78+2)+J83+MAX(0,J84-J83)+MAX(0,J85-J84)+MAX(0,J86-J85)+MAX(0,J87-J86)+MAX(0,J88-J87)),IF(D78=1,(H78/(D78+3)+J88),IF(D78=0,H78*0.3+J88))))</f>
        <v>#REF!</v>
      </c>
    </row>
    <row r="90" spans="1:10" ht="20.25" hidden="1" x14ac:dyDescent="0.25">
      <c r="A90" s="97" t="s">
        <v>140</v>
      </c>
      <c r="B90" s="97"/>
      <c r="C90" s="28">
        <v>0</v>
      </c>
      <c r="D90" s="5" t="e">
        <f ca="1">((100/(H78))*C90)/100</f>
        <v>#REF!</v>
      </c>
      <c r="E90" s="113"/>
      <c r="F90" s="114"/>
      <c r="G90" s="97"/>
      <c r="H90" s="97"/>
    </row>
    <row r="91" spans="1:10" ht="20.25" hidden="1" x14ac:dyDescent="0.25">
      <c r="A91" s="97" t="s">
        <v>141</v>
      </c>
      <c r="B91" s="97"/>
      <c r="C91" s="28">
        <v>0</v>
      </c>
      <c r="D91" s="5" t="e">
        <f ca="1">((100/(H78))*C91)/100</f>
        <v>#REF!</v>
      </c>
      <c r="E91" s="115"/>
      <c r="F91" s="116"/>
      <c r="G91" s="97"/>
      <c r="H91" s="97"/>
    </row>
    <row r="92" spans="1:10" ht="21" hidden="1" thickBot="1" x14ac:dyDescent="0.3">
      <c r="A92" s="119" t="s">
        <v>67</v>
      </c>
      <c r="B92" s="119"/>
      <c r="C92" s="119"/>
      <c r="D92" s="119"/>
      <c r="E92" s="119"/>
      <c r="F92" s="119"/>
      <c r="G92" s="119"/>
      <c r="H92" s="119"/>
    </row>
    <row r="93" spans="1:10" ht="20.25" hidden="1" customHeight="1" x14ac:dyDescent="0.3">
      <c r="A93" s="120" t="e">
        <f>CONCATENATE((IF(OR(#REF!="",#REF!="NA"),"",#REF!)),"= ",(IF(OR(#REF!="",#REF!="NA"),"",#REF!)),".")</f>
        <v>#REF!</v>
      </c>
      <c r="B93" s="120"/>
      <c r="C93" s="120"/>
      <c r="D93" s="28" t="s">
        <v>114</v>
      </c>
      <c r="E93" s="100" t="s">
        <v>101</v>
      </c>
      <c r="F93" s="100"/>
      <c r="G93" s="28" t="s">
        <v>115</v>
      </c>
      <c r="H93" s="28" t="s">
        <v>116</v>
      </c>
      <c r="I93" s="15" t="e">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#REF!</v>
      </c>
      <c r="J93" s="17"/>
    </row>
    <row r="94" spans="1:10" ht="20.25" hidden="1" x14ac:dyDescent="0.3">
      <c r="A94" s="120"/>
      <c r="B94" s="120"/>
      <c r="C94" s="120"/>
      <c r="D94" s="49">
        <f>IF(AND(ISNUMBER(SEARCH("1B",A93))),1,IF(AND(ISNUMBER(SEARCH("2B",A93))),2,IF(AND(ISNUMBER(SEARCH("3B",A93))),3,IF(AND(ISNUMBER(SEARCH("4B",A93))),4,IF(ISNUMBER(SEARCH("5B",A93)),5,0)))))</f>
        <v>0</v>
      </c>
      <c r="E94" s="100">
        <v>1</v>
      </c>
      <c r="F94" s="100"/>
      <c r="G94" s="49">
        <v>0</v>
      </c>
      <c r="H94" s="28" t="e">
        <f ca="1">--TRIM(RIGHT(SUBSTITUTE(LEFT(A93,_xlfn.AGGREGATE(16,6,FIND({0,1,2,3,4,5,6,7,8,9},A93,ROW(INDIRECT("1:"&amp;LEN(A93)))),1))," ",REPT(" ",LEN(A93))),LEN(A93)))</f>
        <v>#REF!</v>
      </c>
      <c r="I94" s="16" t="s">
        <v>120</v>
      </c>
      <c r="J94" s="17"/>
    </row>
    <row r="95" spans="1:10" ht="20.25" hidden="1" customHeight="1" x14ac:dyDescent="0.3">
      <c r="A95" s="99" t="s">
        <v>118</v>
      </c>
      <c r="B95" s="99"/>
      <c r="C95" s="26" t="s">
        <v>128</v>
      </c>
      <c r="D95" s="26" t="s">
        <v>129</v>
      </c>
      <c r="E95" s="99" t="s">
        <v>119</v>
      </c>
      <c r="F95" s="99"/>
      <c r="G95" s="27" t="s">
        <v>117</v>
      </c>
      <c r="H95" s="27"/>
      <c r="I95" s="19" t="s">
        <v>130</v>
      </c>
      <c r="J95" s="18" t="e">
        <f ca="1">H94*25%</f>
        <v>#REF!</v>
      </c>
    </row>
    <row r="96" spans="1:10" ht="20.25" hidden="1" customHeight="1" x14ac:dyDescent="0.3">
      <c r="A96" s="97" t="s">
        <v>131</v>
      </c>
      <c r="B96" s="97"/>
      <c r="C96" s="28" t="e">
        <f ca="1">J97</f>
        <v>#REF!</v>
      </c>
      <c r="D96" s="5" t="e">
        <f ca="1">((100/H94)*C96)/100</f>
        <v>#REF!</v>
      </c>
      <c r="E96" s="111" t="e">
        <f ca="1">(((C96/H94*10)+(C97/H94*15)+(25/(E94+G94+H94)*C98)+(5/(H94)*C99)+(2.5/(H94)*C100)+(2.5/(H94)*C101)+(5/H94*C102)+(10/H94*C103)+(2.5/H94*C104)+(2.5/H94*C105)+(10/H94*C106)+(10/H94*C107))/100)</f>
        <v>#REF!</v>
      </c>
      <c r="F96" s="112"/>
      <c r="G96" s="97" t="e">
        <f ca="1">I93</f>
        <v>#REF!</v>
      </c>
      <c r="H96" s="97"/>
      <c r="I96" s="19" t="s">
        <v>121</v>
      </c>
      <c r="J96" s="22" t="e">
        <f ca="1">H94*50%</f>
        <v>#REF!</v>
      </c>
    </row>
    <row r="97" spans="1:11" ht="20.25" hidden="1" x14ac:dyDescent="0.3">
      <c r="A97" s="97" t="s">
        <v>102</v>
      </c>
      <c r="B97" s="97"/>
      <c r="C97" s="30" t="e">
        <f ca="1">J105</f>
        <v>#REF!</v>
      </c>
      <c r="D97" s="5" t="e">
        <f ca="1">((100/H94)*C97)/100</f>
        <v>#REF!</v>
      </c>
      <c r="E97" s="113"/>
      <c r="F97" s="114"/>
      <c r="G97" s="97"/>
      <c r="H97" s="97"/>
      <c r="I97" s="19" t="s">
        <v>122</v>
      </c>
      <c r="J97" s="22" t="e">
        <f ca="1">H94</f>
        <v>#REF!</v>
      </c>
    </row>
    <row r="98" spans="1:11" ht="21" hidden="1" customHeight="1" x14ac:dyDescent="0.35">
      <c r="A98" s="97" t="s">
        <v>132</v>
      </c>
      <c r="B98" s="97"/>
      <c r="C98" s="28">
        <v>0</v>
      </c>
      <c r="D98" s="5" t="e">
        <f ca="1">((100/(E94+G94+H94))*C98)/100</f>
        <v>#REF!</v>
      </c>
      <c r="E98" s="113"/>
      <c r="F98" s="114"/>
      <c r="G98" s="97"/>
      <c r="H98" s="97"/>
      <c r="I98" s="19" t="s">
        <v>123</v>
      </c>
      <c r="J98" s="23" t="e">
        <f ca="1">(IF(D94&gt;1,(H94/(D94+2)),H94*0.2))</f>
        <v>#REF!</v>
      </c>
    </row>
    <row r="99" spans="1:11" ht="21" hidden="1" customHeight="1" x14ac:dyDescent="0.35">
      <c r="A99" s="97" t="s">
        <v>133</v>
      </c>
      <c r="B99" s="97"/>
      <c r="C99" s="28">
        <v>0</v>
      </c>
      <c r="D99" s="5" t="e">
        <f ca="1">((100/H94)*C99)/100</f>
        <v>#REF!</v>
      </c>
      <c r="E99" s="113"/>
      <c r="F99" s="114"/>
      <c r="G99" s="97"/>
      <c r="H99" s="97"/>
      <c r="I99" s="19" t="s">
        <v>124</v>
      </c>
      <c r="J99" s="23" t="e">
        <f ca="1">(IF(D94&gt;1,(H94/(D94+2)+J98),H94*0.2+J98))</f>
        <v>#REF!</v>
      </c>
    </row>
    <row r="100" spans="1:11" ht="21" hidden="1" customHeight="1" x14ac:dyDescent="0.35">
      <c r="A100" s="95" t="s">
        <v>134</v>
      </c>
      <c r="B100" s="96"/>
      <c r="C100" s="28">
        <v>0</v>
      </c>
      <c r="D100" s="5" t="e">
        <f ca="1">((100/H94)*C100)/100</f>
        <v>#REF!</v>
      </c>
      <c r="E100" s="113"/>
      <c r="F100" s="114"/>
      <c r="G100" s="97"/>
      <c r="H100" s="97"/>
      <c r="I100" s="19" t="s">
        <v>135</v>
      </c>
      <c r="J100" s="23">
        <f>(IF(D94&gt;1,(H94/(D94+2)+J99),0))</f>
        <v>0</v>
      </c>
    </row>
    <row r="101" spans="1:11" ht="21" hidden="1" customHeight="1" x14ac:dyDescent="0.35">
      <c r="A101" s="95" t="s">
        <v>165</v>
      </c>
      <c r="B101" s="96"/>
      <c r="C101" s="28">
        <v>0</v>
      </c>
      <c r="D101" s="5" t="e">
        <f ca="1">((100/H94)*C101)/100</f>
        <v>#REF!</v>
      </c>
      <c r="E101" s="113"/>
      <c r="F101" s="114"/>
      <c r="G101" s="97"/>
      <c r="H101" s="97"/>
      <c r="I101" s="19" t="s">
        <v>136</v>
      </c>
      <c r="J101" s="23">
        <f>(IF(D94&gt;2,(H94/(D94+2)+J100),0))</f>
        <v>0</v>
      </c>
    </row>
    <row r="102" spans="1:11" ht="57.75" hidden="1" customHeight="1" x14ac:dyDescent="0.35">
      <c r="A102" s="95" t="s">
        <v>162</v>
      </c>
      <c r="B102" s="96"/>
      <c r="C102" s="28">
        <v>0</v>
      </c>
      <c r="D102" s="5" t="e">
        <f ca="1">((100/(H94))*C102)/100</f>
        <v>#REF!</v>
      </c>
      <c r="E102" s="113"/>
      <c r="F102" s="114"/>
      <c r="G102" s="97"/>
      <c r="H102" s="97"/>
      <c r="I102" s="19" t="s">
        <v>138</v>
      </c>
      <c r="J102" s="24">
        <f>(IF(D94&gt;3,(H94/(D94+2)+J101),0))</f>
        <v>0</v>
      </c>
    </row>
    <row r="103" spans="1:11" ht="21" hidden="1" x14ac:dyDescent="0.35">
      <c r="A103" s="97" t="s">
        <v>137</v>
      </c>
      <c r="B103" s="97"/>
      <c r="C103" s="28">
        <v>0</v>
      </c>
      <c r="D103" s="5" t="e">
        <f ca="1">((100/(H94))*C103)/100</f>
        <v>#REF!</v>
      </c>
      <c r="E103" s="113"/>
      <c r="F103" s="114"/>
      <c r="G103" s="97"/>
      <c r="H103" s="97"/>
      <c r="I103" s="19" t="s">
        <v>139</v>
      </c>
      <c r="J103" s="23">
        <f>(IF(D94&gt;4,(H94/(D94+2)+J102),0))</f>
        <v>0</v>
      </c>
    </row>
    <row r="104" spans="1:11" ht="21" hidden="1" customHeight="1" x14ac:dyDescent="0.35">
      <c r="A104" s="97" t="s">
        <v>164</v>
      </c>
      <c r="B104" s="97"/>
      <c r="C104" s="28">
        <v>0</v>
      </c>
      <c r="D104" s="5" t="e">
        <f ca="1">((100/H94)*C104)/100</f>
        <v>#REF!</v>
      </c>
      <c r="E104" s="113"/>
      <c r="F104" s="114"/>
      <c r="G104" s="97"/>
      <c r="H104" s="97"/>
      <c r="I104" s="19" t="s">
        <v>125</v>
      </c>
      <c r="J104" s="23" t="e">
        <f ca="1">(IF(D94=1,(H94/(D94+3)+J99),IF(D94=0,(H94*0.3+J99),IF(D94&gt;1,0))))</f>
        <v>#REF!</v>
      </c>
    </row>
    <row r="105" spans="1:11" ht="21.75" hidden="1" thickBot="1" x14ac:dyDescent="0.4">
      <c r="A105" s="97" t="s">
        <v>163</v>
      </c>
      <c r="B105" s="97"/>
      <c r="C105" s="28">
        <v>0</v>
      </c>
      <c r="D105" s="5" t="e">
        <f ca="1">((100/H94)*C105)/100</f>
        <v>#REF!</v>
      </c>
      <c r="E105" s="113"/>
      <c r="F105" s="114"/>
      <c r="G105" s="97"/>
      <c r="H105" s="97"/>
      <c r="I105" s="21" t="s">
        <v>126</v>
      </c>
      <c r="J105" s="25" t="e">
        <f ca="1">(IF(D94&gt;1.5,(H94/(D94+2)+J99+MAX(0,J100-J99)+MAX(0,J101-J100)+MAX(0,J102-J101)+MAX(0,J103-J102)+MAX(0,J104-J103)),IF(D94=1,(H94/(D94+3)+J104),IF(D94=0,H94*0.3+J104))))</f>
        <v>#REF!</v>
      </c>
    </row>
    <row r="106" spans="1:11" ht="20.25" hidden="1" x14ac:dyDescent="0.25">
      <c r="A106" s="97" t="s">
        <v>140</v>
      </c>
      <c r="B106" s="97"/>
      <c r="C106" s="28">
        <v>0</v>
      </c>
      <c r="D106" s="5" t="e">
        <f ca="1">((100/(H94))*C106)/100</f>
        <v>#REF!</v>
      </c>
      <c r="E106" s="113"/>
      <c r="F106" s="114"/>
      <c r="G106" s="97"/>
      <c r="H106" s="97"/>
    </row>
    <row r="107" spans="1:11" ht="20.25" hidden="1" x14ac:dyDescent="0.25">
      <c r="A107" s="97" t="s">
        <v>141</v>
      </c>
      <c r="B107" s="97"/>
      <c r="C107" s="28">
        <v>0</v>
      </c>
      <c r="D107" s="5" t="e">
        <f ca="1">((100/(H94))*C107)/100</f>
        <v>#REF!</v>
      </c>
      <c r="E107" s="115"/>
      <c r="F107" s="116"/>
      <c r="G107" s="97"/>
      <c r="H107" s="97"/>
    </row>
    <row r="108" spans="1:11" ht="20.25" x14ac:dyDescent="0.3">
      <c r="A108" s="198" t="s">
        <v>127</v>
      </c>
      <c r="B108" s="199"/>
      <c r="C108" s="199"/>
      <c r="D108" s="199"/>
      <c r="E108" s="199"/>
      <c r="F108" s="199"/>
      <c r="G108" s="121">
        <f ca="1">AVERAGE(E64)</f>
        <v>0</v>
      </c>
      <c r="H108" s="122"/>
      <c r="I108" s="79">
        <f>26200000/758</f>
        <v>34564.643799472295</v>
      </c>
      <c r="J108" s="79">
        <f>26200000/765.1</f>
        <v>34243.889687622534</v>
      </c>
      <c r="K108" s="20"/>
    </row>
    <row r="109" spans="1:11" ht="20.25" x14ac:dyDescent="0.25">
      <c r="A109" s="106" t="s">
        <v>71</v>
      </c>
      <c r="B109" s="107"/>
      <c r="C109" s="107"/>
      <c r="D109" s="107"/>
      <c r="E109" s="107"/>
      <c r="F109" s="107"/>
      <c r="G109" s="107"/>
      <c r="H109" s="108"/>
      <c r="I109" s="75"/>
    </row>
    <row r="110" spans="1:11" ht="54.75" customHeight="1" x14ac:dyDescent="0.25">
      <c r="A110" s="109" t="s">
        <v>72</v>
      </c>
      <c r="B110" s="110"/>
      <c r="C110" s="129" t="s">
        <v>106</v>
      </c>
      <c r="D110" s="130"/>
      <c r="E110" s="109" t="s">
        <v>142</v>
      </c>
      <c r="F110" s="110" t="s">
        <v>4</v>
      </c>
      <c r="G110" s="203" t="s">
        <v>155</v>
      </c>
      <c r="H110" s="203"/>
      <c r="I110" s="75">
        <f>33300000/968</f>
        <v>34400.826446280989</v>
      </c>
    </row>
    <row r="111" spans="1:11" ht="44.25" customHeight="1" x14ac:dyDescent="0.25">
      <c r="A111" s="109" t="s">
        <v>152</v>
      </c>
      <c r="B111" s="110"/>
      <c r="C111" s="129" t="s">
        <v>363</v>
      </c>
      <c r="D111" s="130"/>
      <c r="E111" s="109" t="s">
        <v>153</v>
      </c>
      <c r="F111" s="110" t="s">
        <v>4</v>
      </c>
      <c r="G111" s="94" t="s">
        <v>143</v>
      </c>
      <c r="H111" s="94"/>
    </row>
    <row r="112" spans="1:11" ht="20.25" x14ac:dyDescent="0.25">
      <c r="A112" s="109" t="s">
        <v>73</v>
      </c>
      <c r="B112" s="110"/>
      <c r="C112" s="140">
        <v>800000</v>
      </c>
      <c r="D112" s="142"/>
      <c r="E112" s="109" t="s">
        <v>100</v>
      </c>
      <c r="F112" s="110" t="s">
        <v>4</v>
      </c>
      <c r="G112" s="129" t="s">
        <v>107</v>
      </c>
      <c r="H112" s="130"/>
    </row>
    <row r="113" spans="1:150 16226:16383" ht="20.25" x14ac:dyDescent="0.25">
      <c r="A113" s="106" t="s">
        <v>70</v>
      </c>
      <c r="B113" s="107"/>
      <c r="C113" s="107"/>
      <c r="D113" s="107"/>
      <c r="E113" s="107"/>
      <c r="F113" s="107"/>
      <c r="G113" s="107"/>
      <c r="H113" s="108"/>
    </row>
    <row r="114" spans="1:150 16226:16383" ht="20.25" customHeight="1" x14ac:dyDescent="0.25">
      <c r="A114" s="109" t="s">
        <v>8</v>
      </c>
      <c r="B114" s="197"/>
      <c r="C114" s="197"/>
      <c r="D114" s="197"/>
      <c r="E114" s="197"/>
      <c r="F114" s="110"/>
      <c r="G114" s="136">
        <f>58650/10.764</f>
        <v>5448.7179487179492</v>
      </c>
      <c r="H114" s="137"/>
    </row>
    <row r="115" spans="1:150 16226:16383" ht="20.25" customHeight="1" x14ac:dyDescent="0.25">
      <c r="A115" s="109" t="s">
        <v>28</v>
      </c>
      <c r="B115" s="197"/>
      <c r="C115" s="197"/>
      <c r="D115" s="197"/>
      <c r="E115" s="197"/>
      <c r="F115" s="110" t="s">
        <v>4</v>
      </c>
      <c r="G115" s="105">
        <f>134160/10.764</f>
        <v>12463.76811594203</v>
      </c>
      <c r="H115" s="105"/>
    </row>
    <row r="116" spans="1:150 16226:16383" ht="20.25" customHeight="1" x14ac:dyDescent="0.25">
      <c r="A116" s="109" t="s">
        <v>108</v>
      </c>
      <c r="B116" s="197"/>
      <c r="C116" s="197"/>
      <c r="D116" s="197"/>
      <c r="E116" s="197"/>
      <c r="F116" s="110" t="s">
        <v>4</v>
      </c>
      <c r="G116" s="105">
        <f>G114*0.8</f>
        <v>4358.9743589743593</v>
      </c>
      <c r="H116" s="105"/>
    </row>
    <row r="117" spans="1:150 16226:16383" ht="20.25" x14ac:dyDescent="0.25">
      <c r="A117" s="131" t="s">
        <v>381</v>
      </c>
      <c r="B117" s="132"/>
      <c r="C117" s="132"/>
      <c r="D117" s="132"/>
      <c r="E117" s="132"/>
      <c r="F117" s="132"/>
      <c r="G117" s="132"/>
      <c r="H117" s="133"/>
    </row>
    <row r="118" spans="1:150 16226:16383" s="3" customFormat="1" ht="20.25" x14ac:dyDescent="0.25">
      <c r="A118" s="123" t="s">
        <v>149</v>
      </c>
      <c r="B118" s="124"/>
      <c r="C118" s="123" t="s">
        <v>150</v>
      </c>
      <c r="D118" s="124"/>
      <c r="E118" s="123" t="s">
        <v>148</v>
      </c>
      <c r="F118" s="124"/>
      <c r="G118" s="123" t="s">
        <v>160</v>
      </c>
      <c r="H118" s="12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125" t="s">
        <v>380</v>
      </c>
      <c r="B119" s="126"/>
      <c r="C119" s="125" t="s">
        <v>87</v>
      </c>
      <c r="D119" s="126"/>
      <c r="E119" s="125">
        <f>COUNT(E133:E136)</f>
        <v>4</v>
      </c>
      <c r="F119" s="126"/>
      <c r="G119" s="125">
        <f>SUM(H133:H136)</f>
        <v>1844.4114</v>
      </c>
      <c r="H119" s="126"/>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125"/>
      <c r="B120" s="126"/>
      <c r="C120" s="125"/>
      <c r="D120" s="126"/>
      <c r="E120" s="125"/>
      <c r="F120" s="126"/>
      <c r="G120" s="125"/>
      <c r="H120" s="126"/>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x14ac:dyDescent="0.25">
      <c r="A121" s="123" t="s">
        <v>151</v>
      </c>
      <c r="B121" s="124"/>
      <c r="C121" s="123" t="s">
        <v>94</v>
      </c>
      <c r="D121" s="124"/>
      <c r="E121" s="123">
        <f>E119</f>
        <v>4</v>
      </c>
      <c r="F121" s="124"/>
      <c r="G121" s="123">
        <f>G119</f>
        <v>1844.4114</v>
      </c>
      <c r="H121" s="12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31" t="s">
        <v>228</v>
      </c>
      <c r="B122" s="132"/>
      <c r="C122" s="132"/>
      <c r="D122" s="132"/>
      <c r="E122" s="132"/>
      <c r="F122" s="132"/>
      <c r="G122" s="132"/>
      <c r="H122" s="133"/>
    </row>
    <row r="123" spans="1:150 16226:16383" s="3" customFormat="1" ht="20.25" x14ac:dyDescent="0.25">
      <c r="A123" s="123" t="s">
        <v>149</v>
      </c>
      <c r="B123" s="124"/>
      <c r="C123" s="123" t="s">
        <v>150</v>
      </c>
      <c r="D123" s="124"/>
      <c r="E123" s="123" t="s">
        <v>148</v>
      </c>
      <c r="F123" s="124"/>
      <c r="G123" s="123" t="s">
        <v>160</v>
      </c>
      <c r="H123" s="12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193" t="s">
        <v>322</v>
      </c>
      <c r="B124" s="194"/>
      <c r="C124" s="125" t="s">
        <v>87</v>
      </c>
      <c r="D124" s="126"/>
      <c r="E124" s="125">
        <f>COUNT(H138:H139)+COUNT(H143:H144)+COUNT(H148:H149)+COUNT(H153:H154)+COUNT(H158:H159)+COUNT(H163)+COUNT(H170)+COUNT(H175)+COUNT(H179)+COUNT(H183,H185)*5+COUNT(H188,H190)+COUNT(H193,H195)*4</f>
        <v>34</v>
      </c>
      <c r="F124" s="126"/>
      <c r="G124" s="125">
        <f>SUM(H138:H139)+SUM(H143:H144)+SUM(H148:H149)+SUM(H153:H154)+SUM(H158:H159)+SUM(H163)+SUM(H170)+SUM(H175)+SUM(H179)+SUM(H183,H185)*5+SUM(H188,H190)+SUM(H193,H195)*4</f>
        <v>28410.124859999996</v>
      </c>
      <c r="H124" s="126"/>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195"/>
      <c r="B125" s="196"/>
      <c r="C125" s="125" t="s">
        <v>336</v>
      </c>
      <c r="D125" s="126"/>
      <c r="E125" s="125">
        <f>COUNT(H164:H166)+COUNT(H168:H169,H171)+COUNT(H173:H174,H176)+COUNT(H178,H180:H181)+COUNT(H184,H186)*5+COUNT(H189,H191)+COUNT(H194,H196)*4</f>
        <v>32</v>
      </c>
      <c r="F125" s="126"/>
      <c r="G125" s="125">
        <f>SUM(H164:H166)+SUM(H168:H169,H171)+SUM(H173:H174,H176)+SUM(H178,H180:H181)+SUM(H184,H186)*5+SUM(H189,H191)+SUM(H194,H196)*4</f>
        <v>24727.383720000005</v>
      </c>
      <c r="H125" s="126"/>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thickBot="1" x14ac:dyDescent="0.3">
      <c r="A126" s="127" t="s">
        <v>151</v>
      </c>
      <c r="B126" s="128"/>
      <c r="C126" s="127" t="s">
        <v>94</v>
      </c>
      <c r="D126" s="128"/>
      <c r="E126" s="127">
        <f>SUM(E124:F125)</f>
        <v>66</v>
      </c>
      <c r="F126" s="128"/>
      <c r="G126" s="127">
        <f>SUM(G124:H125)</f>
        <v>53137.508580000002</v>
      </c>
      <c r="H126" s="128"/>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thickBot="1" x14ac:dyDescent="0.3">
      <c r="A127" s="172" t="s">
        <v>241</v>
      </c>
      <c r="B127" s="118"/>
      <c r="C127" s="117" t="s">
        <v>94</v>
      </c>
      <c r="D127" s="118"/>
      <c r="E127" s="117">
        <f>SUM(E121,E126)</f>
        <v>70</v>
      </c>
      <c r="F127" s="118"/>
      <c r="G127" s="117">
        <f>SUM(G121,G126)</f>
        <v>54981.919979999999</v>
      </c>
      <c r="H127" s="173"/>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0.25" x14ac:dyDescent="0.25">
      <c r="A128" s="169" t="s">
        <v>147</v>
      </c>
      <c r="B128" s="170"/>
      <c r="C128" s="170"/>
      <c r="D128" s="170"/>
      <c r="E128" s="170"/>
      <c r="F128" s="170"/>
      <c r="G128" s="170"/>
      <c r="H128" s="171"/>
    </row>
    <row r="129" spans="1:150 16226:16383" ht="66" customHeight="1" x14ac:dyDescent="0.25">
      <c r="A129" s="50" t="s">
        <v>229</v>
      </c>
      <c r="B129" s="29" t="s">
        <v>230</v>
      </c>
      <c r="C129" s="78" t="s">
        <v>231</v>
      </c>
      <c r="D129" s="29" t="s">
        <v>88</v>
      </c>
      <c r="E129" s="29" t="s">
        <v>161</v>
      </c>
      <c r="F129" s="31" t="s">
        <v>362</v>
      </c>
      <c r="G129" s="29" t="s">
        <v>90</v>
      </c>
      <c r="H129" s="29" t="s">
        <v>89</v>
      </c>
      <c r="I129" s="73">
        <v>10.763999999999999</v>
      </c>
    </row>
    <row r="130" spans="1:150 16226:16383" s="3" customFormat="1" ht="20.25" x14ac:dyDescent="0.25">
      <c r="A130" s="200" t="s">
        <v>322</v>
      </c>
      <c r="B130" s="201"/>
      <c r="C130" s="201"/>
      <c r="D130" s="201"/>
      <c r="E130" s="201"/>
      <c r="F130" s="201"/>
      <c r="G130" s="201"/>
      <c r="H130" s="202"/>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166" t="s">
        <v>361</v>
      </c>
      <c r="B131" s="167"/>
      <c r="C131" s="167"/>
      <c r="D131" s="167"/>
      <c r="E131" s="167"/>
      <c r="F131" s="167"/>
      <c r="G131" s="167"/>
      <c r="H131" s="168"/>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190" t="s">
        <v>327</v>
      </c>
      <c r="B132" s="191"/>
      <c r="C132" s="191"/>
      <c r="D132" s="191"/>
      <c r="E132" s="191"/>
      <c r="F132" s="191"/>
      <c r="G132" s="191"/>
      <c r="H132" s="192"/>
      <c r="I132" s="1"/>
      <c r="J132" s="1">
        <f>38000</f>
        <v>38000</v>
      </c>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85">
        <v>1</v>
      </c>
      <c r="B133" s="77" t="s">
        <v>87</v>
      </c>
      <c r="C133" s="51" t="s">
        <v>94</v>
      </c>
      <c r="D133" s="51" t="s">
        <v>328</v>
      </c>
      <c r="E133" s="73">
        <f>(42.74)*10.764</f>
        <v>460.05336</v>
      </c>
      <c r="F133" s="72">
        <v>0</v>
      </c>
      <c r="G133" s="72">
        <v>0</v>
      </c>
      <c r="H133" s="72">
        <f>E133+F133+(IF(G133&lt;101,G133,IF(G133&lt;201,G133/2,IF(G133&lt;=301,G133/3,G133/4))))</f>
        <v>460.05336</v>
      </c>
      <c r="I133" s="76">
        <f>6.35*6.08+2.22*0.9+1.38*1.65</f>
        <v>42.882999999999996</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85">
        <f>A133+1</f>
        <v>2</v>
      </c>
      <c r="B134" s="77" t="s">
        <v>87</v>
      </c>
      <c r="C134" s="51" t="s">
        <v>94</v>
      </c>
      <c r="D134" s="51" t="s">
        <v>328</v>
      </c>
      <c r="E134" s="73">
        <f>(42.74)*10.764</f>
        <v>460.05336</v>
      </c>
      <c r="F134" s="72">
        <v>0</v>
      </c>
      <c r="G134" s="72">
        <v>0</v>
      </c>
      <c r="H134" s="72">
        <f t="shared" ref="H134:H136" si="0">E134+F134+(IF(G134&lt;101,G134,IF(G134&lt;201,G134/2,IF(G134&lt;=301,G134/3,G134/4))))</f>
        <v>460.05336</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85">
        <f t="shared" ref="A135:A136" si="1">A134+1</f>
        <v>3</v>
      </c>
      <c r="B135" s="77" t="s">
        <v>87</v>
      </c>
      <c r="C135" s="51" t="s">
        <v>94</v>
      </c>
      <c r="D135" s="51" t="s">
        <v>328</v>
      </c>
      <c r="E135" s="73">
        <f>(42.9)*10.764</f>
        <v>461.77559999999994</v>
      </c>
      <c r="F135" s="72">
        <v>0</v>
      </c>
      <c r="G135" s="72">
        <v>0</v>
      </c>
      <c r="H135" s="72">
        <f t="shared" si="0"/>
        <v>461.77559999999994</v>
      </c>
      <c r="I135" s="76">
        <f>5.8*5.53+3.55*2.3+1.55*1.25</f>
        <v>42.176499999999997</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85">
        <f t="shared" si="1"/>
        <v>4</v>
      </c>
      <c r="B136" s="77" t="s">
        <v>87</v>
      </c>
      <c r="C136" s="51" t="s">
        <v>94</v>
      </c>
      <c r="D136" s="51" t="s">
        <v>328</v>
      </c>
      <c r="E136" s="73">
        <f>(42.97)*10.764</f>
        <v>462.52907999999996</v>
      </c>
      <c r="F136" s="72">
        <v>0</v>
      </c>
      <c r="G136" s="72">
        <v>0</v>
      </c>
      <c r="H136" s="72">
        <f t="shared" si="0"/>
        <v>462.52907999999996</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66" t="s">
        <v>371</v>
      </c>
      <c r="B137" s="167"/>
      <c r="C137" s="167"/>
      <c r="D137" s="167"/>
      <c r="E137" s="167"/>
      <c r="F137" s="167"/>
      <c r="G137" s="167"/>
      <c r="H137" s="168"/>
      <c r="I137" s="4">
        <v>1</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72">
        <v>1</v>
      </c>
      <c r="B138" s="77" t="s">
        <v>87</v>
      </c>
      <c r="C138" s="51" t="s">
        <v>94</v>
      </c>
      <c r="D138" s="90" t="s">
        <v>329</v>
      </c>
      <c r="E138" s="83">
        <f>(67.76)*10.764</f>
        <v>729.36864000000003</v>
      </c>
      <c r="F138" s="73">
        <v>0</v>
      </c>
      <c r="G138" s="91">
        <f>(13.05)*10.764</f>
        <v>140.47020000000001</v>
      </c>
      <c r="H138" s="72">
        <f>E138+F138+(IF(G138&lt;101,G138,IF(G138&lt;201,G138/2,IF(G138&lt;=301,G138/3,G138/4))))</f>
        <v>799.60374000000002</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72">
        <v>2</v>
      </c>
      <c r="B139" s="77" t="s">
        <v>87</v>
      </c>
      <c r="C139" s="51" t="s">
        <v>94</v>
      </c>
      <c r="D139" s="90" t="s">
        <v>329</v>
      </c>
      <c r="E139" s="83">
        <f>(67.87)*10.764</f>
        <v>730.55268000000001</v>
      </c>
      <c r="F139" s="73">
        <v>0</v>
      </c>
      <c r="G139" s="91">
        <f>(13.08)*10.764</f>
        <v>140.79311999999999</v>
      </c>
      <c r="H139" s="72">
        <f t="shared" ref="H139" si="2">E139+F139+(IF(G139&lt;101,G139,IF(G139&lt;201,G139/2,IF(G139&lt;=301,G139/3,G139/4))))</f>
        <v>800.94924000000003</v>
      </c>
      <c r="I139" s="1">
        <f>3.3*6.38+3.05*3.65+2.45*2.9+1.85*1.08+3.2*3.65+2.05*3.65+2.28*1.38+1.38*2.23+3.2</f>
        <v>69.875799999999998</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72">
        <v>3</v>
      </c>
      <c r="B140" s="157" t="s">
        <v>334</v>
      </c>
      <c r="C140" s="158"/>
      <c r="D140" s="158"/>
      <c r="E140" s="158"/>
      <c r="F140" s="158"/>
      <c r="G140" s="158"/>
      <c r="H140" s="15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72">
        <v>4</v>
      </c>
      <c r="B141" s="160"/>
      <c r="C141" s="161"/>
      <c r="D141" s="161"/>
      <c r="E141" s="161"/>
      <c r="F141" s="161"/>
      <c r="G141" s="161"/>
      <c r="H141" s="162"/>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166" t="s">
        <v>330</v>
      </c>
      <c r="B142" s="167"/>
      <c r="C142" s="167"/>
      <c r="D142" s="167"/>
      <c r="E142" s="167"/>
      <c r="F142" s="167"/>
      <c r="G142" s="167"/>
      <c r="H142" s="168"/>
      <c r="I142" s="4">
        <v>1</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72">
        <v>1</v>
      </c>
      <c r="B143" s="77" t="s">
        <v>87</v>
      </c>
      <c r="C143" s="51" t="s">
        <v>94</v>
      </c>
      <c r="D143" s="51" t="s">
        <v>329</v>
      </c>
      <c r="E143" s="73">
        <f>(67.76)*10.764</f>
        <v>729.36864000000003</v>
      </c>
      <c r="F143" s="73">
        <f>(2.68)*10.764</f>
        <v>28.847519999999999</v>
      </c>
      <c r="G143" s="72">
        <v>0</v>
      </c>
      <c r="H143" s="72">
        <f>E143+F143+(IF(G143&lt;101,G143,IF(G143&lt;201,G143/2,IF(G143&lt;=301,G143/3,G143/4))))</f>
        <v>758.21616000000006</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72">
        <v>2</v>
      </c>
      <c r="B144" s="77" t="s">
        <v>87</v>
      </c>
      <c r="C144" s="51" t="s">
        <v>94</v>
      </c>
      <c r="D144" s="51" t="s">
        <v>329</v>
      </c>
      <c r="E144" s="73">
        <f>(67.87)*10.764</f>
        <v>730.55268000000001</v>
      </c>
      <c r="F144" s="73">
        <f>(2.68)*10.764</f>
        <v>28.847519999999999</v>
      </c>
      <c r="G144" s="72">
        <v>0</v>
      </c>
      <c r="H144" s="72">
        <f t="shared" ref="H144" si="3">E144+F144+(IF(G144&lt;101,G144,IF(G144&lt;201,G144/2,IF(G144&lt;=301,G144/3,G144/4))))</f>
        <v>759.40020000000004</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72">
        <f t="shared" ref="A145:A146" si="4">A144+1</f>
        <v>3</v>
      </c>
      <c r="B145" s="157" t="s">
        <v>334</v>
      </c>
      <c r="C145" s="158"/>
      <c r="D145" s="158"/>
      <c r="E145" s="158"/>
      <c r="F145" s="158"/>
      <c r="G145" s="158"/>
      <c r="H145" s="15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72">
        <f t="shared" si="4"/>
        <v>4</v>
      </c>
      <c r="B146" s="160"/>
      <c r="C146" s="161"/>
      <c r="D146" s="161"/>
      <c r="E146" s="161"/>
      <c r="F146" s="161"/>
      <c r="G146" s="161"/>
      <c r="H146" s="162"/>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66" t="s">
        <v>331</v>
      </c>
      <c r="B147" s="167"/>
      <c r="C147" s="167"/>
      <c r="D147" s="167"/>
      <c r="E147" s="167"/>
      <c r="F147" s="167"/>
      <c r="G147" s="167"/>
      <c r="H147" s="168"/>
      <c r="I147" s="4">
        <v>1</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72">
        <v>1</v>
      </c>
      <c r="B148" s="77" t="s">
        <v>87</v>
      </c>
      <c r="C148" s="51" t="s">
        <v>94</v>
      </c>
      <c r="D148" s="51" t="s">
        <v>329</v>
      </c>
      <c r="E148" s="73">
        <f>(67.76)*10.764</f>
        <v>729.36864000000003</v>
      </c>
      <c r="F148" s="72">
        <f>(2.68)*10.764</f>
        <v>28.847519999999999</v>
      </c>
      <c r="G148" s="72">
        <v>0</v>
      </c>
      <c r="H148" s="72">
        <f>E148+F148+(IF(G148&lt;101,G148,IF(G148&lt;201,G148/2,IF(G148&lt;=301,G148/3,G148/4))))</f>
        <v>758.21616000000006</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72">
        <v>2</v>
      </c>
      <c r="B149" s="77" t="s">
        <v>87</v>
      </c>
      <c r="C149" s="51" t="s">
        <v>94</v>
      </c>
      <c r="D149" s="51" t="s">
        <v>329</v>
      </c>
      <c r="E149" s="73">
        <f>(67.87)*10.764</f>
        <v>730.55268000000001</v>
      </c>
      <c r="F149" s="72">
        <f>(2.68)*10.764</f>
        <v>28.847519999999999</v>
      </c>
      <c r="G149" s="72">
        <v>0</v>
      </c>
      <c r="H149" s="72">
        <f t="shared" ref="H149" si="5">E149+F149+(IF(G149&lt;101,G149,IF(G149&lt;201,G149/2,IF(G149&lt;=301,G149/3,G149/4))))</f>
        <v>759.40020000000004</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72">
        <f t="shared" ref="A150:A151" si="6">A149+1</f>
        <v>3</v>
      </c>
      <c r="B150" s="157" t="s">
        <v>334</v>
      </c>
      <c r="C150" s="158"/>
      <c r="D150" s="158"/>
      <c r="E150" s="158"/>
      <c r="F150" s="158"/>
      <c r="G150" s="158"/>
      <c r="H150" s="15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72">
        <f t="shared" si="6"/>
        <v>4</v>
      </c>
      <c r="B151" s="160"/>
      <c r="C151" s="161"/>
      <c r="D151" s="161"/>
      <c r="E151" s="161"/>
      <c r="F151" s="161"/>
      <c r="G151" s="161"/>
      <c r="H151" s="162"/>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166" t="s">
        <v>332</v>
      </c>
      <c r="B152" s="167"/>
      <c r="C152" s="167"/>
      <c r="D152" s="167"/>
      <c r="E152" s="167"/>
      <c r="F152" s="167"/>
      <c r="G152" s="167"/>
      <c r="H152" s="168"/>
      <c r="I152" s="4">
        <v>1</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72">
        <v>1</v>
      </c>
      <c r="B153" s="77" t="s">
        <v>87</v>
      </c>
      <c r="C153" s="51" t="s">
        <v>94</v>
      </c>
      <c r="D153" s="51" t="s">
        <v>329</v>
      </c>
      <c r="E153" s="73">
        <f>(67.76)*10.764</f>
        <v>729.36864000000003</v>
      </c>
      <c r="F153" s="72">
        <f>(2.68)*10.764</f>
        <v>28.847519999999999</v>
      </c>
      <c r="G153" s="72">
        <v>0</v>
      </c>
      <c r="H153" s="72">
        <f>E153+F153+(IF(G153&lt;101,G153,IF(G153&lt;201,G153/2,IF(G153&lt;=301,G153/3,G153/4))))</f>
        <v>758.21616000000006</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72">
        <v>2</v>
      </c>
      <c r="B154" s="77" t="s">
        <v>87</v>
      </c>
      <c r="C154" s="51" t="s">
        <v>94</v>
      </c>
      <c r="D154" s="51" t="s">
        <v>329</v>
      </c>
      <c r="E154" s="73">
        <f>(67.87)*10.764</f>
        <v>730.55268000000001</v>
      </c>
      <c r="F154" s="72">
        <f>(2.68)*10.764</f>
        <v>28.847519999999999</v>
      </c>
      <c r="G154" s="72">
        <v>0</v>
      </c>
      <c r="H154" s="72">
        <f t="shared" ref="H154" si="7">E154+F154+(IF(G154&lt;101,G154,IF(G154&lt;201,G154/2,IF(G154&lt;=301,G154/3,G154/4))))</f>
        <v>759.40020000000004</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72">
        <f t="shared" ref="A155:A156" si="8">A154+1</f>
        <v>3</v>
      </c>
      <c r="B155" s="157" t="s">
        <v>334</v>
      </c>
      <c r="C155" s="158"/>
      <c r="D155" s="158"/>
      <c r="E155" s="158"/>
      <c r="F155" s="158"/>
      <c r="G155" s="158"/>
      <c r="H155" s="15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72">
        <f t="shared" si="8"/>
        <v>4</v>
      </c>
      <c r="B156" s="160"/>
      <c r="C156" s="161"/>
      <c r="D156" s="161"/>
      <c r="E156" s="161"/>
      <c r="F156" s="161"/>
      <c r="G156" s="161"/>
      <c r="H156" s="162"/>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x14ac:dyDescent="0.25">
      <c r="A157" s="166" t="s">
        <v>372</v>
      </c>
      <c r="B157" s="167"/>
      <c r="C157" s="167"/>
      <c r="D157" s="167"/>
      <c r="E157" s="167"/>
      <c r="F157" s="167"/>
      <c r="G157" s="167"/>
      <c r="H157" s="168"/>
      <c r="I157" s="4">
        <v>1</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x14ac:dyDescent="0.25">
      <c r="A158" s="72">
        <v>1</v>
      </c>
      <c r="B158" s="77" t="s">
        <v>87</v>
      </c>
      <c r="C158" s="51" t="s">
        <v>94</v>
      </c>
      <c r="D158" s="51" t="s">
        <v>329</v>
      </c>
      <c r="E158" s="73">
        <f>(67.76)*10.764</f>
        <v>729.36864000000003</v>
      </c>
      <c r="F158" s="72">
        <f>(2.68)*10.764</f>
        <v>28.847519999999999</v>
      </c>
      <c r="G158" s="72">
        <v>0</v>
      </c>
      <c r="H158" s="72">
        <f>E158+F158+(IF(G158&lt;101,G158,IF(G158&lt;201,G158/2,IF(G158&lt;=301,G158/3,G158/4))))</f>
        <v>758.21616000000006</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72">
        <v>2</v>
      </c>
      <c r="B159" s="77" t="s">
        <v>87</v>
      </c>
      <c r="C159" s="51" t="s">
        <v>94</v>
      </c>
      <c r="D159" s="51" t="s">
        <v>329</v>
      </c>
      <c r="E159" s="73">
        <f>(67.87)*10.764</f>
        <v>730.55268000000001</v>
      </c>
      <c r="F159" s="72">
        <f>(2.68)*10.764</f>
        <v>28.847519999999999</v>
      </c>
      <c r="G159" s="72">
        <v>0</v>
      </c>
      <c r="H159" s="72">
        <f t="shared" ref="H159" si="9">E159+F159+(IF(G159&lt;101,G159,IF(G159&lt;201,G159/2,IF(G159&lt;=301,G159/3,G159/4))))</f>
        <v>759.40020000000004</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72">
        <f>A159+1</f>
        <v>3</v>
      </c>
      <c r="B160" s="163" t="s">
        <v>333</v>
      </c>
      <c r="C160" s="164"/>
      <c r="D160" s="164"/>
      <c r="E160" s="164"/>
      <c r="F160" s="164"/>
      <c r="G160" s="164"/>
      <c r="H160" s="165"/>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72">
        <f>A160+1</f>
        <v>4</v>
      </c>
      <c r="B161" s="163" t="s">
        <v>335</v>
      </c>
      <c r="C161" s="164"/>
      <c r="D161" s="164"/>
      <c r="E161" s="164"/>
      <c r="F161" s="164"/>
      <c r="G161" s="164"/>
      <c r="H161" s="165"/>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x14ac:dyDescent="0.25">
      <c r="A162" s="166" t="s">
        <v>365</v>
      </c>
      <c r="B162" s="167"/>
      <c r="C162" s="167"/>
      <c r="D162" s="167"/>
      <c r="E162" s="167"/>
      <c r="F162" s="167"/>
      <c r="G162" s="167"/>
      <c r="H162" s="168"/>
      <c r="I162" s="4">
        <v>1</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72">
        <v>1</v>
      </c>
      <c r="B163" s="77" t="s">
        <v>87</v>
      </c>
      <c r="C163" s="51" t="s">
        <v>94</v>
      </c>
      <c r="D163" s="51" t="s">
        <v>329</v>
      </c>
      <c r="E163" s="73">
        <f>(67.76)*10.764</f>
        <v>729.36864000000003</v>
      </c>
      <c r="F163" s="73">
        <f>(2.68)*10.764</f>
        <v>28.847519999999999</v>
      </c>
      <c r="G163" s="72">
        <v>0</v>
      </c>
      <c r="H163" s="72">
        <f>E163+F163+(IF(G163&lt;101,G163,IF(G163&lt;201,G163/2,IF(G163&lt;=301,G163/3,G163/4))))</f>
        <v>758.21616000000006</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72">
        <v>2</v>
      </c>
      <c r="B164" s="72" t="s">
        <v>336</v>
      </c>
      <c r="C164" s="51" t="s">
        <v>94</v>
      </c>
      <c r="D164" s="51" t="s">
        <v>329</v>
      </c>
      <c r="E164" s="73">
        <f>(67.87)*10.764</f>
        <v>730.55268000000001</v>
      </c>
      <c r="F164" s="73">
        <f>(2.68)*10.764</f>
        <v>28.847519999999999</v>
      </c>
      <c r="G164" s="72">
        <v>0</v>
      </c>
      <c r="H164" s="72">
        <f t="shared" ref="H164:H166" si="10">E164+F164+(IF(G164&lt;101,G164,IF(G164&lt;201,G164/2,IF(G164&lt;=301,G164/3,G164/4))))</f>
        <v>759.40020000000004</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72">
        <v>3</v>
      </c>
      <c r="B165" s="72" t="s">
        <v>336</v>
      </c>
      <c r="C165" s="51" t="s">
        <v>94</v>
      </c>
      <c r="D165" s="51" t="s">
        <v>337</v>
      </c>
      <c r="E165" s="73">
        <f>(86.91)*10.764</f>
        <v>935.49923999999987</v>
      </c>
      <c r="F165" s="73">
        <f>(3.2)*10.764</f>
        <v>34.444800000000001</v>
      </c>
      <c r="G165" s="72">
        <v>0</v>
      </c>
      <c r="H165" s="72">
        <f t="shared" si="10"/>
        <v>969.94403999999986</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72">
        <v>4</v>
      </c>
      <c r="B166" s="72" t="s">
        <v>336</v>
      </c>
      <c r="C166" s="51" t="s">
        <v>94</v>
      </c>
      <c r="D166" s="51" t="s">
        <v>329</v>
      </c>
      <c r="E166" s="73">
        <f>(67.93)*10.764</f>
        <v>731.19852000000003</v>
      </c>
      <c r="F166" s="73">
        <f>(2.68)*10.764</f>
        <v>28.847519999999999</v>
      </c>
      <c r="G166" s="72">
        <v>0</v>
      </c>
      <c r="H166" s="72">
        <f t="shared" si="10"/>
        <v>760.04604000000006</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166" t="s">
        <v>338</v>
      </c>
      <c r="B167" s="167"/>
      <c r="C167" s="167"/>
      <c r="D167" s="167"/>
      <c r="E167" s="167"/>
      <c r="F167" s="167"/>
      <c r="G167" s="167"/>
      <c r="H167" s="168"/>
      <c r="I167" s="4">
        <v>1</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72">
        <v>1</v>
      </c>
      <c r="B168" s="85" t="s">
        <v>336</v>
      </c>
      <c r="C168" s="51" t="s">
        <v>94</v>
      </c>
      <c r="D168" s="51" t="s">
        <v>329</v>
      </c>
      <c r="E168" s="73">
        <f>(67.76)*10.764</f>
        <v>729.36864000000003</v>
      </c>
      <c r="F168" s="73">
        <f>(2.68)*10.764</f>
        <v>28.847519999999999</v>
      </c>
      <c r="G168" s="72">
        <v>0</v>
      </c>
      <c r="H168" s="72">
        <f>E168+F168+(IF(G168&lt;101,G168,IF(G168&lt;201,G168/2,IF(G168&lt;=301,G168/3,G168/4))))</f>
        <v>758.21616000000006</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72">
        <v>2</v>
      </c>
      <c r="B169" s="85" t="s">
        <v>336</v>
      </c>
      <c r="C169" s="51" t="s">
        <v>94</v>
      </c>
      <c r="D169" s="51" t="s">
        <v>329</v>
      </c>
      <c r="E169" s="73">
        <f>(67.87)*10.764</f>
        <v>730.55268000000001</v>
      </c>
      <c r="F169" s="73">
        <f>(2.68)*10.764</f>
        <v>28.847519999999999</v>
      </c>
      <c r="G169" s="72">
        <v>0</v>
      </c>
      <c r="H169" s="72">
        <f t="shared" ref="H169:H171" si="11">E169+F169+(IF(G169&lt;101,G169,IF(G169&lt;201,G169/2,IF(G169&lt;=301,G169/3,G169/4))))</f>
        <v>759.40020000000004</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72">
        <v>3</v>
      </c>
      <c r="B170" s="77" t="s">
        <v>87</v>
      </c>
      <c r="C170" s="51" t="s">
        <v>94</v>
      </c>
      <c r="D170" s="51" t="s">
        <v>337</v>
      </c>
      <c r="E170" s="73">
        <f>(86.91)*10.764</f>
        <v>935.49923999999987</v>
      </c>
      <c r="F170" s="73">
        <f>(3.2)*10.764</f>
        <v>34.444800000000001</v>
      </c>
      <c r="G170" s="72">
        <v>0</v>
      </c>
      <c r="H170" s="72">
        <f t="shared" si="11"/>
        <v>969.94403999999986</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72">
        <v>4</v>
      </c>
      <c r="B171" s="85" t="s">
        <v>336</v>
      </c>
      <c r="C171" s="51" t="s">
        <v>94</v>
      </c>
      <c r="D171" s="51" t="s">
        <v>329</v>
      </c>
      <c r="E171" s="73">
        <f>(67.93)*10.764</f>
        <v>731.19852000000003</v>
      </c>
      <c r="F171" s="73">
        <f>(2.68)*10.764</f>
        <v>28.847519999999999</v>
      </c>
      <c r="G171" s="72">
        <v>0</v>
      </c>
      <c r="H171" s="72">
        <f t="shared" si="11"/>
        <v>760.04604000000006</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166" t="s">
        <v>340</v>
      </c>
      <c r="B172" s="167"/>
      <c r="C172" s="167"/>
      <c r="D172" s="167"/>
      <c r="E172" s="167"/>
      <c r="F172" s="167"/>
      <c r="G172" s="167"/>
      <c r="H172" s="168"/>
      <c r="I172" s="4">
        <v>1</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x14ac:dyDescent="0.25">
      <c r="A173" s="72">
        <v>1</v>
      </c>
      <c r="B173" s="72" t="s">
        <v>336</v>
      </c>
      <c r="C173" s="51" t="s">
        <v>94</v>
      </c>
      <c r="D173" s="51" t="s">
        <v>329</v>
      </c>
      <c r="E173" s="73">
        <f>(67.76)*10.764</f>
        <v>729.36864000000003</v>
      </c>
      <c r="F173" s="73">
        <f>(2.68)*10.764</f>
        <v>28.847519999999999</v>
      </c>
      <c r="G173" s="72">
        <v>0</v>
      </c>
      <c r="H173" s="72">
        <f>E173+F173+(IF(G173&lt;101,G173,IF(G173&lt;201,G173/2,IF(G173&lt;=301,G173/3,G173/4))))</f>
        <v>758.21616000000006</v>
      </c>
      <c r="I173" s="89">
        <f>26100000/H173</f>
        <v>34422.9012475809</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x14ac:dyDescent="0.25">
      <c r="A174" s="72">
        <v>2</v>
      </c>
      <c r="B174" s="72" t="s">
        <v>336</v>
      </c>
      <c r="C174" s="51" t="s">
        <v>94</v>
      </c>
      <c r="D174" s="51" t="s">
        <v>329</v>
      </c>
      <c r="E174" s="73">
        <f>(67.87)*10.764</f>
        <v>730.55268000000001</v>
      </c>
      <c r="F174" s="73">
        <f>(2.68)*10.764</f>
        <v>28.847519999999999</v>
      </c>
      <c r="G174" s="72">
        <v>0</v>
      </c>
      <c r="H174" s="72">
        <f t="shared" ref="H174:H176" si="12">E174+F174+(IF(G174&lt;101,G174,IF(G174&lt;201,G174/2,IF(G174&lt;=301,G174/3,G174/4))))</f>
        <v>759.40020000000004</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72">
        <v>3</v>
      </c>
      <c r="B175" s="77" t="s">
        <v>87</v>
      </c>
      <c r="C175" s="51" t="s">
        <v>94</v>
      </c>
      <c r="D175" s="51" t="s">
        <v>337</v>
      </c>
      <c r="E175" s="73">
        <f>(86.91)*10.764</f>
        <v>935.49923999999987</v>
      </c>
      <c r="F175" s="73">
        <f>(3.2)*10.764</f>
        <v>34.444800000000001</v>
      </c>
      <c r="G175" s="72">
        <v>0</v>
      </c>
      <c r="H175" s="72">
        <f t="shared" si="12"/>
        <v>969.94403999999986</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72">
        <v>4</v>
      </c>
      <c r="B176" s="72" t="s">
        <v>336</v>
      </c>
      <c r="C176" s="51" t="s">
        <v>94</v>
      </c>
      <c r="D176" s="51" t="s">
        <v>329</v>
      </c>
      <c r="E176" s="73">
        <f>(67.93)*10.764</f>
        <v>731.19852000000003</v>
      </c>
      <c r="F176" s="73">
        <f>(2.68)*10.764</f>
        <v>28.847519999999999</v>
      </c>
      <c r="G176" s="72">
        <v>0</v>
      </c>
      <c r="H176" s="72">
        <f t="shared" si="12"/>
        <v>760.04604000000006</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166" t="s">
        <v>341</v>
      </c>
      <c r="B177" s="167"/>
      <c r="C177" s="167"/>
      <c r="D177" s="167"/>
      <c r="E177" s="167"/>
      <c r="F177" s="167"/>
      <c r="G177" s="167"/>
      <c r="H177" s="168"/>
      <c r="I177" s="4">
        <v>1</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72">
        <v>1</v>
      </c>
      <c r="B178" s="72" t="s">
        <v>336</v>
      </c>
      <c r="C178" s="51" t="s">
        <v>94</v>
      </c>
      <c r="D178" s="51" t="s">
        <v>329</v>
      </c>
      <c r="E178" s="73">
        <f>(67.76)*10.764</f>
        <v>729.36864000000003</v>
      </c>
      <c r="F178" s="73">
        <f>(2.68)*10.764</f>
        <v>28.847519999999999</v>
      </c>
      <c r="G178" s="72">
        <v>0</v>
      </c>
      <c r="H178" s="72">
        <f>E178+F178+(IF(G178&lt;101,G178,IF(G178&lt;201,G178/2,IF(G178&lt;=301,G178/3,G178/4))))</f>
        <v>758.21616000000006</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72">
        <v>2</v>
      </c>
      <c r="B179" s="77" t="s">
        <v>87</v>
      </c>
      <c r="C179" s="51" t="s">
        <v>94</v>
      </c>
      <c r="D179" s="51" t="s">
        <v>329</v>
      </c>
      <c r="E179" s="73">
        <f>(67.87)*10.764</f>
        <v>730.55268000000001</v>
      </c>
      <c r="F179" s="73">
        <f>(2.68)*10.764</f>
        <v>28.847519999999999</v>
      </c>
      <c r="G179" s="72">
        <v>0</v>
      </c>
      <c r="H179" s="72">
        <f t="shared" ref="H179:H181" si="13">E179+F179+(IF(G179&lt;101,G179,IF(G179&lt;201,G179/2,IF(G179&lt;=301,G179/3,G179/4))))</f>
        <v>759.40020000000004</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72">
        <v>3</v>
      </c>
      <c r="B180" s="72" t="s">
        <v>336</v>
      </c>
      <c r="C180" s="51" t="s">
        <v>94</v>
      </c>
      <c r="D180" s="51" t="s">
        <v>337</v>
      </c>
      <c r="E180" s="73">
        <f>(86.91)*10.764</f>
        <v>935.49923999999987</v>
      </c>
      <c r="F180" s="73">
        <f>(3.2)*10.764</f>
        <v>34.444800000000001</v>
      </c>
      <c r="G180" s="72">
        <v>0</v>
      </c>
      <c r="H180" s="72">
        <f t="shared" si="13"/>
        <v>969.94403999999986</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72">
        <v>4</v>
      </c>
      <c r="B181" s="72" t="s">
        <v>336</v>
      </c>
      <c r="C181" s="51" t="s">
        <v>94</v>
      </c>
      <c r="D181" s="51" t="s">
        <v>329</v>
      </c>
      <c r="E181" s="73">
        <f>(67.93)*10.764</f>
        <v>731.19852000000003</v>
      </c>
      <c r="F181" s="73">
        <f>(2.68)*10.764</f>
        <v>28.847519999999999</v>
      </c>
      <c r="G181" s="72">
        <v>0</v>
      </c>
      <c r="H181" s="72">
        <f t="shared" si="13"/>
        <v>760.04604000000006</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166" t="s">
        <v>339</v>
      </c>
      <c r="B182" s="167"/>
      <c r="C182" s="167"/>
      <c r="D182" s="167"/>
      <c r="E182" s="167"/>
      <c r="F182" s="167"/>
      <c r="G182" s="167"/>
      <c r="H182" s="168"/>
      <c r="I182" s="4">
        <v>5</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72">
        <v>1</v>
      </c>
      <c r="B183" s="77" t="s">
        <v>87</v>
      </c>
      <c r="C183" s="51" t="s">
        <v>94</v>
      </c>
      <c r="D183" s="51" t="s">
        <v>329</v>
      </c>
      <c r="E183" s="73">
        <f>(67.76)*10.764</f>
        <v>729.36864000000003</v>
      </c>
      <c r="F183" s="73">
        <f>(2.68)*10.764</f>
        <v>28.847519999999999</v>
      </c>
      <c r="G183" s="72">
        <v>0</v>
      </c>
      <c r="H183" s="72">
        <f>E183+F183+(IF(G183&lt;101,G183,IF(G183&lt;201,G183/2,IF(G183&lt;=301,G183/3,G183/4))))</f>
        <v>758.21616000000006</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x14ac:dyDescent="0.25">
      <c r="A184" s="72">
        <v>2</v>
      </c>
      <c r="B184" s="72" t="s">
        <v>336</v>
      </c>
      <c r="C184" s="51" t="s">
        <v>94</v>
      </c>
      <c r="D184" s="51" t="s">
        <v>329</v>
      </c>
      <c r="E184" s="73">
        <f>(67.87)*10.764</f>
        <v>730.55268000000001</v>
      </c>
      <c r="F184" s="73">
        <f>(2.68)*10.764</f>
        <v>28.847519999999999</v>
      </c>
      <c r="G184" s="72">
        <v>0</v>
      </c>
      <c r="H184" s="72">
        <f t="shared" ref="H184:H186" si="14">E184+F184+(IF(G184&lt;101,G184,IF(G184&lt;201,G184/2,IF(G184&lt;=301,G184/3,G184/4))))</f>
        <v>759.40020000000004</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72">
        <v>3</v>
      </c>
      <c r="B185" s="77" t="s">
        <v>87</v>
      </c>
      <c r="C185" s="51" t="s">
        <v>94</v>
      </c>
      <c r="D185" s="51" t="s">
        <v>337</v>
      </c>
      <c r="E185" s="73">
        <f>(86.91)*10.764</f>
        <v>935.49923999999987</v>
      </c>
      <c r="F185" s="73">
        <f>(3.2)*10.764</f>
        <v>34.444800000000001</v>
      </c>
      <c r="G185" s="72">
        <v>0</v>
      </c>
      <c r="H185" s="72">
        <f t="shared" si="14"/>
        <v>969.94403999999986</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72">
        <v>4</v>
      </c>
      <c r="B186" s="85" t="s">
        <v>336</v>
      </c>
      <c r="C186" s="51" t="s">
        <v>94</v>
      </c>
      <c r="D186" s="51" t="s">
        <v>329</v>
      </c>
      <c r="E186" s="73">
        <f>(67.93)*10.764</f>
        <v>731.19852000000003</v>
      </c>
      <c r="F186" s="73">
        <f>(2.68)*10.764</f>
        <v>28.847519999999999</v>
      </c>
      <c r="G186" s="72">
        <v>0</v>
      </c>
      <c r="H186" s="72">
        <f t="shared" si="14"/>
        <v>760.04604000000006</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166" t="s">
        <v>342</v>
      </c>
      <c r="B187" s="167"/>
      <c r="C187" s="167"/>
      <c r="D187" s="167"/>
      <c r="E187" s="167"/>
      <c r="F187" s="167"/>
      <c r="G187" s="167"/>
      <c r="H187" s="168"/>
      <c r="I187" s="4">
        <v>1</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72">
        <v>1</v>
      </c>
      <c r="B188" s="77" t="s">
        <v>87</v>
      </c>
      <c r="C188" s="51" t="s">
        <v>94</v>
      </c>
      <c r="D188" s="51" t="s">
        <v>329</v>
      </c>
      <c r="E188" s="73">
        <f>(67.76)*10.764</f>
        <v>729.36864000000003</v>
      </c>
      <c r="F188" s="73">
        <f>(2.68)*10.764</f>
        <v>28.847519999999999</v>
      </c>
      <c r="G188" s="72">
        <v>0</v>
      </c>
      <c r="H188" s="72">
        <f>E188+F188+(IF(G188&lt;101,G188,IF(G188&lt;201,G188/2,IF(G188&lt;=301,G188/3,G188/4))))</f>
        <v>758.21616000000006</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72">
        <v>2</v>
      </c>
      <c r="B189" s="85" t="s">
        <v>336</v>
      </c>
      <c r="C189" s="51" t="s">
        <v>94</v>
      </c>
      <c r="D189" s="51" t="s">
        <v>329</v>
      </c>
      <c r="E189" s="73">
        <f>(67.87)*10.764</f>
        <v>730.55268000000001</v>
      </c>
      <c r="F189" s="73">
        <f>(2.68)*10.764</f>
        <v>28.847519999999999</v>
      </c>
      <c r="G189" s="72">
        <v>0</v>
      </c>
      <c r="H189" s="72">
        <f t="shared" ref="H189:H191" si="15">E189+F189+(IF(G189&lt;101,G189,IF(G189&lt;201,G189/2,IF(G189&lt;=301,G189/3,G189/4))))</f>
        <v>759.40020000000004</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72">
        <v>3</v>
      </c>
      <c r="B190" s="77" t="s">
        <v>87</v>
      </c>
      <c r="C190" s="51" t="s">
        <v>94</v>
      </c>
      <c r="D190" s="51" t="s">
        <v>337</v>
      </c>
      <c r="E190" s="73">
        <f>(86.91)*10.764</f>
        <v>935.49923999999987</v>
      </c>
      <c r="F190" s="73">
        <f>(3.2)*10.764</f>
        <v>34.444800000000001</v>
      </c>
      <c r="G190" s="72">
        <v>0</v>
      </c>
      <c r="H190" s="72">
        <f t="shared" si="15"/>
        <v>969.94403999999986</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72">
        <v>4</v>
      </c>
      <c r="B191" s="72" t="s">
        <v>336</v>
      </c>
      <c r="C191" s="51" t="s">
        <v>94</v>
      </c>
      <c r="D191" s="51" t="s">
        <v>329</v>
      </c>
      <c r="E191" s="73">
        <f>(67.93)*10.764</f>
        <v>731.19852000000003</v>
      </c>
      <c r="F191" s="73">
        <f>(2.68)*10.764</f>
        <v>28.847519999999999</v>
      </c>
      <c r="G191" s="72">
        <v>0</v>
      </c>
      <c r="H191" s="72">
        <f t="shared" si="15"/>
        <v>760.04604000000006</v>
      </c>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x14ac:dyDescent="0.25">
      <c r="A192" s="166" t="s">
        <v>343</v>
      </c>
      <c r="B192" s="167"/>
      <c r="C192" s="167"/>
      <c r="D192" s="167"/>
      <c r="E192" s="167"/>
      <c r="F192" s="167"/>
      <c r="G192" s="167"/>
      <c r="H192" s="168"/>
      <c r="I192" s="4">
        <v>4</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72">
        <v>1</v>
      </c>
      <c r="B193" s="77" t="s">
        <v>87</v>
      </c>
      <c r="C193" s="51" t="s">
        <v>94</v>
      </c>
      <c r="D193" s="51" t="s">
        <v>329</v>
      </c>
      <c r="E193" s="73">
        <f>(67.76)*10.764</f>
        <v>729.36864000000003</v>
      </c>
      <c r="F193" s="73">
        <f>(2.68)*10.764</f>
        <v>28.847519999999999</v>
      </c>
      <c r="G193" s="72">
        <v>0</v>
      </c>
      <c r="H193" s="72">
        <f>E193+F193+(IF(G193&lt;101,G193,IF(G193&lt;201,G193/2,IF(G193&lt;=301,G193/3,G193/4))))</f>
        <v>758.21616000000006</v>
      </c>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72">
        <v>2</v>
      </c>
      <c r="B194" s="72" t="s">
        <v>336</v>
      </c>
      <c r="C194" s="51" t="s">
        <v>94</v>
      </c>
      <c r="D194" s="51" t="s">
        <v>329</v>
      </c>
      <c r="E194" s="73">
        <f>(67.87)*10.764</f>
        <v>730.55268000000001</v>
      </c>
      <c r="F194" s="73">
        <f>(2.68)*10.764</f>
        <v>28.847519999999999</v>
      </c>
      <c r="G194" s="72">
        <v>0</v>
      </c>
      <c r="H194" s="72">
        <f t="shared" ref="H194:H196" si="16">E194+F194+(IF(G194&lt;101,G194,IF(G194&lt;201,G194/2,IF(G194&lt;=301,G194/3,G194/4))))</f>
        <v>759.40020000000004</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72">
        <v>3</v>
      </c>
      <c r="B195" s="77" t="s">
        <v>87</v>
      </c>
      <c r="C195" s="51" t="s">
        <v>94</v>
      </c>
      <c r="D195" s="51" t="s">
        <v>337</v>
      </c>
      <c r="E195" s="73">
        <f>(86.91)*10.764</f>
        <v>935.49923999999987</v>
      </c>
      <c r="F195" s="73">
        <f>(3.2)*10.764</f>
        <v>34.444800000000001</v>
      </c>
      <c r="G195" s="72">
        <v>0</v>
      </c>
      <c r="H195" s="72">
        <f t="shared" si="16"/>
        <v>969.94403999999986</v>
      </c>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72">
        <v>4</v>
      </c>
      <c r="B196" s="72" t="s">
        <v>336</v>
      </c>
      <c r="C196" s="51" t="s">
        <v>94</v>
      </c>
      <c r="D196" s="51" t="s">
        <v>329</v>
      </c>
      <c r="E196" s="73">
        <f>(67.93)*10.764</f>
        <v>731.19852000000003</v>
      </c>
      <c r="F196" s="73">
        <f>(2.68)*10.764</f>
        <v>28.847519999999999</v>
      </c>
      <c r="G196" s="72">
        <v>0</v>
      </c>
      <c r="H196" s="72">
        <f t="shared" si="16"/>
        <v>760.04604000000006</v>
      </c>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ht="20.25" x14ac:dyDescent="0.25">
      <c r="A197" s="119" t="s">
        <v>68</v>
      </c>
      <c r="B197" s="119"/>
      <c r="C197" s="119"/>
      <c r="D197" s="119"/>
      <c r="E197" s="119"/>
      <c r="F197" s="119"/>
      <c r="G197" s="119"/>
      <c r="H197" s="119"/>
    </row>
    <row r="198" spans="1:150 16226:16383" ht="20.25" x14ac:dyDescent="0.25">
      <c r="A198" s="2" t="s">
        <v>232</v>
      </c>
      <c r="B198" s="140" t="s">
        <v>348</v>
      </c>
      <c r="C198" s="141"/>
      <c r="D198" s="141"/>
      <c r="E198" s="141"/>
      <c r="F198" s="141"/>
      <c r="G198" s="141"/>
      <c r="H198" s="142"/>
    </row>
    <row r="199" spans="1:150 16226:16383" ht="20.25" x14ac:dyDescent="0.25">
      <c r="A199" s="2" t="s">
        <v>232</v>
      </c>
      <c r="B199" s="140" t="s">
        <v>233</v>
      </c>
      <c r="C199" s="141"/>
      <c r="D199" s="141"/>
      <c r="E199" s="141"/>
      <c r="F199" s="141"/>
      <c r="G199" s="141"/>
      <c r="H199" s="142"/>
    </row>
    <row r="200" spans="1:150 16226:16383" ht="20.25" x14ac:dyDescent="0.25">
      <c r="A200" s="2" t="s">
        <v>232</v>
      </c>
      <c r="B200" s="140" t="s">
        <v>350</v>
      </c>
      <c r="C200" s="141"/>
      <c r="D200" s="141"/>
      <c r="E200" s="141"/>
      <c r="F200" s="141"/>
      <c r="G200" s="141"/>
      <c r="H200" s="142"/>
    </row>
    <row r="201" spans="1:150 16226:16383" ht="20.25" x14ac:dyDescent="0.25">
      <c r="A201" s="2" t="s">
        <v>232</v>
      </c>
      <c r="B201" s="140" t="s">
        <v>234</v>
      </c>
      <c r="C201" s="141"/>
      <c r="D201" s="141"/>
      <c r="E201" s="141"/>
      <c r="F201" s="141"/>
      <c r="G201" s="141"/>
      <c r="H201" s="142"/>
    </row>
    <row r="202" spans="1:150 16226:16383" ht="20.25" x14ac:dyDescent="0.25">
      <c r="A202" s="87" t="s">
        <v>232</v>
      </c>
      <c r="B202" s="140" t="s">
        <v>235</v>
      </c>
      <c r="C202" s="141"/>
      <c r="D202" s="141"/>
      <c r="E202" s="141"/>
      <c r="F202" s="141"/>
      <c r="G202" s="141"/>
      <c r="H202" s="142"/>
    </row>
    <row r="203" spans="1:150 16226:16383" ht="20.25" x14ac:dyDescent="0.25">
      <c r="A203" s="87" t="s">
        <v>232</v>
      </c>
      <c r="B203" s="140" t="s">
        <v>366</v>
      </c>
      <c r="C203" s="141"/>
      <c r="D203" s="141"/>
      <c r="E203" s="141"/>
      <c r="F203" s="141"/>
      <c r="G203" s="141"/>
      <c r="H203" s="142"/>
    </row>
    <row r="204" spans="1:150 16226:16383" ht="20.25" x14ac:dyDescent="0.25">
      <c r="A204" s="139" t="s">
        <v>74</v>
      </c>
      <c r="B204" s="139"/>
      <c r="C204" s="139"/>
      <c r="D204" s="139"/>
      <c r="E204" s="139"/>
      <c r="F204" s="139"/>
      <c r="G204" s="139"/>
      <c r="H204" s="139"/>
    </row>
    <row r="205" spans="1:150 16226:16383" ht="20.25" x14ac:dyDescent="0.25">
      <c r="A205" s="102" t="s">
        <v>69</v>
      </c>
      <c r="B205" s="102"/>
      <c r="C205" s="102"/>
      <c r="D205" s="140" t="str">
        <f>C3</f>
        <v>Mahindra Marina64 - Phase 2</v>
      </c>
      <c r="E205" s="141"/>
      <c r="F205" s="141"/>
      <c r="G205" s="141"/>
      <c r="H205" s="142"/>
    </row>
    <row r="206" spans="1:150 16226:16383" ht="20.25" x14ac:dyDescent="0.25">
      <c r="A206" s="102" t="s">
        <v>103</v>
      </c>
      <c r="B206" s="102"/>
      <c r="C206" s="102"/>
      <c r="D206" s="140" t="str">
        <f>C9</f>
        <v>Marina64 Phase 2, 2/5 at Malad, Borivali, Mumbai Suburban, 400064</v>
      </c>
      <c r="E206" s="141"/>
      <c r="F206" s="141"/>
      <c r="G206" s="141"/>
      <c r="H206" s="142"/>
    </row>
    <row r="207" spans="1:150 16226:16383" ht="20.25" customHeight="1" x14ac:dyDescent="0.25">
      <c r="A207" s="152" t="s">
        <v>109</v>
      </c>
      <c r="B207" s="152"/>
      <c r="C207" s="152"/>
      <c r="D207" s="140" t="str">
        <f>G3</f>
        <v>18/09/2025 at 11:07AM</v>
      </c>
      <c r="E207" s="141"/>
      <c r="F207" s="141"/>
      <c r="G207" s="141"/>
      <c r="H207" s="142"/>
    </row>
    <row r="208" spans="1:150 16226:16383" ht="20.25" x14ac:dyDescent="0.25">
      <c r="A208" s="9"/>
      <c r="B208" s="10"/>
      <c r="C208" s="10"/>
      <c r="D208" s="10"/>
      <c r="E208" s="10"/>
      <c r="F208" s="10"/>
      <c r="G208" s="10"/>
      <c r="H208" s="6"/>
    </row>
    <row r="209" spans="1:8" ht="20.25" x14ac:dyDescent="0.25">
      <c r="A209" s="11"/>
      <c r="B209" s="12"/>
      <c r="C209" s="12"/>
      <c r="D209" s="12"/>
      <c r="E209" s="12"/>
      <c r="F209" s="12"/>
      <c r="G209" s="12"/>
      <c r="H209" s="7"/>
    </row>
    <row r="210" spans="1:8" ht="20.25" x14ac:dyDescent="0.25">
      <c r="A210" s="11"/>
      <c r="B210" s="12"/>
      <c r="C210" s="12"/>
      <c r="D210" s="12"/>
      <c r="E210" s="12"/>
      <c r="F210" s="12"/>
      <c r="G210" s="12"/>
      <c r="H210" s="7"/>
    </row>
    <row r="211" spans="1:8" ht="20.25" x14ac:dyDescent="0.25">
      <c r="A211" s="11"/>
      <c r="B211" s="12"/>
      <c r="C211" s="12"/>
      <c r="D211" s="12"/>
      <c r="E211" s="12"/>
      <c r="F211" s="12"/>
      <c r="G211" s="12"/>
      <c r="H211" s="7"/>
    </row>
    <row r="212" spans="1:8" ht="20.25" x14ac:dyDescent="0.25">
      <c r="A212" s="11"/>
      <c r="B212" s="12"/>
      <c r="C212" s="12"/>
      <c r="D212" s="12"/>
      <c r="E212" s="12"/>
      <c r="F212" s="12"/>
      <c r="G212" s="12"/>
      <c r="H212" s="7"/>
    </row>
    <row r="213" spans="1:8" ht="20.25" x14ac:dyDescent="0.25">
      <c r="A213" s="11"/>
      <c r="B213" s="12"/>
      <c r="C213" s="12"/>
      <c r="D213" s="12"/>
      <c r="E213" s="12"/>
      <c r="F213" s="12"/>
      <c r="G213" s="12"/>
      <c r="H213" s="7"/>
    </row>
    <row r="214" spans="1:8" ht="20.25" x14ac:dyDescent="0.25">
      <c r="A214" s="11"/>
      <c r="B214" s="12"/>
      <c r="C214" s="12"/>
      <c r="D214" s="12"/>
      <c r="E214" s="12"/>
      <c r="F214" s="12"/>
      <c r="G214" s="12"/>
      <c r="H214" s="7"/>
    </row>
    <row r="215" spans="1:8" ht="20.25" x14ac:dyDescent="0.25">
      <c r="A215" s="11"/>
      <c r="B215" s="12"/>
      <c r="C215" s="12"/>
      <c r="D215" s="12"/>
      <c r="E215" s="12"/>
      <c r="F215" s="12"/>
      <c r="G215" s="12"/>
      <c r="H215" s="7"/>
    </row>
    <row r="216" spans="1:8" ht="20.25" x14ac:dyDescent="0.25">
      <c r="A216" s="11"/>
      <c r="B216" s="12"/>
      <c r="C216" s="12"/>
      <c r="D216" s="12"/>
      <c r="E216" s="12"/>
      <c r="F216" s="12"/>
      <c r="G216" s="12"/>
      <c r="H216" s="7"/>
    </row>
    <row r="217" spans="1:8" ht="20.25" x14ac:dyDescent="0.25">
      <c r="A217" s="11"/>
      <c r="B217" s="12"/>
      <c r="C217" s="12"/>
      <c r="D217" s="12"/>
      <c r="E217" s="12"/>
      <c r="F217" s="12"/>
      <c r="G217" s="12"/>
      <c r="H217" s="7"/>
    </row>
    <row r="218" spans="1:8" ht="20.25" x14ac:dyDescent="0.25">
      <c r="A218" s="11"/>
      <c r="B218" s="12"/>
      <c r="C218" s="12"/>
      <c r="D218" s="12"/>
      <c r="E218" s="12"/>
      <c r="F218" s="12"/>
      <c r="G218" s="12"/>
      <c r="H218" s="7"/>
    </row>
    <row r="219" spans="1:8" ht="20.25" x14ac:dyDescent="0.25">
      <c r="A219" s="11"/>
      <c r="B219" s="12"/>
      <c r="C219" s="12"/>
      <c r="D219" s="12"/>
      <c r="E219" s="12"/>
      <c r="F219" s="12"/>
      <c r="G219" s="12"/>
      <c r="H219" s="7"/>
    </row>
    <row r="220" spans="1:8" ht="20.25" x14ac:dyDescent="0.25">
      <c r="A220" s="11"/>
      <c r="B220" s="12"/>
      <c r="C220" s="12"/>
      <c r="D220" s="12"/>
      <c r="E220" s="12"/>
      <c r="F220" s="12"/>
      <c r="G220" s="12"/>
      <c r="H220" s="7"/>
    </row>
    <row r="221" spans="1:8" ht="20.25" x14ac:dyDescent="0.25">
      <c r="A221" s="11"/>
      <c r="B221" s="12"/>
      <c r="C221" s="12"/>
      <c r="D221" s="12"/>
      <c r="E221" s="12"/>
      <c r="F221" s="12"/>
      <c r="G221" s="12"/>
      <c r="H221" s="7"/>
    </row>
    <row r="222" spans="1:8" ht="20.25" x14ac:dyDescent="0.25">
      <c r="A222" s="11"/>
      <c r="B222" s="12"/>
      <c r="C222" s="12"/>
      <c r="D222" s="12"/>
      <c r="E222" s="12"/>
      <c r="F222" s="12"/>
      <c r="G222" s="12"/>
      <c r="H222" s="7"/>
    </row>
    <row r="223" spans="1:8" ht="20.25" x14ac:dyDescent="0.25">
      <c r="A223" s="11"/>
      <c r="B223" s="12"/>
      <c r="C223" s="12"/>
      <c r="D223" s="12"/>
      <c r="E223" s="12"/>
      <c r="F223" s="12"/>
      <c r="G223" s="12"/>
      <c r="H223" s="7"/>
    </row>
    <row r="224" spans="1:8" ht="20.25" x14ac:dyDescent="0.25">
      <c r="A224" s="11"/>
      <c r="B224" s="12"/>
      <c r="C224" s="12"/>
      <c r="D224" s="12"/>
      <c r="E224" s="12"/>
      <c r="F224" s="12"/>
      <c r="G224" s="12"/>
      <c r="H224" s="7"/>
    </row>
    <row r="225" spans="1:8" ht="20.25" x14ac:dyDescent="0.25">
      <c r="A225" s="11"/>
      <c r="B225" s="12"/>
      <c r="C225" s="12"/>
      <c r="D225" s="12"/>
      <c r="E225" s="12"/>
      <c r="F225" s="12"/>
      <c r="G225" s="12"/>
      <c r="H225" s="7"/>
    </row>
    <row r="226" spans="1:8" ht="20.25" x14ac:dyDescent="0.25">
      <c r="A226" s="11"/>
      <c r="B226" s="12"/>
      <c r="C226" s="12"/>
      <c r="D226" s="12"/>
      <c r="E226" s="12"/>
      <c r="F226" s="12"/>
      <c r="G226" s="12"/>
      <c r="H226" s="7"/>
    </row>
    <row r="227" spans="1:8" ht="20.25" x14ac:dyDescent="0.25">
      <c r="A227" s="11"/>
      <c r="B227" s="12"/>
      <c r="C227" s="12"/>
      <c r="D227" s="12"/>
      <c r="E227" s="12"/>
      <c r="F227" s="12"/>
      <c r="G227" s="12"/>
      <c r="H227" s="7"/>
    </row>
    <row r="228" spans="1:8" ht="20.25" x14ac:dyDescent="0.25">
      <c r="A228" s="11"/>
      <c r="B228" s="12"/>
      <c r="C228" s="12"/>
      <c r="D228" s="12"/>
      <c r="E228" s="12"/>
      <c r="F228" s="12"/>
      <c r="G228" s="12"/>
      <c r="H228" s="7"/>
    </row>
    <row r="229" spans="1:8" ht="20.25" x14ac:dyDescent="0.25">
      <c r="A229" s="11"/>
      <c r="B229" s="12"/>
      <c r="C229" s="12"/>
      <c r="D229" s="12"/>
      <c r="E229" s="12"/>
      <c r="F229" s="12"/>
      <c r="G229" s="12"/>
      <c r="H229" s="7"/>
    </row>
    <row r="230" spans="1:8" ht="20.25" x14ac:dyDescent="0.25">
      <c r="A230" s="11"/>
      <c r="B230" s="12"/>
      <c r="C230" s="12"/>
      <c r="D230" s="12"/>
      <c r="E230" s="12"/>
      <c r="F230" s="12"/>
      <c r="G230" s="12"/>
      <c r="H230" s="7"/>
    </row>
    <row r="231" spans="1:8" ht="20.25" x14ac:dyDescent="0.25">
      <c r="A231" s="11"/>
      <c r="B231" s="12"/>
      <c r="C231" s="12"/>
      <c r="D231" s="12"/>
      <c r="E231" s="12"/>
      <c r="F231" s="12"/>
      <c r="G231" s="12"/>
      <c r="H231" s="7"/>
    </row>
    <row r="232" spans="1:8" ht="20.25" x14ac:dyDescent="0.25">
      <c r="A232" s="11"/>
      <c r="B232" s="12"/>
      <c r="C232" s="12"/>
      <c r="D232" s="12"/>
      <c r="E232" s="12"/>
      <c r="F232" s="12"/>
      <c r="G232" s="12"/>
      <c r="H232" s="7"/>
    </row>
    <row r="233" spans="1:8" ht="20.25" x14ac:dyDescent="0.25">
      <c r="A233" s="11"/>
      <c r="B233" s="12"/>
      <c r="C233" s="12"/>
      <c r="D233" s="12"/>
      <c r="E233" s="12"/>
      <c r="F233" s="12"/>
      <c r="G233" s="12"/>
      <c r="H233" s="7"/>
    </row>
    <row r="234" spans="1:8" ht="20.25" x14ac:dyDescent="0.25">
      <c r="A234" s="11"/>
      <c r="B234" s="12"/>
      <c r="C234" s="12"/>
      <c r="D234" s="12"/>
      <c r="E234" s="12"/>
      <c r="F234" s="12"/>
      <c r="G234" s="12"/>
      <c r="H234" s="7"/>
    </row>
    <row r="235" spans="1:8" ht="20.25" x14ac:dyDescent="0.25">
      <c r="A235" s="11"/>
      <c r="B235" s="12"/>
      <c r="C235" s="12"/>
      <c r="D235" s="12"/>
      <c r="E235" s="12"/>
      <c r="F235" s="12"/>
      <c r="G235" s="12"/>
      <c r="H235" s="7"/>
    </row>
    <row r="236" spans="1:8" ht="20.25" x14ac:dyDescent="0.25">
      <c r="A236" s="11"/>
      <c r="B236" s="12"/>
      <c r="C236" s="12"/>
      <c r="D236" s="12"/>
      <c r="E236" s="12"/>
      <c r="F236" s="12"/>
      <c r="G236" s="12"/>
      <c r="H236" s="7"/>
    </row>
    <row r="237" spans="1:8" ht="20.25" x14ac:dyDescent="0.25">
      <c r="A237" s="11"/>
      <c r="B237" s="12"/>
      <c r="C237" s="12"/>
      <c r="D237" s="12"/>
      <c r="E237" s="12"/>
      <c r="F237" s="12"/>
      <c r="G237" s="12"/>
      <c r="H237" s="7"/>
    </row>
    <row r="238" spans="1:8" ht="20.25" x14ac:dyDescent="0.25">
      <c r="A238" s="11"/>
      <c r="B238" s="12"/>
      <c r="C238" s="12"/>
      <c r="D238" s="12"/>
      <c r="E238" s="12"/>
      <c r="F238" s="12"/>
      <c r="G238" s="12"/>
      <c r="H238" s="7"/>
    </row>
    <row r="239" spans="1:8" ht="20.25" x14ac:dyDescent="0.25">
      <c r="A239" s="11"/>
      <c r="B239" s="12"/>
      <c r="C239" s="12"/>
      <c r="D239" s="12"/>
      <c r="E239" s="12"/>
      <c r="F239" s="12"/>
      <c r="G239" s="12"/>
      <c r="H239" s="7"/>
    </row>
    <row r="240" spans="1:8" ht="20.25" x14ac:dyDescent="0.25">
      <c r="A240" s="11"/>
      <c r="B240" s="12"/>
      <c r="C240" s="12"/>
      <c r="D240" s="12"/>
      <c r="E240" s="12"/>
      <c r="F240" s="12"/>
      <c r="G240" s="12"/>
      <c r="H240" s="7"/>
    </row>
    <row r="241" spans="1:8" ht="20.25" x14ac:dyDescent="0.25">
      <c r="A241" s="11"/>
      <c r="B241" s="12"/>
      <c r="C241" s="12"/>
      <c r="D241" s="12"/>
      <c r="E241" s="12"/>
      <c r="F241" s="12"/>
      <c r="G241" s="12"/>
      <c r="H241" s="7"/>
    </row>
    <row r="242" spans="1:8" ht="20.25" x14ac:dyDescent="0.25">
      <c r="A242" s="11"/>
      <c r="B242" s="12"/>
      <c r="C242" s="12"/>
      <c r="D242" s="12"/>
      <c r="E242" s="12"/>
      <c r="F242" s="12"/>
      <c r="G242" s="12"/>
      <c r="H242" s="7"/>
    </row>
    <row r="243" spans="1:8" ht="20.25" x14ac:dyDescent="0.25">
      <c r="A243" s="11"/>
      <c r="B243" s="12"/>
      <c r="C243" s="12"/>
      <c r="D243" s="12"/>
      <c r="E243" s="12"/>
      <c r="F243" s="12"/>
      <c r="G243" s="12"/>
      <c r="H243" s="7"/>
    </row>
    <row r="244" spans="1:8" ht="20.25" x14ac:dyDescent="0.25">
      <c r="A244" s="11"/>
      <c r="B244" s="12"/>
      <c r="C244" s="12"/>
      <c r="D244" s="12"/>
      <c r="E244" s="12"/>
      <c r="F244" s="12"/>
      <c r="G244" s="12"/>
      <c r="H244" s="7"/>
    </row>
    <row r="245" spans="1:8" ht="20.25" x14ac:dyDescent="0.25">
      <c r="A245" s="11"/>
      <c r="B245" s="12"/>
      <c r="C245" s="12"/>
      <c r="D245" s="12"/>
      <c r="E245" s="12"/>
      <c r="F245" s="12"/>
      <c r="G245" s="12"/>
      <c r="H245" s="7"/>
    </row>
    <row r="246" spans="1:8" ht="20.25" x14ac:dyDescent="0.25">
      <c r="A246" s="11"/>
      <c r="B246" s="12"/>
      <c r="C246" s="12"/>
      <c r="D246" s="12"/>
      <c r="E246" s="12"/>
      <c r="F246" s="12"/>
      <c r="G246" s="12"/>
      <c r="H246" s="7"/>
    </row>
    <row r="247" spans="1:8" ht="20.25" x14ac:dyDescent="0.25">
      <c r="A247" s="11"/>
      <c r="B247" s="12"/>
      <c r="C247" s="12"/>
      <c r="D247" s="12"/>
      <c r="E247" s="12"/>
      <c r="F247" s="12"/>
      <c r="G247" s="12"/>
      <c r="H247" s="7"/>
    </row>
    <row r="248" spans="1:8" ht="20.25" x14ac:dyDescent="0.25">
      <c r="A248" s="11"/>
      <c r="B248" s="12"/>
      <c r="C248" s="12"/>
      <c r="D248" s="12"/>
      <c r="E248" s="12"/>
      <c r="F248" s="12"/>
      <c r="G248" s="12"/>
      <c r="H248" s="7"/>
    </row>
    <row r="249" spans="1:8" ht="20.25" x14ac:dyDescent="0.25">
      <c r="A249" s="11"/>
      <c r="B249" s="12"/>
      <c r="C249" s="12"/>
      <c r="D249" s="12"/>
      <c r="E249" s="12"/>
      <c r="F249" s="12"/>
      <c r="G249" s="12"/>
      <c r="H249" s="7"/>
    </row>
    <row r="250" spans="1:8" ht="20.25" x14ac:dyDescent="0.25">
      <c r="A250" s="11"/>
      <c r="B250" s="12"/>
      <c r="C250" s="12"/>
      <c r="D250" s="12"/>
      <c r="E250" s="12"/>
      <c r="F250" s="12"/>
      <c r="G250" s="12"/>
      <c r="H250" s="7"/>
    </row>
    <row r="251" spans="1:8" ht="20.25" x14ac:dyDescent="0.25">
      <c r="A251" s="13"/>
      <c r="B251" s="14"/>
      <c r="C251" s="14"/>
      <c r="D251" s="14"/>
      <c r="E251" s="14"/>
      <c r="F251" s="14"/>
      <c r="G251" s="14"/>
      <c r="H251" s="8"/>
    </row>
    <row r="252" spans="1:8" ht="20.25" x14ac:dyDescent="0.25">
      <c r="A252" s="119" t="s">
        <v>157</v>
      </c>
      <c r="B252" s="119"/>
      <c r="C252" s="119"/>
      <c r="D252" s="119"/>
      <c r="E252" s="119"/>
      <c r="F252" s="119"/>
      <c r="G252" s="119"/>
      <c r="H252" s="119"/>
    </row>
    <row r="253" spans="1:8" ht="20.25" x14ac:dyDescent="0.25">
      <c r="A253" s="9"/>
      <c r="B253" s="10"/>
      <c r="C253" s="10"/>
      <c r="D253" s="10"/>
      <c r="E253" s="10"/>
      <c r="F253" s="10"/>
      <c r="G253" s="10"/>
      <c r="H253" s="6"/>
    </row>
    <row r="254" spans="1:8" ht="20.25" x14ac:dyDescent="0.25">
      <c r="A254" s="11"/>
      <c r="B254" s="12"/>
      <c r="C254" s="12"/>
      <c r="D254" s="12"/>
      <c r="E254" s="12"/>
      <c r="F254" s="12"/>
      <c r="G254" s="12"/>
      <c r="H254" s="7"/>
    </row>
    <row r="255" spans="1:8" ht="20.25" x14ac:dyDescent="0.25">
      <c r="A255" s="11"/>
      <c r="B255" s="12"/>
      <c r="C255" s="12"/>
      <c r="D255" s="12"/>
      <c r="E255" s="12"/>
      <c r="F255" s="12"/>
      <c r="G255" s="12"/>
      <c r="H255" s="7"/>
    </row>
    <row r="256" spans="1:8" ht="20.25" x14ac:dyDescent="0.25">
      <c r="A256" s="11"/>
      <c r="B256" s="12"/>
      <c r="C256" s="12"/>
      <c r="D256" s="12"/>
      <c r="E256" s="12"/>
      <c r="F256" s="12"/>
      <c r="G256" s="12"/>
      <c r="H256" s="7"/>
    </row>
    <row r="257" spans="1:8" ht="20.25" x14ac:dyDescent="0.25">
      <c r="A257" s="11"/>
      <c r="B257" s="12"/>
      <c r="C257" s="12"/>
      <c r="D257" s="12"/>
      <c r="E257" s="12"/>
      <c r="F257" s="12"/>
      <c r="G257" s="12"/>
      <c r="H257" s="7"/>
    </row>
    <row r="258" spans="1:8" ht="20.25" x14ac:dyDescent="0.25">
      <c r="A258" s="11"/>
      <c r="B258" s="12"/>
      <c r="C258" s="12"/>
      <c r="D258" s="12"/>
      <c r="E258" s="12"/>
      <c r="F258" s="12"/>
      <c r="G258" s="12"/>
      <c r="H258" s="7"/>
    </row>
    <row r="259" spans="1:8" ht="20.25" x14ac:dyDescent="0.25">
      <c r="A259" s="11"/>
      <c r="B259" s="12"/>
      <c r="C259" s="12"/>
      <c r="D259" s="12"/>
      <c r="E259" s="12"/>
      <c r="F259" s="12"/>
      <c r="G259" s="12"/>
      <c r="H259" s="7"/>
    </row>
    <row r="260" spans="1:8" ht="20.25" x14ac:dyDescent="0.25">
      <c r="A260" s="11"/>
      <c r="B260" s="12"/>
      <c r="C260" s="12"/>
      <c r="D260" s="12"/>
      <c r="E260" s="12"/>
      <c r="F260" s="12"/>
      <c r="G260" s="12"/>
      <c r="H260" s="7"/>
    </row>
    <row r="261" spans="1:8" ht="20.25" x14ac:dyDescent="0.25">
      <c r="A261" s="11"/>
      <c r="B261" s="12"/>
      <c r="C261" s="12"/>
      <c r="D261" s="12"/>
      <c r="E261" s="12"/>
      <c r="F261" s="12"/>
      <c r="G261" s="12"/>
      <c r="H261" s="7"/>
    </row>
    <row r="262" spans="1:8" ht="20.25" x14ac:dyDescent="0.25">
      <c r="A262" s="11"/>
      <c r="B262" s="12"/>
      <c r="C262" s="12"/>
      <c r="D262" s="12"/>
      <c r="E262" s="12"/>
      <c r="F262" s="12"/>
      <c r="G262" s="12"/>
      <c r="H262" s="7"/>
    </row>
    <row r="263" spans="1:8" ht="20.25" x14ac:dyDescent="0.25">
      <c r="A263" s="11"/>
      <c r="B263" s="12"/>
      <c r="C263" s="12"/>
      <c r="D263" s="12"/>
      <c r="E263" s="12"/>
      <c r="F263" s="12"/>
      <c r="G263" s="12"/>
      <c r="H263" s="7"/>
    </row>
    <row r="264" spans="1:8" ht="20.25" x14ac:dyDescent="0.25">
      <c r="A264" s="11"/>
      <c r="B264" s="12"/>
      <c r="C264" s="12"/>
      <c r="D264" s="12"/>
      <c r="E264" s="12"/>
      <c r="F264" s="12"/>
      <c r="G264" s="12"/>
      <c r="H264" s="7"/>
    </row>
    <row r="265" spans="1:8" ht="20.25" x14ac:dyDescent="0.25">
      <c r="A265" s="11"/>
      <c r="B265" s="12"/>
      <c r="C265" s="12"/>
      <c r="D265" s="12"/>
      <c r="E265" s="12"/>
      <c r="F265" s="12"/>
      <c r="G265" s="12"/>
      <c r="H265" s="7"/>
    </row>
    <row r="266" spans="1:8" ht="20.25" x14ac:dyDescent="0.25">
      <c r="A266" s="11"/>
      <c r="B266" s="12"/>
      <c r="C266" s="12"/>
      <c r="D266" s="12"/>
      <c r="E266" s="12"/>
      <c r="F266" s="12"/>
      <c r="G266" s="12"/>
      <c r="H266" s="7"/>
    </row>
    <row r="267" spans="1:8" ht="20.25" x14ac:dyDescent="0.25">
      <c r="A267" s="11"/>
      <c r="B267" s="12"/>
      <c r="C267" s="12"/>
      <c r="D267" s="12"/>
      <c r="E267" s="12"/>
      <c r="F267" s="12"/>
      <c r="G267" s="12"/>
      <c r="H267" s="7"/>
    </row>
    <row r="268" spans="1:8" ht="20.25" x14ac:dyDescent="0.25">
      <c r="A268" s="11"/>
      <c r="B268" s="12"/>
      <c r="C268" s="12"/>
      <c r="D268" s="12"/>
      <c r="E268" s="12"/>
      <c r="F268" s="12"/>
      <c r="G268" s="12"/>
      <c r="H268" s="7"/>
    </row>
    <row r="269" spans="1:8" ht="20.25" x14ac:dyDescent="0.25">
      <c r="A269" s="11"/>
      <c r="B269" s="12"/>
      <c r="C269" s="12"/>
      <c r="D269" s="12"/>
      <c r="E269" s="12"/>
      <c r="F269" s="12"/>
      <c r="G269" s="12"/>
      <c r="H269" s="7"/>
    </row>
    <row r="270" spans="1:8" ht="20.25" x14ac:dyDescent="0.25">
      <c r="A270" s="11"/>
      <c r="B270" s="12"/>
      <c r="C270" s="12"/>
      <c r="D270" s="12"/>
      <c r="E270" s="12"/>
      <c r="F270" s="12"/>
      <c r="G270" s="12"/>
      <c r="H270" s="7"/>
    </row>
    <row r="271" spans="1:8" ht="20.25" x14ac:dyDescent="0.25">
      <c r="A271" s="11"/>
      <c r="B271" s="12"/>
      <c r="C271" s="12"/>
      <c r="D271" s="12"/>
      <c r="E271" s="12"/>
      <c r="F271" s="12"/>
      <c r="G271" s="12"/>
      <c r="H271" s="7"/>
    </row>
    <row r="272" spans="1:8" ht="20.25" x14ac:dyDescent="0.25">
      <c r="A272" s="11"/>
      <c r="B272" s="12"/>
      <c r="C272" s="12"/>
      <c r="D272" s="12"/>
      <c r="E272" s="12"/>
      <c r="F272" s="12"/>
      <c r="G272" s="12"/>
      <c r="H272" s="7"/>
    </row>
    <row r="273" spans="1:8" ht="20.25" x14ac:dyDescent="0.25">
      <c r="A273" s="11"/>
      <c r="B273" s="12"/>
      <c r="C273" s="12"/>
      <c r="D273" s="12"/>
      <c r="E273" s="12"/>
      <c r="F273" s="12"/>
      <c r="G273" s="12"/>
      <c r="H273" s="7"/>
    </row>
    <row r="274" spans="1:8" ht="20.25" x14ac:dyDescent="0.25">
      <c r="A274" s="11"/>
      <c r="B274" s="12"/>
      <c r="C274" s="12"/>
      <c r="D274" s="12"/>
      <c r="E274" s="12"/>
      <c r="F274" s="12"/>
      <c r="G274" s="12"/>
      <c r="H274" s="7"/>
    </row>
    <row r="275" spans="1:8" ht="20.25" x14ac:dyDescent="0.25">
      <c r="A275" s="11"/>
      <c r="B275" s="12"/>
      <c r="C275" s="12"/>
      <c r="D275" s="12"/>
      <c r="E275" s="12"/>
      <c r="F275" s="12"/>
      <c r="G275" s="12"/>
      <c r="H275" s="7"/>
    </row>
    <row r="276" spans="1:8" ht="20.25" x14ac:dyDescent="0.25">
      <c r="A276" s="11"/>
      <c r="B276" s="12"/>
      <c r="C276" s="12"/>
      <c r="D276" s="12"/>
      <c r="E276" s="12"/>
      <c r="F276" s="12"/>
      <c r="G276" s="12"/>
      <c r="H276" s="7"/>
    </row>
    <row r="277" spans="1:8" ht="20.25" x14ac:dyDescent="0.25">
      <c r="A277" s="11"/>
      <c r="B277" s="12"/>
      <c r="C277" s="12"/>
      <c r="D277" s="12"/>
      <c r="E277" s="12"/>
      <c r="F277" s="12"/>
      <c r="G277" s="12"/>
      <c r="H277" s="7"/>
    </row>
    <row r="278" spans="1:8" ht="20.25" x14ac:dyDescent="0.25">
      <c r="A278" s="11"/>
      <c r="B278" s="12"/>
      <c r="C278" s="12"/>
      <c r="D278" s="12"/>
      <c r="E278" s="12"/>
      <c r="F278" s="12"/>
      <c r="G278" s="12"/>
      <c r="H278" s="7"/>
    </row>
    <row r="279" spans="1:8" ht="20.25" x14ac:dyDescent="0.25">
      <c r="A279" s="11"/>
      <c r="B279" s="12"/>
      <c r="C279" s="12"/>
      <c r="D279" s="12"/>
      <c r="E279" s="12"/>
      <c r="F279" s="12"/>
      <c r="G279" s="12"/>
      <c r="H279" s="7"/>
    </row>
    <row r="280" spans="1:8" ht="20.25" x14ac:dyDescent="0.25">
      <c r="A280" s="11"/>
      <c r="B280" s="12"/>
      <c r="C280" s="12"/>
      <c r="D280" s="12"/>
      <c r="E280" s="12"/>
      <c r="F280" s="12"/>
      <c r="G280" s="12"/>
      <c r="H280" s="7"/>
    </row>
    <row r="281" spans="1:8" ht="20.25" x14ac:dyDescent="0.25">
      <c r="A281" s="11"/>
      <c r="B281" s="12"/>
      <c r="C281" s="12"/>
      <c r="D281" s="12"/>
      <c r="E281" s="12"/>
      <c r="F281" s="12"/>
      <c r="G281" s="12"/>
      <c r="H281" s="7"/>
    </row>
    <row r="282" spans="1:8" ht="20.25" x14ac:dyDescent="0.25">
      <c r="A282" s="11"/>
      <c r="B282" s="12"/>
      <c r="C282" s="12"/>
      <c r="D282" s="12"/>
      <c r="E282" s="12"/>
      <c r="F282" s="12"/>
      <c r="G282" s="12"/>
      <c r="H282" s="7"/>
    </row>
    <row r="283" spans="1:8" ht="20.25" x14ac:dyDescent="0.25">
      <c r="A283" s="11"/>
      <c r="B283" s="12"/>
      <c r="C283" s="12"/>
      <c r="D283" s="12"/>
      <c r="E283" s="12"/>
      <c r="F283" s="12"/>
      <c r="G283" s="12"/>
      <c r="H283" s="7"/>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s="12"/>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
      <c r="B299" s="12"/>
      <c r="C299" s="12"/>
      <c r="D299" s="12"/>
      <c r="E299" s="12"/>
      <c r="F299" s="12"/>
      <c r="G299" s="12"/>
      <c r="H299" s="7"/>
    </row>
    <row r="300" spans="1:8" ht="20.25" x14ac:dyDescent="0.25">
      <c r="A300" s="11"/>
      <c r="B300" s="12"/>
      <c r="C300" s="12"/>
      <c r="D300" s="12"/>
      <c r="E300" s="12"/>
      <c r="F300" s="12"/>
      <c r="G300" s="12"/>
      <c r="H300" s="7"/>
    </row>
    <row r="301" spans="1:8" ht="20.25" x14ac:dyDescent="0.25">
      <c r="A301" s="13"/>
      <c r="B301" s="14"/>
      <c r="C301" s="14"/>
      <c r="D301" s="14"/>
      <c r="E301" s="14"/>
      <c r="F301" s="14"/>
      <c r="G301" s="14"/>
      <c r="H301" s="8"/>
    </row>
    <row r="302" spans="1:8" ht="20.25" x14ac:dyDescent="0.25">
      <c r="A302" s="106" t="s">
        <v>75</v>
      </c>
      <c r="B302" s="107"/>
      <c r="C302" s="107"/>
      <c r="D302" s="107"/>
      <c r="E302" s="107"/>
      <c r="F302" s="107"/>
      <c r="G302" s="107"/>
      <c r="H302" s="108"/>
    </row>
    <row r="303" spans="1:8" ht="20.25" x14ac:dyDescent="0.25">
      <c r="A303" s="9"/>
      <c r="B303" s="10"/>
      <c r="C303" s="10"/>
      <c r="D303" s="10"/>
      <c r="E303" s="10"/>
      <c r="F303" s="10"/>
      <c r="G303" s="10"/>
      <c r="H303" s="6"/>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1"/>
      <c r="B314" s="12"/>
      <c r="C314" s="12"/>
      <c r="D314" s="12"/>
      <c r="E314" s="12"/>
      <c r="F314" s="12"/>
      <c r="G314" s="12"/>
      <c r="H314" s="7"/>
    </row>
    <row r="315" spans="1:8" ht="20.25" x14ac:dyDescent="0.25">
      <c r="A315" s="11"/>
      <c r="B315" s="12"/>
      <c r="C315" s="12"/>
      <c r="D315" s="12"/>
      <c r="E315" s="12"/>
      <c r="F315" s="12"/>
      <c r="G315" s="12"/>
      <c r="H315" s="7"/>
    </row>
    <row r="316" spans="1:8" ht="20.25" x14ac:dyDescent="0.25">
      <c r="A316" s="11"/>
      <c r="B316" s="12"/>
      <c r="C316" s="12"/>
      <c r="D316" s="12"/>
      <c r="E316" s="12"/>
      <c r="F316" s="12"/>
      <c r="G316" s="12"/>
      <c r="H316" s="7"/>
    </row>
    <row r="317" spans="1:8" ht="20.25" x14ac:dyDescent="0.25">
      <c r="A317" s="11"/>
      <c r="B317" s="12"/>
      <c r="C317" s="12"/>
      <c r="D317" s="12"/>
      <c r="E317" s="12"/>
      <c r="F317" s="12"/>
      <c r="G317" s="12"/>
      <c r="H317" s="7"/>
    </row>
    <row r="318" spans="1:8" ht="20.25" x14ac:dyDescent="0.25">
      <c r="A318" s="11"/>
      <c r="B318" s="12"/>
      <c r="C318" s="12"/>
      <c r="D318" s="12"/>
      <c r="E318" s="12"/>
      <c r="F318" s="12"/>
      <c r="G318" s="12"/>
      <c r="H318" s="7"/>
    </row>
    <row r="319" spans="1:8" ht="20.25" x14ac:dyDescent="0.25">
      <c r="A319" s="11"/>
      <c r="B319" s="12"/>
      <c r="C319" s="12"/>
      <c r="D319" s="12"/>
      <c r="E319" s="12"/>
      <c r="F319" s="12"/>
      <c r="G319" s="12"/>
      <c r="H319" s="7"/>
    </row>
    <row r="320" spans="1:8" ht="20.25" x14ac:dyDescent="0.25">
      <c r="A320" s="11"/>
      <c r="B320" s="12"/>
      <c r="C320" s="12"/>
      <c r="D320" s="12"/>
      <c r="E320" s="12"/>
      <c r="F320" s="12"/>
      <c r="G320" s="12"/>
      <c r="H320" s="7"/>
    </row>
    <row r="321" spans="1:8" ht="20.25" x14ac:dyDescent="0.25">
      <c r="A321" s="11"/>
      <c r="B321" s="12"/>
      <c r="C321" s="12"/>
      <c r="D321" s="12"/>
      <c r="E321" s="12"/>
      <c r="F321" s="12"/>
      <c r="G321" s="12"/>
      <c r="H321" s="7"/>
    </row>
    <row r="322" spans="1:8" ht="20.25" x14ac:dyDescent="0.25">
      <c r="A322" s="11"/>
      <c r="B322" s="12"/>
      <c r="C322" s="12"/>
      <c r="D322" s="12"/>
      <c r="E322" s="12"/>
      <c r="F322" s="12"/>
      <c r="G322" s="12"/>
      <c r="H322" s="7"/>
    </row>
    <row r="323" spans="1:8" ht="20.25" x14ac:dyDescent="0.25">
      <c r="A323" s="11"/>
      <c r="B323" s="12"/>
      <c r="C323" s="12"/>
      <c r="D323" s="12"/>
      <c r="E323" s="12"/>
      <c r="F323" s="12"/>
      <c r="G323" s="12"/>
      <c r="H323" s="7"/>
    </row>
    <row r="324" spans="1:8" ht="20.25" x14ac:dyDescent="0.25">
      <c r="A324" s="11"/>
      <c r="B324" s="12"/>
      <c r="C324" s="12"/>
      <c r="D324" s="12"/>
      <c r="E324" s="12"/>
      <c r="F324" s="12"/>
      <c r="G324" s="12"/>
      <c r="H324" s="7"/>
    </row>
    <row r="325" spans="1:8" ht="20.25" x14ac:dyDescent="0.25">
      <c r="A325" s="11"/>
      <c r="B325" s="12"/>
      <c r="C325" s="12"/>
      <c r="D325" s="12"/>
      <c r="E325" s="12"/>
      <c r="F325" s="12"/>
      <c r="G325" s="12"/>
      <c r="H325" s="7"/>
    </row>
    <row r="326" spans="1:8" ht="20.25" x14ac:dyDescent="0.25">
      <c r="A326" s="11"/>
      <c r="B326" s="12"/>
      <c r="C326" s="12"/>
      <c r="D326" s="12"/>
      <c r="E326" s="12"/>
      <c r="F326" s="12"/>
      <c r="G326" s="12"/>
      <c r="H326" s="7"/>
    </row>
    <row r="327" spans="1:8" ht="20.25" x14ac:dyDescent="0.25">
      <c r="A327" s="11"/>
      <c r="B327" s="12"/>
      <c r="C327" s="12"/>
      <c r="D327" s="12"/>
      <c r="E327" s="12"/>
      <c r="F327" s="12"/>
      <c r="G327" s="12"/>
      <c r="H327" s="7"/>
    </row>
    <row r="328" spans="1:8" ht="20.25" x14ac:dyDescent="0.25">
      <c r="A328" s="11"/>
      <c r="B328" s="12"/>
      <c r="C328" s="12"/>
      <c r="D328" s="12"/>
      <c r="E328" s="12"/>
      <c r="F328" s="12"/>
      <c r="G328" s="12"/>
      <c r="H328" s="7"/>
    </row>
    <row r="329" spans="1:8" ht="20.25" x14ac:dyDescent="0.25">
      <c r="A329" s="11"/>
      <c r="B329" s="12"/>
      <c r="C329" s="12"/>
      <c r="D329" s="12"/>
      <c r="E329" s="12"/>
      <c r="F329" s="12"/>
      <c r="G329" s="12"/>
      <c r="H329" s="7"/>
    </row>
    <row r="330" spans="1:8" ht="20.25" x14ac:dyDescent="0.25">
      <c r="A330" s="11"/>
      <c r="B330" s="12"/>
      <c r="C330" s="12"/>
      <c r="D330" s="12"/>
      <c r="E330" s="12"/>
      <c r="F330" s="12"/>
      <c r="G330" s="12"/>
      <c r="H330" s="7"/>
    </row>
    <row r="331" spans="1:8" ht="20.25" x14ac:dyDescent="0.25">
      <c r="A331" s="11"/>
      <c r="B331" s="12"/>
      <c r="C331" s="12"/>
      <c r="D331" s="12"/>
      <c r="E331" s="12"/>
      <c r="F331" s="12"/>
      <c r="G331" s="12"/>
      <c r="H331" s="7"/>
    </row>
    <row r="332" spans="1:8" ht="20.25" x14ac:dyDescent="0.25">
      <c r="A332" s="11"/>
      <c r="B332" s="12"/>
      <c r="C332" s="12"/>
      <c r="D332" s="12"/>
      <c r="E332" s="12"/>
      <c r="F332" s="12"/>
      <c r="G332" s="12"/>
      <c r="H332" s="7"/>
    </row>
    <row r="333" spans="1:8" ht="20.25" x14ac:dyDescent="0.25">
      <c r="A333" s="119" t="s">
        <v>24</v>
      </c>
      <c r="B333" s="119"/>
      <c r="C333" s="119"/>
      <c r="D333" s="119"/>
      <c r="E333" s="119"/>
      <c r="F333" s="119"/>
      <c r="G333" s="119"/>
      <c r="H333" s="119"/>
    </row>
    <row r="334" spans="1:8" ht="20.25" x14ac:dyDescent="0.25">
      <c r="A334" s="143" t="s">
        <v>76</v>
      </c>
      <c r="B334" s="144"/>
      <c r="C334" s="144"/>
      <c r="D334" s="144"/>
      <c r="E334" s="144"/>
      <c r="F334" s="144"/>
      <c r="G334" s="144"/>
      <c r="H334" s="145"/>
    </row>
    <row r="335" spans="1:8" ht="20.25" x14ac:dyDescent="0.25">
      <c r="A335" s="146" t="s">
        <v>77</v>
      </c>
      <c r="B335" s="147"/>
      <c r="C335" s="147"/>
      <c r="D335" s="147"/>
      <c r="E335" s="147"/>
      <c r="F335" s="147"/>
      <c r="G335" s="147"/>
      <c r="H335" s="148"/>
    </row>
    <row r="336" spans="1:8" ht="45" customHeight="1" x14ac:dyDescent="0.25">
      <c r="A336" s="146" t="s">
        <v>78</v>
      </c>
      <c r="B336" s="147"/>
      <c r="C336" s="147"/>
      <c r="D336" s="147"/>
      <c r="E336" s="147"/>
      <c r="F336" s="147"/>
      <c r="G336" s="147"/>
      <c r="H336" s="148"/>
    </row>
    <row r="337" spans="1:8" ht="42.75" customHeight="1" x14ac:dyDescent="0.25">
      <c r="A337" s="146" t="s">
        <v>79</v>
      </c>
      <c r="B337" s="147"/>
      <c r="C337" s="147"/>
      <c r="D337" s="147"/>
      <c r="E337" s="147"/>
      <c r="F337" s="147"/>
      <c r="G337" s="147"/>
      <c r="H337" s="148"/>
    </row>
    <row r="338" spans="1:8" ht="20.25" x14ac:dyDescent="0.25">
      <c r="A338" s="146" t="s">
        <v>80</v>
      </c>
      <c r="B338" s="147"/>
      <c r="C338" s="147"/>
      <c r="D338" s="147"/>
      <c r="E338" s="147"/>
      <c r="F338" s="147"/>
      <c r="G338" s="147"/>
      <c r="H338" s="148"/>
    </row>
    <row r="339" spans="1:8" ht="20.25" x14ac:dyDescent="0.25">
      <c r="A339" s="146" t="s">
        <v>81</v>
      </c>
      <c r="B339" s="147"/>
      <c r="C339" s="147"/>
      <c r="D339" s="147"/>
      <c r="E339" s="147"/>
      <c r="F339" s="147"/>
      <c r="G339" s="147"/>
      <c r="H339" s="148"/>
    </row>
    <row r="340" spans="1:8" ht="45" customHeight="1" x14ac:dyDescent="0.25">
      <c r="A340" s="146" t="s">
        <v>82</v>
      </c>
      <c r="B340" s="147"/>
      <c r="C340" s="147"/>
      <c r="D340" s="147"/>
      <c r="E340" s="147"/>
      <c r="F340" s="147"/>
      <c r="G340" s="147"/>
      <c r="H340" s="148"/>
    </row>
    <row r="341" spans="1:8" ht="45" customHeight="1" x14ac:dyDescent="0.25">
      <c r="A341" s="146" t="s">
        <v>83</v>
      </c>
      <c r="B341" s="147"/>
      <c r="C341" s="147"/>
      <c r="D341" s="147"/>
      <c r="E341" s="147"/>
      <c r="F341" s="147"/>
      <c r="G341" s="147"/>
      <c r="H341" s="148"/>
    </row>
    <row r="342" spans="1:8" ht="20.25" x14ac:dyDescent="0.25">
      <c r="A342" s="149" t="s">
        <v>84</v>
      </c>
      <c r="B342" s="150"/>
      <c r="C342" s="150"/>
      <c r="D342" s="150"/>
      <c r="E342" s="150"/>
      <c r="F342" s="150"/>
      <c r="G342" s="150"/>
      <c r="H342" s="151"/>
    </row>
    <row r="343" spans="1:8" ht="90.75" customHeight="1" x14ac:dyDescent="0.25">
      <c r="A343" s="153" t="s">
        <v>30</v>
      </c>
      <c r="B343" s="154"/>
      <c r="C343" s="155" t="s">
        <v>346</v>
      </c>
      <c r="D343" s="156"/>
      <c r="E343" s="153" t="s">
        <v>9</v>
      </c>
      <c r="F343" s="154"/>
      <c r="G343" s="138"/>
      <c r="H343" s="138"/>
    </row>
  </sheetData>
  <mergeCells count="330">
    <mergeCell ref="A192:H192"/>
    <mergeCell ref="A187:H187"/>
    <mergeCell ref="A108:F108"/>
    <mergeCell ref="A131:H131"/>
    <mergeCell ref="A152:H152"/>
    <mergeCell ref="A157:H157"/>
    <mergeCell ref="A142:H142"/>
    <mergeCell ref="A147:H147"/>
    <mergeCell ref="A130:H130"/>
    <mergeCell ref="E121:F121"/>
    <mergeCell ref="A118:B118"/>
    <mergeCell ref="A119:B119"/>
    <mergeCell ref="A120:B120"/>
    <mergeCell ref="C118:D118"/>
    <mergeCell ref="A121:B121"/>
    <mergeCell ref="C119:D119"/>
    <mergeCell ref="A109:H109"/>
    <mergeCell ref="G110:H110"/>
    <mergeCell ref="A111:B111"/>
    <mergeCell ref="C120:D120"/>
    <mergeCell ref="A122:H122"/>
    <mergeCell ref="G96:H107"/>
    <mergeCell ref="A97:B97"/>
    <mergeCell ref="A98:B98"/>
    <mergeCell ref="A99:B99"/>
    <mergeCell ref="A100:B100"/>
    <mergeCell ref="A101:B101"/>
    <mergeCell ref="A102:B102"/>
    <mergeCell ref="A103:B103"/>
    <mergeCell ref="A182:H182"/>
    <mergeCell ref="A177:H177"/>
    <mergeCell ref="A172:H172"/>
    <mergeCell ref="A132:H132"/>
    <mergeCell ref="A137:H137"/>
    <mergeCell ref="A124:B125"/>
    <mergeCell ref="A110:B110"/>
    <mergeCell ref="C110:D110"/>
    <mergeCell ref="C111:D111"/>
    <mergeCell ref="C112:D112"/>
    <mergeCell ref="E112:F112"/>
    <mergeCell ref="A114:F114"/>
    <mergeCell ref="A115:F115"/>
    <mergeCell ref="A116:F116"/>
    <mergeCell ref="A48:B48"/>
    <mergeCell ref="A50:B50"/>
    <mergeCell ref="A54:B54"/>
    <mergeCell ref="A55:B55"/>
    <mergeCell ref="A49:B49"/>
    <mergeCell ref="A64:B64"/>
    <mergeCell ref="A70:B70"/>
    <mergeCell ref="A93:C94"/>
    <mergeCell ref="C57:F57"/>
    <mergeCell ref="A56:B57"/>
    <mergeCell ref="C55:F55"/>
    <mergeCell ref="J38:K38"/>
    <mergeCell ref="M38:N38"/>
    <mergeCell ref="C38:E38"/>
    <mergeCell ref="F38:H38"/>
    <mergeCell ref="C39:E39"/>
    <mergeCell ref="F39:H39"/>
    <mergeCell ref="F40:H40"/>
    <mergeCell ref="C40:E40"/>
    <mergeCell ref="G46:H46"/>
    <mergeCell ref="C48:H48"/>
    <mergeCell ref="C49:F49"/>
    <mergeCell ref="C50:F50"/>
    <mergeCell ref="C54:F54"/>
    <mergeCell ref="A41:B41"/>
    <mergeCell ref="C41:E41"/>
    <mergeCell ref="F41:H41"/>
    <mergeCell ref="A39:B39"/>
    <mergeCell ref="A40:B4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E31:F31"/>
    <mergeCell ref="C28:D28"/>
    <mergeCell ref="C29:D29"/>
    <mergeCell ref="C30:D30"/>
    <mergeCell ref="C31:D31"/>
    <mergeCell ref="C32:H32"/>
    <mergeCell ref="A28:B28"/>
    <mergeCell ref="A29:B29"/>
    <mergeCell ref="A30:B30"/>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G14:H14"/>
    <mergeCell ref="G16:H16"/>
    <mergeCell ref="G17:H17"/>
    <mergeCell ref="G15:H15"/>
    <mergeCell ref="G18:H18"/>
    <mergeCell ref="G19:H19"/>
    <mergeCell ref="A13:H13"/>
    <mergeCell ref="C18:D18"/>
    <mergeCell ref="C19:D19"/>
    <mergeCell ref="C20:D20"/>
    <mergeCell ref="C21:D21"/>
    <mergeCell ref="C22:D22"/>
    <mergeCell ref="G22:H22"/>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B203:H203"/>
    <mergeCell ref="A197:H197"/>
    <mergeCell ref="A65:B65"/>
    <mergeCell ref="C27:D27"/>
    <mergeCell ref="A72:B72"/>
    <mergeCell ref="A73:B73"/>
    <mergeCell ref="A74:B74"/>
    <mergeCell ref="A75:B75"/>
    <mergeCell ref="A66:B66"/>
    <mergeCell ref="A67:B67"/>
    <mergeCell ref="A69:B69"/>
    <mergeCell ref="A58:B59"/>
    <mergeCell ref="C59:H59"/>
    <mergeCell ref="A51:B53"/>
    <mergeCell ref="C53:H53"/>
    <mergeCell ref="C51:F52"/>
    <mergeCell ref="E80:F91"/>
    <mergeCell ref="G80:H91"/>
    <mergeCell ref="A81:B81"/>
    <mergeCell ref="A82:B82"/>
    <mergeCell ref="A83:B83"/>
    <mergeCell ref="A84:B84"/>
    <mergeCell ref="A85:B85"/>
    <mergeCell ref="A86:B86"/>
    <mergeCell ref="B199:H199"/>
    <mergeCell ref="B198:H198"/>
    <mergeCell ref="B202:H202"/>
    <mergeCell ref="B201:H201"/>
    <mergeCell ref="B200:H200"/>
    <mergeCell ref="E126:F126"/>
    <mergeCell ref="E124:F124"/>
    <mergeCell ref="C123:D123"/>
    <mergeCell ref="E125:F125"/>
    <mergeCell ref="B140:H141"/>
    <mergeCell ref="B145:H146"/>
    <mergeCell ref="B150:H151"/>
    <mergeCell ref="B155:H156"/>
    <mergeCell ref="B160:H160"/>
    <mergeCell ref="B161:H161"/>
    <mergeCell ref="A162:H162"/>
    <mergeCell ref="A167:H167"/>
    <mergeCell ref="A128:H128"/>
    <mergeCell ref="E127:F127"/>
    <mergeCell ref="A127:B127"/>
    <mergeCell ref="G127:H127"/>
    <mergeCell ref="A123:B123"/>
    <mergeCell ref="E123:F123"/>
    <mergeCell ref="C124:D124"/>
    <mergeCell ref="G36:H36"/>
    <mergeCell ref="G35:H35"/>
    <mergeCell ref="G343:H343"/>
    <mergeCell ref="A204:H204"/>
    <mergeCell ref="D206:H206"/>
    <mergeCell ref="A334:H334"/>
    <mergeCell ref="A340:H340"/>
    <mergeCell ref="A341:H341"/>
    <mergeCell ref="A342:H342"/>
    <mergeCell ref="A335:H335"/>
    <mergeCell ref="A336:H336"/>
    <mergeCell ref="A337:H337"/>
    <mergeCell ref="A338:H338"/>
    <mergeCell ref="A206:C206"/>
    <mergeCell ref="A333:H333"/>
    <mergeCell ref="A339:H339"/>
    <mergeCell ref="A302:H302"/>
    <mergeCell ref="D205:H205"/>
    <mergeCell ref="A207:C207"/>
    <mergeCell ref="D207:H207"/>
    <mergeCell ref="A252:H252"/>
    <mergeCell ref="E343:F343"/>
    <mergeCell ref="A343:B343"/>
    <mergeCell ref="C343:D343"/>
    <mergeCell ref="A1:H1"/>
    <mergeCell ref="A205:C205"/>
    <mergeCell ref="G27:H27"/>
    <mergeCell ref="G28:H28"/>
    <mergeCell ref="A37:H37"/>
    <mergeCell ref="A44:H44"/>
    <mergeCell ref="A47:H47"/>
    <mergeCell ref="A117:H117"/>
    <mergeCell ref="G115:H115"/>
    <mergeCell ref="G7:H7"/>
    <mergeCell ref="G45:H45"/>
    <mergeCell ref="A25:H25"/>
    <mergeCell ref="G26:H26"/>
    <mergeCell ref="G20:H20"/>
    <mergeCell ref="G21:H21"/>
    <mergeCell ref="A9:A11"/>
    <mergeCell ref="G6:H6"/>
    <mergeCell ref="A5:H5"/>
    <mergeCell ref="A33:H33"/>
    <mergeCell ref="G30:H30"/>
    <mergeCell ref="G29:H29"/>
    <mergeCell ref="G31:H31"/>
    <mergeCell ref="C26:D26"/>
    <mergeCell ref="G114:H114"/>
    <mergeCell ref="C127:D127"/>
    <mergeCell ref="A76:H76"/>
    <mergeCell ref="A77:C78"/>
    <mergeCell ref="E77:F77"/>
    <mergeCell ref="G108:H108"/>
    <mergeCell ref="G118:H118"/>
    <mergeCell ref="G119:H119"/>
    <mergeCell ref="G120:H120"/>
    <mergeCell ref="G121:H121"/>
    <mergeCell ref="C121:D121"/>
    <mergeCell ref="G123:H123"/>
    <mergeCell ref="G124:H124"/>
    <mergeCell ref="G125:H125"/>
    <mergeCell ref="A126:B126"/>
    <mergeCell ref="G126:H126"/>
    <mergeCell ref="C125:D125"/>
    <mergeCell ref="C126:D126"/>
    <mergeCell ref="E118:F118"/>
    <mergeCell ref="E119:F119"/>
    <mergeCell ref="E120:F120"/>
    <mergeCell ref="E93:F93"/>
    <mergeCell ref="E94:F94"/>
    <mergeCell ref="G112:H112"/>
    <mergeCell ref="A92:H92"/>
    <mergeCell ref="G116:H116"/>
    <mergeCell ref="A113:H113"/>
    <mergeCell ref="E110:F110"/>
    <mergeCell ref="A112:B112"/>
    <mergeCell ref="E111:F111"/>
    <mergeCell ref="G111:H111"/>
    <mergeCell ref="E64:F75"/>
    <mergeCell ref="A95:B95"/>
    <mergeCell ref="E78:F78"/>
    <mergeCell ref="A79:B79"/>
    <mergeCell ref="E79:F79"/>
    <mergeCell ref="A80:B80"/>
    <mergeCell ref="A87:B87"/>
    <mergeCell ref="A88:B88"/>
    <mergeCell ref="A89:B89"/>
    <mergeCell ref="A90:B90"/>
    <mergeCell ref="A91:B91"/>
    <mergeCell ref="A104:B104"/>
    <mergeCell ref="A105:B105"/>
    <mergeCell ref="A106:B106"/>
    <mergeCell ref="A107:B107"/>
    <mergeCell ref="E95:F95"/>
    <mergeCell ref="A96:B96"/>
    <mergeCell ref="E96:F107"/>
    <mergeCell ref="C24:H24"/>
    <mergeCell ref="C23:H23"/>
    <mergeCell ref="A68:B68"/>
    <mergeCell ref="A71:B71"/>
    <mergeCell ref="C56:F56"/>
    <mergeCell ref="C58:F58"/>
    <mergeCell ref="A60:H60"/>
    <mergeCell ref="A63:B63"/>
    <mergeCell ref="E63:F63"/>
    <mergeCell ref="E61:F61"/>
    <mergeCell ref="E62:F62"/>
    <mergeCell ref="A61:C62"/>
    <mergeCell ref="A31:B31"/>
    <mergeCell ref="A32:B32"/>
    <mergeCell ref="E26:F26"/>
    <mergeCell ref="E27:F27"/>
    <mergeCell ref="E28:F28"/>
    <mergeCell ref="E29:F29"/>
    <mergeCell ref="E30:F30"/>
    <mergeCell ref="A45:B45"/>
    <mergeCell ref="A46:B46"/>
    <mergeCell ref="D46:F46"/>
    <mergeCell ref="D45:F45"/>
    <mergeCell ref="G64:H75"/>
  </mergeCells>
  <dataValidations disablePrompts="1"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112">
      <formula1>"300000,350000,400000,500000,600000,700000,800000,900000,1000000,1200000,1400000,1500000,1600000"</formula1>
    </dataValidation>
    <dataValidation type="list" allowBlank="1" showInputMessage="1" showErrorMessage="1" sqref="F129">
      <formula1>"Fungible area,Deck Area,Chajja Area,Cornice Area,AP Area,WS Area"</formula1>
    </dataValidation>
    <dataValidation type="list" allowBlank="1" showInputMessage="1" showErrorMessage="1" sqref="C27:D27">
      <formula1>"Bitumen,Concrete"</formula1>
    </dataValidation>
    <dataValidation type="list" allowBlank="1" showInputMessage="1" showErrorMessage="1" sqref="C48:H48 G35:H35">
      <formula1>"Yes,No"</formula1>
    </dataValidation>
    <dataValidation type="list" allowBlank="1" showInputMessage="1" showErrorMessage="1" sqref="C129">
      <formula1>"Sale /         Rehab /           PAP,Sale / Mhada,Sale / Landowner"</formula1>
    </dataValidation>
  </dataValidations>
  <hyperlinks>
    <hyperlink ref="C23" r:id="rId1"/>
    <hyperlink ref="I75" r:id="rId2"/>
    <hyperlink ref="I24" r:id="rId3" location="showModal"/>
  </hyperlinks>
  <printOptions horizontalCentered="1"/>
  <pageMargins left="0.27559055118110237" right="0.27559055118110237" top="0.70866141732283472" bottom="0.47244094488188981" header="0.15748031496062992" footer="0.15748031496062992"/>
  <pageSetup paperSize="9" scale="69" fitToHeight="0" orientation="portrait" r:id="rId4"/>
  <headerFooter>
    <oddHeader>&amp;C&amp;25&amp;G</oddHeader>
    <oddFooter>&amp;L&amp;"Times New Roman,Bold"&amp;16Ref No: &amp;F&amp;R&amp;"Times New Roman,Bold"&amp;16&amp;P</oddFooter>
  </headerFooter>
  <rowBreaks count="6" manualBreakCount="6">
    <brk id="59" max="7" man="1"/>
    <brk id="136" max="7" man="1"/>
    <brk id="191" max="7" man="1"/>
    <brk id="203" max="8" man="1"/>
    <brk id="251" max="16383" man="1"/>
    <brk id="301"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9" t="s">
        <v>67</v>
      </c>
      <c r="B3" s="119"/>
      <c r="C3" s="119"/>
      <c r="D3" s="119"/>
      <c r="E3" s="119"/>
      <c r="F3" s="119"/>
      <c r="G3" s="119"/>
      <c r="H3" s="119"/>
      <c r="I3" s="119"/>
    </row>
    <row r="4" spans="1:11" s="1" customFormat="1" ht="20.25" customHeight="1" x14ac:dyDescent="0.3">
      <c r="A4" s="213">
        <v>1</v>
      </c>
      <c r="B4" s="213"/>
      <c r="C4" s="213"/>
      <c r="D4" s="214" t="s">
        <v>4</v>
      </c>
      <c r="E4" s="28" t="s">
        <v>114</v>
      </c>
      <c r="F4" s="100" t="s">
        <v>101</v>
      </c>
      <c r="G4" s="100"/>
      <c r="H4" s="28" t="s">
        <v>115</v>
      </c>
      <c r="I4" s="28" t="s">
        <v>116</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213"/>
      <c r="B5" s="213"/>
      <c r="C5" s="213"/>
      <c r="D5" s="214"/>
      <c r="E5" s="28">
        <v>3</v>
      </c>
      <c r="F5" s="100">
        <v>1</v>
      </c>
      <c r="G5" s="100"/>
      <c r="H5" s="28">
        <v>0</v>
      </c>
      <c r="I5" s="28">
        <f ca="1">--TRIM(RIGHT(SUBSTITUTE(LEFT(A4,_xlfn.AGGREGATE(16,6,FIND({0,1,2,3,4,5,6,7,8,9},A4,ROW(INDIRECT("1:"&amp;LEN(A4)))),1))," ",REPT(" ",LEN(A4))),LEN(A4)))</f>
        <v>1</v>
      </c>
      <c r="J5" s="16" t="s">
        <v>120</v>
      </c>
      <c r="K5" s="17"/>
    </row>
    <row r="6" spans="1:11" s="1" customFormat="1" ht="20.25" customHeight="1" x14ac:dyDescent="0.3">
      <c r="A6" s="99" t="s">
        <v>118</v>
      </c>
      <c r="B6" s="99"/>
      <c r="C6" s="99" t="s">
        <v>128</v>
      </c>
      <c r="D6" s="99"/>
      <c r="E6" s="26" t="s">
        <v>129</v>
      </c>
      <c r="F6" s="99" t="s">
        <v>119</v>
      </c>
      <c r="G6" s="99"/>
      <c r="H6" s="27" t="s">
        <v>117</v>
      </c>
      <c r="I6" s="27"/>
      <c r="J6" s="19" t="s">
        <v>130</v>
      </c>
      <c r="K6" s="18">
        <f ca="1">I5*25%</f>
        <v>0.25</v>
      </c>
    </row>
    <row r="7" spans="1:11" s="1" customFormat="1" ht="20.25" customHeight="1" x14ac:dyDescent="0.3">
      <c r="A7" s="97" t="s">
        <v>131</v>
      </c>
      <c r="B7" s="97"/>
      <c r="C7" s="100">
        <f ca="1">K8</f>
        <v>1</v>
      </c>
      <c r="D7" s="100"/>
      <c r="E7" s="5">
        <f ca="1">((100/I5)*C7)/100</f>
        <v>1</v>
      </c>
      <c r="F7" s="97">
        <f ca="1">(((C7/I5*5)+(C8/I5*20)+(25/(F5+H5+I5)*C9)+(5/(I5)*C10)+(2.5/(I5)*C11)+(2.5/(I5)*C12)+(5/I5*C13)+(10/I5*C14)+(2.5/I5*C15)+(2.5/I5*C16)+(10/I5*C17)+(10/I5*C18))/100)</f>
        <v>0.25</v>
      </c>
      <c r="G7" s="97"/>
      <c r="H7" s="97" t="str">
        <f ca="1">J4</f>
        <v>Excavation work Completed. Plinth work completed</v>
      </c>
      <c r="I7" s="97"/>
      <c r="J7" s="19" t="s">
        <v>121</v>
      </c>
      <c r="K7" s="22">
        <f ca="1">I5*50%</f>
        <v>0.5</v>
      </c>
    </row>
    <row r="8" spans="1:11" s="1" customFormat="1" ht="20.25" x14ac:dyDescent="0.3">
      <c r="A8" s="97" t="s">
        <v>102</v>
      </c>
      <c r="B8" s="97"/>
      <c r="C8" s="212">
        <f ca="1">K16</f>
        <v>1</v>
      </c>
      <c r="D8" s="100"/>
      <c r="E8" s="5">
        <f ca="1">((100/I5)*C8)/100</f>
        <v>1</v>
      </c>
      <c r="F8" s="97"/>
      <c r="G8" s="97"/>
      <c r="H8" s="97"/>
      <c r="I8" s="97"/>
      <c r="J8" s="19" t="s">
        <v>122</v>
      </c>
      <c r="K8" s="22">
        <f ca="1">I5</f>
        <v>1</v>
      </c>
    </row>
    <row r="9" spans="1:11" s="1" customFormat="1" ht="21" customHeight="1" x14ac:dyDescent="0.35">
      <c r="A9" s="97" t="s">
        <v>132</v>
      </c>
      <c r="B9" s="97"/>
      <c r="C9" s="100">
        <v>0</v>
      </c>
      <c r="D9" s="100"/>
      <c r="E9" s="5">
        <f ca="1">((100/(F5+H5+I5))*C9)/100</f>
        <v>0</v>
      </c>
      <c r="F9" s="97"/>
      <c r="G9" s="97"/>
      <c r="H9" s="97"/>
      <c r="I9" s="97"/>
      <c r="J9" s="19" t="s">
        <v>123</v>
      </c>
      <c r="K9" s="23">
        <f ca="1">(IF(E5&gt;1,(I5/(E5+2)),I5*0.2))</f>
        <v>0.2</v>
      </c>
    </row>
    <row r="10" spans="1:11" s="1" customFormat="1" ht="21" customHeight="1" x14ac:dyDescent="0.35">
      <c r="A10" s="97" t="s">
        <v>133</v>
      </c>
      <c r="B10" s="97"/>
      <c r="C10" s="100">
        <v>0</v>
      </c>
      <c r="D10" s="100"/>
      <c r="E10" s="5">
        <f ca="1">((100/I5)*C10)/100</f>
        <v>0</v>
      </c>
      <c r="F10" s="97"/>
      <c r="G10" s="97"/>
      <c r="H10" s="97"/>
      <c r="I10" s="97"/>
      <c r="J10" s="19" t="s">
        <v>124</v>
      </c>
      <c r="K10" s="23">
        <f ca="1">(IF(E5&gt;1,(I5/(E5+2)+K9),I5*0.2+K9))</f>
        <v>0.4</v>
      </c>
    </row>
    <row r="11" spans="1:11" s="1" customFormat="1" ht="21" customHeight="1" x14ac:dyDescent="0.35">
      <c r="A11" s="95" t="s">
        <v>134</v>
      </c>
      <c r="B11" s="96"/>
      <c r="C11" s="100">
        <v>0</v>
      </c>
      <c r="D11" s="100"/>
      <c r="E11" s="5">
        <f ca="1">((100/I5)*C11)/100</f>
        <v>0</v>
      </c>
      <c r="F11" s="97"/>
      <c r="G11" s="97"/>
      <c r="H11" s="97"/>
      <c r="I11" s="97"/>
      <c r="J11" s="19" t="s">
        <v>135</v>
      </c>
      <c r="K11" s="23">
        <f ca="1">(IF(E5&gt;1,(I5/(E5+2)+K10),0))</f>
        <v>0.60000000000000009</v>
      </c>
    </row>
    <row r="12" spans="1:11" s="1" customFormat="1" ht="21" customHeight="1" x14ac:dyDescent="0.35">
      <c r="A12" s="95" t="s">
        <v>165</v>
      </c>
      <c r="B12" s="96"/>
      <c r="C12" s="100">
        <v>0</v>
      </c>
      <c r="D12" s="100"/>
      <c r="E12" s="5">
        <f ca="1">((100/I5)*C12)/100</f>
        <v>0</v>
      </c>
      <c r="F12" s="97"/>
      <c r="G12" s="97"/>
      <c r="H12" s="97"/>
      <c r="I12" s="97"/>
      <c r="J12" s="19" t="s">
        <v>136</v>
      </c>
      <c r="K12" s="23">
        <f ca="1">(IF(E5&gt;2,(I5/(E5+2)+K11),0))</f>
        <v>0.8</v>
      </c>
    </row>
    <row r="13" spans="1:11" s="1" customFormat="1" ht="57.75" customHeight="1" x14ac:dyDescent="0.35">
      <c r="A13" s="95" t="s">
        <v>162</v>
      </c>
      <c r="B13" s="96"/>
      <c r="C13" s="100">
        <v>0</v>
      </c>
      <c r="D13" s="100"/>
      <c r="E13" s="5">
        <f ca="1">((100/(I5))*C13)/100</f>
        <v>0</v>
      </c>
      <c r="F13" s="97"/>
      <c r="G13" s="97"/>
      <c r="H13" s="97"/>
      <c r="I13" s="97"/>
      <c r="J13" s="19" t="s">
        <v>138</v>
      </c>
      <c r="K13" s="24">
        <f>(IF(E5&gt;3,(I5/(E5+2)+K12),0))</f>
        <v>0</v>
      </c>
    </row>
    <row r="14" spans="1:11" s="1" customFormat="1" ht="21" x14ac:dyDescent="0.35">
      <c r="A14" s="97" t="s">
        <v>137</v>
      </c>
      <c r="B14" s="97"/>
      <c r="C14" s="100">
        <v>0</v>
      </c>
      <c r="D14" s="100"/>
      <c r="E14" s="5">
        <f ca="1">((100/(I5))*C14)/100</f>
        <v>0</v>
      </c>
      <c r="F14" s="97"/>
      <c r="G14" s="97"/>
      <c r="H14" s="97"/>
      <c r="I14" s="97"/>
      <c r="J14" s="19" t="s">
        <v>139</v>
      </c>
      <c r="K14" s="23">
        <f>(IF(E5&gt;4,(I5/(E5+2)+K13),0))</f>
        <v>0</v>
      </c>
    </row>
    <row r="15" spans="1:11" s="1" customFormat="1" ht="21" customHeight="1" x14ac:dyDescent="0.35">
      <c r="A15" s="97" t="s">
        <v>164</v>
      </c>
      <c r="B15" s="97"/>
      <c r="C15" s="100">
        <v>0</v>
      </c>
      <c r="D15" s="100"/>
      <c r="E15" s="5">
        <f ca="1">((100/I5)*C15)/100</f>
        <v>0</v>
      </c>
      <c r="F15" s="97"/>
      <c r="G15" s="97"/>
      <c r="H15" s="97"/>
      <c r="I15" s="97"/>
      <c r="J15" s="19" t="s">
        <v>125</v>
      </c>
      <c r="K15" s="23">
        <f>(IF(E5=1,(I5/(E5+3)+K10),IF(E5=0,(I5*0.3+K10),IF(E5&gt;1,0))))</f>
        <v>0</v>
      </c>
    </row>
    <row r="16" spans="1:11" s="1" customFormat="1" ht="21.75" thickBot="1" x14ac:dyDescent="0.4">
      <c r="A16" s="97" t="s">
        <v>163</v>
      </c>
      <c r="B16" s="97"/>
      <c r="C16" s="100">
        <v>0</v>
      </c>
      <c r="D16" s="100"/>
      <c r="E16" s="5">
        <f ca="1">((100/I5)*C16)/100</f>
        <v>0</v>
      </c>
      <c r="F16" s="97"/>
      <c r="G16" s="97"/>
      <c r="H16" s="97"/>
      <c r="I16" s="97"/>
      <c r="J16" s="21" t="s">
        <v>126</v>
      </c>
      <c r="K16" s="25">
        <f ca="1">(IF(E5&gt;1.5,(I5/(E5+2)+K10+MAX(0,K11-K10)+MAX(0,K12-K11)+MAX(0,K13-K12)+MAX(0,K14-K13)+MAX(0,K15-K14)),IF(E5=1,(I5/(E5+3)+K15),IF(E5=0,I5*0.3+K15))))</f>
        <v>1</v>
      </c>
    </row>
    <row r="17" spans="1:9" s="1" customFormat="1" ht="20.25" x14ac:dyDescent="0.25">
      <c r="A17" s="97" t="s">
        <v>140</v>
      </c>
      <c r="B17" s="97"/>
      <c r="C17" s="100">
        <v>0</v>
      </c>
      <c r="D17" s="100"/>
      <c r="E17" s="5">
        <f ca="1">((100/(I5))*C17)/100</f>
        <v>0</v>
      </c>
      <c r="F17" s="97"/>
      <c r="G17" s="97"/>
      <c r="H17" s="97"/>
      <c r="I17" s="97"/>
    </row>
    <row r="18" spans="1:9" s="1" customFormat="1" ht="20.25" x14ac:dyDescent="0.25">
      <c r="A18" s="97" t="s">
        <v>141</v>
      </c>
      <c r="B18" s="97"/>
      <c r="C18" s="100">
        <v>0</v>
      </c>
      <c r="D18" s="100"/>
      <c r="E18" s="5">
        <f ca="1">((100/(I5))*C18)/100</f>
        <v>0</v>
      </c>
      <c r="F18" s="97"/>
      <c r="G18" s="97"/>
      <c r="H18" s="97"/>
      <c r="I18" s="97"/>
    </row>
    <row r="23" spans="1:9" x14ac:dyDescent="0.25">
      <c r="B23" s="211" t="s">
        <v>166</v>
      </c>
      <c r="C23" s="211"/>
      <c r="D23" s="211"/>
      <c r="E23" s="211"/>
      <c r="F23" s="211"/>
      <c r="G23" s="211"/>
    </row>
    <row r="24" spans="1:9" ht="14.45" customHeight="1" x14ac:dyDescent="0.25">
      <c r="B24" s="206" t="s">
        <v>167</v>
      </c>
      <c r="C24" s="206" t="s">
        <v>168</v>
      </c>
      <c r="D24" s="209" t="s">
        <v>169</v>
      </c>
      <c r="E24" s="210" t="s">
        <v>170</v>
      </c>
      <c r="F24" s="207" t="s">
        <v>171</v>
      </c>
      <c r="G24" s="206" t="s">
        <v>172</v>
      </c>
    </row>
    <row r="25" spans="1:9" x14ac:dyDescent="0.25">
      <c r="B25" s="206"/>
      <c r="C25" s="206"/>
      <c r="D25" s="209"/>
      <c r="E25" s="210"/>
      <c r="F25" s="207"/>
      <c r="G25" s="206"/>
    </row>
    <row r="26" spans="1:9" x14ac:dyDescent="0.25">
      <c r="B26" s="34" t="s">
        <v>173</v>
      </c>
      <c r="C26" s="35">
        <v>10</v>
      </c>
      <c r="D26" s="35">
        <v>1</v>
      </c>
      <c r="E26" s="36"/>
      <c r="F26" s="37">
        <f>((E26/D26)*0.05)*100</f>
        <v>0</v>
      </c>
      <c r="G26" s="37">
        <f t="shared" ref="G26:G37" si="0">((E26/D26)*(C26/100))*100</f>
        <v>0</v>
      </c>
    </row>
    <row r="27" spans="1:9" x14ac:dyDescent="0.25">
      <c r="B27" s="34" t="s">
        <v>174</v>
      </c>
      <c r="C27" s="36">
        <v>10</v>
      </c>
      <c r="D27" s="36">
        <v>1</v>
      </c>
      <c r="E27" s="36"/>
      <c r="F27" s="37">
        <f>((E27/D27)*0.05)*100</f>
        <v>0</v>
      </c>
      <c r="G27" s="37">
        <f t="shared" si="0"/>
        <v>0</v>
      </c>
    </row>
    <row r="28" spans="1:9" x14ac:dyDescent="0.25">
      <c r="B28" s="34" t="s">
        <v>175</v>
      </c>
      <c r="C28" s="36">
        <v>15</v>
      </c>
      <c r="D28" s="36">
        <v>1</v>
      </c>
      <c r="E28" s="36"/>
      <c r="F28" s="37">
        <f>((E28/D28)*0.15)*100</f>
        <v>0</v>
      </c>
      <c r="G28" s="37">
        <f t="shared" si="0"/>
        <v>0</v>
      </c>
    </row>
    <row r="29" spans="1:9" x14ac:dyDescent="0.25">
      <c r="B29" s="38" t="s">
        <v>176</v>
      </c>
      <c r="C29" s="36">
        <v>25</v>
      </c>
      <c r="D29" s="36">
        <v>40</v>
      </c>
      <c r="E29" s="36"/>
      <c r="F29" s="37">
        <f>((E29/D29)*0.25)*100</f>
        <v>0</v>
      </c>
      <c r="G29" s="37">
        <f t="shared" si="0"/>
        <v>0</v>
      </c>
    </row>
    <row r="30" spans="1:9" x14ac:dyDescent="0.25">
      <c r="B30" s="38" t="s">
        <v>177</v>
      </c>
      <c r="C30" s="36">
        <v>5</v>
      </c>
      <c r="D30" s="36">
        <v>39</v>
      </c>
      <c r="E30" s="36"/>
      <c r="F30" s="37">
        <f>((E30/D30)*0.05)*100</f>
        <v>0</v>
      </c>
      <c r="G30" s="37">
        <f t="shared" si="0"/>
        <v>0</v>
      </c>
    </row>
    <row r="31" spans="1:9" ht="30" x14ac:dyDescent="0.25">
      <c r="B31" s="38" t="s">
        <v>178</v>
      </c>
      <c r="C31" s="36">
        <v>2.5</v>
      </c>
      <c r="D31" s="36">
        <v>39</v>
      </c>
      <c r="E31" s="36"/>
      <c r="F31" s="37">
        <f>((E31/D31)*0.025)*100</f>
        <v>0</v>
      </c>
      <c r="G31" s="37">
        <f t="shared" si="0"/>
        <v>0</v>
      </c>
    </row>
    <row r="32" spans="1:9" ht="30" x14ac:dyDescent="0.25">
      <c r="B32" s="38" t="s">
        <v>179</v>
      </c>
      <c r="C32" s="36">
        <v>2.5</v>
      </c>
      <c r="D32" s="36">
        <v>39</v>
      </c>
      <c r="E32" s="36"/>
      <c r="F32" s="37">
        <f>((E32/D32)*0.025)*100</f>
        <v>0</v>
      </c>
      <c r="G32" s="37">
        <f t="shared" si="0"/>
        <v>0</v>
      </c>
    </row>
    <row r="33" spans="1:7" ht="45" x14ac:dyDescent="0.25">
      <c r="B33" s="39" t="s">
        <v>180</v>
      </c>
      <c r="C33" s="36">
        <v>5</v>
      </c>
      <c r="D33" s="36">
        <v>39</v>
      </c>
      <c r="E33" s="36"/>
      <c r="F33" s="37">
        <f>((E33/D33)*0.05)*100</f>
        <v>0</v>
      </c>
      <c r="G33" s="37">
        <f t="shared" si="0"/>
        <v>0</v>
      </c>
    </row>
    <row r="34" spans="1:7" ht="30" x14ac:dyDescent="0.25">
      <c r="B34" s="39" t="s">
        <v>181</v>
      </c>
      <c r="C34" s="36">
        <v>5</v>
      </c>
      <c r="D34" s="36">
        <v>39</v>
      </c>
      <c r="E34" s="36"/>
      <c r="F34" s="37">
        <f>((E34/D34)*0.1)*100</f>
        <v>0</v>
      </c>
      <c r="G34" s="37">
        <f t="shared" si="0"/>
        <v>0</v>
      </c>
    </row>
    <row r="35" spans="1:7" ht="30" x14ac:dyDescent="0.25">
      <c r="B35" s="39" t="s">
        <v>182</v>
      </c>
      <c r="C35" s="36">
        <v>5</v>
      </c>
      <c r="D35" s="36">
        <v>39</v>
      </c>
      <c r="E35" s="36"/>
      <c r="F35" s="37">
        <f>((E35/D35)*0.05)*100</f>
        <v>0</v>
      </c>
      <c r="G35" s="37">
        <f t="shared" si="0"/>
        <v>0</v>
      </c>
    </row>
    <row r="36" spans="1:7" ht="60" x14ac:dyDescent="0.25">
      <c r="B36" s="39" t="s">
        <v>183</v>
      </c>
      <c r="C36" s="36">
        <v>10</v>
      </c>
      <c r="D36" s="36">
        <v>39</v>
      </c>
      <c r="E36" s="36"/>
      <c r="F36" s="37">
        <f>((E36/D36)*0.1)*100</f>
        <v>0</v>
      </c>
      <c r="G36" s="37">
        <f t="shared" si="0"/>
        <v>0</v>
      </c>
    </row>
    <row r="37" spans="1:7" ht="45" x14ac:dyDescent="0.25">
      <c r="B37" s="39" t="s">
        <v>184</v>
      </c>
      <c r="C37" s="36">
        <v>5</v>
      </c>
      <c r="D37" s="36">
        <v>39</v>
      </c>
      <c r="E37" s="36"/>
      <c r="F37" s="37">
        <f>((E37/D37)*0.1)*100</f>
        <v>0</v>
      </c>
      <c r="G37" s="37">
        <f t="shared" si="0"/>
        <v>0</v>
      </c>
    </row>
    <row r="38" spans="1:7" ht="15.75" x14ac:dyDescent="0.25">
      <c r="B38" s="40" t="s">
        <v>185</v>
      </c>
      <c r="C38" s="41">
        <f>SUM(C26:C37)</f>
        <v>100</v>
      </c>
      <c r="D38" s="40"/>
      <c r="E38" s="40"/>
      <c r="F38" s="41">
        <f>SUM(F26:F37)</f>
        <v>0</v>
      </c>
      <c r="G38" s="41">
        <f>SUM(G26:G37)</f>
        <v>0</v>
      </c>
    </row>
    <row r="39" spans="1:7" x14ac:dyDescent="0.25">
      <c r="B39" s="207" t="s">
        <v>186</v>
      </c>
      <c r="C39" s="207"/>
      <c r="D39" s="207"/>
      <c r="E39" s="207"/>
      <c r="F39" s="207"/>
      <c r="G39" s="207"/>
    </row>
    <row r="40" spans="1:7" x14ac:dyDescent="0.25">
      <c r="B40" s="208" t="s">
        <v>187</v>
      </c>
      <c r="C40" s="208"/>
      <c r="D40" s="208"/>
      <c r="E40" s="208" t="s">
        <v>188</v>
      </c>
      <c r="F40" s="208"/>
      <c r="G40" s="208"/>
    </row>
    <row r="41" spans="1:7" x14ac:dyDescent="0.25">
      <c r="B41" s="204" t="s">
        <v>189</v>
      </c>
      <c r="C41" s="204"/>
      <c r="D41" s="204"/>
      <c r="E41" s="204" t="s">
        <v>190</v>
      </c>
      <c r="F41" s="204"/>
      <c r="G41" s="204"/>
    </row>
    <row r="42" spans="1:7" x14ac:dyDescent="0.25">
      <c r="B42" s="204" t="s">
        <v>191</v>
      </c>
      <c r="C42" s="204"/>
      <c r="D42" s="204"/>
      <c r="E42" s="204" t="s">
        <v>192</v>
      </c>
      <c r="F42" s="204"/>
      <c r="G42" s="204"/>
    </row>
    <row r="43" spans="1:7" x14ac:dyDescent="0.25">
      <c r="B43" s="205" t="s">
        <v>193</v>
      </c>
      <c r="C43" s="205"/>
      <c r="D43" s="205"/>
      <c r="E43" s="205" t="s">
        <v>194</v>
      </c>
      <c r="F43" s="205"/>
      <c r="G43" s="205"/>
    </row>
    <row r="45" spans="1:7" ht="15.75" thickBot="1" x14ac:dyDescent="0.3"/>
    <row r="46" spans="1:7" ht="17.25" thickTop="1" thickBot="1" x14ac:dyDescent="0.3">
      <c r="A46" s="42" t="s">
        <v>195</v>
      </c>
      <c r="B46" s="42" t="s">
        <v>167</v>
      </c>
      <c r="C46" s="43" t="s">
        <v>196</v>
      </c>
      <c r="D46" s="43" t="s">
        <v>197</v>
      </c>
      <c r="E46" s="43" t="s">
        <v>198</v>
      </c>
    </row>
    <row r="47" spans="1:7" ht="31.5" thickTop="1" thickBot="1" x14ac:dyDescent="0.3">
      <c r="A47" s="44">
        <v>1</v>
      </c>
      <c r="B47" s="45" t="s">
        <v>199</v>
      </c>
      <c r="C47" s="46">
        <v>0</v>
      </c>
      <c r="D47" s="47">
        <v>0.1</v>
      </c>
      <c r="E47" s="46">
        <v>0.1</v>
      </c>
    </row>
    <row r="48" spans="1:7" ht="31.5" thickTop="1" thickBot="1" x14ac:dyDescent="0.3">
      <c r="A48" s="44">
        <v>2</v>
      </c>
      <c r="B48" s="45" t="s">
        <v>200</v>
      </c>
      <c r="C48" s="46" t="s">
        <v>201</v>
      </c>
      <c r="D48" s="47" t="s">
        <v>202</v>
      </c>
      <c r="E48" s="46">
        <v>0.3</v>
      </c>
    </row>
    <row r="49" spans="1:5" ht="61.5" thickTop="1" thickBot="1" x14ac:dyDescent="0.3">
      <c r="A49" s="44">
        <v>3</v>
      </c>
      <c r="B49" s="45" t="s">
        <v>203</v>
      </c>
      <c r="C49" s="46" t="s">
        <v>204</v>
      </c>
      <c r="D49" s="47" t="s">
        <v>205</v>
      </c>
      <c r="E49" s="46">
        <v>0.45</v>
      </c>
    </row>
    <row r="50" spans="1:5" ht="76.5" thickTop="1" thickBot="1" x14ac:dyDescent="0.3">
      <c r="A50" s="44">
        <v>4</v>
      </c>
      <c r="B50" s="45" t="s">
        <v>206</v>
      </c>
      <c r="C50" s="46" t="s">
        <v>207</v>
      </c>
      <c r="D50" s="47" t="s">
        <v>208</v>
      </c>
      <c r="E50" s="46">
        <v>0.7</v>
      </c>
    </row>
    <row r="51" spans="1:5" ht="76.5" thickTop="1" thickBot="1" x14ac:dyDescent="0.3">
      <c r="A51" s="44">
        <v>5</v>
      </c>
      <c r="B51" s="45" t="s">
        <v>209</v>
      </c>
      <c r="C51" s="46" t="s">
        <v>210</v>
      </c>
      <c r="D51" s="47" t="s">
        <v>211</v>
      </c>
      <c r="E51" s="46">
        <v>0.75</v>
      </c>
    </row>
    <row r="52" spans="1:5" ht="76.5" thickTop="1" thickBot="1" x14ac:dyDescent="0.3">
      <c r="A52" s="44">
        <v>6</v>
      </c>
      <c r="B52" s="45" t="s">
        <v>212</v>
      </c>
      <c r="C52" s="46" t="s">
        <v>213</v>
      </c>
      <c r="D52" s="47" t="s">
        <v>214</v>
      </c>
      <c r="E52" s="46">
        <v>0.8</v>
      </c>
    </row>
    <row r="53" spans="1:5" ht="121.5" thickTop="1" thickBot="1" x14ac:dyDescent="0.3">
      <c r="A53" s="44">
        <v>7</v>
      </c>
      <c r="B53" s="45" t="s">
        <v>215</v>
      </c>
      <c r="C53" s="46" t="s">
        <v>216</v>
      </c>
      <c r="D53" s="47" t="s">
        <v>217</v>
      </c>
      <c r="E53" s="46">
        <v>0.85</v>
      </c>
    </row>
    <row r="54" spans="1:5" ht="211.5" thickTop="1" thickBot="1" x14ac:dyDescent="0.3">
      <c r="A54" s="44">
        <v>8</v>
      </c>
      <c r="B54" s="45" t="s">
        <v>218</v>
      </c>
      <c r="C54" s="46" t="s">
        <v>219</v>
      </c>
      <c r="D54" s="47" t="s">
        <v>220</v>
      </c>
      <c r="E54" s="46">
        <v>0.95</v>
      </c>
    </row>
    <row r="55" spans="1:5" ht="91.5" thickTop="1" thickBot="1" x14ac:dyDescent="0.3">
      <c r="A55" s="44">
        <v>9</v>
      </c>
      <c r="B55" s="45" t="s">
        <v>221</v>
      </c>
      <c r="C55" s="46" t="s">
        <v>222</v>
      </c>
      <c r="D55" s="47" t="s">
        <v>223</v>
      </c>
      <c r="E55" s="46">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6">
        <v>1</v>
      </c>
      <c r="C2" s="54" t="s">
        <v>242</v>
      </c>
    </row>
    <row r="3" spans="2:3" x14ac:dyDescent="0.25">
      <c r="B3" s="36">
        <v>2</v>
      </c>
      <c r="C3" s="55" t="s">
        <v>243</v>
      </c>
    </row>
    <row r="4" spans="2:3" x14ac:dyDescent="0.25">
      <c r="B4" s="36">
        <v>3</v>
      </c>
      <c r="C4" s="36" t="s">
        <v>244</v>
      </c>
    </row>
    <row r="5" spans="2:3" x14ac:dyDescent="0.25">
      <c r="B5" s="36">
        <v>4</v>
      </c>
      <c r="C5" s="55" t="s">
        <v>245</v>
      </c>
    </row>
    <row r="6" spans="2:3" x14ac:dyDescent="0.25">
      <c r="B6" s="36">
        <v>5</v>
      </c>
      <c r="C6" s="36" t="s">
        <v>246</v>
      </c>
    </row>
    <row r="7" spans="2:3" ht="30" x14ac:dyDescent="0.25">
      <c r="B7" s="36">
        <v>6</v>
      </c>
      <c r="C7" s="55" t="s">
        <v>247</v>
      </c>
    </row>
    <row r="8" spans="2:3" ht="75" x14ac:dyDescent="0.25">
      <c r="B8" s="36">
        <v>7</v>
      </c>
      <c r="C8" s="55" t="s">
        <v>248</v>
      </c>
    </row>
    <row r="9" spans="2:3" x14ac:dyDescent="0.25">
      <c r="B9" s="36">
        <v>8</v>
      </c>
      <c r="C9" s="36" t="s">
        <v>249</v>
      </c>
    </row>
    <row r="10" spans="2:3" x14ac:dyDescent="0.25">
      <c r="B10" s="36">
        <v>9</v>
      </c>
      <c r="C10" s="36" t="s">
        <v>250</v>
      </c>
    </row>
    <row r="11" spans="2:3" x14ac:dyDescent="0.25">
      <c r="B11" s="36">
        <v>10</v>
      </c>
      <c r="C11" s="36" t="s">
        <v>251</v>
      </c>
    </row>
    <row r="12" spans="2:3" x14ac:dyDescent="0.25">
      <c r="B12" s="36">
        <v>11</v>
      </c>
      <c r="C12" s="36" t="s">
        <v>252</v>
      </c>
    </row>
    <row r="13" spans="2:3" x14ac:dyDescent="0.25">
      <c r="B13" s="36">
        <v>12</v>
      </c>
      <c r="C13" s="36" t="s">
        <v>253</v>
      </c>
    </row>
    <row r="14" spans="2:3" x14ac:dyDescent="0.25">
      <c r="B14" s="36">
        <v>13</v>
      </c>
      <c r="C14" s="36" t="s">
        <v>254</v>
      </c>
    </row>
    <row r="15" spans="2:3" x14ac:dyDescent="0.25">
      <c r="B15" s="36">
        <v>14</v>
      </c>
      <c r="C15" s="36" t="s">
        <v>244</v>
      </c>
    </row>
    <row r="16" spans="2:3" x14ac:dyDescent="0.25">
      <c r="B16" s="36">
        <v>15</v>
      </c>
      <c r="C16" s="36" t="s">
        <v>236</v>
      </c>
    </row>
    <row r="17" spans="2:3" x14ac:dyDescent="0.25">
      <c r="B17" s="56">
        <v>16</v>
      </c>
      <c r="C17" s="57" t="s">
        <v>255</v>
      </c>
    </row>
    <row r="18" spans="2:3" x14ac:dyDescent="0.25">
      <c r="B18" s="58">
        <v>17</v>
      </c>
      <c r="C18" s="57" t="s">
        <v>256</v>
      </c>
    </row>
    <row r="19" spans="2:3" x14ac:dyDescent="0.25">
      <c r="B19" s="59">
        <v>18</v>
      </c>
      <c r="C19" s="36" t="s">
        <v>257</v>
      </c>
    </row>
    <row r="20" spans="2:3" x14ac:dyDescent="0.25">
      <c r="B20" s="58">
        <v>19</v>
      </c>
      <c r="C20" s="36" t="s">
        <v>258</v>
      </c>
    </row>
    <row r="21" spans="2:3" x14ac:dyDescent="0.25">
      <c r="B21" s="36">
        <v>20</v>
      </c>
      <c r="C21" s="36" t="s">
        <v>259</v>
      </c>
    </row>
    <row r="22" spans="2:3" x14ac:dyDescent="0.25">
      <c r="B22" s="58">
        <v>21</v>
      </c>
      <c r="C22" s="36" t="s">
        <v>257</v>
      </c>
    </row>
    <row r="23" spans="2:3" s="61" customFormat="1" ht="30" x14ac:dyDescent="0.25">
      <c r="B23" s="60">
        <v>22</v>
      </c>
      <c r="C23" s="54" t="s">
        <v>260</v>
      </c>
    </row>
    <row r="24" spans="2:3" s="61" customFormat="1" ht="30" x14ac:dyDescent="0.25">
      <c r="B24" s="62">
        <v>23</v>
      </c>
      <c r="C24" s="54" t="s">
        <v>261</v>
      </c>
    </row>
    <row r="25" spans="2:3" x14ac:dyDescent="0.25">
      <c r="B25" s="36">
        <v>24</v>
      </c>
      <c r="C25" s="36" t="s">
        <v>262</v>
      </c>
    </row>
    <row r="26" spans="2:3" x14ac:dyDescent="0.25">
      <c r="B26" s="58">
        <v>25</v>
      </c>
      <c r="C26" s="36" t="s">
        <v>263</v>
      </c>
    </row>
    <row r="27" spans="2:3" x14ac:dyDescent="0.25">
      <c r="B27" s="62">
        <v>26</v>
      </c>
      <c r="C27" s="36" t="s">
        <v>264</v>
      </c>
    </row>
    <row r="28" spans="2:3" x14ac:dyDescent="0.25">
      <c r="B28" s="58">
        <v>27</v>
      </c>
      <c r="C28" s="36" t="s">
        <v>265</v>
      </c>
    </row>
    <row r="29" spans="2:3" ht="60" x14ac:dyDescent="0.25">
      <c r="B29" s="63">
        <v>28</v>
      </c>
      <c r="C29" s="55" t="s">
        <v>266</v>
      </c>
    </row>
    <row r="30" spans="2:3" x14ac:dyDescent="0.25">
      <c r="B30" s="62">
        <v>29</v>
      </c>
      <c r="C30" s="36" t="s">
        <v>267</v>
      </c>
    </row>
    <row r="31" spans="2:3" ht="30" x14ac:dyDescent="0.25">
      <c r="B31" s="62">
        <v>30</v>
      </c>
      <c r="C31" s="55" t="s">
        <v>295</v>
      </c>
    </row>
    <row r="32" spans="2:3" x14ac:dyDescent="0.25">
      <c r="B32" s="62">
        <v>31</v>
      </c>
      <c r="C32" s="36" t="s">
        <v>296</v>
      </c>
    </row>
    <row r="33" spans="2:3" x14ac:dyDescent="0.25">
      <c r="B33" s="62">
        <v>32</v>
      </c>
      <c r="C33" s="36" t="s">
        <v>297</v>
      </c>
    </row>
    <row r="34" spans="2:3" ht="30" x14ac:dyDescent="0.25">
      <c r="B34" s="62">
        <v>33</v>
      </c>
      <c r="C34" s="57" t="s">
        <v>298</v>
      </c>
    </row>
    <row r="35" spans="2:3" x14ac:dyDescent="0.25">
      <c r="B35" s="62">
        <v>34</v>
      </c>
      <c r="C35" s="36"/>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4"/>
    <col min="2" max="2" width="12.28515625" style="64" customWidth="1"/>
    <col min="3" max="16384" width="9.140625" style="64"/>
  </cols>
  <sheetData>
    <row r="2" spans="1:12" x14ac:dyDescent="0.25">
      <c r="B2" s="65" t="s">
        <v>268</v>
      </c>
      <c r="C2" s="215"/>
      <c r="D2" s="215"/>
    </row>
    <row r="3" spans="1:12" x14ac:dyDescent="0.25">
      <c r="D3" s="66"/>
      <c r="E3" s="66"/>
      <c r="F3" s="66"/>
      <c r="G3" s="66"/>
      <c r="H3" s="66"/>
      <c r="I3" s="66"/>
    </row>
    <row r="4" spans="1:12" x14ac:dyDescent="0.25">
      <c r="A4" s="65" t="s">
        <v>269</v>
      </c>
      <c r="B4" s="53" t="s">
        <v>270</v>
      </c>
      <c r="C4" s="216" t="s">
        <v>271</v>
      </c>
      <c r="D4" s="216"/>
      <c r="E4" s="216"/>
      <c r="F4" s="53"/>
      <c r="G4" s="217" t="s">
        <v>272</v>
      </c>
      <c r="H4" s="217"/>
      <c r="I4" s="217"/>
      <c r="J4" s="218" t="s">
        <v>273</v>
      </c>
      <c r="K4" s="218"/>
      <c r="L4" s="218"/>
    </row>
    <row r="5" spans="1:12" x14ac:dyDescent="0.25">
      <c r="A5" s="65"/>
      <c r="B5" s="53"/>
      <c r="C5" s="53" t="s">
        <v>274</v>
      </c>
      <c r="D5" s="53" t="s">
        <v>275</v>
      </c>
      <c r="E5" s="53" t="s">
        <v>276</v>
      </c>
      <c r="F5" s="53"/>
      <c r="G5" s="53" t="s">
        <v>274</v>
      </c>
      <c r="H5" s="53" t="s">
        <v>275</v>
      </c>
      <c r="I5" s="53" t="s">
        <v>276</v>
      </c>
      <c r="J5" s="53" t="s">
        <v>274</v>
      </c>
      <c r="K5" s="53" t="s">
        <v>275</v>
      </c>
      <c r="L5" s="53" t="s">
        <v>276</v>
      </c>
    </row>
    <row r="6" spans="1:12" x14ac:dyDescent="0.25">
      <c r="B6" s="52" t="s">
        <v>277</v>
      </c>
      <c r="C6" s="52"/>
      <c r="D6" s="52"/>
      <c r="E6" s="52">
        <f>C6*D6</f>
        <v>0</v>
      </c>
      <c r="F6" s="52" t="s">
        <v>278</v>
      </c>
      <c r="G6" s="52"/>
      <c r="H6" s="52"/>
      <c r="I6" s="52">
        <f>G6*H6</f>
        <v>0</v>
      </c>
      <c r="J6" s="52"/>
      <c r="K6" s="52"/>
      <c r="L6" s="52">
        <f>J6*K6</f>
        <v>0</v>
      </c>
    </row>
    <row r="7" spans="1:12" x14ac:dyDescent="0.25">
      <c r="B7" s="52"/>
      <c r="C7" s="52"/>
      <c r="D7" s="52"/>
      <c r="E7" s="52">
        <f t="shared" ref="E7:E41" si="0">C7*D7</f>
        <v>0</v>
      </c>
      <c r="F7" s="52" t="s">
        <v>278</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279</v>
      </c>
      <c r="G9" s="52"/>
      <c r="H9" s="52"/>
      <c r="I9" s="52">
        <f t="shared" si="1"/>
        <v>0</v>
      </c>
      <c r="J9" s="52"/>
      <c r="K9" s="52"/>
      <c r="L9" s="52">
        <f t="shared" si="2"/>
        <v>0</v>
      </c>
    </row>
    <row r="10" spans="1:12" x14ac:dyDescent="0.25">
      <c r="B10" s="52" t="s">
        <v>280</v>
      </c>
      <c r="C10" s="52"/>
      <c r="D10" s="52"/>
      <c r="E10" s="52">
        <f t="shared" si="0"/>
        <v>0</v>
      </c>
      <c r="F10" s="52" t="s">
        <v>279</v>
      </c>
      <c r="G10" s="52"/>
      <c r="H10" s="52"/>
      <c r="I10" s="52">
        <f t="shared" si="1"/>
        <v>0</v>
      </c>
      <c r="J10" s="52"/>
      <c r="K10" s="52"/>
      <c r="L10" s="52">
        <f t="shared" si="2"/>
        <v>0</v>
      </c>
    </row>
    <row r="11" spans="1:12" x14ac:dyDescent="0.25">
      <c r="B11" s="52"/>
      <c r="C11" s="52"/>
      <c r="D11" s="52"/>
      <c r="E11" s="52">
        <f t="shared" si="0"/>
        <v>0</v>
      </c>
      <c r="F11" s="52" t="s">
        <v>281</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282</v>
      </c>
      <c r="C14" s="52"/>
      <c r="D14" s="52"/>
      <c r="E14" s="52">
        <f t="shared" si="0"/>
        <v>0</v>
      </c>
      <c r="F14" s="52" t="s">
        <v>279</v>
      </c>
      <c r="G14" s="52"/>
      <c r="H14" s="52"/>
      <c r="I14" s="52">
        <f t="shared" si="1"/>
        <v>0</v>
      </c>
      <c r="J14" s="52"/>
      <c r="K14" s="52"/>
      <c r="L14" s="52">
        <f t="shared" si="2"/>
        <v>0</v>
      </c>
    </row>
    <row r="15" spans="1:12" x14ac:dyDescent="0.25">
      <c r="B15" s="52"/>
      <c r="C15" s="52"/>
      <c r="D15" s="52"/>
      <c r="E15" s="52">
        <f t="shared" si="0"/>
        <v>0</v>
      </c>
      <c r="F15" s="52" t="s">
        <v>281</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283</v>
      </c>
      <c r="C18" s="52"/>
      <c r="D18" s="52"/>
      <c r="E18" s="52">
        <f t="shared" si="0"/>
        <v>0</v>
      </c>
      <c r="F18" s="52" t="s">
        <v>279</v>
      </c>
      <c r="G18" s="52"/>
      <c r="H18" s="52"/>
      <c r="I18" s="52">
        <f t="shared" si="1"/>
        <v>0</v>
      </c>
      <c r="J18" s="52"/>
      <c r="K18" s="52"/>
      <c r="L18" s="52">
        <f t="shared" si="2"/>
        <v>0</v>
      </c>
    </row>
    <row r="19" spans="2:12" x14ac:dyDescent="0.25">
      <c r="B19" s="52"/>
      <c r="C19" s="52"/>
      <c r="D19" s="52"/>
      <c r="E19" s="52">
        <f t="shared" si="0"/>
        <v>0</v>
      </c>
      <c r="F19" s="52" t="s">
        <v>281</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284</v>
      </c>
      <c r="C21" s="52"/>
      <c r="D21" s="52"/>
      <c r="E21" s="52">
        <f t="shared" si="0"/>
        <v>0</v>
      </c>
      <c r="F21" s="52" t="s">
        <v>279</v>
      </c>
      <c r="G21" s="52"/>
      <c r="H21" s="52"/>
      <c r="I21" s="52">
        <f t="shared" si="1"/>
        <v>0</v>
      </c>
      <c r="J21" s="52"/>
      <c r="K21" s="52"/>
      <c r="L21" s="52">
        <f t="shared" si="2"/>
        <v>0</v>
      </c>
    </row>
    <row r="22" spans="2:12" x14ac:dyDescent="0.25">
      <c r="B22" s="52"/>
      <c r="C22" s="52"/>
      <c r="D22" s="52"/>
      <c r="E22" s="52">
        <f t="shared" si="0"/>
        <v>0</v>
      </c>
      <c r="F22" s="52" t="s">
        <v>281</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285</v>
      </c>
      <c r="C24" s="52"/>
      <c r="D24" s="52"/>
      <c r="E24" s="52">
        <f t="shared" si="0"/>
        <v>0</v>
      </c>
      <c r="F24" s="52" t="s">
        <v>286</v>
      </c>
      <c r="G24" s="52"/>
      <c r="H24" s="52"/>
      <c r="I24" s="52">
        <f t="shared" si="1"/>
        <v>0</v>
      </c>
      <c r="J24" s="52"/>
      <c r="K24" s="52"/>
      <c r="L24" s="52">
        <f t="shared" si="2"/>
        <v>0</v>
      </c>
    </row>
    <row r="25" spans="2:12" x14ac:dyDescent="0.25">
      <c r="B25" s="52"/>
      <c r="C25" s="52"/>
      <c r="D25" s="52"/>
      <c r="E25" s="52">
        <f t="shared" si="0"/>
        <v>0</v>
      </c>
      <c r="F25" s="52" t="s">
        <v>286</v>
      </c>
      <c r="G25" s="52"/>
      <c r="H25" s="52"/>
      <c r="I25" s="52">
        <f t="shared" si="1"/>
        <v>0</v>
      </c>
      <c r="J25" s="52"/>
      <c r="K25" s="52"/>
      <c r="L25" s="52">
        <f t="shared" si="2"/>
        <v>0</v>
      </c>
    </row>
    <row r="26" spans="2:12" x14ac:dyDescent="0.25">
      <c r="B26" s="52"/>
      <c r="C26" s="52"/>
      <c r="D26" s="52"/>
      <c r="E26" s="52">
        <f t="shared" si="0"/>
        <v>0</v>
      </c>
      <c r="F26" s="52" t="s">
        <v>286</v>
      </c>
      <c r="G26" s="52"/>
      <c r="H26" s="52"/>
      <c r="I26" s="52">
        <f t="shared" si="1"/>
        <v>0</v>
      </c>
      <c r="J26" s="52"/>
      <c r="K26" s="52"/>
      <c r="L26" s="52">
        <f t="shared" si="2"/>
        <v>0</v>
      </c>
    </row>
    <row r="27" spans="2:12" x14ac:dyDescent="0.25">
      <c r="B27" s="52"/>
      <c r="C27" s="52"/>
      <c r="D27" s="52"/>
      <c r="E27" s="52">
        <f t="shared" si="0"/>
        <v>0</v>
      </c>
      <c r="F27" s="52" t="s">
        <v>286</v>
      </c>
      <c r="G27" s="52"/>
      <c r="H27" s="52"/>
      <c r="I27" s="52">
        <f t="shared" si="1"/>
        <v>0</v>
      </c>
      <c r="J27" s="52"/>
      <c r="K27" s="52"/>
      <c r="L27" s="52">
        <f t="shared" si="2"/>
        <v>0</v>
      </c>
    </row>
    <row r="28" spans="2:12" x14ac:dyDescent="0.25">
      <c r="B28" s="52" t="s">
        <v>287</v>
      </c>
      <c r="C28" s="52"/>
      <c r="D28" s="52"/>
      <c r="E28" s="52">
        <f t="shared" si="0"/>
        <v>0</v>
      </c>
      <c r="F28" s="52" t="s">
        <v>286</v>
      </c>
      <c r="G28" s="52"/>
      <c r="H28" s="52"/>
      <c r="I28" s="52">
        <f t="shared" si="1"/>
        <v>0</v>
      </c>
      <c r="J28" s="52"/>
      <c r="K28" s="52"/>
      <c r="L28" s="52">
        <f t="shared" si="2"/>
        <v>0</v>
      </c>
    </row>
    <row r="29" spans="2:12" x14ac:dyDescent="0.25">
      <c r="B29" s="52" t="s">
        <v>288</v>
      </c>
      <c r="C29" s="52"/>
      <c r="D29" s="52"/>
      <c r="E29" s="52">
        <f t="shared" si="0"/>
        <v>0</v>
      </c>
      <c r="F29" s="52" t="s">
        <v>286</v>
      </c>
      <c r="G29" s="52"/>
      <c r="H29" s="52"/>
      <c r="I29" s="52">
        <f t="shared" si="1"/>
        <v>0</v>
      </c>
      <c r="J29" s="52"/>
      <c r="K29" s="52"/>
      <c r="L29" s="52">
        <f t="shared" si="2"/>
        <v>0</v>
      </c>
    </row>
    <row r="30" spans="2:12" x14ac:dyDescent="0.25">
      <c r="B30" s="52" t="s">
        <v>289</v>
      </c>
      <c r="C30" s="52"/>
      <c r="D30" s="52"/>
      <c r="E30" s="52">
        <f t="shared" si="0"/>
        <v>0</v>
      </c>
      <c r="F30" s="52"/>
      <c r="G30" s="52"/>
      <c r="H30" s="52"/>
      <c r="I30" s="52">
        <f t="shared" si="1"/>
        <v>0</v>
      </c>
      <c r="J30" s="52"/>
      <c r="K30" s="52"/>
      <c r="L30" s="52">
        <f t="shared" si="2"/>
        <v>0</v>
      </c>
    </row>
    <row r="31" spans="2:12" x14ac:dyDescent="0.25">
      <c r="B31" s="52"/>
      <c r="C31" s="52"/>
      <c r="D31" s="52"/>
      <c r="E31" s="52">
        <f t="shared" si="0"/>
        <v>0</v>
      </c>
      <c r="F31" s="52"/>
      <c r="G31" s="52"/>
      <c r="H31" s="52"/>
      <c r="I31" s="52">
        <f t="shared" si="1"/>
        <v>0</v>
      </c>
      <c r="J31" s="52"/>
      <c r="K31" s="52"/>
      <c r="L31" s="52">
        <f t="shared" si="2"/>
        <v>0</v>
      </c>
    </row>
    <row r="32" spans="2:12" x14ac:dyDescent="0.25">
      <c r="B32" s="52"/>
      <c r="C32" s="52"/>
      <c r="D32" s="52"/>
      <c r="E32" s="52">
        <f t="shared" si="0"/>
        <v>0</v>
      </c>
      <c r="F32" s="52"/>
      <c r="G32" s="52"/>
      <c r="H32" s="52"/>
      <c r="I32" s="52">
        <f t="shared" si="1"/>
        <v>0</v>
      </c>
      <c r="J32" s="52"/>
      <c r="K32" s="52"/>
      <c r="L32" s="52">
        <f t="shared" si="2"/>
        <v>0</v>
      </c>
    </row>
    <row r="33" spans="2:12" x14ac:dyDescent="0.25">
      <c r="B33" s="52" t="s">
        <v>290</v>
      </c>
      <c r="C33" s="52"/>
      <c r="D33" s="52"/>
      <c r="E33" s="52">
        <f t="shared" si="0"/>
        <v>0</v>
      </c>
      <c r="F33" s="52"/>
      <c r="G33" s="52"/>
      <c r="H33" s="52"/>
      <c r="I33" s="52">
        <f t="shared" si="1"/>
        <v>0</v>
      </c>
      <c r="J33" s="52"/>
      <c r="K33" s="52"/>
      <c r="L33" s="52">
        <f t="shared" si="2"/>
        <v>0</v>
      </c>
    </row>
    <row r="34" spans="2:12" x14ac:dyDescent="0.25">
      <c r="B34" s="52" t="s">
        <v>291</v>
      </c>
      <c r="C34" s="52"/>
      <c r="D34" s="52"/>
      <c r="E34" s="52">
        <f t="shared" si="0"/>
        <v>0</v>
      </c>
      <c r="F34" s="52"/>
      <c r="G34" s="52"/>
      <c r="H34" s="52"/>
      <c r="I34" s="52">
        <f t="shared" si="1"/>
        <v>0</v>
      </c>
      <c r="J34" s="52"/>
      <c r="K34" s="52"/>
      <c r="L34" s="52">
        <f t="shared" si="2"/>
        <v>0</v>
      </c>
    </row>
    <row r="35" spans="2:12" x14ac:dyDescent="0.25">
      <c r="B35" s="52" t="s">
        <v>292</v>
      </c>
      <c r="C35" s="52"/>
      <c r="D35" s="52"/>
      <c r="E35" s="52">
        <f t="shared" si="0"/>
        <v>0</v>
      </c>
      <c r="F35" s="52"/>
      <c r="G35" s="52"/>
      <c r="H35" s="52"/>
      <c r="I35" s="52">
        <f t="shared" si="1"/>
        <v>0</v>
      </c>
      <c r="J35" s="52"/>
      <c r="K35" s="52"/>
      <c r="L35" s="52">
        <f t="shared" si="2"/>
        <v>0</v>
      </c>
    </row>
    <row r="36" spans="2:12" x14ac:dyDescent="0.25">
      <c r="B36" s="52" t="s">
        <v>293</v>
      </c>
      <c r="C36" s="52"/>
      <c r="D36" s="52"/>
      <c r="E36" s="52">
        <f t="shared" si="0"/>
        <v>0</v>
      </c>
      <c r="F36" s="52"/>
      <c r="G36" s="52"/>
      <c r="H36" s="52"/>
      <c r="I36" s="52">
        <f>G36*H36</f>
        <v>0</v>
      </c>
      <c r="J36" s="52"/>
      <c r="K36" s="52"/>
      <c r="L36" s="52">
        <f>J36*K36</f>
        <v>0</v>
      </c>
    </row>
    <row r="37" spans="2:12" x14ac:dyDescent="0.25">
      <c r="B37" s="52"/>
      <c r="C37" s="52"/>
      <c r="D37" s="52"/>
      <c r="E37" s="52">
        <f t="shared" si="0"/>
        <v>0</v>
      </c>
      <c r="F37" s="52"/>
      <c r="G37" s="52"/>
      <c r="H37" s="52"/>
      <c r="I37" s="52">
        <f t="shared" ref="I37:I38" si="3">G37*H37</f>
        <v>0</v>
      </c>
      <c r="J37" s="52"/>
      <c r="K37" s="52"/>
      <c r="L37" s="52">
        <f t="shared" ref="L37:L38" si="4">J37*K37</f>
        <v>0</v>
      </c>
    </row>
    <row r="38" spans="2:12" x14ac:dyDescent="0.25">
      <c r="B38" s="52" t="s">
        <v>294</v>
      </c>
      <c r="C38" s="52"/>
      <c r="D38" s="52"/>
      <c r="E38" s="52">
        <f t="shared" si="0"/>
        <v>0</v>
      </c>
      <c r="F38" s="52"/>
      <c r="G38" s="52"/>
      <c r="H38" s="52"/>
      <c r="I38" s="52">
        <f t="shared" si="3"/>
        <v>0</v>
      </c>
      <c r="J38" s="52"/>
      <c r="K38" s="52"/>
      <c r="L38" s="52">
        <f t="shared" si="4"/>
        <v>0</v>
      </c>
    </row>
    <row r="39" spans="2:12" x14ac:dyDescent="0.25">
      <c r="B39" s="52"/>
      <c r="C39" s="52"/>
      <c r="D39" s="52"/>
      <c r="E39" s="52">
        <f t="shared" si="0"/>
        <v>0</v>
      </c>
      <c r="F39" s="52"/>
      <c r="G39" s="52"/>
      <c r="H39" s="52"/>
      <c r="I39" s="52">
        <f>G39*H39</f>
        <v>0</v>
      </c>
      <c r="J39" s="52"/>
      <c r="K39" s="52"/>
      <c r="L39" s="52">
        <f>J39*K39</f>
        <v>0</v>
      </c>
    </row>
    <row r="40" spans="2:12" x14ac:dyDescent="0.25">
      <c r="B40" s="52"/>
      <c r="C40" s="52"/>
      <c r="D40" s="52"/>
      <c r="E40" s="52">
        <f t="shared" si="0"/>
        <v>0</v>
      </c>
      <c r="F40" s="52"/>
      <c r="G40" s="52"/>
      <c r="H40" s="52"/>
      <c r="I40" s="52">
        <f>G40*H40</f>
        <v>0</v>
      </c>
      <c r="J40" s="52"/>
      <c r="K40" s="52"/>
      <c r="L40" s="52">
        <f>J40*K40</f>
        <v>0</v>
      </c>
    </row>
    <row r="41" spans="2:12" x14ac:dyDescent="0.25">
      <c r="B41" s="52"/>
      <c r="C41" s="52"/>
      <c r="D41" s="52"/>
      <c r="E41" s="52">
        <f t="shared" si="0"/>
        <v>0</v>
      </c>
      <c r="F41" s="52"/>
      <c r="G41" s="52"/>
      <c r="H41" s="52"/>
      <c r="I41" s="52">
        <f>G41*H41</f>
        <v>0</v>
      </c>
      <c r="J41" s="52"/>
      <c r="K41" s="52"/>
      <c r="L41" s="52">
        <f>J41*K41</f>
        <v>0</v>
      </c>
    </row>
    <row r="42" spans="2:12" x14ac:dyDescent="0.25">
      <c r="B42" s="52" t="s">
        <v>151</v>
      </c>
      <c r="C42" s="52"/>
      <c r="D42" s="52">
        <f>E42*10.764</f>
        <v>0</v>
      </c>
      <c r="E42" s="67">
        <f>SUM(E6:E41)</f>
        <v>0</v>
      </c>
      <c r="F42" s="52"/>
      <c r="G42" s="52"/>
      <c r="H42" s="52">
        <f>I42*10.764</f>
        <v>0</v>
      </c>
      <c r="I42" s="68">
        <f>SUM(I6:I41)</f>
        <v>0</v>
      </c>
      <c r="J42" s="52"/>
      <c r="K42" s="52">
        <f>L42*10.764</f>
        <v>0</v>
      </c>
      <c r="L42" s="69">
        <f>SUM(L6:L41)</f>
        <v>0</v>
      </c>
    </row>
    <row r="44" spans="2:12" x14ac:dyDescent="0.25">
      <c r="D44" s="64">
        <f>D42+H42</f>
        <v>0</v>
      </c>
      <c r="E44" s="6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2025-09-22T06:14:25Z</cp:lastPrinted>
  <dcterms:created xsi:type="dcterms:W3CDTF">2010-11-23T11:42:48Z</dcterms:created>
  <dcterms:modified xsi:type="dcterms:W3CDTF">2025-09-22T06:18:57Z</dcterms:modified>
</cp:coreProperties>
</file>