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Sept 2025\19-09-2025\"/>
    </mc:Choice>
  </mc:AlternateContent>
  <bookViews>
    <workbookView xWindow="0" yWindow="0" windowWidth="19200" windowHeight="6640" tabRatio="843"/>
  </bookViews>
  <sheets>
    <sheet name="Sheet1" sheetId="1" r:id="rId1"/>
    <sheet name="VALUATION" sheetId="23" r:id="rId2"/>
    <sheet name="C% Padmavati" sheetId="14" r:id="rId3"/>
    <sheet name="A C% Mahalaxmi" sheetId="18" r:id="rId4"/>
    <sheet name="B C% Mahalaxmi (2)" sheetId="22" r:id="rId5"/>
    <sheet name="1, 2, 6" sheetId="11" r:id="rId6"/>
    <sheet name="5" sheetId="20" r:id="rId7"/>
    <sheet name="7" sheetId="21" r:id="rId8"/>
    <sheet name="Construction % (3)" sheetId="19" state="hidden" r:id="rId9"/>
  </sheets>
  <definedNames>
    <definedName name="_xlnm.Print_Area" localSheetId="0">Sheet1!$A$1:$J$345</definedName>
  </definedNames>
  <calcPr calcId="162913"/>
</workbook>
</file>

<file path=xl/calcChain.xml><?xml version="1.0" encoding="utf-8"?>
<calcChain xmlns="http://schemas.openxmlformats.org/spreadsheetml/2006/main">
  <c r="C73" i="1" l="1"/>
  <c r="C59" i="1" l="1"/>
  <c r="D3" i="1" l="1"/>
  <c r="C242" i="1" l="1"/>
  <c r="D241" i="1"/>
  <c r="C241" i="1"/>
  <c r="D240" i="1"/>
  <c r="C240" i="1"/>
  <c r="D239" i="1"/>
  <c r="C239" i="1"/>
  <c r="D238" i="1"/>
  <c r="C238" i="1"/>
  <c r="D237" i="1"/>
  <c r="C237" i="1"/>
  <c r="D243" i="1"/>
  <c r="C243" i="1"/>
  <c r="D233" i="1"/>
  <c r="C233" i="1"/>
  <c r="C232" i="1"/>
  <c r="C231" i="1"/>
  <c r="D230" i="1"/>
  <c r="C230" i="1"/>
  <c r="D229" i="1"/>
  <c r="C229" i="1"/>
  <c r="D235" i="1"/>
  <c r="C235" i="1"/>
  <c r="C234" i="1"/>
  <c r="D234" i="1"/>
  <c r="C221" i="1"/>
  <c r="D221" i="1"/>
  <c r="C222" i="1"/>
  <c r="D222" i="1"/>
  <c r="C223" i="1"/>
  <c r="C224" i="1"/>
  <c r="C225" i="1"/>
  <c r="D225" i="1"/>
  <c r="C226" i="1"/>
  <c r="D226" i="1"/>
  <c r="D227" i="1"/>
  <c r="C227" i="1"/>
  <c r="D218" i="1"/>
  <c r="C218" i="1"/>
  <c r="D217" i="1"/>
  <c r="C217" i="1"/>
  <c r="D216" i="1"/>
  <c r="C216" i="1"/>
  <c r="D215" i="1"/>
  <c r="C215" i="1"/>
  <c r="D214" i="1"/>
  <c r="C214" i="1"/>
  <c r="D213" i="1"/>
  <c r="C213" i="1"/>
  <c r="D219" i="1"/>
  <c r="C219" i="1"/>
  <c r="D210" i="1"/>
  <c r="C210" i="1"/>
  <c r="D209" i="1"/>
  <c r="C209" i="1"/>
  <c r="C208" i="1"/>
  <c r="C207" i="1"/>
  <c r="D206" i="1"/>
  <c r="C206" i="1"/>
  <c r="D205" i="1"/>
  <c r="C205" i="1"/>
  <c r="D211" i="1"/>
  <c r="C211" i="1"/>
  <c r="C164" i="1"/>
  <c r="K205" i="1"/>
  <c r="H46" i="1" l="1"/>
  <c r="F238" i="1"/>
  <c r="F226" i="1"/>
  <c r="C120" i="1"/>
  <c r="E120" i="1"/>
  <c r="D242" i="1"/>
  <c r="F242" i="1"/>
  <c r="F237" i="1"/>
  <c r="F239" i="1"/>
  <c r="F241" i="1"/>
  <c r="F240" i="1"/>
  <c r="I237" i="1"/>
  <c r="F234" i="1"/>
  <c r="F232" i="1"/>
  <c r="F231" i="1"/>
  <c r="F233" i="1"/>
  <c r="I229" i="1"/>
  <c r="F224" i="1"/>
  <c r="F223" i="1"/>
  <c r="D201" i="1"/>
  <c r="C201" i="1"/>
  <c r="D200" i="1"/>
  <c r="C200" i="1"/>
  <c r="C199" i="1"/>
  <c r="C198" i="1"/>
  <c r="D197" i="1"/>
  <c r="C197" i="1"/>
  <c r="D196" i="1"/>
  <c r="C195" i="1"/>
  <c r="D193" i="1"/>
  <c r="D188" i="1"/>
  <c r="C193" i="1"/>
  <c r="C192" i="1"/>
  <c r="C189" i="1"/>
  <c r="C187" i="1"/>
  <c r="C185" i="1"/>
  <c r="C184" i="1"/>
  <c r="C183" i="1"/>
  <c r="C182" i="1"/>
  <c r="C181" i="1"/>
  <c r="C180" i="1"/>
  <c r="C179" i="1"/>
  <c r="C169" i="1"/>
  <c r="C165" i="1"/>
  <c r="C177" i="1"/>
  <c r="C176" i="1"/>
  <c r="C175" i="1"/>
  <c r="C174" i="1"/>
  <c r="C173" i="1"/>
  <c r="C172" i="1"/>
  <c r="C171" i="1"/>
  <c r="C168" i="1"/>
  <c r="C163" i="1"/>
  <c r="K187" i="1"/>
  <c r="D185" i="1"/>
  <c r="D180" i="1"/>
  <c r="D179" i="1"/>
  <c r="D173" i="1"/>
  <c r="D172" i="1"/>
  <c r="D177" i="1"/>
  <c r="D176" i="1"/>
  <c r="H45" i="1"/>
  <c r="C45" i="1"/>
  <c r="C188" i="1"/>
  <c r="C196" i="1"/>
  <c r="D192" i="1"/>
  <c r="D189" i="1"/>
  <c r="D187" i="1"/>
  <c r="C191" i="1"/>
  <c r="C190" i="1"/>
  <c r="D199" i="1"/>
  <c r="D198" i="1"/>
  <c r="D195" i="1"/>
  <c r="F243" i="1" l="1"/>
  <c r="F235" i="1"/>
  <c r="F230" i="1"/>
  <c r="F229" i="1"/>
  <c r="F216" i="1"/>
  <c r="F215" i="1"/>
  <c r="D184" i="1"/>
  <c r="D181" i="1"/>
  <c r="D175" i="1"/>
  <c r="D174" i="1"/>
  <c r="D171" i="1"/>
  <c r="D169" i="1"/>
  <c r="D168" i="1"/>
  <c r="C167" i="1"/>
  <c r="C166" i="1"/>
  <c r="E119" i="1" s="1"/>
  <c r="D165" i="1"/>
  <c r="D164" i="1"/>
  <c r="K163" i="1"/>
  <c r="D163" i="1"/>
  <c r="C119" i="1" l="1"/>
  <c r="L98" i="1"/>
  <c r="L97" i="1"/>
  <c r="L96" i="1"/>
  <c r="L95" i="1"/>
  <c r="L84" i="1"/>
  <c r="L83" i="1"/>
  <c r="L82" i="1"/>
  <c r="L81" i="1"/>
  <c r="L68" i="1"/>
  <c r="L67" i="1"/>
  <c r="L66" i="1"/>
  <c r="L65" i="1"/>
  <c r="I72" i="1"/>
  <c r="I58" i="1"/>
  <c r="I88" i="1"/>
  <c r="D93" i="1" l="1"/>
  <c r="L91" i="1"/>
  <c r="D100" i="1"/>
  <c r="D98" i="1"/>
  <c r="D96" i="1"/>
  <c r="D94" i="1"/>
  <c r="L92" i="1"/>
  <c r="C91" i="1" s="1"/>
  <c r="D91" i="1" s="1"/>
  <c r="L90" i="1"/>
  <c r="D99" i="1"/>
  <c r="D97" i="1"/>
  <c r="D95" i="1"/>
  <c r="L93" i="1"/>
  <c r="L94" i="1" s="1"/>
  <c r="L99" i="1" s="1"/>
  <c r="L100" i="1" s="1"/>
  <c r="C92" i="1" s="1"/>
  <c r="L77" i="1"/>
  <c r="D86" i="1"/>
  <c r="D84" i="1"/>
  <c r="D82" i="1"/>
  <c r="D80" i="1"/>
  <c r="L78" i="1"/>
  <c r="C77" i="1" s="1"/>
  <c r="D77" i="1" s="1"/>
  <c r="L76" i="1"/>
  <c r="L79" i="1"/>
  <c r="L80" i="1" s="1"/>
  <c r="L85" i="1" s="1"/>
  <c r="L86" i="1" s="1"/>
  <c r="C78" i="1" s="1"/>
  <c r="D85" i="1"/>
  <c r="D83" i="1"/>
  <c r="D81" i="1"/>
  <c r="D79" i="1"/>
  <c r="C63" i="1"/>
  <c r="D63" i="1" s="1"/>
  <c r="L61" i="1"/>
  <c r="D70" i="1"/>
  <c r="D68" i="1"/>
  <c r="D66" i="1"/>
  <c r="D64" i="1"/>
  <c r="L62" i="1"/>
  <c r="C61" i="1" s="1"/>
  <c r="D61" i="1" s="1"/>
  <c r="L60" i="1"/>
  <c r="L63" i="1"/>
  <c r="L64" i="1" s="1"/>
  <c r="L69" i="1" s="1"/>
  <c r="D69" i="1"/>
  <c r="D67" i="1"/>
  <c r="D65" i="1"/>
  <c r="L70" i="1" l="1"/>
  <c r="C62" i="1" s="1"/>
  <c r="D62" i="1" s="1"/>
  <c r="L74" i="1"/>
  <c r="L75" i="1" s="1"/>
  <c r="F91" i="1"/>
  <c r="K87" i="1" s="1"/>
  <c r="C89" i="1" s="1"/>
  <c r="D92" i="1"/>
  <c r="H91" i="1"/>
  <c r="F77" i="1"/>
  <c r="K71" i="1" s="1"/>
  <c r="D78" i="1"/>
  <c r="H77" i="1"/>
  <c r="F61" i="1" l="1"/>
  <c r="K57" i="1" s="1"/>
  <c r="H61" i="1"/>
  <c r="C10" i="18"/>
  <c r="F11" i="23"/>
  <c r="G11" i="23" s="1"/>
  <c r="F10" i="23"/>
  <c r="G10" i="23" s="1"/>
  <c r="F9" i="23"/>
  <c r="G9" i="23" s="1"/>
  <c r="F8" i="23"/>
  <c r="G8" i="23"/>
  <c r="F7" i="23"/>
  <c r="G7" i="23" s="1"/>
  <c r="F6" i="23"/>
  <c r="G6" i="23" s="1"/>
  <c r="F5" i="23"/>
  <c r="G5" i="23" s="1"/>
  <c r="E4" i="18"/>
  <c r="I221" i="1"/>
  <c r="B16" i="22"/>
  <c r="P7" i="22" s="1"/>
  <c r="L19" i="22" s="1"/>
  <c r="B14" i="22"/>
  <c r="E14" i="22" s="1"/>
  <c r="B12" i="22"/>
  <c r="E12" i="22" s="1"/>
  <c r="B10" i="22"/>
  <c r="E10" i="22" s="1"/>
  <c r="B8" i="22"/>
  <c r="E8" i="22" s="1"/>
  <c r="L6" i="22"/>
  <c r="K15" i="22" s="1"/>
  <c r="J6" i="22"/>
  <c r="K13" i="22" s="1"/>
  <c r="B6" i="22"/>
  <c r="K6" i="22" s="1"/>
  <c r="K14" i="22" s="1"/>
  <c r="E4" i="22"/>
  <c r="I213" i="1"/>
  <c r="I205" i="1"/>
  <c r="I179" i="1"/>
  <c r="I187" i="1"/>
  <c r="I195" i="1"/>
  <c r="I171" i="1"/>
  <c r="I163" i="1"/>
  <c r="I149" i="1"/>
  <c r="I143" i="1"/>
  <c r="I137" i="1"/>
  <c r="I127" i="1"/>
  <c r="M33" i="21"/>
  <c r="J33" i="21"/>
  <c r="F33" i="21"/>
  <c r="M32" i="21"/>
  <c r="J32" i="21"/>
  <c r="F32" i="21"/>
  <c r="M31" i="21"/>
  <c r="J31" i="21"/>
  <c r="F31" i="21"/>
  <c r="M30" i="21"/>
  <c r="J30" i="21"/>
  <c r="F30" i="21"/>
  <c r="M29" i="21"/>
  <c r="J29" i="21"/>
  <c r="F29" i="21"/>
  <c r="M28" i="21"/>
  <c r="J28" i="21"/>
  <c r="F28" i="21"/>
  <c r="M27" i="21"/>
  <c r="J27" i="21"/>
  <c r="F27" i="21"/>
  <c r="M26" i="21"/>
  <c r="J26" i="21"/>
  <c r="F26" i="21"/>
  <c r="M25" i="21"/>
  <c r="J25" i="21"/>
  <c r="F25" i="21"/>
  <c r="M24" i="21"/>
  <c r="J24" i="21"/>
  <c r="F24" i="21"/>
  <c r="M23" i="21"/>
  <c r="J23" i="21"/>
  <c r="F23" i="21"/>
  <c r="M22" i="21"/>
  <c r="J22" i="21"/>
  <c r="F22" i="21"/>
  <c r="M21" i="21"/>
  <c r="J21" i="21"/>
  <c r="F21" i="21"/>
  <c r="M20" i="21"/>
  <c r="J20" i="21"/>
  <c r="F20" i="21"/>
  <c r="M19" i="21"/>
  <c r="J19" i="21"/>
  <c r="F19" i="21"/>
  <c r="M18" i="21"/>
  <c r="J18" i="21"/>
  <c r="F18" i="21"/>
  <c r="M17" i="21"/>
  <c r="J17" i="21"/>
  <c r="F17" i="21"/>
  <c r="M16" i="21"/>
  <c r="J16" i="21"/>
  <c r="F16" i="21"/>
  <c r="M15" i="21"/>
  <c r="J15" i="21"/>
  <c r="F15" i="21"/>
  <c r="M14" i="21"/>
  <c r="J14" i="21"/>
  <c r="F14" i="21"/>
  <c r="M13" i="21"/>
  <c r="J13" i="21"/>
  <c r="F13" i="21"/>
  <c r="M12" i="21"/>
  <c r="J12" i="21"/>
  <c r="F12" i="21"/>
  <c r="M11" i="21"/>
  <c r="J11" i="21"/>
  <c r="F11" i="21"/>
  <c r="M10" i="21"/>
  <c r="J10" i="21"/>
  <c r="F10" i="21"/>
  <c r="M9" i="21"/>
  <c r="J9" i="21"/>
  <c r="F9" i="21"/>
  <c r="M8" i="21"/>
  <c r="J8" i="21"/>
  <c r="F8" i="21"/>
  <c r="M7" i="21"/>
  <c r="J7" i="21"/>
  <c r="F7" i="21"/>
  <c r="M6" i="21"/>
  <c r="J6" i="21"/>
  <c r="F6" i="21"/>
  <c r="M33" i="20"/>
  <c r="J33" i="20"/>
  <c r="F33" i="20"/>
  <c r="M32" i="20"/>
  <c r="J32" i="20"/>
  <c r="F32" i="20"/>
  <c r="M31" i="20"/>
  <c r="J31" i="20"/>
  <c r="F31" i="20"/>
  <c r="M30" i="20"/>
  <c r="J30" i="20"/>
  <c r="F30" i="20"/>
  <c r="M29" i="20"/>
  <c r="J29" i="20"/>
  <c r="F29" i="20"/>
  <c r="M28" i="20"/>
  <c r="J28" i="20"/>
  <c r="F28" i="20"/>
  <c r="M27" i="20"/>
  <c r="J27" i="20"/>
  <c r="F27" i="20"/>
  <c r="M26" i="20"/>
  <c r="J26" i="20"/>
  <c r="F26" i="20"/>
  <c r="M25" i="20"/>
  <c r="J25" i="20"/>
  <c r="F25" i="20"/>
  <c r="M24" i="20"/>
  <c r="J24" i="20"/>
  <c r="F24" i="20"/>
  <c r="M23" i="20"/>
  <c r="J23" i="20"/>
  <c r="F23" i="20"/>
  <c r="M22" i="20"/>
  <c r="J22" i="20"/>
  <c r="F22" i="20"/>
  <c r="M21" i="20"/>
  <c r="J21" i="20"/>
  <c r="F21" i="20"/>
  <c r="M20" i="20"/>
  <c r="J20" i="20"/>
  <c r="F20" i="20"/>
  <c r="M19" i="20"/>
  <c r="J19" i="20"/>
  <c r="F19" i="20"/>
  <c r="M18" i="20"/>
  <c r="J18" i="20"/>
  <c r="F18" i="20"/>
  <c r="M17" i="20"/>
  <c r="J17" i="20"/>
  <c r="F17" i="20"/>
  <c r="M16" i="20"/>
  <c r="J16" i="20"/>
  <c r="F16" i="20"/>
  <c r="M15" i="20"/>
  <c r="J15" i="20"/>
  <c r="F15" i="20"/>
  <c r="M14" i="20"/>
  <c r="J14" i="20"/>
  <c r="F14" i="20"/>
  <c r="M13" i="20"/>
  <c r="J13" i="20"/>
  <c r="F13" i="20"/>
  <c r="M12" i="20"/>
  <c r="J12" i="20"/>
  <c r="F12" i="20"/>
  <c r="M11" i="20"/>
  <c r="J11" i="20"/>
  <c r="F11" i="20"/>
  <c r="M10" i="20"/>
  <c r="J10" i="20"/>
  <c r="F10" i="20"/>
  <c r="M9" i="20"/>
  <c r="J9" i="20"/>
  <c r="F9" i="20"/>
  <c r="M8" i="20"/>
  <c r="J8" i="20"/>
  <c r="F8" i="20"/>
  <c r="M7" i="20"/>
  <c r="J7" i="20"/>
  <c r="F7" i="20"/>
  <c r="M6" i="20"/>
  <c r="J6" i="20"/>
  <c r="F6" i="20"/>
  <c r="F211" i="1"/>
  <c r="F209" i="1"/>
  <c r="F206" i="1"/>
  <c r="F207" i="1"/>
  <c r="F210" i="1"/>
  <c r="F208" i="1"/>
  <c r="F185" i="1"/>
  <c r="F184" i="1"/>
  <c r="F183" i="1"/>
  <c r="F182" i="1"/>
  <c r="F181" i="1"/>
  <c r="F180" i="1"/>
  <c r="F179" i="1"/>
  <c r="F191" i="1"/>
  <c r="F193" i="1"/>
  <c r="F192" i="1"/>
  <c r="F190" i="1"/>
  <c r="F189" i="1"/>
  <c r="F188" i="1"/>
  <c r="F187" i="1"/>
  <c r="F201" i="1"/>
  <c r="F200" i="1"/>
  <c r="F197" i="1"/>
  <c r="F196" i="1"/>
  <c r="F195" i="1"/>
  <c r="F199" i="1"/>
  <c r="F198" i="1"/>
  <c r="F177" i="1"/>
  <c r="F176" i="1"/>
  <c r="F175" i="1"/>
  <c r="F174" i="1"/>
  <c r="F173" i="1"/>
  <c r="F172" i="1"/>
  <c r="F171" i="1"/>
  <c r="F167" i="1"/>
  <c r="L167" i="1" s="1"/>
  <c r="F166" i="1"/>
  <c r="F169" i="1"/>
  <c r="F168" i="1"/>
  <c r="F165" i="1"/>
  <c r="F164" i="1"/>
  <c r="F163" i="1"/>
  <c r="D153" i="1"/>
  <c r="D152" i="1"/>
  <c r="D150" i="1"/>
  <c r="D149" i="1"/>
  <c r="C153" i="1"/>
  <c r="C152" i="1"/>
  <c r="C151" i="1"/>
  <c r="F151" i="1" s="1"/>
  <c r="C150" i="1"/>
  <c r="C149" i="1"/>
  <c r="D159" i="1"/>
  <c r="D158" i="1"/>
  <c r="D156" i="1"/>
  <c r="D155" i="1"/>
  <c r="C159" i="1"/>
  <c r="C158" i="1"/>
  <c r="C157" i="1"/>
  <c r="C156" i="1"/>
  <c r="C155" i="1"/>
  <c r="D157" i="1"/>
  <c r="C147" i="1"/>
  <c r="F147" i="1" s="1"/>
  <c r="C146" i="1"/>
  <c r="F146" i="1" s="1"/>
  <c r="L146" i="1" s="1"/>
  <c r="C145" i="1"/>
  <c r="F145" i="1" s="1"/>
  <c r="K145" i="1" s="1"/>
  <c r="C144" i="1"/>
  <c r="F144" i="1" s="1"/>
  <c r="K144" i="1" s="1"/>
  <c r="C143" i="1"/>
  <c r="F143" i="1" s="1"/>
  <c r="K143" i="1" s="1"/>
  <c r="D141" i="1"/>
  <c r="D140" i="1"/>
  <c r="D139" i="1"/>
  <c r="D138" i="1"/>
  <c r="C141" i="1"/>
  <c r="C140" i="1"/>
  <c r="C139" i="1"/>
  <c r="C138" i="1"/>
  <c r="D137" i="1"/>
  <c r="C137" i="1"/>
  <c r="C127" i="1"/>
  <c r="C128" i="1"/>
  <c r="F128" i="1" s="1"/>
  <c r="C129" i="1"/>
  <c r="F129" i="1" s="1"/>
  <c r="C130" i="1"/>
  <c r="F130" i="1" s="1"/>
  <c r="C131" i="1"/>
  <c r="F131" i="1" s="1"/>
  <c r="C134" i="1"/>
  <c r="F134" i="1" s="1"/>
  <c r="C133" i="1"/>
  <c r="F133" i="1" s="1"/>
  <c r="C132" i="1"/>
  <c r="F132" i="1" s="1"/>
  <c r="D50" i="1"/>
  <c r="D256" i="1"/>
  <c r="B16" i="19"/>
  <c r="P7" i="19" s="1"/>
  <c r="L19" i="19" s="1"/>
  <c r="B14" i="19"/>
  <c r="O6" i="19" s="1"/>
  <c r="K18" i="19" s="1"/>
  <c r="B12" i="19"/>
  <c r="N6" i="19" s="1"/>
  <c r="K17" i="19" s="1"/>
  <c r="B10" i="19"/>
  <c r="E10" i="19"/>
  <c r="B8" i="19"/>
  <c r="L7" i="19" s="1"/>
  <c r="L15" i="19" s="1"/>
  <c r="J6" i="19"/>
  <c r="J7" i="19" s="1"/>
  <c r="L13" i="19" s="1"/>
  <c r="B6" i="19"/>
  <c r="K6" i="19" s="1"/>
  <c r="K14" i="19" s="1"/>
  <c r="E4" i="19"/>
  <c r="F39" i="1"/>
  <c r="D52" i="1"/>
  <c r="G112" i="1"/>
  <c r="B16" i="18"/>
  <c r="E10" i="18" s="1"/>
  <c r="B14" i="18"/>
  <c r="E9" i="18" s="1"/>
  <c r="B12" i="18"/>
  <c r="E8" i="18" s="1"/>
  <c r="B10" i="18"/>
  <c r="E7" i="18" s="1"/>
  <c r="B8" i="18"/>
  <c r="E6" i="18" s="1"/>
  <c r="J6" i="18"/>
  <c r="K13" i="18" s="1"/>
  <c r="B6" i="18"/>
  <c r="K6" i="18" s="1"/>
  <c r="K14" i="18" s="1"/>
  <c r="E4" i="14"/>
  <c r="B16" i="14"/>
  <c r="E16" i="14" s="1"/>
  <c r="B14" i="14"/>
  <c r="O7" i="14" s="1"/>
  <c r="L18" i="14" s="1"/>
  <c r="B12" i="14"/>
  <c r="N6" i="14" s="1"/>
  <c r="K17" i="14" s="1"/>
  <c r="B10" i="14"/>
  <c r="E10" i="14" s="1"/>
  <c r="B8" i="14"/>
  <c r="E8" i="14" s="1"/>
  <c r="J6" i="14"/>
  <c r="K13" i="14"/>
  <c r="B6" i="14"/>
  <c r="E6" i="14" s="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M7" i="19"/>
  <c r="L16" i="19" s="1"/>
  <c r="M6" i="19"/>
  <c r="K16" i="19" s="1"/>
  <c r="N7" i="19"/>
  <c r="L17" i="19" s="1"/>
  <c r="J7" i="14"/>
  <c r="L13" i="14" s="1"/>
  <c r="O6" i="14"/>
  <c r="K18" i="14" s="1"/>
  <c r="M6" i="14"/>
  <c r="K16" i="14" s="1"/>
  <c r="M7" i="22"/>
  <c r="L16" i="22" s="1"/>
  <c r="P6" i="19" l="1"/>
  <c r="K19" i="19" s="1"/>
  <c r="M6" i="18"/>
  <c r="K16" i="18" s="1"/>
  <c r="O7" i="19"/>
  <c r="L18" i="19" s="1"/>
  <c r="N6" i="22"/>
  <c r="K17" i="22" s="1"/>
  <c r="M7" i="18"/>
  <c r="L16" i="18" s="1"/>
  <c r="K6" i="14"/>
  <c r="K14" i="14" s="1"/>
  <c r="K7" i="14"/>
  <c r="L14" i="14" s="1"/>
  <c r="F139" i="1"/>
  <c r="L139" i="1" s="1"/>
  <c r="E16" i="19"/>
  <c r="P6" i="14"/>
  <c r="K19" i="14" s="1"/>
  <c r="K20" i="14" s="1"/>
  <c r="E12" i="19"/>
  <c r="N7" i="18"/>
  <c r="L17" i="18" s="1"/>
  <c r="N7" i="22"/>
  <c r="L17" i="22" s="1"/>
  <c r="L6" i="18"/>
  <c r="K15" i="18" s="1"/>
  <c r="L7" i="14"/>
  <c r="L15" i="14" s="1"/>
  <c r="N6" i="18"/>
  <c r="K17" i="18" s="1"/>
  <c r="M34" i="21"/>
  <c r="L34" i="21" s="1"/>
  <c r="E14" i="19"/>
  <c r="L7" i="22"/>
  <c r="L15" i="22" s="1"/>
  <c r="L7" i="18"/>
  <c r="L15" i="18" s="1"/>
  <c r="F34" i="20"/>
  <c r="E34" i="20" s="1"/>
  <c r="M7" i="14"/>
  <c r="L16" i="14" s="1"/>
  <c r="L6" i="14"/>
  <c r="K15" i="14" s="1"/>
  <c r="N7" i="14"/>
  <c r="L17" i="14" s="1"/>
  <c r="F34" i="21"/>
  <c r="E34" i="21" s="1"/>
  <c r="H119" i="1"/>
  <c r="F141" i="1"/>
  <c r="F34" i="11"/>
  <c r="E34" i="11" s="1"/>
  <c r="G12" i="23"/>
  <c r="P7" i="14"/>
  <c r="L19" i="14" s="1"/>
  <c r="E12" i="14"/>
  <c r="J34" i="11"/>
  <c r="I34" i="11" s="1"/>
  <c r="L6" i="19"/>
  <c r="K15" i="19" s="1"/>
  <c r="J34" i="20"/>
  <c r="I34" i="20" s="1"/>
  <c r="O7" i="22"/>
  <c r="L18" i="22" s="1"/>
  <c r="E8" i="19"/>
  <c r="M34" i="11"/>
  <c r="L34" i="11" s="1"/>
  <c r="M34" i="20"/>
  <c r="L34" i="20" s="1"/>
  <c r="J34" i="21"/>
  <c r="I34" i="21" s="1"/>
  <c r="O6" i="22"/>
  <c r="K18" i="22" s="1"/>
  <c r="J7" i="22"/>
  <c r="L13" i="22" s="1"/>
  <c r="M6" i="22"/>
  <c r="K16" i="22" s="1"/>
  <c r="K7" i="22"/>
  <c r="L14" i="22" s="1"/>
  <c r="P6" i="18"/>
  <c r="K19" i="18" s="1"/>
  <c r="E14" i="14"/>
  <c r="K7" i="18"/>
  <c r="L14" i="18" s="1"/>
  <c r="O7" i="18"/>
  <c r="L18" i="18" s="1"/>
  <c r="K13" i="19"/>
  <c r="E6" i="19"/>
  <c r="E5" i="18"/>
  <c r="P6" i="22"/>
  <c r="K19" i="22" s="1"/>
  <c r="E16" i="22"/>
  <c r="O6" i="18"/>
  <c r="K18" i="18" s="1"/>
  <c r="P7" i="18"/>
  <c r="L19" i="18" s="1"/>
  <c r="K7" i="19"/>
  <c r="L14" i="19" s="1"/>
  <c r="L20" i="19" s="1"/>
  <c r="J7" i="18"/>
  <c r="L13" i="18" s="1"/>
  <c r="E6" i="22"/>
  <c r="F127" i="1"/>
  <c r="H115" i="1" s="1"/>
  <c r="C115" i="1"/>
  <c r="E115" i="1"/>
  <c r="F157" i="1"/>
  <c r="K157" i="1" s="1"/>
  <c r="C118" i="1"/>
  <c r="C121" i="1" s="1"/>
  <c r="E118" i="1"/>
  <c r="F205" i="1"/>
  <c r="F152" i="1"/>
  <c r="F155" i="1"/>
  <c r="F138" i="1"/>
  <c r="F140" i="1"/>
  <c r="L140" i="1" s="1"/>
  <c r="F159" i="1"/>
  <c r="F158" i="1"/>
  <c r="F137" i="1"/>
  <c r="F150" i="1"/>
  <c r="F149" i="1"/>
  <c r="F153" i="1"/>
  <c r="F156" i="1"/>
  <c r="F36" i="20" l="1"/>
  <c r="F36" i="21"/>
  <c r="K20" i="18"/>
  <c r="L20" i="14"/>
  <c r="K20" i="22"/>
  <c r="L20" i="22"/>
  <c r="F36" i="11"/>
  <c r="F218" i="1" s="1"/>
  <c r="F221" i="1"/>
  <c r="F222" i="1"/>
  <c r="F225" i="1"/>
  <c r="F217" i="1"/>
  <c r="F227" i="1"/>
  <c r="F219" i="1"/>
  <c r="F214" i="1"/>
  <c r="L20" i="18"/>
  <c r="K20" i="19"/>
  <c r="H118" i="1"/>
  <c r="F213" i="1" l="1"/>
  <c r="E121" i="1"/>
  <c r="H120" i="1" l="1"/>
  <c r="H121" i="1" s="1"/>
</calcChain>
</file>

<file path=xl/sharedStrings.xml><?xml version="1.0" encoding="utf-8"?>
<sst xmlns="http://schemas.openxmlformats.org/spreadsheetml/2006/main" count="830" uniqueCount="272">
  <si>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</si>
  <si>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</si>
  <si>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</si>
  <si>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</si>
  <si>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</si>
  <si>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</si>
  <si>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</si>
  <si>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</si>
  <si>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</si>
  <si>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</si>
  <si>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</si>
  <si>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</si>
  <si>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</si>
  <si>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</si>
  <si>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</si>
  <si>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</si>
  <si>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</si>
  <si>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</si>
  <si>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</si>
  <si>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</si>
  <si>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</si>
  <si>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</si>
  <si>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</si>
  <si>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</si>
  <si>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</si>
  <si>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</si>
  <si>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</si>
  <si>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</si>
  <si>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</si>
  <si>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</si>
  <si>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</si>
  <si>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</si>
  <si>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</si>
  <si>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</si>
  <si>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</si>
  <si>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</si>
  <si>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</si>
  <si>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</si>
  <si>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</si>
  <si>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</si>
  <si>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</si>
  <si>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</si>
  <si>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 xml:space="preserve">Details of Flats in Building   </t>
  </si>
  <si>
    <t>Yes</t>
  </si>
  <si>
    <t>Expiry date:NA</t>
  </si>
  <si>
    <t>Violations Observed if any : NA</t>
  </si>
  <si>
    <t>NA</t>
  </si>
  <si>
    <t>South</t>
  </si>
  <si>
    <t xml:space="preserve">Distance from city centre: </t>
  </si>
  <si>
    <t>Plane</t>
  </si>
  <si>
    <t>Projected life of the structure: 60 Years After Completion</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</si>
  <si>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</si>
  <si>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</si>
  <si>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</si>
  <si>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</si>
  <si>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</si>
  <si>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</si>
  <si>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</si>
  <si>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</si>
  <si>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</si>
  <si>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</si>
  <si>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</si>
  <si>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</si>
  <si>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</si>
  <si>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</si>
  <si>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</si>
  <si>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</si>
  <si>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</si>
  <si>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</si>
  <si>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</si>
  <si>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</si>
  <si>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</si>
  <si>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</si>
  <si>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</si>
  <si>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</si>
  <si>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</si>
  <si>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</si>
  <si>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</si>
  <si>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</si>
  <si>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</si>
  <si>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</si>
  <si>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</si>
  <si>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</si>
  <si>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</si>
  <si>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</si>
  <si>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</si>
  <si>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</si>
  <si>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</si>
  <si>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</si>
  <si>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</si>
  <si>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</si>
  <si>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</si>
  <si>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</si>
  <si>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Contect Details ( Name &amp; Contect No.)</t>
  </si>
  <si>
    <t>Name / no of the Building</t>
  </si>
  <si>
    <t>Does property have Electricity / Water / Drainage Connection</t>
  </si>
  <si>
    <t>Date of Commencement of Construction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</si>
  <si>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</si>
  <si>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</si>
  <si>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</si>
  <si>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</si>
  <si>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</si>
  <si>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</si>
  <si>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</si>
  <si>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</si>
  <si>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</si>
  <si>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</si>
  <si>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</si>
  <si>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</si>
  <si>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</si>
  <si>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</si>
  <si>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</si>
  <si>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</si>
  <si>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</si>
  <si>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</si>
  <si>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</si>
  <si>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</si>
  <si>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</si>
  <si>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</si>
  <si>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</si>
  <si>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</si>
  <si>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Name of the builder </t>
  </si>
  <si>
    <t>Type of Structure : RCC Framed Structure</t>
  </si>
  <si>
    <t>Axis Sanpada</t>
  </si>
  <si>
    <t>Approved Layout, Approved Building Plan, CC.</t>
  </si>
  <si>
    <t>Recommended rate of the Shop Per Sq. Ft. ( on Saleable area)</t>
  </si>
  <si>
    <t>all available at  1 to 3 km.</t>
  </si>
  <si>
    <t>RERA Number</t>
  </si>
  <si>
    <t>Material laying at Site: : Bricks, Sand &amp; Steel etc..</t>
  </si>
  <si>
    <t>Wheather the construction is as per approved Building plan : Under construction.</t>
  </si>
  <si>
    <t>Quality of construction: Good</t>
  </si>
  <si>
    <t>Saleable area</t>
  </si>
  <si>
    <t>1 BHK</t>
  </si>
  <si>
    <t>Photograph of Property :</t>
  </si>
  <si>
    <t>Google Map :</t>
  </si>
  <si>
    <t>Gross Carpet area</t>
  </si>
  <si>
    <t>Building no.1 Padmavati = P51700017080
Building no.2 Mahalakshmi A Wing = P51700017089
Building no.2 Mahalakshmi B Wing = P51700017127</t>
  </si>
  <si>
    <t>Padmavati &amp; Mahalakshmi</t>
  </si>
  <si>
    <t>Old S.no.128, New S.no.90, H.no.3, Old S.no.129, New S.no.89, Old S.no.130, New S.no.88, H.no.4</t>
  </si>
  <si>
    <t>Shree Chamunda Garden</t>
  </si>
  <si>
    <t>Kanchangaon</t>
  </si>
  <si>
    <t>90 Feet Road</t>
  </si>
  <si>
    <t>Thane</t>
  </si>
  <si>
    <t>Kalyan</t>
  </si>
  <si>
    <t>Padmavati &amp; Mahalakshmi, Village-Kanchangaon, Thakurli, Dombivli East, Dombivli, Kalyan, Thane.</t>
  </si>
  <si>
    <t>Balaji Angan</t>
  </si>
  <si>
    <t>Open Plot</t>
  </si>
  <si>
    <t>Shree Ganraj Heights</t>
  </si>
  <si>
    <t>Middle Class</t>
  </si>
  <si>
    <t>Developing</t>
  </si>
  <si>
    <t xml:space="preserve">Approved usage of the Property: Residentail + Commercial
(Restrictive Covenants in regard to Land Use, if any) : No                                                                                                                                         </t>
  </si>
  <si>
    <t>Building no.1 - Padmavati</t>
  </si>
  <si>
    <t>Ground Floor</t>
  </si>
  <si>
    <t>Shop</t>
  </si>
  <si>
    <t>Office</t>
  </si>
  <si>
    <t>1st Floor</t>
  </si>
  <si>
    <t>1st Floor Office</t>
  </si>
  <si>
    <t>2nd Floor</t>
  </si>
  <si>
    <t>2 BHK</t>
  </si>
  <si>
    <t>N</t>
  </si>
  <si>
    <t>3rd Floor</t>
  </si>
  <si>
    <t>Ground Floor for Parking</t>
  </si>
  <si>
    <t>1.5 BHK</t>
  </si>
  <si>
    <t>1 RK</t>
  </si>
  <si>
    <t>Ground Floor for Parking &amp; Gym</t>
  </si>
  <si>
    <t>4th &amp; 6th Floors</t>
  </si>
  <si>
    <t>5th &amp; 7th Floors</t>
  </si>
  <si>
    <t>5th &amp; 7th</t>
  </si>
  <si>
    <t>Recommended rate of the Flat Per Sq. Ft. ( on Saleable area)</t>
  </si>
  <si>
    <t>4) Legal title of the property is not verified by us.</t>
  </si>
  <si>
    <t>5) Gross carpet area =  Net Carpet area + Fungible area.</t>
  </si>
  <si>
    <t>6) Fungible Area= Enclosed Balcony + Flower Bed + Covered Balcony + Service Slab + Duct + Chajja.</t>
  </si>
  <si>
    <t>175000/-</t>
  </si>
  <si>
    <t>5,00,000/-</t>
  </si>
  <si>
    <t>Accessibility to the Project from the City:
(Proximity to civic amenities like school, hospital, market)</t>
  </si>
  <si>
    <t>Building no.2 - Mahalakshmi (A Wing)</t>
  </si>
  <si>
    <t>Building no.2 - Mahalakshmi (B Wing)</t>
  </si>
  <si>
    <t>3,00,000/-</t>
  </si>
  <si>
    <t>Grill Charges</t>
  </si>
  <si>
    <t>60,000/-</t>
  </si>
  <si>
    <t>Club House Fees</t>
  </si>
  <si>
    <t>2,00,000/-</t>
  </si>
  <si>
    <t>No of units</t>
  </si>
  <si>
    <t xml:space="preserve">Proposed Amenities : 1.  Vitrified tiles flooring 2. Decorative Enternace  etc.                                                                                                                                                                                                                                                                                </t>
  </si>
  <si>
    <t>S No /H. No</t>
  </si>
  <si>
    <t>Market Research Data</t>
  </si>
  <si>
    <t>Source</t>
  </si>
  <si>
    <t>Distance from proposed property</t>
  </si>
  <si>
    <t>Net Carpet</t>
  </si>
  <si>
    <t>Saleable Area</t>
  </si>
  <si>
    <t>Rate on Saleable</t>
  </si>
  <si>
    <t>Market Value</t>
  </si>
  <si>
    <t>Magic Brick</t>
  </si>
  <si>
    <t>99 Acres</t>
  </si>
  <si>
    <t>Average</t>
  </si>
  <si>
    <t xml:space="preserve">Valuation Adopted </t>
  </si>
  <si>
    <t>02 Buildings (03 Wings)</t>
  </si>
  <si>
    <t>2BHK</t>
  </si>
  <si>
    <t>1BHK</t>
  </si>
  <si>
    <t>KDMP/NRV//BP/DV/2017-18/37/66.
Valid upto: 
Building no.1 = G + 1st to 7th floor
Building no.2 = G + 1st to 24th Floor</t>
  </si>
  <si>
    <t>Building no.1 = G + 1st to 7th Floor
Building no.2 = G + 1st to 24th Floor</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</si>
  <si>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</si>
  <si>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</si>
  <si>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</si>
  <si>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</si>
  <si>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</si>
  <si>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</si>
  <si>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</si>
  <si>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</si>
  <si>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</si>
  <si>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</si>
  <si>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</si>
  <si>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</si>
  <si>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</si>
  <si>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</si>
  <si>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</si>
  <si>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</si>
  <si>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</si>
  <si>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</si>
  <si>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</si>
  <si>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</si>
  <si>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</si>
  <si>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</si>
  <si>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</si>
  <si>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</si>
  <si>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</si>
  <si>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</si>
  <si>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</si>
  <si>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</si>
  <si>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</si>
  <si>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</si>
  <si>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</si>
  <si>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</si>
  <si>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</si>
  <si>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no.1 Padmavati = G + 1st to 7th floor</t>
  </si>
  <si>
    <t>Padmavati g+7 bldg complete mahalaxmi a b wing g+24 3 lift a wing rcc 23 floor complete breck 18 th floors complete plaster in out 17 th floor complete kitchan stile 14 th door fram 17 th floor bathroom stile 14 th floor con b 2nd slap complete rate 8000sq side meet mr femil sapra 7666244255</t>
  </si>
  <si>
    <t>Padmavati &amp; Mahalakshmi - 02 Buildings</t>
  </si>
  <si>
    <t>2nd, 4th, 6th, 10th, 12th, 16th, 18th, 22nd &amp; 24th Floor</t>
  </si>
  <si>
    <t>8th, 14th &amp; 20th Floor (Part refuge area)</t>
  </si>
  <si>
    <t>5th, 11th, 17th &amp; 23rd Floor (Part refuge area)</t>
  </si>
  <si>
    <t>3rd, 7th, 9th, 13th, 15th, 19th &amp; 21st Floor</t>
  </si>
  <si>
    <t>Commercial Area Details :</t>
  </si>
  <si>
    <t>Building &amp; Wing</t>
  </si>
  <si>
    <t>No. of Units</t>
  </si>
  <si>
    <t>Total Carpet Area</t>
  </si>
  <si>
    <t>Total Saleable Area</t>
  </si>
  <si>
    <t>Residential Area Details :</t>
  </si>
  <si>
    <t>0.8 Km from Thakurli Railway Station</t>
  </si>
  <si>
    <t>M/s. Sai Balaji Emrald Realty</t>
  </si>
  <si>
    <t>KDMP/NRV//BP/DV/2017-18/37/66</t>
  </si>
  <si>
    <t>Development charges</t>
  </si>
  <si>
    <t>Proposed no of Floors</t>
  </si>
  <si>
    <t>KDMP/NRV/BP/DV/2017-18/37/33</t>
  </si>
  <si>
    <t>Building plan approval No. Building No. 2 (Wing A &amp; B)</t>
  </si>
  <si>
    <t>1.5BHK</t>
  </si>
  <si>
    <t>Shops = 7, office = 1 &amp; 
Flats = 366</t>
  </si>
  <si>
    <t xml:space="preserve">Building plan approval No    
Building no.1 </t>
  </si>
  <si>
    <t>Date of Commencement of Construction - 
Building No. 2</t>
  </si>
  <si>
    <t>KDMP/NRV/BP/DV/2017-18/37/33
Valid upto: 
Wing A = Gr/Stilt + 1st to 24th Floor
Wing B = Stilt + 1st to 24th Floor</t>
  </si>
  <si>
    <t xml:space="preserve">Site Person - Contact Details ( Name &amp; Contact No.)
</t>
  </si>
  <si>
    <t>Location Link</t>
  </si>
  <si>
    <t>https://goo.gl/maps/N6JfWmVxTQuxXP5Q7?coh=178572&amp;entry=tt</t>
  </si>
  <si>
    <t>Office No. 1031, Wing J, Akshar Business Park, Plot No. 03 Sector 25, Near APMC Market, Vashi, Navi Mumbai, Maharashtra 400703 TEL: 022-46090378/79/80                                                                                                                                                 E mail : vsjcapf@gmail.com. Web site : www.vsjadon.com</t>
  </si>
  <si>
    <t>KDMP/NRV/CC/DV/OCC/553/20
Gr/Stilt + 1st to 7th Floor</t>
  </si>
  <si>
    <t>O. Certificate No. : 
Approved for : 
Building No.01</t>
  </si>
  <si>
    <t xml:space="preserve">O. Certificate No. : 
Approved for : 
Building No.02 (Wing A) </t>
  </si>
  <si>
    <t>KDMP/NRV/CC/DV/165
Gr/Stilt + 1st to 24th Floor</t>
  </si>
  <si>
    <t>Building no.1 Padmavati = G + 1st to 7th floor
Building no.2 Wing A - Mahalakshmi = Gr + 1st to 24th Floor</t>
  </si>
  <si>
    <t>Building no.2 Wing B - Mahalakshmi = Gr + 1st to 24th Floor</t>
  </si>
  <si>
    <t>Mr. Vaibhav 9049995074</t>
  </si>
  <si>
    <t>19.222992,73.103091</t>
  </si>
  <si>
    <t>Remarks:
1. Building no.1 - All work Completed. OC Received.
    Building no.2 (A Wing) - All work Completed. OC Received.
   Building no.2 (B Wing) - Finishing work is in process.
2. We have considered rate by verifying it from market inquire.
3. We have considered Other charges from cost sheet.
4. Saleable Area is as per our calculation.
5. Carpet Area is adopted from approved plan.
6. Car parking is subjected to authentic documentation.
7. Recommended rate should be considered as all inclusive rate if other charges are not mentioned. (Excluding GST &amp; other government Taxes).
8. We have updated revised approved plans &amp; CC of Building no.2 'Mahalakshmi ' (A &amp; B Wing) (on 15/11/2022).
9. We have updated OC from Rera for Building No.01 (On 17/08/2023).
10. We have updated OC of Building No. 2 Wing A on 06/10/2023.
9. On site we meet Mr Vaibhav 9049995074.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</si>
</sst>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b/>
      <sz val="14"/>
      <color indexed="8"/>
      <name val="Times New Roman"/>
      <family val="1"/>
    </font>
    <font>
      <b/>
      <sz val="12"/>
      <name val="Times New Roman"/>
      <family val="1"/>
    </font>
    <font>
      <sz val="12"/>
      <name val="Times New Roman"/>
      <family val="1"/>
    </font>
    <font>
      <sz val="12"/>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1"/>
      <color theme="1"/>
      <name val="Times New Roman"/>
      <family val="1"/>
    </font>
    <font>
      <sz val="12"/>
      <color theme="1"/>
      <name val="Times New Roman"/>
      <family val="1"/>
    </font>
    <font>
      <sz val="11"/>
      <color rgb="FF000000"/>
      <name val="Times New Roman"/>
      <family val="1"/>
    </font>
    <font>
      <sz val="11"/>
      <color rgb="FF272727"/>
      <name val="Arial"/>
      <family val="2"/>
    </font>
    <font>
      <b/>
      <sz val="12"/>
      <color theme="1"/>
      <name val="Times New Roman"/>
      <family val="1"/>
    </font>
    <font>
      <sz val="12"/>
      <color rgb="FFFF0000"/>
      <name val="Times New Roman"/>
      <family val="1"/>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4" fillId="0" borderId="0"/>
    <xf numFmtId="0" fontId="14" fillId="0" borderId="0"/>
    <xf numFmtId="0" fontId="24" fillId="0" borderId="0" applyNumberFormat="0" applyFill="0" applyBorder="0" applyAlignment="0" applyProtection="0"/>
  </cellStyleXfs>
  <cellXfs count="260">
    <xf numFmtId="0" fontId="0" fillId="0" borderId="0" xfId="0"/>
    <xf numFmtId="0" fontId="2" fillId="0" borderId="0" xfId="2"/>
    <xf numFmtId="0" fontId="5" fillId="0" borderId="1"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5" fillId="0" borderId="2" xfId="0" applyFont="1" applyBorder="1"/>
    <xf numFmtId="0" fontId="0" fillId="0" borderId="3" xfId="0" applyBorder="1"/>
    <xf numFmtId="0" fontId="0" fillId="3" borderId="2" xfId="0" applyFill="1" applyBorder="1"/>
    <xf numFmtId="0" fontId="15" fillId="0" borderId="2" xfId="0" applyFont="1" applyBorder="1" applyAlignment="1">
      <alignment horizontal="center"/>
    </xf>
    <xf numFmtId="0" fontId="15"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1" fontId="6" fillId="0" borderId="1" xfId="0" applyNumberFormat="1" applyFont="1" applyBorder="1" applyAlignment="1">
      <alignment horizontal="center" vertical="top" wrapText="1"/>
    </xf>
    <xf numFmtId="0" fontId="3" fillId="0" borderId="0" xfId="0" applyFont="1" applyAlignment="1">
      <alignment horizontal="center" vertical="top" wrapText="1"/>
    </xf>
    <xf numFmtId="0" fontId="15" fillId="2" borderId="2" xfId="0" applyFont="1" applyFill="1" applyBorder="1"/>
    <xf numFmtId="0" fontId="0" fillId="4" borderId="2" xfId="0" applyFill="1" applyBorder="1"/>
    <xf numFmtId="1" fontId="0" fillId="0" borderId="0" xfId="0" applyNumberFormat="1"/>
    <xf numFmtId="0" fontId="2" fillId="0" borderId="0" xfId="2" applyAlignment="1">
      <alignment vertical="center"/>
    </xf>
    <xf numFmtId="0" fontId="0" fillId="0" borderId="0" xfId="0" applyAlignment="1">
      <alignment horizontal="left" vertical="center"/>
    </xf>
    <xf numFmtId="1" fontId="0" fillId="0" borderId="2" xfId="0" applyNumberFormat="1" applyBorder="1"/>
    <xf numFmtId="1" fontId="12" fillId="0" borderId="2" xfId="0" applyNumberFormat="1" applyFont="1" applyBorder="1" applyAlignment="1">
      <alignment horizontal="center" vertical="center" wrapText="1"/>
    </xf>
    <xf numFmtId="0" fontId="3" fillId="0" borderId="0" xfId="0" applyFont="1" applyAlignment="1">
      <alignment horizontal="left" vertical="top"/>
    </xf>
    <xf numFmtId="0" fontId="6" fillId="0" borderId="0" xfId="0" applyFont="1" applyAlignment="1">
      <alignment horizontal="left" vertical="top"/>
    </xf>
    <xf numFmtId="0" fontId="1" fillId="0" borderId="0" xfId="3"/>
    <xf numFmtId="0" fontId="14" fillId="0" borderId="0" xfId="4"/>
    <xf numFmtId="0" fontId="15" fillId="0" borderId="2" xfId="4" applyFont="1" applyBorder="1" applyAlignment="1">
      <alignment horizontal="center" vertical="top" wrapText="1"/>
    </xf>
    <xf numFmtId="0" fontId="14" fillId="0" borderId="2" xfId="4" applyBorder="1" applyAlignment="1">
      <alignment horizontal="center" vertical="center"/>
    </xf>
    <xf numFmtId="0" fontId="14" fillId="0" borderId="2" xfId="4" applyBorder="1" applyAlignment="1">
      <alignment horizontal="left" vertical="center"/>
    </xf>
    <xf numFmtId="1" fontId="14" fillId="0" borderId="2" xfId="4" applyNumberFormat="1" applyBorder="1" applyAlignment="1">
      <alignment horizontal="center" vertical="center"/>
    </xf>
    <xf numFmtId="165" fontId="14" fillId="0" borderId="2" xfId="1" applyNumberFormat="1" applyFont="1" applyBorder="1" applyAlignment="1">
      <alignment horizontal="right" vertical="center"/>
    </xf>
    <xf numFmtId="0" fontId="14" fillId="0" borderId="2" xfId="4" applyBorder="1" applyAlignment="1">
      <alignment horizontal="left" vertical="center" wrapText="1"/>
    </xf>
    <xf numFmtId="0" fontId="15" fillId="0" borderId="2" xfId="4" applyFont="1" applyBorder="1" applyAlignment="1">
      <alignment horizontal="center" vertical="center"/>
    </xf>
    <xf numFmtId="1" fontId="16" fillId="0" borderId="2" xfId="4" applyNumberFormat="1" applyFont="1" applyBorder="1" applyAlignment="1">
      <alignment horizontal="center" vertical="center"/>
    </xf>
    <xf numFmtId="0" fontId="1" fillId="0" borderId="2" xfId="3" applyBorder="1" applyAlignment="1">
      <alignment horizontal="center" vertical="center"/>
    </xf>
    <xf numFmtId="0" fontId="17" fillId="0" borderId="0" xfId="3" applyFont="1"/>
    <xf numFmtId="0" fontId="19" fillId="0" borderId="0" xfId="5" applyFont="1" applyProtection="1">
      <protection hidden="1"/>
    </xf>
    <xf numFmtId="0" fontId="20" fillId="0" borderId="0" xfId="0" applyFont="1" applyProtection="1">
      <protection hidden="1"/>
    </xf>
    <xf numFmtId="0" fontId="19" fillId="0" borderId="0" xfId="5" applyFont="1"/>
    <xf numFmtId="1" fontId="0" fillId="0" borderId="0" xfId="0" applyNumberFormat="1" applyAlignment="1">
      <alignment horizontal="right"/>
    </xf>
    <xf numFmtId="0" fontId="12" fillId="0" borderId="2" xfId="5" applyFont="1" applyBorder="1" applyAlignment="1" applyProtection="1">
      <alignment horizontal="center" vertical="top" wrapText="1"/>
      <protection locked="0"/>
    </xf>
    <xf numFmtId="0" fontId="12" fillId="0" borderId="2" xfId="5" applyFont="1" applyBorder="1" applyAlignment="1" applyProtection="1">
      <alignment horizontal="center" wrapText="1"/>
      <protection locked="0"/>
    </xf>
    <xf numFmtId="1" fontId="12" fillId="0" borderId="2" xfId="5" applyNumberFormat="1" applyFont="1" applyBorder="1" applyAlignment="1" applyProtection="1">
      <alignment horizontal="center" wrapText="1"/>
      <protection locked="0"/>
    </xf>
    <xf numFmtId="0" fontId="12" fillId="0" borderId="19" xfId="5" applyFont="1" applyBorder="1" applyAlignment="1" applyProtection="1">
      <alignment horizontal="center" wrapText="1"/>
      <protection locked="0"/>
    </xf>
    <xf numFmtId="0" fontId="19" fillId="0" borderId="0" xfId="0" applyFont="1" applyAlignment="1">
      <alignment horizontal="center" vertical="center"/>
    </xf>
    <xf numFmtId="0" fontId="23" fillId="0" borderId="0" xfId="0" applyFont="1" applyAlignment="1">
      <alignment horizontal="center" vertical="center"/>
    </xf>
    <xf numFmtId="2" fontId="0" fillId="0" borderId="0" xfId="0" applyNumberFormat="1"/>
    <xf numFmtId="166" fontId="0" fillId="0" borderId="0" xfId="0" applyNumberFormat="1"/>
    <xf numFmtId="1" fontId="19" fillId="0" borderId="2" xfId="0" applyNumberFormat="1" applyFont="1" applyBorder="1" applyAlignment="1">
      <alignment horizontal="center" vertical="center"/>
    </xf>
    <xf numFmtId="0" fontId="0" fillId="0" borderId="0" xfId="0" applyBorder="1"/>
    <xf numFmtId="0" fontId="3" fillId="0" borderId="2" xfId="0" applyFont="1" applyBorder="1" applyAlignment="1">
      <alignment vertical="top"/>
    </xf>
    <xf numFmtId="0" fontId="3" fillId="0" borderId="0" xfId="0" applyFont="1" applyAlignment="1">
      <alignment horizontal="center" vertical="top" wrapText="1"/>
    </xf>
    <xf numFmtId="0" fontId="12" fillId="0" borderId="2" xfId="5" applyFont="1" applyBorder="1" applyAlignment="1" applyProtection="1">
      <alignment horizontal="center" vertical="top"/>
      <protection locked="0"/>
    </xf>
    <xf numFmtId="0" fontId="12" fillId="0" borderId="2" xfId="5" applyFont="1" applyBorder="1" applyAlignment="1" applyProtection="1">
      <alignment horizontal="center" vertical="top" wrapText="1"/>
      <protection locked="0"/>
    </xf>
    <xf numFmtId="0" fontId="4" fillId="0" borderId="2" xfId="0" applyFont="1" applyBorder="1" applyAlignment="1">
      <alignment vertical="top"/>
    </xf>
    <xf numFmtId="0" fontId="12" fillId="0" borderId="2" xfId="5" applyFont="1" applyBorder="1" applyAlignment="1" applyProtection="1">
      <alignment horizontal="center" vertical="top"/>
      <protection locked="0"/>
    </xf>
    <xf numFmtId="0" fontId="12" fillId="0" borderId="2" xfId="5" applyFont="1" applyBorder="1" applyAlignment="1" applyProtection="1">
      <alignment horizontal="center" vertical="top" wrapText="1"/>
      <protection locked="0"/>
    </xf>
    <xf numFmtId="0" fontId="5" fillId="0" borderId="1" xfId="0" applyFont="1" applyBorder="1" applyAlignment="1">
      <alignment horizontal="left" vertical="top"/>
    </xf>
    <xf numFmtId="0" fontId="5" fillId="0" borderId="11" xfId="0" applyFont="1" applyBorder="1" applyAlignment="1">
      <alignment horizontal="left" vertical="top"/>
    </xf>
    <xf numFmtId="0" fontId="4" fillId="0" borderId="1"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1" fontId="11" fillId="0" borderId="1"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1" fillId="0" borderId="12"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14" fontId="4" fillId="2" borderId="1" xfId="0" applyNumberFormat="1" applyFont="1" applyFill="1" applyBorder="1" applyAlignment="1">
      <alignment horizontal="left" vertical="top"/>
    </xf>
    <xf numFmtId="14" fontId="4" fillId="2" borderId="11" xfId="0" applyNumberFormat="1" applyFont="1" applyFill="1" applyBorder="1" applyAlignment="1">
      <alignment horizontal="left" vertical="top"/>
    </xf>
    <xf numFmtId="14" fontId="4" fillId="2" borderId="12" xfId="0" applyNumberFormat="1" applyFont="1" applyFill="1" applyBorder="1" applyAlignment="1">
      <alignment horizontal="left" vertical="top"/>
    </xf>
    <xf numFmtId="1" fontId="12" fillId="0" borderId="1" xfId="0" applyNumberFormat="1" applyFont="1" applyBorder="1" applyAlignment="1">
      <alignment horizontal="center" vertical="center" wrapText="1"/>
    </xf>
    <xf numFmtId="1" fontId="12" fillId="0" borderId="12" xfId="0" applyNumberFormat="1" applyFont="1" applyBorder="1" applyAlignment="1">
      <alignment horizontal="center" vertical="center" wrapText="1"/>
    </xf>
    <xf numFmtId="1" fontId="22" fillId="0" borderId="1" xfId="0" applyNumberFormat="1" applyFont="1" applyBorder="1" applyAlignment="1" applyProtection="1">
      <alignment horizontal="center" vertical="top" wrapText="1"/>
      <protection locked="0"/>
    </xf>
    <xf numFmtId="0" fontId="22" fillId="0" borderId="11" xfId="0" applyFont="1" applyBorder="1" applyAlignment="1" applyProtection="1">
      <alignment horizontal="center" vertical="top" wrapText="1"/>
      <protection locked="0"/>
    </xf>
    <xf numFmtId="0" fontId="22" fillId="0" borderId="12" xfId="0" applyFont="1" applyBorder="1" applyAlignment="1" applyProtection="1">
      <alignment horizontal="center" vertical="top" wrapText="1"/>
      <protection locked="0"/>
    </xf>
    <xf numFmtId="1"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wrapText="1"/>
      <protection locked="0"/>
    </xf>
    <xf numFmtId="1" fontId="12" fillId="0" borderId="11" xfId="0" applyNumberFormat="1" applyFont="1" applyBorder="1" applyAlignment="1" applyProtection="1">
      <alignment horizontal="center" vertical="center" wrapText="1"/>
      <protection locked="0"/>
    </xf>
    <xf numFmtId="1" fontId="12" fillId="0" borderId="12" xfId="0" applyNumberFormat="1" applyFont="1" applyBorder="1" applyAlignment="1" applyProtection="1">
      <alignment horizontal="center" vertical="center" wrapText="1"/>
      <protection locked="0"/>
    </xf>
    <xf numFmtId="1" fontId="12" fillId="0" borderId="2"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2" fillId="0" borderId="7" xfId="0" applyNumberFormat="1" applyFont="1" applyBorder="1" applyAlignment="1">
      <alignment horizontal="center" vertical="center" wrapText="1"/>
    </xf>
    <xf numFmtId="1" fontId="12" fillId="0" borderId="8" xfId="0" applyNumberFormat="1" applyFont="1" applyBorder="1" applyAlignment="1">
      <alignment horizontal="center" vertical="center" wrapText="1"/>
    </xf>
    <xf numFmtId="1" fontId="12" fillId="0" borderId="9"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19" fillId="0" borderId="1" xfId="0" applyNumberFormat="1" applyFont="1" applyBorder="1" applyAlignment="1">
      <alignment horizontal="center" vertical="center"/>
    </xf>
    <xf numFmtId="1" fontId="19" fillId="0" borderId="12" xfId="0" applyNumberFormat="1" applyFont="1" applyBorder="1" applyAlignment="1">
      <alignment horizontal="center" vertical="center"/>
    </xf>
    <xf numFmtId="1" fontId="19" fillId="0" borderId="0" xfId="0" applyNumberFormat="1" applyFont="1" applyBorder="1" applyAlignment="1">
      <alignment horizontal="center"/>
    </xf>
    <xf numFmtId="1" fontId="19" fillId="0" borderId="2" xfId="0" applyNumberFormat="1" applyFont="1" applyBorder="1" applyAlignment="1">
      <alignment horizontal="center" vertical="center"/>
    </xf>
    <xf numFmtId="0" fontId="22" fillId="0" borderId="2" xfId="0" applyFont="1" applyBorder="1" applyAlignment="1" applyProtection="1">
      <alignment horizontal="center" vertical="center"/>
      <protection locked="0"/>
    </xf>
    <xf numFmtId="1" fontId="13" fillId="0" borderId="2" xfId="0" applyNumberFormat="1"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1" fontId="19" fillId="0" borderId="2" xfId="0" applyNumberFormat="1" applyFont="1" applyBorder="1" applyAlignment="1" applyProtection="1">
      <alignment horizontal="center" vertical="center"/>
      <protection locked="0"/>
    </xf>
    <xf numFmtId="1" fontId="12" fillId="0" borderId="2" xfId="0" applyNumberFormat="1" applyFont="1" applyBorder="1" applyAlignment="1" applyProtection="1">
      <alignment horizontal="center" vertical="center"/>
      <protection locked="0"/>
    </xf>
    <xf numFmtId="1" fontId="6" fillId="0" borderId="2"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6" fillId="0" borderId="11" xfId="0" applyNumberFormat="1" applyFont="1" applyBorder="1" applyAlignment="1" applyProtection="1">
      <alignment horizontal="center" vertical="top" wrapText="1"/>
      <protection locked="0"/>
    </xf>
    <xf numFmtId="1" fontId="6" fillId="0" borderId="12" xfId="0" applyNumberFormat="1" applyFont="1" applyBorder="1" applyAlignment="1" applyProtection="1">
      <alignment horizontal="center" vertical="top" wrapText="1"/>
      <protection locked="0"/>
    </xf>
    <xf numFmtId="1" fontId="6" fillId="0" borderId="1"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2" xfId="0" applyNumberFormat="1" applyFont="1" applyBorder="1" applyAlignment="1" applyProtection="1">
      <alignment horizontal="center" vertical="top" wrapText="1"/>
      <protection locked="0"/>
    </xf>
    <xf numFmtId="0" fontId="21" fillId="0" borderId="0" xfId="0" applyFont="1" applyAlignment="1">
      <alignment horizontal="center" wrapText="1"/>
    </xf>
    <xf numFmtId="0" fontId="4" fillId="0" borderId="11" xfId="0" applyFont="1" applyBorder="1" applyAlignment="1">
      <alignment horizontal="left" vertical="top" wrapText="1"/>
    </xf>
    <xf numFmtId="14" fontId="4" fillId="0" borderId="1" xfId="0" applyNumberFormat="1" applyFont="1" applyBorder="1" applyAlignment="1">
      <alignment horizontal="left" vertical="top" wrapText="1"/>
    </xf>
    <xf numFmtId="14" fontId="4" fillId="0" borderId="12" xfId="0" applyNumberFormat="1" applyFont="1" applyBorder="1" applyAlignment="1">
      <alignment horizontal="left" vertical="top" wrapText="1"/>
    </xf>
    <xf numFmtId="0" fontId="12" fillId="0" borderId="14" xfId="5" applyFont="1" applyBorder="1" applyAlignment="1" applyProtection="1">
      <alignment horizontal="center" vertical="top" wrapText="1"/>
      <protection locked="0"/>
    </xf>
    <xf numFmtId="0" fontId="12" fillId="0" borderId="1" xfId="5" applyFont="1" applyBorder="1" applyAlignment="1" applyProtection="1">
      <alignment horizontal="center" vertical="top" wrapText="1"/>
      <protection locked="0"/>
    </xf>
    <xf numFmtId="9" fontId="12" fillId="2" borderId="2" xfId="5" applyNumberFormat="1" applyFont="1" applyFill="1" applyBorder="1" applyAlignment="1" applyProtection="1">
      <alignment horizontal="center" vertical="center" wrapText="1"/>
      <protection hidden="1"/>
    </xf>
    <xf numFmtId="9" fontId="12" fillId="2" borderId="19" xfId="5" applyNumberFormat="1" applyFont="1" applyFill="1" applyBorder="1" applyAlignment="1" applyProtection="1">
      <alignment horizontal="center" vertical="center" wrapText="1"/>
      <protection hidden="1"/>
    </xf>
    <xf numFmtId="9" fontId="12" fillId="2" borderId="15" xfId="5" applyNumberFormat="1" applyFont="1" applyFill="1" applyBorder="1" applyAlignment="1" applyProtection="1">
      <alignment horizontal="center" vertical="center" wrapText="1"/>
      <protection hidden="1"/>
    </xf>
    <xf numFmtId="9" fontId="12" fillId="2" borderId="20" xfId="5" applyNumberFormat="1" applyFont="1" applyFill="1" applyBorder="1" applyAlignment="1" applyProtection="1">
      <alignment horizontal="center" vertical="center" wrapText="1"/>
      <protection hidden="1"/>
    </xf>
    <xf numFmtId="0" fontId="12" fillId="0" borderId="14" xfId="5" applyFont="1" applyBorder="1" applyAlignment="1" applyProtection="1">
      <alignment horizontal="center" vertical="top"/>
      <protection locked="0"/>
    </xf>
    <xf numFmtId="0" fontId="12" fillId="0" borderId="1" xfId="5" applyFont="1" applyBorder="1" applyAlignment="1" applyProtection="1">
      <alignment horizontal="center" vertical="top"/>
      <protection locked="0"/>
    </xf>
    <xf numFmtId="0" fontId="12" fillId="0" borderId="17" xfId="5" applyFont="1" applyBorder="1" applyAlignment="1" applyProtection="1">
      <alignment horizontal="center" vertical="top" wrapText="1"/>
      <protection locked="0"/>
    </xf>
    <xf numFmtId="0" fontId="12" fillId="0" borderId="18" xfId="5" applyFont="1" applyBorder="1" applyAlignment="1" applyProtection="1">
      <alignment horizontal="center" vertical="top" wrapText="1"/>
      <protection locked="0"/>
    </xf>
    <xf numFmtId="0" fontId="11" fillId="0" borderId="2" xfId="5" applyFont="1" applyBorder="1" applyAlignment="1" applyProtection="1">
      <alignment horizontal="center" vertical="top" wrapText="1"/>
      <protection locked="0"/>
    </xf>
    <xf numFmtId="0" fontId="11" fillId="0" borderId="2" xfId="5" applyFont="1" applyBorder="1" applyAlignment="1" applyProtection="1">
      <alignment horizontal="left" vertical="top" wrapText="1"/>
      <protection locked="0"/>
    </xf>
    <xf numFmtId="0" fontId="12" fillId="0" borderId="2" xfId="5" applyFont="1" applyBorder="1" applyAlignment="1" applyProtection="1">
      <alignment horizontal="center" vertical="top"/>
      <protection locked="0"/>
    </xf>
    <xf numFmtId="0" fontId="12" fillId="0" borderId="16" xfId="5" applyFont="1" applyBorder="1" applyAlignment="1" applyProtection="1">
      <alignment horizontal="center" vertical="top" wrapText="1"/>
      <protection locked="0"/>
    </xf>
    <xf numFmtId="0" fontId="12" fillId="0" borderId="11" xfId="5" applyFont="1" applyBorder="1" applyAlignment="1" applyProtection="1">
      <alignment horizontal="center" vertical="top" wrapText="1"/>
      <protection locked="0"/>
    </xf>
    <xf numFmtId="0" fontId="12" fillId="0" borderId="2" xfId="5" applyFont="1" applyBorder="1" applyAlignment="1" applyProtection="1">
      <alignment horizontal="center" vertical="top" wrapText="1"/>
      <protection locked="0"/>
    </xf>
    <xf numFmtId="0" fontId="12" fillId="0" borderId="15" xfId="5" applyFont="1" applyBorder="1" applyAlignment="1" applyProtection="1">
      <alignment horizontal="center" vertical="top" wrapText="1"/>
      <protection locked="0"/>
    </xf>
    <xf numFmtId="0" fontId="7" fillId="0" borderId="1"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8" fillId="0" borderId="1" xfId="0" applyFont="1" applyBorder="1" applyAlignment="1">
      <alignmen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5" fillId="0" borderId="12" xfId="0" applyFont="1" applyBorder="1" applyAlignment="1">
      <alignment horizontal="left" vertical="top"/>
    </xf>
    <xf numFmtId="0" fontId="11" fillId="0" borderId="2" xfId="5" applyFont="1" applyBorder="1" applyAlignment="1" applyProtection="1">
      <alignment horizontal="left" vertical="top"/>
      <protection locked="0"/>
    </xf>
    <xf numFmtId="0" fontId="4" fillId="0" borderId="1" xfId="0" applyFont="1" applyBorder="1" applyAlignment="1">
      <alignment horizontal="center" vertical="top" wrapText="1"/>
    </xf>
    <xf numFmtId="0" fontId="4" fillId="0" borderId="12" xfId="0" applyFont="1" applyBorder="1" applyAlignment="1">
      <alignment horizontal="center" vertical="top" wrapText="1"/>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4" fillId="2" borderId="2" xfId="0" applyFont="1" applyFill="1" applyBorder="1" applyAlignment="1">
      <alignment horizontal="left" vertical="top" wrapText="1"/>
    </xf>
    <xf numFmtId="0" fontId="9" fillId="0" borderId="1" xfId="0" applyFont="1" applyBorder="1" applyAlignment="1">
      <alignment horizontal="center" vertical="top" wrapText="1"/>
    </xf>
    <xf numFmtId="0" fontId="9" fillId="0" borderId="12" xfId="0" applyFont="1" applyBorder="1" applyAlignment="1">
      <alignment horizontal="center" vertical="top" wrapText="1"/>
    </xf>
    <xf numFmtId="0" fontId="9" fillId="0" borderId="1"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3" fillId="0" borderId="1"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2" xfId="0" applyFont="1" applyBorder="1" applyAlignment="1">
      <alignment horizontal="left" vertical="top"/>
    </xf>
    <xf numFmtId="1" fontId="4" fillId="0" borderId="6" xfId="0" applyNumberFormat="1" applyFont="1" applyBorder="1" applyAlignment="1">
      <alignment horizontal="center" vertical="top"/>
    </xf>
    <xf numFmtId="1" fontId="4" fillId="0" borderId="7" xfId="0" applyNumberFormat="1" applyFont="1" applyBorder="1" applyAlignment="1">
      <alignment horizontal="center" vertical="top"/>
    </xf>
    <xf numFmtId="0" fontId="4" fillId="0" borderId="6" xfId="0" applyFont="1" applyBorder="1" applyAlignment="1">
      <alignment horizontal="left" vertical="top"/>
    </xf>
    <xf numFmtId="0" fontId="4" fillId="0" borderId="13" xfId="0" applyFont="1" applyBorder="1" applyAlignment="1">
      <alignment horizontal="left" vertical="top"/>
    </xf>
    <xf numFmtId="0" fontId="4" fillId="0" borderId="7" xfId="0" applyFont="1" applyBorder="1" applyAlignment="1">
      <alignment horizontal="left" vertical="top"/>
    </xf>
    <xf numFmtId="0" fontId="18" fillId="0" borderId="1" xfId="0"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3" fillId="0" borderId="1"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4" fillId="0" borderId="6" xfId="0" applyFont="1" applyBorder="1" applyAlignment="1">
      <alignment horizontal="left" vertical="top" wrapText="1"/>
    </xf>
    <xf numFmtId="0" fontId="4" fillId="0" borderId="13" xfId="0" applyFont="1" applyBorder="1" applyAlignment="1">
      <alignment horizontal="left" vertical="top" wrapText="1"/>
    </xf>
    <xf numFmtId="0" fontId="4" fillId="0" borderId="7" xfId="0" applyFont="1" applyBorder="1" applyAlignment="1">
      <alignment horizontal="left" vertical="top" wrapText="1"/>
    </xf>
    <xf numFmtId="0" fontId="3" fillId="0" borderId="6"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9" xfId="0" applyFont="1" applyBorder="1" applyAlignment="1">
      <alignment horizontal="center" vertical="top" wrapText="1"/>
    </xf>
    <xf numFmtId="0" fontId="3" fillId="0" borderId="5" xfId="0" applyFont="1" applyBorder="1" applyAlignment="1">
      <alignment horizontal="center" vertical="top" wrapText="1"/>
    </xf>
    <xf numFmtId="0" fontId="3" fillId="0" borderId="3" xfId="0" applyFont="1" applyBorder="1" applyAlignment="1">
      <alignment horizontal="center" vertical="top" wrapText="1"/>
    </xf>
    <xf numFmtId="0" fontId="3" fillId="0" borderId="10" xfId="0" applyFont="1" applyBorder="1" applyAlignment="1">
      <alignment horizontal="center" vertical="top" wrapText="1"/>
    </xf>
    <xf numFmtId="0" fontId="3" fillId="0" borderId="1" xfId="0" applyFont="1" applyBorder="1" applyAlignment="1">
      <alignment horizontal="left" vertical="center"/>
    </xf>
    <xf numFmtId="0" fontId="4" fillId="2" borderId="1"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10" fillId="0" borderId="1" xfId="0" applyFont="1" applyBorder="1" applyAlignment="1">
      <alignment horizontal="center" vertical="top"/>
    </xf>
    <xf numFmtId="0" fontId="10" fillId="0" borderId="11" xfId="0" applyFont="1" applyBorder="1" applyAlignment="1">
      <alignment horizontal="center" vertical="top"/>
    </xf>
    <xf numFmtId="0" fontId="10" fillId="0" borderId="12" xfId="0" applyFont="1" applyBorder="1" applyAlignment="1">
      <alignment horizontal="center" vertical="top"/>
    </xf>
    <xf numFmtId="0" fontId="3" fillId="0" borderId="1"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22" fillId="0" borderId="1" xfId="0" applyFont="1" applyBorder="1" applyAlignment="1" applyProtection="1">
      <alignment horizontal="center" vertical="top" wrapText="1"/>
      <protection locked="0"/>
    </xf>
    <xf numFmtId="1" fontId="19" fillId="0" borderId="1" xfId="0" applyNumberFormat="1" applyFont="1" applyBorder="1" applyAlignment="1" applyProtection="1">
      <alignment horizontal="center" vertical="top" wrapText="1"/>
      <protection locked="0"/>
    </xf>
    <xf numFmtId="0" fontId="19" fillId="0" borderId="11" xfId="0" applyFont="1" applyBorder="1" applyAlignment="1" applyProtection="1">
      <alignment horizontal="center" vertical="top" wrapText="1"/>
      <protection locked="0"/>
    </xf>
    <xf numFmtId="0" fontId="19" fillId="0" borderId="12"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1" xfId="0" applyNumberFormat="1" applyFont="1" applyBorder="1" applyAlignment="1" applyProtection="1">
      <alignment horizontal="center" vertical="center" wrapText="1"/>
      <protection locked="0"/>
    </xf>
    <xf numFmtId="1" fontId="6" fillId="0" borderId="12" xfId="0" applyNumberFormat="1" applyFont="1" applyBorder="1" applyAlignment="1" applyProtection="1">
      <alignment horizontal="center" vertical="center" wrapText="1"/>
      <protection locked="0"/>
    </xf>
    <xf numFmtId="1" fontId="19" fillId="0" borderId="11" xfId="0" applyNumberFormat="1" applyFont="1" applyBorder="1" applyAlignment="1" applyProtection="1">
      <alignment horizontal="center" vertical="top" wrapText="1"/>
      <protection locked="0"/>
    </xf>
    <xf numFmtId="1" fontId="19" fillId="0" borderId="12" xfId="0" applyNumberFormat="1" applyFont="1" applyBorder="1" applyAlignment="1" applyProtection="1">
      <alignment horizontal="center" vertical="top" wrapText="1"/>
      <protection locked="0"/>
    </xf>
    <xf numFmtId="1" fontId="3" fillId="0" borderId="1" xfId="0" applyNumberFormat="1" applyFont="1" applyBorder="1" applyAlignment="1">
      <alignment horizontal="center" vertical="top" wrapText="1"/>
    </xf>
    <xf numFmtId="1" fontId="3" fillId="0" borderId="12" xfId="0" applyNumberFormat="1" applyFont="1" applyBorder="1" applyAlignment="1">
      <alignment horizontal="center" vertical="top" wrapText="1"/>
    </xf>
    <xf numFmtId="0" fontId="5" fillId="0" borderId="1"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8" fillId="0" borderId="6" xfId="2" applyFont="1" applyBorder="1" applyAlignment="1">
      <alignment horizontal="left" vertical="top" wrapText="1"/>
    </xf>
    <xf numFmtId="0" fontId="8" fillId="0" borderId="13" xfId="2" applyFont="1" applyBorder="1" applyAlignment="1">
      <alignment horizontal="left" vertical="top" wrapText="1"/>
    </xf>
    <xf numFmtId="0" fontId="8" fillId="0" borderId="7" xfId="2" applyFont="1" applyBorder="1" applyAlignment="1">
      <alignment horizontal="left" vertical="top" wrapText="1"/>
    </xf>
    <xf numFmtId="0" fontId="8" fillId="0" borderId="5" xfId="2" applyFont="1" applyBorder="1" applyAlignment="1">
      <alignment horizontal="left" vertical="top" wrapText="1"/>
    </xf>
    <xf numFmtId="0" fontId="8" fillId="0" borderId="3" xfId="2" applyFont="1" applyBorder="1" applyAlignment="1">
      <alignment horizontal="left" vertical="top" wrapText="1"/>
    </xf>
    <xf numFmtId="0" fontId="8" fillId="0" borderId="10" xfId="2" applyFont="1" applyBorder="1" applyAlignment="1">
      <alignment horizontal="left" vertical="top" wrapText="1"/>
    </xf>
    <xf numFmtId="1" fontId="6" fillId="0" borderId="1" xfId="0" applyNumberFormat="1" applyFont="1" applyBorder="1" applyAlignment="1">
      <alignment horizontal="center" vertical="top" wrapText="1"/>
    </xf>
    <xf numFmtId="1" fontId="6" fillId="0" borderId="12" xfId="0" applyNumberFormat="1" applyFont="1" applyBorder="1" applyAlignment="1">
      <alignment horizontal="center" vertical="top" wrapText="1"/>
    </xf>
    <xf numFmtId="0" fontId="4" fillId="0" borderId="2" xfId="0" applyFont="1" applyBorder="1" applyAlignment="1">
      <alignment horizontal="center" vertical="top" wrapText="1"/>
    </xf>
    <xf numFmtId="9" fontId="11" fillId="0" borderId="2" xfId="5" applyNumberFormat="1" applyFont="1" applyBorder="1" applyAlignment="1" applyProtection="1">
      <alignment horizontal="center" vertical="center" wrapText="1"/>
      <protection locked="0"/>
    </xf>
    <xf numFmtId="0" fontId="11" fillId="0" borderId="2" xfId="5" applyFont="1" applyBorder="1" applyAlignment="1" applyProtection="1">
      <alignment horizontal="center" vertical="center" wrapText="1"/>
      <protection locked="0"/>
    </xf>
    <xf numFmtId="0" fontId="11" fillId="0" borderId="2" xfId="5" applyFont="1" applyBorder="1" applyAlignment="1" applyProtection="1">
      <alignment horizontal="center" vertical="center"/>
      <protection locked="0"/>
    </xf>
    <xf numFmtId="0" fontId="4" fillId="0" borderId="1"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1"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9" fillId="0" borderId="1" xfId="0" applyFont="1" applyBorder="1" applyAlignment="1">
      <alignment horizontal="left" vertical="top"/>
    </xf>
    <xf numFmtId="0" fontId="9" fillId="0" borderId="12" xfId="0" applyFont="1" applyBorder="1" applyAlignment="1">
      <alignment horizontal="left" vertical="top"/>
    </xf>
    <xf numFmtId="2" fontId="4" fillId="0" borderId="2" xfId="0" applyNumberFormat="1" applyFont="1" applyBorder="1" applyAlignment="1">
      <alignment horizontal="left" vertical="top"/>
    </xf>
    <xf numFmtId="14" fontId="4" fillId="2" borderId="2" xfId="0" applyNumberFormat="1" applyFont="1" applyFill="1" applyBorder="1" applyAlignment="1">
      <alignment horizontal="left" vertical="top"/>
    </xf>
    <xf numFmtId="0" fontId="3" fillId="0" borderId="2" xfId="0" applyFont="1" applyBorder="1" applyAlignment="1">
      <alignment horizontal="left" vertical="top" wrapText="1"/>
    </xf>
    <xf numFmtId="0" fontId="3" fillId="0" borderId="2" xfId="0" applyFont="1" applyBorder="1" applyAlignment="1">
      <alignment horizontal="left" vertical="top"/>
    </xf>
    <xf numFmtId="14" fontId="3" fillId="0" borderId="2" xfId="0" applyNumberFormat="1" applyFont="1" applyBorder="1" applyAlignment="1">
      <alignment horizontal="left" vertical="top"/>
    </xf>
    <xf numFmtId="0" fontId="24" fillId="0" borderId="1" xfId="6" applyBorder="1" applyAlignment="1">
      <alignment horizontal="left" vertical="top"/>
    </xf>
    <xf numFmtId="0" fontId="9" fillId="0" borderId="11" xfId="0" applyFont="1" applyBorder="1" applyAlignment="1">
      <alignment horizontal="left" vertical="top"/>
    </xf>
    <xf numFmtId="0" fontId="4" fillId="0" borderId="1" xfId="0" applyFont="1" applyBorder="1" applyAlignment="1">
      <alignment horizontal="center" vertical="top"/>
    </xf>
    <xf numFmtId="0" fontId="4" fillId="0" borderId="12" xfId="0" applyFont="1" applyBorder="1" applyAlignment="1">
      <alignment horizontal="center" vertical="top"/>
    </xf>
    <xf numFmtId="0" fontId="9" fillId="0" borderId="1" xfId="0" applyFont="1" applyBorder="1" applyAlignment="1">
      <alignment horizontal="center" vertical="top"/>
    </xf>
    <xf numFmtId="0" fontId="9" fillId="0" borderId="12" xfId="0" applyFont="1" applyBorder="1" applyAlignment="1">
      <alignment horizontal="center" vertical="top"/>
    </xf>
    <xf numFmtId="0" fontId="5" fillId="0" borderId="1" xfId="0" applyFont="1" applyBorder="1" applyAlignment="1">
      <alignment horizontal="center" vertical="top"/>
    </xf>
    <xf numFmtId="0" fontId="5" fillId="0" borderId="12" xfId="0" applyFont="1" applyBorder="1" applyAlignment="1">
      <alignment horizontal="center" vertical="top"/>
    </xf>
    <xf numFmtId="0" fontId="5" fillId="0" borderId="13" xfId="0" applyFont="1" applyBorder="1" applyAlignment="1">
      <alignment horizontal="left" vertical="top" wrapText="1"/>
    </xf>
    <xf numFmtId="0" fontId="5" fillId="0" borderId="7" xfId="0" applyFont="1" applyBorder="1" applyAlignment="1">
      <alignment horizontal="left" vertical="top" wrapText="1"/>
    </xf>
    <xf numFmtId="0" fontId="9" fillId="2" borderId="2" xfId="0" applyFont="1" applyFill="1" applyBorder="1" applyAlignment="1">
      <alignment horizontal="left" vertical="top"/>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14" fontId="9" fillId="0" borderId="1" xfId="0" applyNumberFormat="1" applyFont="1" applyBorder="1" applyAlignment="1">
      <alignment horizontal="left" vertical="top"/>
    </xf>
    <xf numFmtId="14" fontId="9" fillId="0" borderId="11" xfId="0" applyNumberFormat="1" applyFont="1" applyBorder="1" applyAlignment="1">
      <alignment horizontal="left" vertical="top"/>
    </xf>
    <xf numFmtId="14" fontId="9" fillId="0" borderId="12" xfId="0" applyNumberFormat="1" applyFont="1" applyBorder="1" applyAlignment="1">
      <alignment horizontal="left" vertical="top"/>
    </xf>
    <xf numFmtId="0" fontId="3" fillId="0" borderId="1"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14" fontId="4" fillId="0" borderId="2" xfId="0" applyNumberFormat="1" applyFont="1" applyBorder="1" applyAlignment="1">
      <alignment horizontal="center" vertical="top"/>
    </xf>
    <xf numFmtId="0" fontId="4" fillId="2" borderId="1"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1" fontId="11" fillId="0" borderId="2" xfId="0" applyNumberFormat="1" applyFont="1" applyBorder="1" applyAlignment="1">
      <alignment horizontal="center" vertical="center" wrapText="1"/>
    </xf>
    <xf numFmtId="0" fontId="4" fillId="0" borderId="5" xfId="0" applyFont="1" applyBorder="1" applyAlignment="1">
      <alignment horizontal="left" vertical="top"/>
    </xf>
    <xf numFmtId="0" fontId="4" fillId="0" borderId="3" xfId="0" applyFont="1" applyBorder="1" applyAlignment="1">
      <alignment horizontal="left" vertical="top"/>
    </xf>
    <xf numFmtId="0" fontId="4" fillId="0" borderId="10" xfId="0" applyFont="1" applyBorder="1" applyAlignment="1">
      <alignment horizontal="left" vertical="top"/>
    </xf>
    <xf numFmtId="0" fontId="4" fillId="2" borderId="2" xfId="0" applyFont="1" applyFill="1" applyBorder="1" applyAlignment="1">
      <alignment horizontal="left" vertical="top"/>
    </xf>
    <xf numFmtId="0" fontId="9" fillId="2" borderId="1" xfId="0" applyFont="1" applyFill="1" applyBorder="1" applyAlignment="1">
      <alignment horizontal="left" vertical="top"/>
    </xf>
    <xf numFmtId="0" fontId="9" fillId="2" borderId="11" xfId="0" applyFont="1" applyFill="1" applyBorder="1" applyAlignment="1">
      <alignment horizontal="left" vertical="top"/>
    </xf>
    <xf numFmtId="0" fontId="9" fillId="2" borderId="12" xfId="0" applyFont="1" applyFill="1" applyBorder="1" applyAlignment="1">
      <alignment horizontal="left" vertical="top"/>
    </xf>
    <xf numFmtId="0" fontId="9" fillId="0" borderId="2" xfId="0" applyFont="1" applyBorder="1" applyAlignment="1">
      <alignment horizontal="left" vertical="top" wrapText="1"/>
    </xf>
    <xf numFmtId="0" fontId="15" fillId="0" borderId="2" xfId="4" applyFont="1" applyBorder="1" applyAlignment="1">
      <alignment horizontal="left"/>
    </xf>
    <xf numFmtId="0" fontId="0" fillId="3" borderId="2" xfId="0" applyFill="1" applyBorder="1" applyAlignment="1">
      <alignment horizontal="center" wrapText="1"/>
    </xf>
    <xf numFmtId="0" fontId="15" fillId="0" borderId="2" xfId="0" applyFont="1" applyBorder="1" applyAlignment="1">
      <alignment horizontal="center"/>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302</xdr:row>
      <xdr:rowOff>76200</xdr:rowOff>
    </xdr:from>
    <xdr:to>
      <xdr:col>8</xdr:col>
      <xdr:colOff>236507</xdr:colOff>
      <xdr:row>322</xdr:row>
      <xdr:rowOff>79076</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95325" y="60340875"/>
          <a:ext cx="5227607" cy="3812876"/>
        </a:xfrm>
        <a:prstGeom prst="rect">
          <a:avLst/>
        </a:prstGeom>
        <a:ln>
          <a:solidFill>
            <a:schemeClr val="tx1"/>
          </a:solidFill>
        </a:ln>
      </xdr:spPr>
    </xdr:pic>
    <xdr:clientData/>
  </xdr:twoCellAnchor>
  <xdr:twoCellAnchor editAs="oneCell">
    <xdr:from>
      <xdr:col>0</xdr:col>
      <xdr:colOff>695325</xdr:colOff>
      <xdr:row>322</xdr:row>
      <xdr:rowOff>185276</xdr:rowOff>
    </xdr:from>
    <xdr:to>
      <xdr:col>8</xdr:col>
      <xdr:colOff>253760</xdr:colOff>
      <xdr:row>342</xdr:row>
      <xdr:rowOff>170899</xdr:rowOff>
    </xdr:to>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95325" y="64259951"/>
          <a:ext cx="5244860" cy="3795623"/>
        </a:xfrm>
        <a:prstGeom prst="rect">
          <a:avLst/>
        </a:prstGeom>
        <a:ln>
          <a:solidFill>
            <a:schemeClr val="tx1"/>
          </a:solidFill>
        </a:ln>
      </xdr:spPr>
    </xdr:pic>
    <xdr:clientData/>
  </xdr:twoCellAnchor>
  <xdr:twoCellAnchor>
    <xdr:from>
      <xdr:col>17</xdr:col>
      <xdr:colOff>223989</xdr:colOff>
      <xdr:row>256</xdr:row>
      <xdr:rowOff>84859</xdr:rowOff>
    </xdr:from>
    <xdr:to>
      <xdr:col>19</xdr:col>
      <xdr:colOff>232064</xdr:colOff>
      <xdr:row>258</xdr:row>
      <xdr:rowOff>78000</xdr:rowOff>
    </xdr:to>
    <xdr:sp macro="" textlink="">
      <xdr:nvSpPr>
        <xdr:cNvPr id="44" name="Rectangle 43"/>
        <xdr:cNvSpPr/>
      </xdr:nvSpPr>
      <xdr:spPr>
        <a:xfrm>
          <a:off x="12381353" y="54030995"/>
          <a:ext cx="1601347"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Mahalaxmi A</a:t>
          </a:r>
        </a:p>
      </xdr:txBody>
    </xdr:sp>
    <xdr:clientData/>
  </xdr:twoCellAnchor>
  <xdr:twoCellAnchor>
    <xdr:from>
      <xdr:col>18</xdr:col>
      <xdr:colOff>273627</xdr:colOff>
      <xdr:row>272</xdr:row>
      <xdr:rowOff>113434</xdr:rowOff>
    </xdr:from>
    <xdr:to>
      <xdr:col>20</xdr:col>
      <xdr:colOff>286031</xdr:colOff>
      <xdr:row>274</xdr:row>
      <xdr:rowOff>106575</xdr:rowOff>
    </xdr:to>
    <xdr:sp macro="" textlink="">
      <xdr:nvSpPr>
        <xdr:cNvPr id="51" name="Rectangle 50"/>
        <xdr:cNvSpPr/>
      </xdr:nvSpPr>
      <xdr:spPr>
        <a:xfrm>
          <a:off x="13037127" y="57107570"/>
          <a:ext cx="1605677"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Mahalaxmi B</a:t>
          </a:r>
        </a:p>
      </xdr:txBody>
    </xdr:sp>
    <xdr:clientData/>
  </xdr:twoCellAnchor>
  <xdr:twoCellAnchor editAs="oneCell">
    <xdr:from>
      <xdr:col>13</xdr:col>
      <xdr:colOff>27188</xdr:colOff>
      <xdr:row>54</xdr:row>
      <xdr:rowOff>66675</xdr:rowOff>
    </xdr:from>
    <xdr:to>
      <xdr:col>20</xdr:col>
      <xdr:colOff>465962</xdr:colOff>
      <xdr:row>103</xdr:row>
      <xdr:rowOff>103124</xdr:rowOff>
    </xdr:to>
    <xdr:pic>
      <xdr:nvPicPr>
        <xdr:cNvPr id="30" name="Picture 29"/>
        <xdr:cNvPicPr>
          <a:picLocks noChangeAspect="1"/>
        </xdr:cNvPicPr>
      </xdr:nvPicPr>
      <xdr:blipFill rotWithShape="1">
        <a:blip xmlns:r="http://schemas.openxmlformats.org/officeDocument/2006/relationships" r:embed="rId3"/>
        <a:srcRect l="48970" t="14914" r="5578" b="6113"/>
        <a:stretch/>
      </xdr:blipFill>
      <xdr:spPr>
        <a:xfrm>
          <a:off x="9771263" y="14716125"/>
          <a:ext cx="5077449" cy="5027549"/>
        </a:xfrm>
        <a:prstGeom prst="rect">
          <a:avLst/>
        </a:prstGeom>
      </xdr:spPr>
    </xdr:pic>
    <xdr:clientData/>
  </xdr:twoCellAnchor>
  <xdr:twoCellAnchor>
    <xdr:from>
      <xdr:col>10</xdr:col>
      <xdr:colOff>1009650</xdr:colOff>
      <xdr:row>255</xdr:row>
      <xdr:rowOff>50800</xdr:rowOff>
    </xdr:from>
    <xdr:to>
      <xdr:col>11</xdr:col>
      <xdr:colOff>433308</xdr:colOff>
      <xdr:row>256</xdr:row>
      <xdr:rowOff>165446</xdr:rowOff>
    </xdr:to>
    <xdr:sp macro="" textlink="">
      <xdr:nvSpPr>
        <xdr:cNvPr id="25" name="Rectangle 24"/>
        <xdr:cNvSpPr/>
      </xdr:nvSpPr>
      <xdr:spPr>
        <a:xfrm>
          <a:off x="8166100" y="51562000"/>
          <a:ext cx="1277858" cy="305146"/>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Mahalaxmi B</a:t>
          </a:r>
        </a:p>
      </xdr:txBody>
    </xdr:sp>
    <xdr:clientData/>
  </xdr:twoCellAnchor>
  <xdr:twoCellAnchor>
    <xdr:from>
      <xdr:col>12</xdr:col>
      <xdr:colOff>0</xdr:colOff>
      <xdr:row>255</xdr:row>
      <xdr:rowOff>0</xdr:rowOff>
    </xdr:from>
    <xdr:to>
      <xdr:col>13</xdr:col>
      <xdr:colOff>583205</xdr:colOff>
      <xdr:row>256</xdr:row>
      <xdr:rowOff>183955</xdr:rowOff>
    </xdr:to>
    <xdr:sp macro="" textlink="">
      <xdr:nvSpPr>
        <xdr:cNvPr id="26" name="Rectangle 25"/>
        <xdr:cNvSpPr/>
      </xdr:nvSpPr>
      <xdr:spPr>
        <a:xfrm>
          <a:off x="9759950" y="51511200"/>
          <a:ext cx="1034055" cy="374455"/>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Padmavati</a:t>
          </a:r>
          <a:r>
            <a:rPr lang="en-IN" b="1">
              <a:solidFill>
                <a:srgbClr val="FF0000"/>
              </a:solidFill>
            </a:rPr>
            <a:t> </a:t>
          </a:r>
        </a:p>
      </xdr:txBody>
    </xdr:sp>
    <xdr:clientData/>
  </xdr:twoCellAnchor>
  <xdr:twoCellAnchor>
    <xdr:from>
      <xdr:col>10</xdr:col>
      <xdr:colOff>927100</xdr:colOff>
      <xdr:row>254</xdr:row>
      <xdr:rowOff>44450</xdr:rowOff>
    </xdr:from>
    <xdr:to>
      <xdr:col>11</xdr:col>
      <xdr:colOff>350758</xdr:colOff>
      <xdr:row>255</xdr:row>
      <xdr:rowOff>51146</xdr:rowOff>
    </xdr:to>
    <xdr:sp macro="" textlink="">
      <xdr:nvSpPr>
        <xdr:cNvPr id="27" name="Rectangle 26"/>
        <xdr:cNvSpPr/>
      </xdr:nvSpPr>
      <xdr:spPr>
        <a:xfrm>
          <a:off x="8083550" y="51263550"/>
          <a:ext cx="1277858" cy="298796"/>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Mahalaxmi A</a:t>
          </a:r>
        </a:p>
      </xdr:txBody>
    </xdr:sp>
    <xdr:clientData/>
  </xdr:twoCellAnchor>
  <xdr:twoCellAnchor>
    <xdr:from>
      <xdr:col>0</xdr:col>
      <xdr:colOff>273050</xdr:colOff>
      <xdr:row>256</xdr:row>
      <xdr:rowOff>107950</xdr:rowOff>
    </xdr:from>
    <xdr:to>
      <xdr:col>9</xdr:col>
      <xdr:colOff>667272</xdr:colOff>
      <xdr:row>296</xdr:row>
      <xdr:rowOff>45200</xdr:rowOff>
    </xdr:to>
    <xdr:grpSp>
      <xdr:nvGrpSpPr>
        <xdr:cNvPr id="3" name="Group 2"/>
        <xdr:cNvGrpSpPr/>
      </xdr:nvGrpSpPr>
      <xdr:grpSpPr>
        <a:xfrm>
          <a:off x="273050" y="51809650"/>
          <a:ext cx="6699772" cy="7303250"/>
          <a:chOff x="273050" y="51809650"/>
          <a:chExt cx="6699772" cy="7303250"/>
        </a:xfrm>
      </xdr:grpSpPr>
      <xdr:pic>
        <xdr:nvPicPr>
          <xdr:cNvPr id="29" name="Picture 2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87350" y="54644347"/>
            <a:ext cx="2049863"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87351" y="51809650"/>
            <a:ext cx="2049863"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566509" y="54644347"/>
            <a:ext cx="2049863"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566510" y="51809650"/>
            <a:ext cx="2049863" cy="2736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745669" y="51809650"/>
            <a:ext cx="2049863" cy="273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745668" y="54644347"/>
            <a:ext cx="2049863" cy="2736000"/>
          </a:xfrm>
          <a:prstGeom prst="rect">
            <a:avLst/>
          </a:prstGeom>
          <a:ln>
            <a:solidFill>
              <a:schemeClr val="tx1"/>
            </a:solidFill>
          </a:ln>
        </xdr:spPr>
      </xdr:pic>
      <xdr:sp macro="" textlink="">
        <xdr:nvSpPr>
          <xdr:cNvPr id="37" name="Rectangle 36"/>
          <xdr:cNvSpPr/>
        </xdr:nvSpPr>
        <xdr:spPr>
          <a:xfrm>
            <a:off x="387351" y="51809650"/>
            <a:ext cx="1277858" cy="305146"/>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Mahalaxmi B</a:t>
            </a:r>
          </a:p>
        </xdr:txBody>
      </xdr:sp>
      <xdr:sp macro="" textlink="">
        <xdr:nvSpPr>
          <xdr:cNvPr id="38" name="Rectangle 37"/>
          <xdr:cNvSpPr/>
        </xdr:nvSpPr>
        <xdr:spPr>
          <a:xfrm>
            <a:off x="3430110" y="51923950"/>
            <a:ext cx="1277858" cy="305146"/>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Mahalaxmi B</a:t>
            </a:r>
          </a:p>
        </xdr:txBody>
      </xdr:sp>
      <xdr:sp macro="" textlink="">
        <xdr:nvSpPr>
          <xdr:cNvPr id="39" name="Rectangle 38"/>
          <xdr:cNvSpPr/>
        </xdr:nvSpPr>
        <xdr:spPr>
          <a:xfrm>
            <a:off x="5691819" y="51904900"/>
            <a:ext cx="1277858" cy="305146"/>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Mahalaxmi B</a:t>
            </a:r>
          </a:p>
        </xdr:txBody>
      </xdr:sp>
      <xdr:sp macro="" textlink="">
        <xdr:nvSpPr>
          <xdr:cNvPr id="40" name="Rectangle 39"/>
          <xdr:cNvSpPr/>
        </xdr:nvSpPr>
        <xdr:spPr>
          <a:xfrm>
            <a:off x="406400" y="54745947"/>
            <a:ext cx="1277858" cy="298796"/>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Mahalaxmi A</a:t>
            </a:r>
          </a:p>
        </xdr:txBody>
      </xdr:sp>
      <xdr:sp macro="" textlink="">
        <xdr:nvSpPr>
          <xdr:cNvPr id="41" name="Rectangle 40"/>
          <xdr:cNvSpPr/>
        </xdr:nvSpPr>
        <xdr:spPr>
          <a:xfrm>
            <a:off x="3652359" y="55012647"/>
            <a:ext cx="1034055" cy="374455"/>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solidFill>
                  <a:sysClr val="windowText" lastClr="000000"/>
                </a:solidFill>
              </a:rPr>
              <a:t>Padmavati</a:t>
            </a:r>
            <a:r>
              <a:rPr lang="en-IN" b="1">
                <a:solidFill>
                  <a:srgbClr val="FF0000"/>
                </a:solidFill>
              </a:rPr>
              <a:t> </a:t>
            </a:r>
          </a:p>
        </xdr:txBody>
      </xdr:sp>
      <xdr:pic>
        <xdr:nvPicPr>
          <xdr:cNvPr id="42" name="Picture 4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814822" y="57492900"/>
            <a:ext cx="2158000" cy="162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543936" y="57492900"/>
            <a:ext cx="2158000" cy="1620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73050" y="57492900"/>
            <a:ext cx="2158000" cy="16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0</xdr:colOff>
      <xdr:row>32</xdr:row>
      <xdr:rowOff>171450</xdr:rowOff>
    </xdr:to>
    <xdr:pic>
      <xdr:nvPicPr>
        <xdr:cNvPr id="8196" name="Picture 1">
          <a:extLst>
            <a:ext uri="{FF2B5EF4-FFF2-40B4-BE49-F238E27FC236}">
              <a16:creationId xmlns:a16="http://schemas.microsoft.com/office/drawing/2014/main" id="{00000000-0008-0000-0100-000004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2676525"/>
          <a:ext cx="64008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6JfWmVxTQuxXP5Q7?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2"/>
  <sheetViews>
    <sheetView tabSelected="1" view="pageBreakPreview" topLeftCell="A239" zoomScaleNormal="100" zoomScaleSheetLayoutView="100" zoomScalePageLayoutView="70" workbookViewId="0">
      <selection activeCell="A246" sqref="A246:J246"/>
    </sheetView>
  </sheetViews>
  <sheetFormatPr defaultRowHeight="14.5" x14ac:dyDescent="0.35"/>
  <cols>
    <col min="1" max="1" width="11.26953125" customWidth="1"/>
    <col min="2" max="2" width="12.453125" customWidth="1"/>
    <col min="3" max="3" width="13.7265625" customWidth="1"/>
    <col min="4" max="4" width="8.26953125" customWidth="1"/>
    <col min="5" max="5" width="7.26953125" customWidth="1"/>
    <col min="6" max="6" width="8.453125" customWidth="1"/>
    <col min="7" max="7" width="7.81640625" customWidth="1"/>
    <col min="8" max="8" width="10.54296875" customWidth="1"/>
    <col min="9" max="9" width="10.453125" customWidth="1"/>
    <col min="10" max="10" width="12.1796875" customWidth="1"/>
    <col min="11" max="11" width="26.54296875" customWidth="1"/>
    <col min="12" max="12" width="10.7265625" customWidth="1"/>
    <col min="13" max="13" width="6.453125" customWidth="1"/>
    <col min="19" max="19" width="14.7265625" customWidth="1"/>
  </cols>
  <sheetData>
    <row r="1" spans="1:10" ht="43.9" customHeight="1" x14ac:dyDescent="0.35">
      <c r="A1" s="148" t="s">
        <v>262</v>
      </c>
      <c r="B1" s="149"/>
      <c r="C1" s="149"/>
      <c r="D1" s="149"/>
      <c r="E1" s="149"/>
      <c r="F1" s="149"/>
      <c r="G1" s="149"/>
      <c r="H1" s="149"/>
      <c r="I1" s="149"/>
      <c r="J1" s="150"/>
    </row>
    <row r="2" spans="1:10" x14ac:dyDescent="0.35">
      <c r="A2" s="182" t="s">
        <v>41</v>
      </c>
      <c r="B2" s="183"/>
      <c r="C2" s="183"/>
      <c r="D2" s="183"/>
      <c r="E2" s="183"/>
      <c r="F2" s="183"/>
      <c r="G2" s="183"/>
      <c r="H2" s="183"/>
      <c r="I2" s="183"/>
      <c r="J2" s="184"/>
    </row>
    <row r="3" spans="1:10" x14ac:dyDescent="0.35">
      <c r="A3" s="59" t="s">
        <v>0</v>
      </c>
      <c r="B3" s="60"/>
      <c r="C3" s="60"/>
      <c r="D3" s="238" t="str">
        <f ca="1">TEXT(TODAY(),"DD/MM/YYYY")</f>
        <v>19/09/2025</v>
      </c>
      <c r="E3" s="239"/>
      <c r="F3" s="239"/>
      <c r="G3" s="239"/>
      <c r="H3" s="239"/>
      <c r="I3" s="239"/>
      <c r="J3" s="240"/>
    </row>
    <row r="4" spans="1:10" x14ac:dyDescent="0.35">
      <c r="A4" s="59" t="s">
        <v>1</v>
      </c>
      <c r="B4" s="60"/>
      <c r="C4" s="60"/>
      <c r="D4" s="217" t="s">
        <v>123</v>
      </c>
      <c r="E4" s="225"/>
      <c r="F4" s="225"/>
      <c r="G4" s="225"/>
      <c r="H4" s="225"/>
      <c r="I4" s="225"/>
      <c r="J4" s="218"/>
    </row>
    <row r="5" spans="1:10" x14ac:dyDescent="0.35">
      <c r="A5" s="59" t="s">
        <v>2</v>
      </c>
      <c r="B5" s="60"/>
      <c r="C5" s="60"/>
      <c r="D5" s="238">
        <v>45918</v>
      </c>
      <c r="E5" s="239"/>
      <c r="F5" s="239"/>
      <c r="G5" s="239"/>
      <c r="H5" s="239"/>
      <c r="I5" s="239"/>
      <c r="J5" s="240"/>
    </row>
    <row r="6" spans="1:10" ht="15" customHeight="1" x14ac:dyDescent="0.35">
      <c r="A6" s="59" t="s">
        <v>121</v>
      </c>
      <c r="B6" s="60"/>
      <c r="C6" s="60"/>
      <c r="D6" s="67" t="s">
        <v>248</v>
      </c>
      <c r="E6" s="110"/>
      <c r="F6" s="110"/>
      <c r="G6" s="110"/>
      <c r="H6" s="110"/>
      <c r="I6" s="110"/>
      <c r="J6" s="68"/>
    </row>
    <row r="7" spans="1:10" ht="15" customHeight="1" x14ac:dyDescent="0.35">
      <c r="A7" s="59" t="s">
        <v>3</v>
      </c>
      <c r="B7" s="60"/>
      <c r="C7" s="60"/>
      <c r="D7" s="67" t="s">
        <v>248</v>
      </c>
      <c r="E7" s="110"/>
      <c r="F7" s="110"/>
      <c r="G7" s="110"/>
      <c r="H7" s="110"/>
      <c r="I7" s="110"/>
      <c r="J7" s="68"/>
    </row>
    <row r="8" spans="1:10" x14ac:dyDescent="0.35">
      <c r="A8" s="59" t="s">
        <v>4</v>
      </c>
      <c r="B8" s="60"/>
      <c r="C8" s="60"/>
      <c r="D8" s="160" t="s">
        <v>137</v>
      </c>
      <c r="E8" s="161"/>
      <c r="F8" s="161"/>
      <c r="G8" s="161"/>
      <c r="H8" s="161"/>
      <c r="I8" s="161"/>
      <c r="J8" s="162"/>
    </row>
    <row r="9" spans="1:10" x14ac:dyDescent="0.35">
      <c r="A9" s="59" t="s">
        <v>93</v>
      </c>
      <c r="B9" s="60"/>
      <c r="C9" s="60"/>
      <c r="D9" s="61">
        <v>2227891969</v>
      </c>
      <c r="E9" s="62"/>
      <c r="F9" s="62"/>
      <c r="G9" s="62"/>
      <c r="H9" s="62"/>
      <c r="I9" s="62"/>
      <c r="J9" s="63"/>
    </row>
    <row r="10" spans="1:10" hidden="1" x14ac:dyDescent="0.35">
      <c r="A10" s="67" t="s">
        <v>259</v>
      </c>
      <c r="B10" s="60"/>
      <c r="C10" s="60"/>
      <c r="D10" s="61" t="s">
        <v>269</v>
      </c>
      <c r="E10" s="62"/>
      <c r="F10" s="62"/>
      <c r="G10" s="62"/>
      <c r="H10" s="62"/>
      <c r="I10" s="62"/>
      <c r="J10" s="63"/>
    </row>
    <row r="11" spans="1:10" x14ac:dyDescent="0.35">
      <c r="A11" s="59" t="s">
        <v>94</v>
      </c>
      <c r="B11" s="60"/>
      <c r="C11" s="60"/>
      <c r="D11" s="61" t="s">
        <v>236</v>
      </c>
      <c r="E11" s="62"/>
      <c r="F11" s="62"/>
      <c r="G11" s="62"/>
      <c r="H11" s="62"/>
      <c r="I11" s="62"/>
      <c r="J11" s="63"/>
    </row>
    <row r="12" spans="1:10" ht="15" customHeight="1" x14ac:dyDescent="0.35">
      <c r="A12" s="59" t="s">
        <v>5</v>
      </c>
      <c r="B12" s="60"/>
      <c r="C12" s="60"/>
      <c r="D12" s="67" t="s">
        <v>124</v>
      </c>
      <c r="E12" s="110"/>
      <c r="F12" s="110"/>
      <c r="G12" s="110"/>
      <c r="H12" s="110"/>
      <c r="I12" s="110"/>
      <c r="J12" s="68"/>
    </row>
    <row r="13" spans="1:10" ht="46.5" customHeight="1" x14ac:dyDescent="0.35">
      <c r="A13" s="59" t="s">
        <v>127</v>
      </c>
      <c r="B13" s="60"/>
      <c r="C13" s="60"/>
      <c r="D13" s="67" t="s">
        <v>136</v>
      </c>
      <c r="E13" s="110"/>
      <c r="F13" s="110"/>
      <c r="G13" s="110"/>
      <c r="H13" s="110"/>
      <c r="I13" s="110"/>
      <c r="J13" s="68"/>
    </row>
    <row r="14" spans="1:10" ht="29.25" customHeight="1" x14ac:dyDescent="0.35">
      <c r="A14" s="141" t="s">
        <v>53</v>
      </c>
      <c r="B14" s="141"/>
      <c r="C14" s="67" t="s">
        <v>144</v>
      </c>
      <c r="D14" s="110"/>
      <c r="E14" s="110"/>
      <c r="F14" s="110"/>
      <c r="G14" s="110"/>
      <c r="H14" s="110"/>
      <c r="I14" s="110"/>
      <c r="J14" s="68"/>
    </row>
    <row r="15" spans="1:10" ht="31.5" customHeight="1" x14ac:dyDescent="0.35">
      <c r="A15" s="61" t="s">
        <v>184</v>
      </c>
      <c r="B15" s="63"/>
      <c r="C15" s="157" t="s">
        <v>138</v>
      </c>
      <c r="D15" s="158"/>
      <c r="E15" s="158"/>
      <c r="F15" s="158"/>
      <c r="G15" s="159"/>
      <c r="H15" s="3" t="s">
        <v>54</v>
      </c>
      <c r="I15" s="138" t="s">
        <v>140</v>
      </c>
      <c r="J15" s="139"/>
    </row>
    <row r="16" spans="1:10" x14ac:dyDescent="0.35">
      <c r="A16" s="2" t="s">
        <v>6</v>
      </c>
      <c r="B16" s="217" t="s">
        <v>141</v>
      </c>
      <c r="C16" s="225"/>
      <c r="D16" s="218"/>
      <c r="E16" s="226" t="s">
        <v>55</v>
      </c>
      <c r="F16" s="227"/>
      <c r="G16" s="61" t="s">
        <v>142</v>
      </c>
      <c r="H16" s="62"/>
      <c r="I16" s="62"/>
      <c r="J16" s="63"/>
    </row>
    <row r="17" spans="1:10" x14ac:dyDescent="0.35">
      <c r="A17" s="2" t="s">
        <v>7</v>
      </c>
      <c r="B17" s="217" t="s">
        <v>143</v>
      </c>
      <c r="C17" s="225"/>
      <c r="D17" s="218"/>
      <c r="E17" s="226" t="s">
        <v>56</v>
      </c>
      <c r="F17" s="227"/>
      <c r="G17" s="61">
        <v>421201</v>
      </c>
      <c r="H17" s="62"/>
      <c r="I17" s="62"/>
      <c r="J17" s="63"/>
    </row>
    <row r="18" spans="1:10" ht="31.5" customHeight="1" x14ac:dyDescent="0.35">
      <c r="A18" s="141" t="s">
        <v>57</v>
      </c>
      <c r="B18" s="141"/>
      <c r="C18" s="234" t="s">
        <v>139</v>
      </c>
      <c r="D18" s="234"/>
      <c r="E18" s="234"/>
      <c r="F18" s="140" t="s">
        <v>48</v>
      </c>
      <c r="G18" s="140"/>
      <c r="H18" s="146" t="s">
        <v>247</v>
      </c>
      <c r="I18" s="146"/>
      <c r="J18" s="147"/>
    </row>
    <row r="19" spans="1:10" ht="15" customHeight="1" x14ac:dyDescent="0.35">
      <c r="A19" s="163" t="s">
        <v>174</v>
      </c>
      <c r="B19" s="164"/>
      <c r="C19" s="164"/>
      <c r="D19" s="164"/>
      <c r="E19" s="165"/>
      <c r="F19" s="154" t="s">
        <v>126</v>
      </c>
      <c r="G19" s="155"/>
      <c r="H19" s="155"/>
      <c r="I19" s="155"/>
      <c r="J19" s="156"/>
    </row>
    <row r="20" spans="1:10" x14ac:dyDescent="0.35">
      <c r="A20" s="235"/>
      <c r="B20" s="236"/>
      <c r="C20" s="236"/>
      <c r="D20" s="236"/>
      <c r="E20" s="237"/>
      <c r="F20" s="249"/>
      <c r="G20" s="250"/>
      <c r="H20" s="250"/>
      <c r="I20" s="250"/>
      <c r="J20" s="251"/>
    </row>
    <row r="21" spans="1:10" ht="15" customHeight="1" x14ac:dyDescent="0.35">
      <c r="A21" s="163" t="s">
        <v>95</v>
      </c>
      <c r="B21" s="232"/>
      <c r="C21" s="232"/>
      <c r="D21" s="232"/>
      <c r="E21" s="233"/>
      <c r="F21" s="163" t="s">
        <v>43</v>
      </c>
      <c r="G21" s="164"/>
      <c r="H21" s="164"/>
      <c r="I21" s="164"/>
      <c r="J21" s="165"/>
    </row>
    <row r="22" spans="1:10" x14ac:dyDescent="0.35">
      <c r="A22" s="59" t="s">
        <v>8</v>
      </c>
      <c r="B22" s="60"/>
      <c r="C22" s="60"/>
      <c r="D22" s="60"/>
      <c r="E22" s="136"/>
      <c r="F22" s="214" t="s">
        <v>148</v>
      </c>
      <c r="G22" s="215"/>
      <c r="H22" s="215"/>
      <c r="I22" s="215"/>
      <c r="J22" s="216"/>
    </row>
    <row r="23" spans="1:10" x14ac:dyDescent="0.35">
      <c r="A23" s="59" t="s">
        <v>9</v>
      </c>
      <c r="B23" s="60"/>
      <c r="C23" s="60"/>
      <c r="D23" s="60"/>
      <c r="E23" s="136"/>
      <c r="F23" s="211" t="s">
        <v>49</v>
      </c>
      <c r="G23" s="212"/>
      <c r="H23" s="212"/>
      <c r="I23" s="212"/>
      <c r="J23" s="213"/>
    </row>
    <row r="24" spans="1:10" x14ac:dyDescent="0.35">
      <c r="A24" s="59" t="s">
        <v>10</v>
      </c>
      <c r="B24" s="60"/>
      <c r="C24" s="60"/>
      <c r="D24" s="60"/>
      <c r="E24" s="136"/>
      <c r="F24" s="214" t="s">
        <v>149</v>
      </c>
      <c r="G24" s="215"/>
      <c r="H24" s="215"/>
      <c r="I24" s="215"/>
      <c r="J24" s="216"/>
    </row>
    <row r="25" spans="1:10" x14ac:dyDescent="0.35">
      <c r="A25" s="59" t="s">
        <v>27</v>
      </c>
      <c r="B25" s="60"/>
      <c r="C25" s="60"/>
      <c r="D25" s="60"/>
      <c r="E25" s="136"/>
      <c r="F25" s="211" t="s">
        <v>58</v>
      </c>
      <c r="G25" s="197"/>
      <c r="H25" s="197"/>
      <c r="I25" s="197"/>
      <c r="J25" s="198"/>
    </row>
    <row r="26" spans="1:10" x14ac:dyDescent="0.35">
      <c r="A26" s="230" t="s">
        <v>11</v>
      </c>
      <c r="B26" s="231"/>
      <c r="C26" s="230" t="s">
        <v>12</v>
      </c>
      <c r="D26" s="231"/>
      <c r="E26" s="226" t="s">
        <v>13</v>
      </c>
      <c r="F26" s="231"/>
      <c r="G26" s="226" t="s">
        <v>47</v>
      </c>
      <c r="H26" s="227"/>
      <c r="I26" s="230" t="s">
        <v>14</v>
      </c>
      <c r="J26" s="231"/>
    </row>
    <row r="27" spans="1:10" x14ac:dyDescent="0.35">
      <c r="A27" s="226" t="s">
        <v>15</v>
      </c>
      <c r="B27" s="227"/>
      <c r="C27" s="226" t="s">
        <v>46</v>
      </c>
      <c r="D27" s="227"/>
      <c r="E27" s="226" t="s">
        <v>46</v>
      </c>
      <c r="F27" s="227"/>
      <c r="G27" s="226" t="s">
        <v>46</v>
      </c>
      <c r="H27" s="227"/>
      <c r="I27" s="226" t="s">
        <v>46</v>
      </c>
      <c r="J27" s="227"/>
    </row>
    <row r="28" spans="1:10" ht="15" customHeight="1" x14ac:dyDescent="0.35">
      <c r="A28" s="228" t="s">
        <v>16</v>
      </c>
      <c r="B28" s="229"/>
      <c r="C28" s="143" t="s">
        <v>147</v>
      </c>
      <c r="D28" s="144"/>
      <c r="E28" s="143" t="s">
        <v>6</v>
      </c>
      <c r="F28" s="144"/>
      <c r="G28" s="143" t="s">
        <v>145</v>
      </c>
      <c r="H28" s="144"/>
      <c r="I28" s="143" t="s">
        <v>146</v>
      </c>
      <c r="J28" s="144"/>
    </row>
    <row r="29" spans="1:10" x14ac:dyDescent="0.35">
      <c r="A29" s="217" t="s">
        <v>51</v>
      </c>
      <c r="B29" s="225"/>
      <c r="C29" s="225"/>
      <c r="D29" s="225"/>
      <c r="E29" s="225"/>
      <c r="F29" s="225"/>
      <c r="G29" s="225"/>
      <c r="H29" s="225"/>
      <c r="I29" s="225"/>
      <c r="J29" s="218"/>
    </row>
    <row r="30" spans="1:10" x14ac:dyDescent="0.35">
      <c r="A30" s="217" t="s">
        <v>122</v>
      </c>
      <c r="B30" s="225"/>
      <c r="C30" s="225"/>
      <c r="D30" s="225"/>
      <c r="E30" s="225"/>
      <c r="F30" s="225"/>
      <c r="G30" s="225"/>
      <c r="H30" s="225"/>
      <c r="I30" s="225"/>
      <c r="J30" s="218"/>
    </row>
    <row r="31" spans="1:10" x14ac:dyDescent="0.35">
      <c r="A31" s="217" t="s">
        <v>38</v>
      </c>
      <c r="B31" s="218"/>
      <c r="C31" s="217" t="s">
        <v>270</v>
      </c>
      <c r="D31" s="225"/>
      <c r="E31" s="225"/>
      <c r="F31" s="225"/>
      <c r="G31" s="225"/>
      <c r="H31" s="225"/>
      <c r="I31" s="225"/>
      <c r="J31" s="218"/>
    </row>
    <row r="32" spans="1:10" x14ac:dyDescent="0.35">
      <c r="A32" s="217" t="s">
        <v>260</v>
      </c>
      <c r="B32" s="218"/>
      <c r="C32" s="224" t="s">
        <v>261</v>
      </c>
      <c r="D32" s="225"/>
      <c r="E32" s="225"/>
      <c r="F32" s="225"/>
      <c r="G32" s="225"/>
      <c r="H32" s="225"/>
      <c r="I32" s="225"/>
      <c r="J32" s="218"/>
    </row>
    <row r="33" spans="1:10" x14ac:dyDescent="0.35">
      <c r="A33" s="160" t="s">
        <v>17</v>
      </c>
      <c r="B33" s="161"/>
      <c r="C33" s="161"/>
      <c r="D33" s="161"/>
      <c r="E33" s="161"/>
      <c r="F33" s="161"/>
      <c r="G33" s="161"/>
      <c r="H33" s="161"/>
      <c r="I33" s="161"/>
      <c r="J33" s="162"/>
    </row>
    <row r="34" spans="1:10" ht="15" customHeight="1" x14ac:dyDescent="0.35">
      <c r="A34" s="140" t="s">
        <v>150</v>
      </c>
      <c r="B34" s="140"/>
      <c r="C34" s="140"/>
      <c r="D34" s="140"/>
      <c r="E34" s="140"/>
      <c r="F34" s="140"/>
      <c r="G34" s="140"/>
      <c r="H34" s="140"/>
      <c r="I34" s="140"/>
      <c r="J34" s="140"/>
    </row>
    <row r="35" spans="1:10" x14ac:dyDescent="0.35">
      <c r="A35" s="140"/>
      <c r="B35" s="140"/>
      <c r="C35" s="140"/>
      <c r="D35" s="140"/>
      <c r="E35" s="140"/>
      <c r="F35" s="140"/>
      <c r="G35" s="140"/>
      <c r="H35" s="140"/>
      <c r="I35" s="140"/>
      <c r="J35" s="140"/>
    </row>
    <row r="36" spans="1:10" ht="16.5" customHeight="1" x14ac:dyDescent="0.35">
      <c r="A36" s="141" t="s">
        <v>59</v>
      </c>
      <c r="B36" s="151"/>
      <c r="C36" s="151"/>
      <c r="D36" s="151"/>
      <c r="E36" s="151"/>
      <c r="F36" s="140">
        <v>7846</v>
      </c>
      <c r="G36" s="140"/>
      <c r="H36" s="140"/>
      <c r="I36" s="140"/>
      <c r="J36" s="140"/>
    </row>
    <row r="37" spans="1:10" x14ac:dyDescent="0.35">
      <c r="A37" s="151" t="s">
        <v>18</v>
      </c>
      <c r="B37" s="151"/>
      <c r="C37" s="151"/>
      <c r="D37" s="151"/>
      <c r="E37" s="151"/>
      <c r="F37" s="141">
        <v>1</v>
      </c>
      <c r="G37" s="141"/>
      <c r="H37" s="141"/>
      <c r="I37" s="141"/>
      <c r="J37" s="141"/>
    </row>
    <row r="38" spans="1:10" x14ac:dyDescent="0.35">
      <c r="A38" s="151" t="s">
        <v>19</v>
      </c>
      <c r="B38" s="151"/>
      <c r="C38" s="151"/>
      <c r="D38" s="151"/>
      <c r="E38" s="151"/>
      <c r="F38" s="141">
        <v>0.76500000000000001</v>
      </c>
      <c r="G38" s="141"/>
      <c r="H38" s="141"/>
      <c r="I38" s="141"/>
      <c r="J38" s="141"/>
    </row>
    <row r="39" spans="1:10" x14ac:dyDescent="0.35">
      <c r="A39" s="151" t="s">
        <v>20</v>
      </c>
      <c r="B39" s="151"/>
      <c r="C39" s="151"/>
      <c r="D39" s="151"/>
      <c r="E39" s="151"/>
      <c r="F39" s="141">
        <f>F37+F38</f>
        <v>1.7650000000000001</v>
      </c>
      <c r="G39" s="141"/>
      <c r="H39" s="141"/>
      <c r="I39" s="141"/>
      <c r="J39" s="141"/>
    </row>
    <row r="40" spans="1:10" x14ac:dyDescent="0.35">
      <c r="A40" s="141" t="s">
        <v>60</v>
      </c>
      <c r="B40" s="151"/>
      <c r="C40" s="151"/>
      <c r="D40" s="151"/>
      <c r="E40" s="151"/>
      <c r="F40" s="219">
        <v>13867.82</v>
      </c>
      <c r="G40" s="219"/>
      <c r="H40" s="219"/>
      <c r="I40" s="219"/>
      <c r="J40" s="219"/>
    </row>
    <row r="41" spans="1:10" x14ac:dyDescent="0.35">
      <c r="A41" s="151" t="s">
        <v>21</v>
      </c>
      <c r="B41" s="151"/>
      <c r="C41" s="151"/>
      <c r="D41" s="151"/>
      <c r="E41" s="151"/>
      <c r="F41" s="141" t="s">
        <v>196</v>
      </c>
      <c r="G41" s="141"/>
      <c r="H41" s="141"/>
      <c r="I41" s="141"/>
      <c r="J41" s="141"/>
    </row>
    <row r="42" spans="1:10" x14ac:dyDescent="0.35">
      <c r="A42" s="222" t="s">
        <v>62</v>
      </c>
      <c r="B42" s="222"/>
      <c r="C42" s="222"/>
      <c r="D42" s="222"/>
      <c r="E42" s="222"/>
      <c r="F42" s="222"/>
      <c r="G42" s="222"/>
      <c r="H42" s="222"/>
      <c r="I42" s="222"/>
      <c r="J42" s="222"/>
    </row>
    <row r="43" spans="1:10" ht="15" customHeight="1" x14ac:dyDescent="0.35">
      <c r="A43" s="140" t="s">
        <v>61</v>
      </c>
      <c r="B43" s="140"/>
      <c r="C43" s="142" t="s">
        <v>252</v>
      </c>
      <c r="D43" s="142"/>
      <c r="E43" s="142"/>
      <c r="F43" s="142"/>
      <c r="G43" s="4" t="s">
        <v>52</v>
      </c>
      <c r="H43" s="220">
        <v>44664</v>
      </c>
      <c r="I43" s="252"/>
      <c r="J43" s="252"/>
    </row>
    <row r="44" spans="1:10" ht="33" customHeight="1" x14ac:dyDescent="0.35">
      <c r="A44" s="140" t="s">
        <v>256</v>
      </c>
      <c r="B44" s="141"/>
      <c r="C44" s="142" t="s">
        <v>249</v>
      </c>
      <c r="D44" s="142"/>
      <c r="E44" s="142"/>
      <c r="F44" s="142"/>
      <c r="G44" s="4" t="s">
        <v>52</v>
      </c>
      <c r="H44" s="220">
        <v>43352</v>
      </c>
      <c r="I44" s="252" t="s">
        <v>44</v>
      </c>
      <c r="J44" s="252"/>
    </row>
    <row r="45" spans="1:10" ht="47.25" customHeight="1" x14ac:dyDescent="0.35">
      <c r="A45" s="140" t="s">
        <v>253</v>
      </c>
      <c r="B45" s="141"/>
      <c r="C45" s="142" t="str">
        <f>C43</f>
        <v>KDMP/NRV/BP/DV/2017-18/37/33</v>
      </c>
      <c r="D45" s="142"/>
      <c r="E45" s="142"/>
      <c r="F45" s="142"/>
      <c r="G45" s="4" t="s">
        <v>52</v>
      </c>
      <c r="H45" s="220">
        <f>H43</f>
        <v>44664</v>
      </c>
      <c r="I45" s="220" t="s">
        <v>44</v>
      </c>
      <c r="J45" s="220"/>
    </row>
    <row r="46" spans="1:10" ht="45" customHeight="1" x14ac:dyDescent="0.35">
      <c r="A46" s="67" t="s">
        <v>96</v>
      </c>
      <c r="B46" s="68"/>
      <c r="C46" s="69" t="s">
        <v>199</v>
      </c>
      <c r="D46" s="70"/>
      <c r="E46" s="70"/>
      <c r="F46" s="71"/>
      <c r="G46" s="4" t="s">
        <v>52</v>
      </c>
      <c r="H46" s="72">
        <f>H44</f>
        <v>43352</v>
      </c>
      <c r="I46" s="73"/>
      <c r="J46" s="74"/>
    </row>
    <row r="47" spans="1:10" ht="63" customHeight="1" x14ac:dyDescent="0.35">
      <c r="A47" s="67" t="s">
        <v>257</v>
      </c>
      <c r="B47" s="68"/>
      <c r="C47" s="69" t="s">
        <v>258</v>
      </c>
      <c r="D47" s="70"/>
      <c r="E47" s="70"/>
      <c r="F47" s="71"/>
      <c r="G47" s="4" t="s">
        <v>52</v>
      </c>
      <c r="H47" s="72">
        <v>44664</v>
      </c>
      <c r="I47" s="73"/>
      <c r="J47" s="74"/>
    </row>
    <row r="48" spans="1:10" ht="43.5" customHeight="1" x14ac:dyDescent="0.35">
      <c r="A48" s="221" t="s">
        <v>264</v>
      </c>
      <c r="B48" s="222"/>
      <c r="C48" s="221" t="s">
        <v>263</v>
      </c>
      <c r="D48" s="222"/>
      <c r="E48" s="222"/>
      <c r="F48" s="222"/>
      <c r="G48" s="52" t="s">
        <v>52</v>
      </c>
      <c r="H48" s="223">
        <v>44026</v>
      </c>
      <c r="I48" s="222"/>
      <c r="J48" s="222"/>
    </row>
    <row r="49" spans="1:16" ht="43.5" customHeight="1" x14ac:dyDescent="0.35">
      <c r="A49" s="221" t="s">
        <v>265</v>
      </c>
      <c r="B49" s="222"/>
      <c r="C49" s="221" t="s">
        <v>266</v>
      </c>
      <c r="D49" s="222"/>
      <c r="E49" s="222"/>
      <c r="F49" s="222"/>
      <c r="G49" s="52" t="s">
        <v>52</v>
      </c>
      <c r="H49" s="223">
        <v>45140</v>
      </c>
      <c r="I49" s="222"/>
      <c r="J49" s="222"/>
    </row>
    <row r="50" spans="1:16" x14ac:dyDescent="0.35">
      <c r="A50" s="141" t="s">
        <v>65</v>
      </c>
      <c r="B50" s="141"/>
      <c r="C50" s="141"/>
      <c r="D50" s="244">
        <f>H46</f>
        <v>43352</v>
      </c>
      <c r="E50" s="244"/>
      <c r="F50" s="67" t="s">
        <v>63</v>
      </c>
      <c r="G50" s="110"/>
      <c r="H50" s="68"/>
      <c r="I50" s="111">
        <v>46022</v>
      </c>
      <c r="J50" s="112"/>
    </row>
    <row r="51" spans="1:16" x14ac:dyDescent="0.35">
      <c r="A51" s="241" t="s">
        <v>22</v>
      </c>
      <c r="B51" s="242"/>
      <c r="C51" s="242"/>
      <c r="D51" s="242"/>
      <c r="E51" s="242"/>
      <c r="F51" s="242"/>
      <c r="G51" s="242"/>
      <c r="H51" s="242"/>
      <c r="I51" s="242"/>
      <c r="J51" s="243"/>
    </row>
    <row r="52" spans="1:16" ht="30" customHeight="1" x14ac:dyDescent="0.35">
      <c r="A52" s="154" t="s">
        <v>92</v>
      </c>
      <c r="B52" s="155"/>
      <c r="C52" s="156"/>
      <c r="D52" s="152">
        <f>F40</f>
        <v>13867.82</v>
      </c>
      <c r="E52" s="153"/>
      <c r="F52" s="143" t="s">
        <v>182</v>
      </c>
      <c r="G52" s="144"/>
      <c r="H52" s="145" t="s">
        <v>255</v>
      </c>
      <c r="I52" s="146"/>
      <c r="J52" s="147"/>
    </row>
    <row r="53" spans="1:16" ht="32.25" customHeight="1" x14ac:dyDescent="0.35">
      <c r="A53" s="207" t="s">
        <v>64</v>
      </c>
      <c r="B53" s="207"/>
      <c r="C53" s="256" t="s">
        <v>200</v>
      </c>
      <c r="D53" s="256"/>
      <c r="E53" s="256"/>
      <c r="F53" s="256"/>
      <c r="G53" s="256"/>
      <c r="H53" s="256"/>
      <c r="I53" s="256"/>
      <c r="J53" s="256"/>
    </row>
    <row r="54" spans="1:16" ht="32.25" customHeight="1" x14ac:dyDescent="0.35">
      <c r="A54" s="207" t="s">
        <v>251</v>
      </c>
      <c r="B54" s="207"/>
      <c r="C54" s="256" t="s">
        <v>200</v>
      </c>
      <c r="D54" s="256"/>
      <c r="E54" s="256"/>
      <c r="F54" s="256"/>
      <c r="G54" s="256"/>
      <c r="H54" s="256"/>
      <c r="I54" s="256"/>
      <c r="J54" s="256"/>
    </row>
    <row r="55" spans="1:16" x14ac:dyDescent="0.35">
      <c r="A55" s="56" t="s">
        <v>130</v>
      </c>
      <c r="B55" s="56"/>
      <c r="C55" s="56"/>
      <c r="D55" s="207" t="s">
        <v>50</v>
      </c>
      <c r="E55" s="207"/>
      <c r="F55" s="207"/>
      <c r="G55" s="207"/>
      <c r="H55" s="207"/>
      <c r="I55" s="207"/>
      <c r="J55" s="207"/>
    </row>
    <row r="56" spans="1:16" x14ac:dyDescent="0.35">
      <c r="A56" s="141" t="s">
        <v>128</v>
      </c>
      <c r="B56" s="141"/>
      <c r="C56" s="141"/>
      <c r="D56" s="141"/>
      <c r="E56" s="141"/>
      <c r="F56" s="141"/>
      <c r="G56" s="141"/>
      <c r="H56" s="141"/>
      <c r="I56" s="141"/>
      <c r="J56" s="141"/>
    </row>
    <row r="57" spans="1:16" ht="15.75" hidden="1" customHeight="1" x14ac:dyDescent="0.35">
      <c r="A57" s="123" t="s">
        <v>201</v>
      </c>
      <c r="B57" s="123"/>
      <c r="C57" s="124" t="s">
        <v>234</v>
      </c>
      <c r="D57" s="124"/>
      <c r="E57" s="124"/>
      <c r="F57" s="124"/>
      <c r="G57" s="124"/>
      <c r="H57" s="124"/>
      <c r="I57" s="124"/>
      <c r="J57" s="124"/>
      <c r="K57" s="38"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All work completed. Please provide OC.</v>
      </c>
      <c r="L57" s="38"/>
    </row>
    <row r="58" spans="1:16" ht="15.5" hidden="1" x14ac:dyDescent="0.35">
      <c r="A58" s="54" t="s">
        <v>202</v>
      </c>
      <c r="B58" s="54">
        <v>0</v>
      </c>
      <c r="C58" s="54" t="s">
        <v>203</v>
      </c>
      <c r="D58" s="54">
        <v>1</v>
      </c>
      <c r="E58" s="125" t="s">
        <v>204</v>
      </c>
      <c r="F58" s="125"/>
      <c r="G58" s="54">
        <v>0</v>
      </c>
      <c r="H58" s="54" t="s">
        <v>205</v>
      </c>
      <c r="I58" s="125">
        <f ca="1">--TRIM(RIGHT(SUBSTITUTE(LEFT(C57,_xlfn.AGGREGATE(16,6,FIND({0,1,2,3,4,5,6,7,8,9},C57,ROW(INDIRECT("1:"&amp;LEN(C57)))),1))," ",REPT(" ",LEN(C57))),LEN(C57)))</f>
        <v>7</v>
      </c>
      <c r="J58" s="125"/>
      <c r="K58" s="38"/>
      <c r="L58" s="38"/>
    </row>
    <row r="59" spans="1:16" ht="15.75" hidden="1" customHeight="1" x14ac:dyDescent="0.35">
      <c r="A59" s="137" t="s">
        <v>206</v>
      </c>
      <c r="B59" s="137"/>
      <c r="C59" s="124" t="str">
        <f>K59</f>
        <v>All work Completed. OC Received.</v>
      </c>
      <c r="D59" s="124"/>
      <c r="E59" s="124"/>
      <c r="F59" s="124"/>
      <c r="G59" s="124"/>
      <c r="H59" s="124"/>
      <c r="I59" s="124"/>
      <c r="J59" s="124"/>
      <c r="K59" s="38" t="s">
        <v>207</v>
      </c>
      <c r="L59" s="38"/>
    </row>
    <row r="60" spans="1:16" ht="15.75" hidden="1" customHeight="1" x14ac:dyDescent="0.35">
      <c r="A60" s="125" t="s">
        <v>33</v>
      </c>
      <c r="B60" s="125"/>
      <c r="C60" s="55" t="s">
        <v>208</v>
      </c>
      <c r="D60" s="128" t="s">
        <v>209</v>
      </c>
      <c r="E60" s="128"/>
      <c r="F60" s="128" t="s">
        <v>210</v>
      </c>
      <c r="G60" s="128"/>
      <c r="H60" s="128" t="s">
        <v>211</v>
      </c>
      <c r="I60" s="128"/>
      <c r="J60" s="128"/>
      <c r="K60" s="39" t="s">
        <v>212</v>
      </c>
      <c r="L60" s="40">
        <f ca="1">I58*25%</f>
        <v>1.75</v>
      </c>
      <c r="N60" s="109" t="s">
        <v>235</v>
      </c>
      <c r="O60" s="109"/>
      <c r="P60" s="109"/>
    </row>
    <row r="61" spans="1:16" ht="15.75" hidden="1" customHeight="1" x14ac:dyDescent="0.35">
      <c r="A61" s="125" t="s">
        <v>213</v>
      </c>
      <c r="B61" s="125"/>
      <c r="C61" s="43">
        <f ca="1">L62</f>
        <v>7</v>
      </c>
      <c r="D61" s="115">
        <f ca="1">((100/I58)*C61)/100</f>
        <v>1</v>
      </c>
      <c r="E61" s="115"/>
      <c r="F61" s="115">
        <f ca="1">(((C62/I58*10)+(40/(D58+G58+I58)*C63)+(7.5/(I58)*C64)+(7.5/(I58)*C65)+(10/I58*C66)+(10/I58*C67)+(5/I58*C68)+(5/I58*C69)+(5/I58*C70))/100)</f>
        <v>1</v>
      </c>
      <c r="G61" s="115"/>
      <c r="H61" s="115">
        <f ca="1">((((C61/I58)*20)+((C62/I58)*25)+(30/(I58+G58+D58)*C63)+(5/I58*C64)+(5/I58*C65)+(5/I58*C66)+(5/I58*C67)+(0/I58*C68)+(0/I58*C69)+(5/I58*C70))/100)</f>
        <v>1</v>
      </c>
      <c r="I61" s="115"/>
      <c r="J61" s="115"/>
      <c r="K61" s="39" t="s">
        <v>214</v>
      </c>
      <c r="L61" s="39">
        <f ca="1">I58*50%</f>
        <v>3.5</v>
      </c>
      <c r="N61" s="109"/>
      <c r="O61" s="109"/>
      <c r="P61" s="109"/>
    </row>
    <row r="62" spans="1:16" ht="15.5" hidden="1" x14ac:dyDescent="0.35">
      <c r="A62" s="125" t="s">
        <v>34</v>
      </c>
      <c r="B62" s="125"/>
      <c r="C62" s="44">
        <f ca="1">L70</f>
        <v>7</v>
      </c>
      <c r="D62" s="115">
        <f ca="1">((100/I58)*C62)/100</f>
        <v>1</v>
      </c>
      <c r="E62" s="115"/>
      <c r="F62" s="115"/>
      <c r="G62" s="115"/>
      <c r="H62" s="115"/>
      <c r="I62" s="115"/>
      <c r="J62" s="115"/>
      <c r="K62" s="39" t="s">
        <v>215</v>
      </c>
      <c r="L62" s="39">
        <f ca="1">I58</f>
        <v>7</v>
      </c>
      <c r="N62" s="109"/>
      <c r="O62" s="109"/>
      <c r="P62" s="109"/>
    </row>
    <row r="63" spans="1:16" ht="15.75" hidden="1" customHeight="1" x14ac:dyDescent="0.35">
      <c r="A63" s="125" t="s">
        <v>216</v>
      </c>
      <c r="B63" s="125"/>
      <c r="C63" s="44">
        <f ca="1">D58+I58</f>
        <v>8</v>
      </c>
      <c r="D63" s="115">
        <f ca="1">((100/(D58+G58+I58))*C63)/100</f>
        <v>1</v>
      </c>
      <c r="E63" s="115"/>
      <c r="F63" s="115"/>
      <c r="G63" s="115"/>
      <c r="H63" s="115"/>
      <c r="I63" s="115"/>
      <c r="J63" s="115"/>
      <c r="K63" s="39" t="s">
        <v>217</v>
      </c>
      <c r="L63" s="19">
        <f ca="1">(IF(B58&gt;1,(I58/(B58+2)),I58/4))</f>
        <v>1.75</v>
      </c>
      <c r="N63" s="109"/>
      <c r="O63" s="109"/>
      <c r="P63" s="109"/>
    </row>
    <row r="64" spans="1:16" ht="15.75" hidden="1" customHeight="1" x14ac:dyDescent="0.35">
      <c r="A64" s="125" t="s">
        <v>218</v>
      </c>
      <c r="B64" s="125" t="s">
        <v>219</v>
      </c>
      <c r="C64" s="43">
        <v>7</v>
      </c>
      <c r="D64" s="115">
        <f ca="1">((100/I58)*C64)/100</f>
        <v>1</v>
      </c>
      <c r="E64" s="115"/>
      <c r="F64" s="115"/>
      <c r="G64" s="115"/>
      <c r="H64" s="115"/>
      <c r="I64" s="115"/>
      <c r="J64" s="115"/>
      <c r="K64" s="39" t="s">
        <v>220</v>
      </c>
      <c r="L64" s="19">
        <f ca="1">(IF(B58&gt;1,(I58/(B58+2)+L63),I58/4+L63))</f>
        <v>3.5</v>
      </c>
      <c r="N64" s="109"/>
      <c r="O64" s="109"/>
      <c r="P64" s="109"/>
    </row>
    <row r="65" spans="1:16" ht="15.75" hidden="1" customHeight="1" x14ac:dyDescent="0.35">
      <c r="A65" s="125" t="s">
        <v>221</v>
      </c>
      <c r="B65" s="125" t="s">
        <v>219</v>
      </c>
      <c r="C65" s="43">
        <v>7</v>
      </c>
      <c r="D65" s="115">
        <f ca="1">((100/I58)*C65)/100</f>
        <v>1</v>
      </c>
      <c r="E65" s="115"/>
      <c r="F65" s="115"/>
      <c r="G65" s="115"/>
      <c r="H65" s="115"/>
      <c r="I65" s="115"/>
      <c r="J65" s="115"/>
      <c r="K65" s="39" t="s">
        <v>222</v>
      </c>
      <c r="L65" s="19">
        <f>(IF(B58&gt;1,(I58/(B58+2)+L64),0))</f>
        <v>0</v>
      </c>
      <c r="N65" s="109"/>
      <c r="O65" s="109"/>
      <c r="P65" s="109"/>
    </row>
    <row r="66" spans="1:16" ht="15.75" hidden="1" customHeight="1" x14ac:dyDescent="0.35">
      <c r="A66" s="125" t="s">
        <v>223</v>
      </c>
      <c r="B66" s="125" t="s">
        <v>224</v>
      </c>
      <c r="C66" s="43">
        <v>7</v>
      </c>
      <c r="D66" s="115">
        <f ca="1">((100/(I58))*C66)/100</f>
        <v>1</v>
      </c>
      <c r="E66" s="115"/>
      <c r="F66" s="115"/>
      <c r="G66" s="115"/>
      <c r="H66" s="115"/>
      <c r="I66" s="115"/>
      <c r="J66" s="115"/>
      <c r="K66" s="39" t="s">
        <v>225</v>
      </c>
      <c r="L66" s="19">
        <f>(IF(B58&gt;2,(I58/(B58+2)+L65),0))</f>
        <v>0</v>
      </c>
      <c r="N66" s="109"/>
      <c r="O66" s="109"/>
      <c r="P66" s="109"/>
    </row>
    <row r="67" spans="1:16" ht="15.75" hidden="1" customHeight="1" x14ac:dyDescent="0.35">
      <c r="A67" s="125" t="s">
        <v>226</v>
      </c>
      <c r="B67" s="125" t="s">
        <v>226</v>
      </c>
      <c r="C67" s="43">
        <v>7</v>
      </c>
      <c r="D67" s="115">
        <f ca="1">((100/I58)*C67)/100</f>
        <v>1</v>
      </c>
      <c r="E67" s="115"/>
      <c r="F67" s="115"/>
      <c r="G67" s="115"/>
      <c r="H67" s="115"/>
      <c r="I67" s="115"/>
      <c r="J67" s="115"/>
      <c r="K67" s="39" t="s">
        <v>227</v>
      </c>
      <c r="L67" s="41">
        <f>(IF(B58&gt;3,(I58/(B58+2)+L66),0))</f>
        <v>0</v>
      </c>
      <c r="N67" s="109"/>
      <c r="O67" s="109"/>
      <c r="P67" s="109"/>
    </row>
    <row r="68" spans="1:16" ht="15.75" hidden="1" customHeight="1" x14ac:dyDescent="0.35">
      <c r="A68" s="125" t="s">
        <v>228</v>
      </c>
      <c r="B68" s="125"/>
      <c r="C68" s="43">
        <v>7</v>
      </c>
      <c r="D68" s="115">
        <f ca="1">((100/I58)*C68)/100</f>
        <v>1</v>
      </c>
      <c r="E68" s="115"/>
      <c r="F68" s="115"/>
      <c r="G68" s="115"/>
      <c r="H68" s="115"/>
      <c r="I68" s="115"/>
      <c r="J68" s="115"/>
      <c r="K68" s="39" t="s">
        <v>229</v>
      </c>
      <c r="L68" s="19">
        <f>(IF(B58&gt;4,(I58/(B58+2)+L67),0))</f>
        <v>0</v>
      </c>
      <c r="N68" s="109"/>
      <c r="O68" s="109"/>
      <c r="P68" s="109"/>
    </row>
    <row r="69" spans="1:16" ht="15.75" hidden="1" customHeight="1" x14ac:dyDescent="0.35">
      <c r="A69" s="125" t="s">
        <v>230</v>
      </c>
      <c r="B69" s="125" t="s">
        <v>230</v>
      </c>
      <c r="C69" s="43">
        <v>7</v>
      </c>
      <c r="D69" s="115">
        <f ca="1">((100/(I58))*C69)/100</f>
        <v>1</v>
      </c>
      <c r="E69" s="115"/>
      <c r="F69" s="115"/>
      <c r="G69" s="115"/>
      <c r="H69" s="115"/>
      <c r="I69" s="115"/>
      <c r="J69" s="115"/>
      <c r="K69" s="39" t="s">
        <v>231</v>
      </c>
      <c r="L69" s="19">
        <f ca="1">(IF(B58=1,(I58/(B58+3)+L64),IF(B58=0,(I58/4+L64),IF(B58&gt;1,0))))</f>
        <v>5.25</v>
      </c>
      <c r="N69" s="109"/>
      <c r="O69" s="109"/>
      <c r="P69" s="109"/>
    </row>
    <row r="70" spans="1:16" ht="16.5" hidden="1" customHeight="1" thickBot="1" x14ac:dyDescent="0.4">
      <c r="A70" s="125" t="s">
        <v>232</v>
      </c>
      <c r="B70" s="125"/>
      <c r="C70" s="43">
        <v>7</v>
      </c>
      <c r="D70" s="115">
        <f ca="1">((100/(I58))*C70)/100</f>
        <v>1</v>
      </c>
      <c r="E70" s="115"/>
      <c r="F70" s="115"/>
      <c r="G70" s="115"/>
      <c r="H70" s="115"/>
      <c r="I70" s="115"/>
      <c r="J70" s="115"/>
      <c r="K70" s="39" t="s">
        <v>233</v>
      </c>
      <c r="L70" s="19">
        <f ca="1">(IF(B58&gt;1.5,(I58/(B58+2)+L64+MAX(0,L65-L64)+MAX(0,L66-L65)+MAX(0,L67-L66)+MAX(0,L68-L67)+MAX(0,L69-L68)),IF(B58=1,(I58/(B58+3)+L69),IF(B58=0,I58/4+L69))))</f>
        <v>7</v>
      </c>
    </row>
    <row r="71" spans="1:16" ht="33" customHeight="1" x14ac:dyDescent="0.35">
      <c r="A71" s="123" t="s">
        <v>201</v>
      </c>
      <c r="B71" s="123"/>
      <c r="C71" s="124" t="s">
        <v>267</v>
      </c>
      <c r="D71" s="124"/>
      <c r="E71" s="124"/>
      <c r="F71" s="124"/>
      <c r="G71" s="124"/>
      <c r="H71" s="124"/>
      <c r="I71" s="124"/>
      <c r="J71" s="124"/>
      <c r="K71" s="38" t="str">
        <f ca="1">(IF(F77&gt;99%,"All work completed. Please provide OC.",IF(F77&gt;89.8%,"Plinth, RCC, Brick, Plaster, Flooring, Painting work Completed. Finishing work is in process.",IF(F77&lt;94%,(IF(C77=0,"Work not yet Started.",IF(D77=25%,"Piling work in process",IF(D77=50%,"Excavation work in process",IF(D77=100%,"Excavation work Completed. ","0")))&amp;(IF(C78=0%,"",IF(C78=L79,"Footing work is process",IF(C78=L80,"Footing work Completed",IF(C78=L81,"1st Basement Completed",IF(C78=L82,"1st &amp; 2nd Basement Completed",IF(C78=L83,"1st to 3rd Basement Completed",IF(C78=L84,"1st to 4th Basement Completed",IF(C78=L85,"Plinth work is process",IF(C78=L86,"Plinth work completed","0")))))))))))&amp;(IF(C79=(D72+G72+I72),", RCC Slab",IF(C79&gt;0,", RCC upto "&amp;C79&amp;" Slab",""))&amp;(IF(C80=I72,", Brickwork",IF(C80&gt;0,", Brickwork upto "&amp;C80&amp;" Floor",""))&amp;(IF(C81=I72,", Internal Plaster",IF(C81&gt;0,", Internal Plaster upto "&amp;C81&amp;" Floor",""))&amp;(IF(C82=I72,", External Plaster",IF(C82&gt;0,", External Plaster upto "&amp;C82&amp;" Floor",""))&amp;(IF(C83=I72,", Flooring",IF(C83&gt;0,", Flooring upto "&amp;C83&amp;" Floor",""))&amp;(IF(C84=I72,", Painting",IF(C84&gt;0,", Painting upto "&amp;C84&amp;" Floor",""))&amp;(IF(C85&gt;0,", Finishing upto "&amp;C85&amp;" Floor","")&amp;(IF(C79&gt;0.5," Completed",""))))))))))))))</f>
        <v>All work completed. Please provide OC.</v>
      </c>
      <c r="L71" s="38"/>
    </row>
    <row r="72" spans="1:16" ht="15.5" hidden="1" x14ac:dyDescent="0.35">
      <c r="A72" s="57" t="s">
        <v>202</v>
      </c>
      <c r="B72" s="57">
        <v>0</v>
      </c>
      <c r="C72" s="57" t="s">
        <v>203</v>
      </c>
      <c r="D72" s="57">
        <v>1</v>
      </c>
      <c r="E72" s="125" t="s">
        <v>204</v>
      </c>
      <c r="F72" s="125"/>
      <c r="G72" s="57">
        <v>0</v>
      </c>
      <c r="H72" s="57" t="s">
        <v>205</v>
      </c>
      <c r="I72" s="125">
        <f ca="1">--TRIM(RIGHT(SUBSTITUTE(LEFT(C71,_xlfn.AGGREGATE(16,6,FIND({0,1,2,3,4,5,6,7,8,9},C71,ROW(INDIRECT("1:"&amp;LEN(C71)))),1))," ",REPT(" ",LEN(C71))),LEN(C71)))</f>
        <v>24</v>
      </c>
      <c r="J72" s="125"/>
      <c r="K72" s="38"/>
      <c r="L72" s="38"/>
    </row>
    <row r="73" spans="1:16" ht="15.5" x14ac:dyDescent="0.35">
      <c r="A73" s="137" t="s">
        <v>206</v>
      </c>
      <c r="B73" s="137"/>
      <c r="C73" s="124" t="str">
        <f>K73</f>
        <v>All work Completed. OC Received.</v>
      </c>
      <c r="D73" s="124"/>
      <c r="E73" s="124"/>
      <c r="F73" s="124"/>
      <c r="G73" s="124"/>
      <c r="H73" s="124"/>
      <c r="I73" s="124"/>
      <c r="J73" s="124"/>
      <c r="K73" s="38" t="s">
        <v>207</v>
      </c>
      <c r="L73" s="38"/>
    </row>
    <row r="74" spans="1:16" ht="15.75" customHeight="1" x14ac:dyDescent="0.35">
      <c r="A74" s="210" t="s">
        <v>210</v>
      </c>
      <c r="B74" s="210"/>
      <c r="C74" s="208">
        <v>1</v>
      </c>
      <c r="D74" s="209"/>
      <c r="E74" s="209"/>
      <c r="F74" s="209" t="s">
        <v>211</v>
      </c>
      <c r="G74" s="209"/>
      <c r="H74" s="209"/>
      <c r="I74" s="208">
        <v>1</v>
      </c>
      <c r="J74" s="209"/>
      <c r="K74" s="39" t="s">
        <v>231</v>
      </c>
      <c r="L74" s="19">
        <f ca="1">(IF(B63=1,(I63/(B63+3)+L69),IF(B63=0,(I63/4+L69),IF(B63&gt;1,0))))</f>
        <v>5.25</v>
      </c>
    </row>
    <row r="75" spans="1:16" ht="16.5" customHeight="1" x14ac:dyDescent="0.35">
      <c r="A75" s="210"/>
      <c r="B75" s="210"/>
      <c r="C75" s="209"/>
      <c r="D75" s="209"/>
      <c r="E75" s="209"/>
      <c r="F75" s="209"/>
      <c r="G75" s="209"/>
      <c r="H75" s="209"/>
      <c r="I75" s="209"/>
      <c r="J75" s="209"/>
      <c r="K75" s="39" t="s">
        <v>233</v>
      </c>
      <c r="L75" s="19">
        <f ca="1">(IF(B63&gt;1.5,(I63/(B63+2)+L69+MAX(0,L70-L69)+MAX(0,L71-L70)+MAX(0,L72-L71)+MAX(0,L73-L72)+MAX(0,L74-L73)),IF(B63=1,(I63/(B63+3)+L74),IF(B63=0,I63/4+L74))))</f>
        <v>5.25</v>
      </c>
    </row>
    <row r="76" spans="1:16" ht="15.75" hidden="1" customHeight="1" x14ac:dyDescent="0.35">
      <c r="A76" s="125" t="s">
        <v>33</v>
      </c>
      <c r="B76" s="125"/>
      <c r="C76" s="58" t="s">
        <v>208</v>
      </c>
      <c r="D76" s="128" t="s">
        <v>209</v>
      </c>
      <c r="E76" s="128"/>
      <c r="F76" s="128" t="s">
        <v>210</v>
      </c>
      <c r="G76" s="128"/>
      <c r="H76" s="128" t="s">
        <v>211</v>
      </c>
      <c r="I76" s="128"/>
      <c r="J76" s="128"/>
      <c r="K76" s="39" t="s">
        <v>212</v>
      </c>
      <c r="L76" s="40">
        <f ca="1">I72*25%</f>
        <v>6</v>
      </c>
    </row>
    <row r="77" spans="1:16" ht="15.75" hidden="1" customHeight="1" x14ac:dyDescent="0.35">
      <c r="A77" s="125" t="s">
        <v>213</v>
      </c>
      <c r="B77" s="125"/>
      <c r="C77" s="43">
        <f ca="1">L78</f>
        <v>24</v>
      </c>
      <c r="D77" s="115">
        <f ca="1">((100/I72)*C77)/100</f>
        <v>1</v>
      </c>
      <c r="E77" s="115"/>
      <c r="F77" s="115">
        <f ca="1">(((C78/I72*10)+(40/(D72+G72+I72)*C79)+(7.5/(I72)*C80)+(7.5/(I72)*C81)+(10/I72*C82)+(10/I72*C83)+(5/I72*C84)+(5/I72*C85)+(5/I72*C86))/100)</f>
        <v>1</v>
      </c>
      <c r="G77" s="115"/>
      <c r="H77" s="115">
        <f ca="1">((((C77/I72)*20)+((C78/I72)*25)+(30/(I72+G72+D72)*C79)+(5/I72*C80)+(5/I72*C81)+(5/I72*C82)+(5/I72*C83)+(0/I72*C84)+(0/I72*C85)+(5/I72*C86))/100)</f>
        <v>1</v>
      </c>
      <c r="I77" s="115"/>
      <c r="J77" s="115"/>
      <c r="K77" s="39" t="s">
        <v>214</v>
      </c>
      <c r="L77" s="39">
        <f ca="1">I72*50%</f>
        <v>12</v>
      </c>
    </row>
    <row r="78" spans="1:16" ht="15.5" hidden="1" x14ac:dyDescent="0.35">
      <c r="A78" s="125" t="s">
        <v>34</v>
      </c>
      <c r="B78" s="125"/>
      <c r="C78" s="44">
        <f ca="1">L86</f>
        <v>24</v>
      </c>
      <c r="D78" s="115">
        <f ca="1">((100/I72)*C78)/100</f>
        <v>1</v>
      </c>
      <c r="E78" s="115"/>
      <c r="F78" s="115"/>
      <c r="G78" s="115"/>
      <c r="H78" s="115"/>
      <c r="I78" s="115"/>
      <c r="J78" s="115"/>
      <c r="K78" s="39" t="s">
        <v>215</v>
      </c>
      <c r="L78" s="39">
        <f ca="1">I72</f>
        <v>24</v>
      </c>
    </row>
    <row r="79" spans="1:16" ht="15.75" hidden="1" customHeight="1" x14ac:dyDescent="0.35">
      <c r="A79" s="125" t="s">
        <v>216</v>
      </c>
      <c r="B79" s="125"/>
      <c r="C79" s="44">
        <v>25</v>
      </c>
      <c r="D79" s="115">
        <f ca="1">((100/(D72+G72+I72))*C79)/100</f>
        <v>1</v>
      </c>
      <c r="E79" s="115"/>
      <c r="F79" s="115"/>
      <c r="G79" s="115"/>
      <c r="H79" s="115"/>
      <c r="I79" s="115"/>
      <c r="J79" s="115"/>
      <c r="K79" s="39" t="s">
        <v>217</v>
      </c>
      <c r="L79" s="19">
        <f ca="1">(IF(B72&gt;1,(I72/(B72+2)),I72/4))</f>
        <v>6</v>
      </c>
    </row>
    <row r="80" spans="1:16" ht="15.75" hidden="1" customHeight="1" x14ac:dyDescent="0.35">
      <c r="A80" s="125" t="s">
        <v>218</v>
      </c>
      <c r="B80" s="125" t="s">
        <v>219</v>
      </c>
      <c r="C80" s="43">
        <v>24</v>
      </c>
      <c r="D80" s="115">
        <f ca="1">((100/I72)*C80)/100</f>
        <v>1</v>
      </c>
      <c r="E80" s="115"/>
      <c r="F80" s="115"/>
      <c r="G80" s="115"/>
      <c r="H80" s="115"/>
      <c r="I80" s="115"/>
      <c r="J80" s="115"/>
      <c r="K80" s="39" t="s">
        <v>220</v>
      </c>
      <c r="L80" s="19">
        <f ca="1">(IF(B72&gt;1,(I72/(B72+2)+L79),I72/4+L79))</f>
        <v>12</v>
      </c>
    </row>
    <row r="81" spans="1:12" ht="15.75" hidden="1" customHeight="1" x14ac:dyDescent="0.35">
      <c r="A81" s="125" t="s">
        <v>221</v>
      </c>
      <c r="B81" s="125" t="s">
        <v>219</v>
      </c>
      <c r="C81" s="43">
        <v>24</v>
      </c>
      <c r="D81" s="115">
        <f ca="1">((100/I72)*C81)/100</f>
        <v>1</v>
      </c>
      <c r="E81" s="115"/>
      <c r="F81" s="115"/>
      <c r="G81" s="115"/>
      <c r="H81" s="115"/>
      <c r="I81" s="115"/>
      <c r="J81" s="115"/>
      <c r="K81" s="39" t="s">
        <v>222</v>
      </c>
      <c r="L81" s="19">
        <f>(IF(B72&gt;1,(I72/(B72+2)+L80),0))</f>
        <v>0</v>
      </c>
    </row>
    <row r="82" spans="1:12" ht="15.75" hidden="1" customHeight="1" x14ac:dyDescent="0.35">
      <c r="A82" s="125" t="s">
        <v>223</v>
      </c>
      <c r="B82" s="125" t="s">
        <v>224</v>
      </c>
      <c r="C82" s="43">
        <v>24</v>
      </c>
      <c r="D82" s="115">
        <f ca="1">((100/(I72))*C82)/100</f>
        <v>1</v>
      </c>
      <c r="E82" s="115"/>
      <c r="F82" s="115"/>
      <c r="G82" s="115"/>
      <c r="H82" s="115"/>
      <c r="I82" s="115"/>
      <c r="J82" s="115"/>
      <c r="K82" s="39" t="s">
        <v>225</v>
      </c>
      <c r="L82" s="19">
        <f>(IF(B72&gt;2,(I72/(B72+2)+L81),0))</f>
        <v>0</v>
      </c>
    </row>
    <row r="83" spans="1:12" ht="15.75" hidden="1" customHeight="1" x14ac:dyDescent="0.35">
      <c r="A83" s="125" t="s">
        <v>226</v>
      </c>
      <c r="B83" s="125" t="s">
        <v>226</v>
      </c>
      <c r="C83" s="43">
        <v>24</v>
      </c>
      <c r="D83" s="115">
        <f ca="1">((100/I72)*C83)/100</f>
        <v>1</v>
      </c>
      <c r="E83" s="115"/>
      <c r="F83" s="115"/>
      <c r="G83" s="115"/>
      <c r="H83" s="115"/>
      <c r="I83" s="115"/>
      <c r="J83" s="115"/>
      <c r="K83" s="39" t="s">
        <v>227</v>
      </c>
      <c r="L83" s="41">
        <f>(IF(B72&gt;3,(I72/(B72+2)+L82),0))</f>
        <v>0</v>
      </c>
    </row>
    <row r="84" spans="1:12" ht="15.75" hidden="1" customHeight="1" x14ac:dyDescent="0.35">
      <c r="A84" s="125" t="s">
        <v>228</v>
      </c>
      <c r="B84" s="125"/>
      <c r="C84" s="43">
        <v>24</v>
      </c>
      <c r="D84" s="115">
        <f ca="1">((100/I72)*C84)/100</f>
        <v>1</v>
      </c>
      <c r="E84" s="115"/>
      <c r="F84" s="115"/>
      <c r="G84" s="115"/>
      <c r="H84" s="115"/>
      <c r="I84" s="115"/>
      <c r="J84" s="115"/>
      <c r="K84" s="39" t="s">
        <v>229</v>
      </c>
      <c r="L84" s="19">
        <f>(IF(B72&gt;4,(I72/(B72+2)+L83),0))</f>
        <v>0</v>
      </c>
    </row>
    <row r="85" spans="1:12" ht="15.75" hidden="1" customHeight="1" x14ac:dyDescent="0.35">
      <c r="A85" s="128" t="s">
        <v>230</v>
      </c>
      <c r="B85" s="128" t="s">
        <v>230</v>
      </c>
      <c r="C85" s="43">
        <v>24</v>
      </c>
      <c r="D85" s="115">
        <f ca="1">((100/(I72))*C85)/100</f>
        <v>1</v>
      </c>
      <c r="E85" s="115"/>
      <c r="F85" s="115"/>
      <c r="G85" s="115"/>
      <c r="H85" s="115"/>
      <c r="I85" s="115"/>
      <c r="J85" s="115"/>
      <c r="K85" s="39" t="s">
        <v>231</v>
      </c>
      <c r="L85" s="19">
        <f ca="1">(IF(B72=1,(I72/(B72+3)+L80),IF(B72=0,(I72/4+L80),IF(B72&gt;1,0))))</f>
        <v>18</v>
      </c>
    </row>
    <row r="86" spans="1:12" ht="16.5" hidden="1" customHeight="1" thickBot="1" x14ac:dyDescent="0.4">
      <c r="A86" s="125" t="s">
        <v>232</v>
      </c>
      <c r="B86" s="125"/>
      <c r="C86" s="43">
        <v>24</v>
      </c>
      <c r="D86" s="115">
        <f ca="1">((100/(I72))*C86)/100</f>
        <v>1</v>
      </c>
      <c r="E86" s="115"/>
      <c r="F86" s="115"/>
      <c r="G86" s="115"/>
      <c r="H86" s="115"/>
      <c r="I86" s="115"/>
      <c r="J86" s="115"/>
      <c r="K86" s="39" t="s">
        <v>233</v>
      </c>
      <c r="L86" s="19">
        <f ca="1">(IF(B72&gt;1.5,(I72/(B72+2)+L80+MAX(0,L81-L80)+MAX(0,L82-L81)+MAX(0,L83-L82)+MAX(0,L84-L83)+MAX(0,L85-L84)),IF(B72=1,(I72/(B72+3)+L85),IF(B72=0,I72/4+L85))))</f>
        <v>24</v>
      </c>
    </row>
    <row r="87" spans="1:12" ht="15.75" customHeight="1" x14ac:dyDescent="0.35">
      <c r="A87" s="123" t="s">
        <v>201</v>
      </c>
      <c r="B87" s="123"/>
      <c r="C87" s="124" t="s">
        <v>268</v>
      </c>
      <c r="D87" s="124"/>
      <c r="E87" s="124"/>
      <c r="F87" s="124"/>
      <c r="G87" s="124"/>
      <c r="H87" s="124"/>
      <c r="I87" s="124"/>
      <c r="J87" s="124"/>
      <c r="K87" s="38" t="str">
        <f ca="1">(IF(F91&gt;99%,"All work completed. Please provide OC.",IF(F91&gt;89.8%,"Plinth, RCC, Brick, Plaster, Flooring, Painting work Completed. Finishing work is in process.",IF(F91&lt;94%,(IF(C91=0,"Work not yet Started.",IF(D91=25%,"Piling work in process",IF(D91=50%,"Excavation work in process",IF(D91=100%,"Excavation work Completed. ","0")))&amp;(IF(C92=0%,"",IF(C92=L93,"Footing work is process",IF(C92=L94,"Footing work Completed",IF(C92=L95,"1st Basement Completed",IF(C92=L96,"1st &amp; 2nd Basement Completed",IF(C92=L97,"1st to 3rd Basement Completed",IF(C92=L98,"1st to 4th Basement Completed",IF(C92=L99,"Plinth work is process",IF(C92=L100,"Plinth work completed","0")))))))))))&amp;(IF(C93=(D88+G88+I88),", RCC Slab",IF(C93&gt;0,", RCC upto "&amp;C93&amp;" Slab",""))&amp;(IF(C94=I88,", Brickwork",IF(C94&gt;0,", Brickwork upto "&amp;C94&amp;" Floor",""))&amp;(IF(C95=I88,", Internal Plaster",IF(C95&gt;0,", Internal Plaster upto "&amp;C95&amp;" Floor",""))&amp;(IF(C96=I88,", External Plaster",IF(C96&gt;0,", External Plaster upto "&amp;C96&amp;" Floor",""))&amp;(IF(C97=I88,", Flooring",IF(C97&gt;0,", Flooring upto "&amp;C97&amp;" Floor",""))&amp;(IF(C98=I88,", Painting",IF(C98&gt;0,", Painting upto "&amp;C98&amp;" Floor",""))&amp;(IF(C99&gt;0,", Finishing upto "&amp;C99&amp;" Floor","")&amp;(IF(C93&gt;0.5," Completed",""))))))))))))))</f>
        <v>Plinth, RCC, Brick, Plaster, Flooring, Painting work Completed. Finishing work is in process.</v>
      </c>
      <c r="L87" s="38"/>
    </row>
    <row r="88" spans="1:12" ht="15.5" x14ac:dyDescent="0.35">
      <c r="A88" s="57" t="s">
        <v>202</v>
      </c>
      <c r="B88" s="57">
        <v>0</v>
      </c>
      <c r="C88" s="57" t="s">
        <v>203</v>
      </c>
      <c r="D88" s="57">
        <v>1</v>
      </c>
      <c r="E88" s="125" t="s">
        <v>204</v>
      </c>
      <c r="F88" s="125"/>
      <c r="G88" s="57">
        <v>0</v>
      </c>
      <c r="H88" s="57" t="s">
        <v>205</v>
      </c>
      <c r="I88" s="125">
        <f ca="1">--TRIM(RIGHT(SUBSTITUTE(LEFT(C87,_xlfn.AGGREGATE(16,6,FIND({0,1,2,3,4,5,6,7,8,9},C87,ROW(INDIRECT("1:"&amp;LEN(C87)))),1))," ",REPT(" ",LEN(C87))),LEN(C87)))</f>
        <v>24</v>
      </c>
      <c r="J88" s="125"/>
      <c r="K88" s="38"/>
      <c r="L88" s="38"/>
    </row>
    <row r="89" spans="1:12" ht="31.5" customHeight="1" x14ac:dyDescent="0.35">
      <c r="A89" s="137" t="s">
        <v>206</v>
      </c>
      <c r="B89" s="137"/>
      <c r="C89" s="124" t="str">
        <f ca="1">K87</f>
        <v>Plinth, RCC, Brick, Plaster, Flooring, Painting work Completed. Finishing work is in process.</v>
      </c>
      <c r="D89" s="124"/>
      <c r="E89" s="124"/>
      <c r="F89" s="124"/>
      <c r="G89" s="124"/>
      <c r="H89" s="124"/>
      <c r="I89" s="124"/>
      <c r="J89" s="124"/>
      <c r="K89" s="38" t="s">
        <v>207</v>
      </c>
      <c r="L89" s="38"/>
    </row>
    <row r="90" spans="1:12" ht="15.75" customHeight="1" x14ac:dyDescent="0.35">
      <c r="A90" s="126" t="s">
        <v>33</v>
      </c>
      <c r="B90" s="127"/>
      <c r="C90" s="42" t="s">
        <v>208</v>
      </c>
      <c r="D90" s="128" t="s">
        <v>209</v>
      </c>
      <c r="E90" s="128"/>
      <c r="F90" s="128" t="s">
        <v>210</v>
      </c>
      <c r="G90" s="128"/>
      <c r="H90" s="128" t="s">
        <v>211</v>
      </c>
      <c r="I90" s="128"/>
      <c r="J90" s="129"/>
      <c r="K90" s="39" t="s">
        <v>212</v>
      </c>
      <c r="L90" s="40">
        <f ca="1">I88*25%</f>
        <v>6</v>
      </c>
    </row>
    <row r="91" spans="1:12" ht="15.75" customHeight="1" x14ac:dyDescent="0.35">
      <c r="A91" s="113" t="s">
        <v>213</v>
      </c>
      <c r="B91" s="114"/>
      <c r="C91" s="43">
        <f ca="1">L92</f>
        <v>24</v>
      </c>
      <c r="D91" s="115">
        <f ca="1">((100/I88)*C91)/100</f>
        <v>1</v>
      </c>
      <c r="E91" s="115"/>
      <c r="F91" s="115">
        <f ca="1">(((C92/I88*10)+(40/(D88+G88+I88)*C93)+(7.5/(I88)*C94)+(7.5/(I88)*C95)+(10/I88*C96)+(10/I88*C97)+(5/I88*C98)+(5/I88*C99)+(5/I88*C100))/100)</f>
        <v>0.93541666666666667</v>
      </c>
      <c r="G91" s="115"/>
      <c r="H91" s="115">
        <f ca="1">((((C91/I88)*20)+((C92/I88)*25)+(30/(I88+G88+D88)*C93)+(5/I88*C94)+(5/I88*C95)+(5/I88*C96)+(5/I88*C97)+(0/I88*C98)+(0/I88*C99)+(5/I88*C100))/100)</f>
        <v>0.95</v>
      </c>
      <c r="I91" s="115"/>
      <c r="J91" s="117"/>
      <c r="K91" s="39" t="s">
        <v>214</v>
      </c>
      <c r="L91" s="39">
        <f ca="1">I88*50%</f>
        <v>12</v>
      </c>
    </row>
    <row r="92" spans="1:12" ht="15.5" x14ac:dyDescent="0.35">
      <c r="A92" s="113" t="s">
        <v>34</v>
      </c>
      <c r="B92" s="114"/>
      <c r="C92" s="44">
        <f ca="1">L100</f>
        <v>24</v>
      </c>
      <c r="D92" s="115">
        <f ca="1">((100/I88)*C92)/100</f>
        <v>1</v>
      </c>
      <c r="E92" s="115"/>
      <c r="F92" s="115"/>
      <c r="G92" s="115"/>
      <c r="H92" s="115"/>
      <c r="I92" s="115"/>
      <c r="J92" s="117"/>
      <c r="K92" s="39" t="s">
        <v>215</v>
      </c>
      <c r="L92" s="39">
        <f ca="1">I88</f>
        <v>24</v>
      </c>
    </row>
    <row r="93" spans="1:12" ht="15.75" customHeight="1" x14ac:dyDescent="0.35">
      <c r="A93" s="119" t="s">
        <v>216</v>
      </c>
      <c r="B93" s="120"/>
      <c r="C93" s="44">
        <v>25</v>
      </c>
      <c r="D93" s="115">
        <f ca="1">((100/(D88+G88+I88))*C93)/100</f>
        <v>1</v>
      </c>
      <c r="E93" s="115"/>
      <c r="F93" s="115"/>
      <c r="G93" s="115"/>
      <c r="H93" s="115"/>
      <c r="I93" s="115"/>
      <c r="J93" s="117"/>
      <c r="K93" s="39" t="s">
        <v>217</v>
      </c>
      <c r="L93" s="19">
        <f ca="1">(IF(B88&gt;1,(I88/(B88+2)),I88/4))</f>
        <v>6</v>
      </c>
    </row>
    <row r="94" spans="1:12" ht="15.75" customHeight="1" x14ac:dyDescent="0.35">
      <c r="A94" s="113" t="s">
        <v>218</v>
      </c>
      <c r="B94" s="114" t="s">
        <v>219</v>
      </c>
      <c r="C94" s="43">
        <v>24</v>
      </c>
      <c r="D94" s="115">
        <f ca="1">((100/I88)*C94)/100</f>
        <v>1</v>
      </c>
      <c r="E94" s="115"/>
      <c r="F94" s="115"/>
      <c r="G94" s="115"/>
      <c r="H94" s="115"/>
      <c r="I94" s="115"/>
      <c r="J94" s="117"/>
      <c r="K94" s="39" t="s">
        <v>220</v>
      </c>
      <c r="L94" s="19">
        <f ca="1">(IF(B88&gt;1,(I88/(B88+2)+L93),I88/4+L93))</f>
        <v>12</v>
      </c>
    </row>
    <row r="95" spans="1:12" ht="15.75" customHeight="1" x14ac:dyDescent="0.35">
      <c r="A95" s="113" t="s">
        <v>221</v>
      </c>
      <c r="B95" s="114" t="s">
        <v>219</v>
      </c>
      <c r="C95" s="43">
        <v>24</v>
      </c>
      <c r="D95" s="115">
        <f ca="1">((100/I88)*C95)/100</f>
        <v>1</v>
      </c>
      <c r="E95" s="115"/>
      <c r="F95" s="115"/>
      <c r="G95" s="115"/>
      <c r="H95" s="115"/>
      <c r="I95" s="115"/>
      <c r="J95" s="117"/>
      <c r="K95" s="39" t="s">
        <v>222</v>
      </c>
      <c r="L95" s="19">
        <f>(IF(B88&gt;1,(I88/(B88+2)+L94),0))</f>
        <v>0</v>
      </c>
    </row>
    <row r="96" spans="1:12" ht="15.75" customHeight="1" x14ac:dyDescent="0.35">
      <c r="A96" s="113" t="s">
        <v>223</v>
      </c>
      <c r="B96" s="114" t="s">
        <v>224</v>
      </c>
      <c r="C96" s="43">
        <v>24</v>
      </c>
      <c r="D96" s="115">
        <f ca="1">((100/(I88))*C96)/100</f>
        <v>1</v>
      </c>
      <c r="E96" s="115"/>
      <c r="F96" s="115"/>
      <c r="G96" s="115"/>
      <c r="H96" s="115"/>
      <c r="I96" s="115"/>
      <c r="J96" s="117"/>
      <c r="K96" s="39" t="s">
        <v>225</v>
      </c>
      <c r="L96" s="19">
        <f>(IF(B88&gt;2,(I88/(B88+2)+L95),0))</f>
        <v>0</v>
      </c>
    </row>
    <row r="97" spans="1:12" ht="15.75" customHeight="1" x14ac:dyDescent="0.35">
      <c r="A97" s="113" t="s">
        <v>226</v>
      </c>
      <c r="B97" s="114" t="s">
        <v>226</v>
      </c>
      <c r="C97" s="43">
        <v>24</v>
      </c>
      <c r="D97" s="115">
        <f ca="1">((100/I88)*C97)/100</f>
        <v>1</v>
      </c>
      <c r="E97" s="115"/>
      <c r="F97" s="115"/>
      <c r="G97" s="115"/>
      <c r="H97" s="115"/>
      <c r="I97" s="115"/>
      <c r="J97" s="117"/>
      <c r="K97" s="39" t="s">
        <v>227</v>
      </c>
      <c r="L97" s="41">
        <f>(IF(B88&gt;3,(I88/(B88+2)+L96),0))</f>
        <v>0</v>
      </c>
    </row>
    <row r="98" spans="1:12" ht="15.75" customHeight="1" x14ac:dyDescent="0.35">
      <c r="A98" s="113" t="s">
        <v>228</v>
      </c>
      <c r="B98" s="114"/>
      <c r="C98" s="43">
        <v>24</v>
      </c>
      <c r="D98" s="115">
        <f ca="1">((100/I88)*C98)/100</f>
        <v>1</v>
      </c>
      <c r="E98" s="115"/>
      <c r="F98" s="115"/>
      <c r="G98" s="115"/>
      <c r="H98" s="115"/>
      <c r="I98" s="115"/>
      <c r="J98" s="117"/>
      <c r="K98" s="39" t="s">
        <v>229</v>
      </c>
      <c r="L98" s="19">
        <f>(IF(B88&gt;4,(I88/(B88+2)+L97),0))</f>
        <v>0</v>
      </c>
    </row>
    <row r="99" spans="1:12" ht="15.75" customHeight="1" x14ac:dyDescent="0.35">
      <c r="A99" s="113" t="s">
        <v>230</v>
      </c>
      <c r="B99" s="114" t="s">
        <v>230</v>
      </c>
      <c r="C99" s="43">
        <v>17</v>
      </c>
      <c r="D99" s="115">
        <f ca="1">((100/(I88))*C99)/100</f>
        <v>0.70833333333333348</v>
      </c>
      <c r="E99" s="115"/>
      <c r="F99" s="115"/>
      <c r="G99" s="115"/>
      <c r="H99" s="115"/>
      <c r="I99" s="115"/>
      <c r="J99" s="117"/>
      <c r="K99" s="39" t="s">
        <v>231</v>
      </c>
      <c r="L99" s="19">
        <f ca="1">(IF(B88=1,(I88/(B88+3)+L94),IF(B88=0,(I88/4+L94),IF(B88&gt;1,0))))</f>
        <v>18</v>
      </c>
    </row>
    <row r="100" spans="1:12" ht="16.5" customHeight="1" thickBot="1" x14ac:dyDescent="0.4">
      <c r="A100" s="121" t="s">
        <v>232</v>
      </c>
      <c r="B100" s="122"/>
      <c r="C100" s="45">
        <v>0</v>
      </c>
      <c r="D100" s="116">
        <f ca="1">((100/(I88))*C100)/100</f>
        <v>0</v>
      </c>
      <c r="E100" s="116"/>
      <c r="F100" s="116"/>
      <c r="G100" s="116"/>
      <c r="H100" s="116"/>
      <c r="I100" s="116"/>
      <c r="J100" s="118"/>
      <c r="K100" s="39" t="s">
        <v>233</v>
      </c>
      <c r="L100" s="19">
        <f ca="1">(IF(B88&gt;1.5,(I88/(B88+2)+L94+MAX(0,L95-L94)+MAX(0,L96-L95)+MAX(0,L97-L96)+MAX(0,L98-L97)+MAX(0,L99-L98)),IF(B88=1,(I88/(B88+3)+L99),IF(B88=0,I88/4+L99))))</f>
        <v>24</v>
      </c>
    </row>
    <row r="101" spans="1:12" x14ac:dyDescent="0.35">
      <c r="A101" s="61" t="s">
        <v>129</v>
      </c>
      <c r="B101" s="62"/>
      <c r="C101" s="62"/>
      <c r="D101" s="62"/>
      <c r="E101" s="62"/>
      <c r="F101" s="62"/>
      <c r="G101" s="62"/>
      <c r="H101" s="62"/>
      <c r="I101" s="62"/>
      <c r="J101" s="63"/>
    </row>
    <row r="102" spans="1:12" x14ac:dyDescent="0.35">
      <c r="A102" s="61" t="s">
        <v>45</v>
      </c>
      <c r="B102" s="62"/>
      <c r="C102" s="62"/>
      <c r="D102" s="62"/>
      <c r="E102" s="62"/>
      <c r="F102" s="62"/>
      <c r="G102" s="62"/>
      <c r="H102" s="62"/>
      <c r="I102" s="62"/>
      <c r="J102" s="63"/>
    </row>
    <row r="103" spans="1:12" ht="15" customHeight="1" x14ac:dyDescent="0.35">
      <c r="A103" s="133" t="s">
        <v>183</v>
      </c>
      <c r="B103" s="134"/>
      <c r="C103" s="134"/>
      <c r="D103" s="134"/>
      <c r="E103" s="134"/>
      <c r="F103" s="134"/>
      <c r="G103" s="134"/>
      <c r="H103" s="134"/>
      <c r="I103" s="134"/>
      <c r="J103" s="135"/>
    </row>
    <row r="104" spans="1:12" s="21" customFormat="1" x14ac:dyDescent="0.35">
      <c r="A104" s="130" t="s">
        <v>23</v>
      </c>
      <c r="B104" s="131"/>
      <c r="C104" s="131"/>
      <c r="D104" s="131"/>
      <c r="E104" s="131"/>
      <c r="F104" s="131"/>
      <c r="G104" s="131"/>
      <c r="H104" s="131"/>
      <c r="I104" s="131"/>
      <c r="J104" s="132"/>
    </row>
    <row r="105" spans="1:12" x14ac:dyDescent="0.35">
      <c r="A105" s="61" t="s">
        <v>168</v>
      </c>
      <c r="B105" s="60"/>
      <c r="C105" s="60"/>
      <c r="D105" s="60"/>
      <c r="E105" s="60"/>
      <c r="F105" s="136"/>
      <c r="G105" s="253">
        <v>7350</v>
      </c>
      <c r="H105" s="254"/>
      <c r="I105" s="254"/>
      <c r="J105" s="255"/>
    </row>
    <row r="106" spans="1:12" x14ac:dyDescent="0.35">
      <c r="A106" s="61" t="s">
        <v>125</v>
      </c>
      <c r="B106" s="60"/>
      <c r="C106" s="60"/>
      <c r="D106" s="60"/>
      <c r="E106" s="60"/>
      <c r="F106" s="136"/>
      <c r="G106" s="245">
        <v>10000</v>
      </c>
      <c r="H106" s="246"/>
      <c r="I106" s="246"/>
      <c r="J106" s="247"/>
    </row>
    <row r="107" spans="1:12" hidden="1" x14ac:dyDescent="0.35">
      <c r="A107" s="61" t="s">
        <v>66</v>
      </c>
      <c r="B107" s="62"/>
      <c r="C107" s="62"/>
      <c r="D107" s="62"/>
      <c r="E107" s="62"/>
      <c r="F107" s="63"/>
      <c r="G107" s="69" t="s">
        <v>177</v>
      </c>
      <c r="H107" s="70"/>
      <c r="I107" s="70"/>
      <c r="J107" s="71"/>
    </row>
    <row r="108" spans="1:12" x14ac:dyDescent="0.35">
      <c r="A108" s="61" t="s">
        <v>180</v>
      </c>
      <c r="B108" s="60"/>
      <c r="C108" s="60"/>
      <c r="D108" s="60"/>
      <c r="E108" s="60"/>
      <c r="F108" s="136"/>
      <c r="G108" s="69" t="s">
        <v>181</v>
      </c>
      <c r="H108" s="70"/>
      <c r="I108" s="70"/>
      <c r="J108" s="71"/>
    </row>
    <row r="109" spans="1:12" x14ac:dyDescent="0.35">
      <c r="A109" s="61" t="s">
        <v>178</v>
      </c>
      <c r="B109" s="60"/>
      <c r="C109" s="60"/>
      <c r="D109" s="60"/>
      <c r="E109" s="60"/>
      <c r="F109" s="136"/>
      <c r="G109" s="69" t="s">
        <v>179</v>
      </c>
      <c r="H109" s="70"/>
      <c r="I109" s="70"/>
      <c r="J109" s="71"/>
    </row>
    <row r="110" spans="1:12" x14ac:dyDescent="0.35">
      <c r="A110" s="61" t="s">
        <v>250</v>
      </c>
      <c r="B110" s="62"/>
      <c r="C110" s="62"/>
      <c r="D110" s="62"/>
      <c r="E110" s="62"/>
      <c r="F110" s="63"/>
      <c r="G110" s="69" t="s">
        <v>172</v>
      </c>
      <c r="H110" s="70"/>
      <c r="I110" s="70"/>
      <c r="J110" s="71"/>
    </row>
    <row r="111" spans="1:12" x14ac:dyDescent="0.35">
      <c r="A111" s="61" t="s">
        <v>88</v>
      </c>
      <c r="B111" s="60"/>
      <c r="C111" s="60"/>
      <c r="D111" s="60"/>
      <c r="E111" s="60"/>
      <c r="F111" s="136"/>
      <c r="G111" s="69" t="s">
        <v>173</v>
      </c>
      <c r="H111" s="70"/>
      <c r="I111" s="70"/>
      <c r="J111" s="71"/>
    </row>
    <row r="112" spans="1:12" s="20" customFormat="1" x14ac:dyDescent="0.35">
      <c r="A112" s="175" t="s">
        <v>97</v>
      </c>
      <c r="B112" s="131"/>
      <c r="C112" s="131"/>
      <c r="D112" s="131"/>
      <c r="E112" s="131"/>
      <c r="F112" s="132"/>
      <c r="G112" s="176">
        <f>G105*0.8</f>
        <v>5880</v>
      </c>
      <c r="H112" s="177"/>
      <c r="I112" s="177"/>
      <c r="J112" s="178"/>
    </row>
    <row r="113" spans="1:10" s="46" customFormat="1" ht="15.75" customHeight="1" x14ac:dyDescent="0.35">
      <c r="A113" s="101" t="s">
        <v>241</v>
      </c>
      <c r="B113" s="101"/>
      <c r="C113" s="101"/>
      <c r="D113" s="101"/>
      <c r="E113" s="101"/>
      <c r="F113" s="101"/>
      <c r="G113" s="101"/>
      <c r="H113" s="101"/>
      <c r="I113" s="101"/>
      <c r="J113" s="101"/>
    </row>
    <row r="114" spans="1:10" s="46" customFormat="1" ht="15.75" customHeight="1" x14ac:dyDescent="0.35">
      <c r="A114" s="108" t="s">
        <v>242</v>
      </c>
      <c r="B114" s="108"/>
      <c r="C114" s="96" t="s">
        <v>243</v>
      </c>
      <c r="D114" s="96"/>
      <c r="E114" s="185" t="s">
        <v>244</v>
      </c>
      <c r="F114" s="78"/>
      <c r="G114" s="79"/>
      <c r="H114" s="108" t="s">
        <v>245</v>
      </c>
      <c r="I114" s="108"/>
      <c r="J114" s="108"/>
    </row>
    <row r="115" spans="1:10" s="46" customFormat="1" ht="15.5" x14ac:dyDescent="0.35">
      <c r="A115" s="97" t="s">
        <v>151</v>
      </c>
      <c r="B115" s="97"/>
      <c r="C115" s="99">
        <f>COUNT(C127:C134)</f>
        <v>8</v>
      </c>
      <c r="D115" s="98"/>
      <c r="E115" s="186">
        <f>SUM(C127:C134)</f>
        <v>1992.7393199999999</v>
      </c>
      <c r="F115" s="187"/>
      <c r="G115" s="188"/>
      <c r="H115" s="186">
        <f>SUM(F127:F134)</f>
        <v>2989.10898</v>
      </c>
      <c r="I115" s="187"/>
      <c r="J115" s="188"/>
    </row>
    <row r="116" spans="1:10" s="46" customFormat="1" ht="15.75" customHeight="1" x14ac:dyDescent="0.35">
      <c r="A116" s="189" t="s">
        <v>246</v>
      </c>
      <c r="B116" s="190"/>
      <c r="C116" s="190"/>
      <c r="D116" s="190"/>
      <c r="E116" s="190"/>
      <c r="F116" s="190"/>
      <c r="G116" s="190"/>
      <c r="H116" s="190"/>
      <c r="I116" s="190"/>
      <c r="J116" s="191"/>
    </row>
    <row r="117" spans="1:10" s="46" customFormat="1" ht="15.75" customHeight="1" x14ac:dyDescent="0.35">
      <c r="A117" s="108" t="s">
        <v>242</v>
      </c>
      <c r="B117" s="108"/>
      <c r="C117" s="96" t="s">
        <v>243</v>
      </c>
      <c r="D117" s="96"/>
      <c r="E117" s="185" t="s">
        <v>244</v>
      </c>
      <c r="F117" s="78"/>
      <c r="G117" s="79"/>
      <c r="H117" s="102" t="s">
        <v>245</v>
      </c>
      <c r="I117" s="103"/>
      <c r="J117" s="104"/>
    </row>
    <row r="118" spans="1:10" s="46" customFormat="1" ht="15.5" x14ac:dyDescent="0.35">
      <c r="A118" s="97" t="s">
        <v>151</v>
      </c>
      <c r="B118" s="97"/>
      <c r="C118" s="98">
        <f>COUNT(C137:C141)+COUNT(C143:C147)+COUNT(C149:C153)*2+COUNT(C155:C159)*2</f>
        <v>30</v>
      </c>
      <c r="D118" s="98"/>
      <c r="E118" s="186">
        <f>SUM(C137:C141)+SUM(C143:C147)+SUM(C149:C153)*2+SUM(C155:C159)*2</f>
        <v>16190.778239999998</v>
      </c>
      <c r="F118" s="192"/>
      <c r="G118" s="193"/>
      <c r="H118" s="186">
        <f>SUM(F137:F141)+SUM(F143:F147)+SUM(F149:F153)*2+SUM(F155:F159)*2</f>
        <v>24724.552787999997</v>
      </c>
      <c r="I118" s="192"/>
      <c r="J118" s="193"/>
    </row>
    <row r="119" spans="1:10" s="47" customFormat="1" ht="31.5" customHeight="1" x14ac:dyDescent="0.35">
      <c r="A119" s="80" t="s">
        <v>175</v>
      </c>
      <c r="B119" s="80"/>
      <c r="C119" s="100">
        <f>COUNT(C163:C169)+COUNT(C171:C177)*9+COUNT(C179:C185)*7+COUNT(C187:C193)*4+COUNT(C195:C201)*3</f>
        <v>168</v>
      </c>
      <c r="D119" s="100"/>
      <c r="E119" s="82">
        <f>SUM(C163:C169)+SUM(C171:C177)*9+SUM(C179:C185)*7+SUM(C187:C193)*4+SUM(C195:C201)*3</f>
        <v>86067.033389999982</v>
      </c>
      <c r="F119" s="83"/>
      <c r="G119" s="84"/>
      <c r="H119" s="82">
        <f>SUM(F163:F169)+SUM(F171:F177)*9+SUM(F179:F185)*7+SUM(F187:F193)*4+SUM(F195:F201)*3</f>
        <v>132862.12541549999</v>
      </c>
      <c r="I119" s="83"/>
      <c r="J119" s="84"/>
    </row>
    <row r="120" spans="1:10" s="47" customFormat="1" ht="32.25" customHeight="1" x14ac:dyDescent="0.35">
      <c r="A120" s="80" t="s">
        <v>176</v>
      </c>
      <c r="B120" s="80"/>
      <c r="C120" s="81">
        <f>COUNT(C205:C211)+COUNT(C213:C219)*9+COUNT(C221:C227)*7+COUNT(C229:C235)*4+COUNT(C237:C243)*3</f>
        <v>168</v>
      </c>
      <c r="D120" s="81"/>
      <c r="E120" s="82">
        <f>SUM(C205:C211)+SUM(C213:C219)*9+SUM(C221:C227)*7+SUM(C229:C235)*4+SUM(C237:C243)*3</f>
        <v>82519.972470000008</v>
      </c>
      <c r="F120" s="83"/>
      <c r="G120" s="84"/>
      <c r="H120" s="82">
        <f>SUM(F205:F211)+SUM(F213:F219)*9+SUM(F221:F227)*7+SUM(F229:F235)*4+SUM(F237:F243)*3</f>
        <v>127710.1682415</v>
      </c>
      <c r="I120" s="83"/>
      <c r="J120" s="84"/>
    </row>
    <row r="121" spans="1:10" s="46" customFormat="1" ht="15.5" x14ac:dyDescent="0.35">
      <c r="A121" s="101" t="s">
        <v>85</v>
      </c>
      <c r="B121" s="101"/>
      <c r="C121" s="96">
        <f>SUM(C118:D120)</f>
        <v>366</v>
      </c>
      <c r="D121" s="96"/>
      <c r="E121" s="77">
        <f>SUM(E118:G120)</f>
        <v>184777.78409999999</v>
      </c>
      <c r="F121" s="78"/>
      <c r="G121" s="79"/>
      <c r="H121" s="102">
        <f>SUM(H118:J120)</f>
        <v>285296.84644499997</v>
      </c>
      <c r="I121" s="103"/>
      <c r="J121" s="104"/>
    </row>
    <row r="122" spans="1:10" s="1" customFormat="1" ht="17.5" x14ac:dyDescent="0.35">
      <c r="A122" s="179" t="s">
        <v>98</v>
      </c>
      <c r="B122" s="180"/>
      <c r="C122" s="180"/>
      <c r="D122" s="180"/>
      <c r="E122" s="180"/>
      <c r="F122" s="180"/>
      <c r="G122" s="180"/>
      <c r="H122" s="180"/>
      <c r="I122" s="180"/>
      <c r="J122" s="181"/>
    </row>
    <row r="123" spans="1:10" x14ac:dyDescent="0.35">
      <c r="A123" s="182" t="s">
        <v>42</v>
      </c>
      <c r="B123" s="183"/>
      <c r="C123" s="183"/>
      <c r="D123" s="183"/>
      <c r="E123" s="183"/>
      <c r="F123" s="183"/>
      <c r="G123" s="183"/>
      <c r="H123" s="183"/>
      <c r="I123" s="183"/>
      <c r="J123" s="184"/>
    </row>
    <row r="124" spans="1:10" ht="33" customHeight="1" x14ac:dyDescent="0.35">
      <c r="A124" s="15" t="s">
        <v>31</v>
      </c>
      <c r="B124" s="5" t="s">
        <v>28</v>
      </c>
      <c r="C124" s="5" t="s">
        <v>135</v>
      </c>
      <c r="D124" s="194" t="s">
        <v>29</v>
      </c>
      <c r="E124" s="195"/>
      <c r="F124" s="205" t="s">
        <v>131</v>
      </c>
      <c r="G124" s="206"/>
      <c r="H124" s="5" t="s">
        <v>30</v>
      </c>
      <c r="I124" s="205" t="s">
        <v>99</v>
      </c>
      <c r="J124" s="206"/>
    </row>
    <row r="125" spans="1:10" ht="15" x14ac:dyDescent="0.35">
      <c r="A125" s="105" t="s">
        <v>151</v>
      </c>
      <c r="B125" s="106"/>
      <c r="C125" s="106"/>
      <c r="D125" s="106"/>
      <c r="E125" s="106"/>
      <c r="F125" s="106"/>
      <c r="G125" s="106"/>
      <c r="H125" s="106"/>
      <c r="I125" s="106"/>
      <c r="J125" s="107"/>
    </row>
    <row r="126" spans="1:10" ht="15" x14ac:dyDescent="0.35">
      <c r="A126" s="248" t="s">
        <v>152</v>
      </c>
      <c r="B126" s="248"/>
      <c r="C126" s="248"/>
      <c r="D126" s="248"/>
      <c r="E126" s="248"/>
      <c r="F126" s="248"/>
      <c r="G126" s="248"/>
      <c r="H126" s="248"/>
      <c r="I126" s="248"/>
      <c r="J126" s="248"/>
    </row>
    <row r="127" spans="1:10" ht="15.5" x14ac:dyDescent="0.35">
      <c r="A127" s="23">
        <v>1</v>
      </c>
      <c r="B127" s="23" t="s">
        <v>153</v>
      </c>
      <c r="C127" s="23">
        <f xml:space="preserve"> 18.81*10.764</f>
        <v>202.47083999999998</v>
      </c>
      <c r="D127" s="85">
        <v>0</v>
      </c>
      <c r="E127" s="85"/>
      <c r="F127" s="85">
        <f>C127*1.5+D127</f>
        <v>303.70625999999999</v>
      </c>
      <c r="G127" s="85"/>
      <c r="H127" s="23" t="s">
        <v>159</v>
      </c>
      <c r="I127" s="85" t="str">
        <f>A126</f>
        <v>Ground Floor</v>
      </c>
      <c r="J127" s="85"/>
    </row>
    <row r="128" spans="1:10" ht="15.5" x14ac:dyDescent="0.35">
      <c r="A128" s="23">
        <v>2</v>
      </c>
      <c r="B128" s="23" t="s">
        <v>153</v>
      </c>
      <c r="C128" s="23">
        <f xml:space="preserve">  19.22*10.764</f>
        <v>206.88407999999998</v>
      </c>
      <c r="D128" s="85">
        <v>0</v>
      </c>
      <c r="E128" s="85"/>
      <c r="F128" s="85">
        <f t="shared" ref="F128:F134" si="0">C128*1.5+D128</f>
        <v>310.32611999999995</v>
      </c>
      <c r="G128" s="85"/>
      <c r="H128" s="23" t="s">
        <v>159</v>
      </c>
      <c r="I128" s="85"/>
      <c r="J128" s="85"/>
    </row>
    <row r="129" spans="1:12" ht="15.5" x14ac:dyDescent="0.35">
      <c r="A129" s="23">
        <v>3</v>
      </c>
      <c r="B129" s="23" t="s">
        <v>153</v>
      </c>
      <c r="C129" s="23">
        <f xml:space="preserve"> 14.43*10.764</f>
        <v>155.32451999999998</v>
      </c>
      <c r="D129" s="85">
        <v>0</v>
      </c>
      <c r="E129" s="85"/>
      <c r="F129" s="85">
        <f t="shared" si="0"/>
        <v>232.98677999999995</v>
      </c>
      <c r="G129" s="85"/>
      <c r="H129" s="23" t="s">
        <v>159</v>
      </c>
      <c r="I129" s="85"/>
      <c r="J129" s="85"/>
    </row>
    <row r="130" spans="1:12" ht="15.5" x14ac:dyDescent="0.35">
      <c r="A130" s="23">
        <v>4</v>
      </c>
      <c r="B130" s="23" t="s">
        <v>153</v>
      </c>
      <c r="C130" s="23">
        <f xml:space="preserve">  16.39*10.764</f>
        <v>176.42195999999998</v>
      </c>
      <c r="D130" s="85">
        <v>0</v>
      </c>
      <c r="E130" s="85">
        <v>0</v>
      </c>
      <c r="F130" s="85">
        <f t="shared" si="0"/>
        <v>264.63293999999996</v>
      </c>
      <c r="G130" s="85"/>
      <c r="H130" s="23" t="s">
        <v>159</v>
      </c>
      <c r="I130" s="85"/>
      <c r="J130" s="85"/>
    </row>
    <row r="131" spans="1:12" ht="15.5" x14ac:dyDescent="0.35">
      <c r="A131" s="23">
        <v>5</v>
      </c>
      <c r="B131" s="23" t="s">
        <v>153</v>
      </c>
      <c r="C131" s="23">
        <f xml:space="preserve"> 34.37*10.764</f>
        <v>369.95867999999996</v>
      </c>
      <c r="D131" s="85">
        <v>0</v>
      </c>
      <c r="E131" s="85">
        <v>0</v>
      </c>
      <c r="F131" s="85">
        <f t="shared" si="0"/>
        <v>554.93801999999994</v>
      </c>
      <c r="G131" s="85"/>
      <c r="H131" s="23" t="s">
        <v>159</v>
      </c>
      <c r="I131" s="85"/>
      <c r="J131" s="85"/>
    </row>
    <row r="132" spans="1:12" ht="15.5" x14ac:dyDescent="0.35">
      <c r="A132" s="23">
        <v>6</v>
      </c>
      <c r="B132" s="23" t="s">
        <v>153</v>
      </c>
      <c r="C132" s="23">
        <f>18.27*10.764</f>
        <v>196.65827999999999</v>
      </c>
      <c r="D132" s="85">
        <v>0</v>
      </c>
      <c r="E132" s="85">
        <v>0</v>
      </c>
      <c r="F132" s="85">
        <f t="shared" si="0"/>
        <v>294.98741999999999</v>
      </c>
      <c r="G132" s="85"/>
      <c r="H132" s="23" t="s">
        <v>159</v>
      </c>
      <c r="I132" s="85"/>
      <c r="J132" s="85"/>
    </row>
    <row r="133" spans="1:12" ht="15.5" x14ac:dyDescent="0.35">
      <c r="A133" s="23">
        <v>7</v>
      </c>
      <c r="B133" s="23" t="s">
        <v>153</v>
      </c>
      <c r="C133" s="23">
        <f>25.87*10.764</f>
        <v>278.46467999999999</v>
      </c>
      <c r="D133" s="85">
        <v>0</v>
      </c>
      <c r="E133" s="85">
        <v>0</v>
      </c>
      <c r="F133" s="85">
        <f t="shared" si="0"/>
        <v>417.69701999999995</v>
      </c>
      <c r="G133" s="85"/>
      <c r="H133" s="23" t="s">
        <v>159</v>
      </c>
      <c r="I133" s="85"/>
      <c r="J133" s="85"/>
    </row>
    <row r="134" spans="1:12" ht="15.5" x14ac:dyDescent="0.35">
      <c r="A134" s="23">
        <v>8</v>
      </c>
      <c r="B134" s="23" t="s">
        <v>154</v>
      </c>
      <c r="C134" s="23">
        <f>37.77*10.764</f>
        <v>406.55628000000002</v>
      </c>
      <c r="D134" s="85">
        <v>0</v>
      </c>
      <c r="E134" s="85">
        <v>0</v>
      </c>
      <c r="F134" s="85">
        <f t="shared" si="0"/>
        <v>609.83442000000002</v>
      </c>
      <c r="G134" s="85"/>
      <c r="H134" s="23" t="s">
        <v>159</v>
      </c>
      <c r="I134" s="85"/>
      <c r="J134" s="85"/>
    </row>
    <row r="135" spans="1:12" ht="15" x14ac:dyDescent="0.35">
      <c r="A135" s="64" t="s">
        <v>156</v>
      </c>
      <c r="B135" s="65"/>
      <c r="C135" s="65"/>
      <c r="D135" s="65"/>
      <c r="E135" s="65"/>
      <c r="F135" s="65"/>
      <c r="G135" s="65"/>
      <c r="H135" s="65"/>
      <c r="I135" s="65"/>
      <c r="J135" s="66"/>
    </row>
    <row r="136" spans="1:12" ht="15" x14ac:dyDescent="0.35">
      <c r="A136" s="64" t="s">
        <v>157</v>
      </c>
      <c r="B136" s="65"/>
      <c r="C136" s="65"/>
      <c r="D136" s="65"/>
      <c r="E136" s="65"/>
      <c r="F136" s="65"/>
      <c r="G136" s="65"/>
      <c r="H136" s="65"/>
      <c r="I136" s="65"/>
      <c r="J136" s="66"/>
    </row>
    <row r="137" spans="1:12" ht="15.5" x14ac:dyDescent="0.35">
      <c r="A137" s="23">
        <v>1</v>
      </c>
      <c r="B137" s="23" t="s">
        <v>158</v>
      </c>
      <c r="C137" s="23">
        <f xml:space="preserve"> (50.35+5.7+1.62)*10.764</f>
        <v>620.75987999999995</v>
      </c>
      <c r="D137" s="75">
        <f>14.03*10.764</f>
        <v>151.01891999999998</v>
      </c>
      <c r="E137" s="76"/>
      <c r="F137" s="75">
        <f>C137*1.45+(D137/2)</f>
        <v>975.61128599999995</v>
      </c>
      <c r="G137" s="76"/>
      <c r="H137" s="23" t="s">
        <v>159</v>
      </c>
      <c r="I137" s="86" t="str">
        <f>A136</f>
        <v>2nd Floor</v>
      </c>
      <c r="J137" s="87"/>
    </row>
    <row r="138" spans="1:12" ht="15.5" x14ac:dyDescent="0.35">
      <c r="A138" s="23">
        <v>2</v>
      </c>
      <c r="B138" s="23" t="s">
        <v>158</v>
      </c>
      <c r="C138" s="23">
        <f xml:space="preserve"> (50.38+6.67+1.53)*10.764</f>
        <v>630.55511999999999</v>
      </c>
      <c r="D138" s="75">
        <f>14.64*10.764</f>
        <v>157.58496</v>
      </c>
      <c r="E138" s="76"/>
      <c r="F138" s="75">
        <f>C138*1.45+(D138/2)</f>
        <v>993.09740399999987</v>
      </c>
      <c r="G138" s="76"/>
      <c r="H138" s="23" t="s">
        <v>159</v>
      </c>
      <c r="I138" s="88"/>
      <c r="J138" s="89"/>
    </row>
    <row r="139" spans="1:12" ht="15.5" x14ac:dyDescent="0.35">
      <c r="A139" s="23">
        <v>3</v>
      </c>
      <c r="B139" s="23" t="s">
        <v>132</v>
      </c>
      <c r="C139" s="23">
        <f xml:space="preserve"> (33.84+6.19+1.44)*10.764</f>
        <v>446.38307999999995</v>
      </c>
      <c r="D139" s="75">
        <f>4.78*10.764</f>
        <v>51.451920000000001</v>
      </c>
      <c r="E139" s="76"/>
      <c r="F139" s="75">
        <f>C139*1.45+D139</f>
        <v>698.70738599999993</v>
      </c>
      <c r="G139" s="76"/>
      <c r="H139" s="23" t="s">
        <v>159</v>
      </c>
      <c r="I139" s="88"/>
      <c r="J139" s="89"/>
      <c r="L139">
        <f>4700000/F139</f>
        <v>6726.7071941329104</v>
      </c>
    </row>
    <row r="140" spans="1:12" ht="15.5" x14ac:dyDescent="0.35">
      <c r="A140" s="23">
        <v>4</v>
      </c>
      <c r="B140" s="23" t="s">
        <v>158</v>
      </c>
      <c r="C140" s="23">
        <f xml:space="preserve"> (36.48+2.54)*10.764</f>
        <v>420.01127999999994</v>
      </c>
      <c r="D140" s="75">
        <f>12.02*10.764</f>
        <v>129.38327999999998</v>
      </c>
      <c r="E140" s="76"/>
      <c r="F140" s="75">
        <f>C140*1.45+(D140/2)</f>
        <v>673.70799599999987</v>
      </c>
      <c r="G140" s="76"/>
      <c r="H140" s="23" t="s">
        <v>159</v>
      </c>
      <c r="I140" s="88"/>
      <c r="J140" s="89"/>
      <c r="L140">
        <f xml:space="preserve"> 4830000/F140</f>
        <v>7169.2781274337149</v>
      </c>
    </row>
    <row r="141" spans="1:12" ht="15.5" x14ac:dyDescent="0.35">
      <c r="A141" s="23">
        <v>5</v>
      </c>
      <c r="B141" s="23" t="s">
        <v>158</v>
      </c>
      <c r="C141" s="23">
        <f xml:space="preserve"> (50.55+6.09+1.53)*10.764</f>
        <v>626.14188000000001</v>
      </c>
      <c r="D141" s="75">
        <f>13.34*10.764</f>
        <v>143.59175999999999</v>
      </c>
      <c r="E141" s="76"/>
      <c r="F141" s="75">
        <f>C141*1.45+(D141/2)</f>
        <v>979.70160599999997</v>
      </c>
      <c r="G141" s="76"/>
      <c r="H141" s="23" t="s">
        <v>159</v>
      </c>
      <c r="I141" s="90"/>
      <c r="J141" s="91"/>
    </row>
    <row r="142" spans="1:12" ht="15" x14ac:dyDescent="0.35">
      <c r="A142" s="64" t="s">
        <v>160</v>
      </c>
      <c r="B142" s="65"/>
      <c r="C142" s="65"/>
      <c r="D142" s="65"/>
      <c r="E142" s="65"/>
      <c r="F142" s="65"/>
      <c r="G142" s="65"/>
      <c r="H142" s="65"/>
      <c r="I142" s="65"/>
      <c r="J142" s="66"/>
    </row>
    <row r="143" spans="1:12" ht="15.5" x14ac:dyDescent="0.35">
      <c r="A143" s="23">
        <v>1</v>
      </c>
      <c r="B143" s="23" t="s">
        <v>158</v>
      </c>
      <c r="C143" s="23">
        <f xml:space="preserve"> (56.03)*10.764</f>
        <v>603.10691999999995</v>
      </c>
      <c r="D143" s="75">
        <v>0</v>
      </c>
      <c r="E143" s="76"/>
      <c r="F143" s="75">
        <f>C143*1.45+D143</f>
        <v>874.50503399999991</v>
      </c>
      <c r="G143" s="76"/>
      <c r="H143" s="23" t="s">
        <v>159</v>
      </c>
      <c r="I143" s="86" t="str">
        <f>A142</f>
        <v>3rd Floor</v>
      </c>
      <c r="J143" s="87"/>
      <c r="K143">
        <f>5970000/F143</f>
        <v>6826.7188499683361</v>
      </c>
    </row>
    <row r="144" spans="1:12" ht="15.5" x14ac:dyDescent="0.35">
      <c r="A144" s="23">
        <v>2</v>
      </c>
      <c r="B144" s="23" t="s">
        <v>158</v>
      </c>
      <c r="C144" s="23">
        <f xml:space="preserve"> (56.4)*10.764</f>
        <v>607.0895999999999</v>
      </c>
      <c r="D144" s="75">
        <v>0</v>
      </c>
      <c r="E144" s="76"/>
      <c r="F144" s="75">
        <f>C144*1.45+D144</f>
        <v>880.27991999999983</v>
      </c>
      <c r="G144" s="76"/>
      <c r="H144" s="23" t="s">
        <v>159</v>
      </c>
      <c r="I144" s="88"/>
      <c r="J144" s="89"/>
      <c r="K144">
        <f>5970000/F144</f>
        <v>6781.9336376547144</v>
      </c>
    </row>
    <row r="145" spans="1:12" ht="15.5" x14ac:dyDescent="0.35">
      <c r="A145" s="23">
        <v>3</v>
      </c>
      <c r="B145" s="23" t="s">
        <v>132</v>
      </c>
      <c r="C145" s="23">
        <f xml:space="preserve"> (40.79)*10.764</f>
        <v>439.06355999999994</v>
      </c>
      <c r="D145" s="75">
        <v>0</v>
      </c>
      <c r="E145" s="76"/>
      <c r="F145" s="75">
        <f>C145*1.45+D145</f>
        <v>636.64216199999987</v>
      </c>
      <c r="G145" s="76"/>
      <c r="H145" s="23" t="s">
        <v>159</v>
      </c>
      <c r="I145" s="88"/>
      <c r="J145" s="89"/>
      <c r="K145">
        <f>4700000/F145</f>
        <v>7382.4830973101671</v>
      </c>
    </row>
    <row r="146" spans="1:12" ht="15.5" x14ac:dyDescent="0.35">
      <c r="A146" s="23">
        <v>4</v>
      </c>
      <c r="B146" s="23" t="s">
        <v>158</v>
      </c>
      <c r="C146" s="23">
        <f xml:space="preserve"> (37.77)*10.764</f>
        <v>406.55628000000002</v>
      </c>
      <c r="D146" s="75">
        <v>0</v>
      </c>
      <c r="E146" s="76"/>
      <c r="F146" s="75">
        <f>C146*1.45+D146</f>
        <v>589.50660600000003</v>
      </c>
      <c r="G146" s="76"/>
      <c r="H146" s="23" t="s">
        <v>159</v>
      </c>
      <c r="I146" s="88"/>
      <c r="J146" s="89"/>
      <c r="L146">
        <f>F146/C146</f>
        <v>1.45</v>
      </c>
    </row>
    <row r="147" spans="1:12" ht="15.5" x14ac:dyDescent="0.35">
      <c r="A147" s="23">
        <v>5</v>
      </c>
      <c r="B147" s="23" t="s">
        <v>158</v>
      </c>
      <c r="C147" s="23">
        <f xml:space="preserve"> (56.56)*10.764</f>
        <v>608.81183999999996</v>
      </c>
      <c r="D147" s="75">
        <v>0</v>
      </c>
      <c r="E147" s="76"/>
      <c r="F147" s="75">
        <f>C147*1.45+D147</f>
        <v>882.77716799999996</v>
      </c>
      <c r="G147" s="76"/>
      <c r="H147" s="23" t="s">
        <v>159</v>
      </c>
      <c r="I147" s="90"/>
      <c r="J147" s="91"/>
    </row>
    <row r="148" spans="1:12" ht="15" x14ac:dyDescent="0.35">
      <c r="A148" s="64" t="s">
        <v>165</v>
      </c>
      <c r="B148" s="65"/>
      <c r="C148" s="65"/>
      <c r="D148" s="65"/>
      <c r="E148" s="65"/>
      <c r="F148" s="65"/>
      <c r="G148" s="65"/>
      <c r="H148" s="65"/>
      <c r="I148" s="65"/>
      <c r="J148" s="66"/>
    </row>
    <row r="149" spans="1:12" ht="15.5" x14ac:dyDescent="0.35">
      <c r="A149" s="23">
        <v>1</v>
      </c>
      <c r="B149" s="23" t="s">
        <v>158</v>
      </c>
      <c r="C149" s="23">
        <f xml:space="preserve"> (49.39+5.7+1.62)*10.764</f>
        <v>610.42643999999996</v>
      </c>
      <c r="D149" s="75">
        <f>4.54*10.764</f>
        <v>48.868559999999995</v>
      </c>
      <c r="E149" s="76"/>
      <c r="F149" s="75">
        <f>C149*1.45+D149</f>
        <v>933.98689799999988</v>
      </c>
      <c r="G149" s="76"/>
      <c r="H149" s="23" t="s">
        <v>159</v>
      </c>
      <c r="I149" s="86" t="str">
        <f>A148</f>
        <v>4th &amp; 6th Floors</v>
      </c>
      <c r="J149" s="87"/>
    </row>
    <row r="150" spans="1:12" ht="15.5" x14ac:dyDescent="0.35">
      <c r="A150" s="23">
        <v>2</v>
      </c>
      <c r="B150" s="23" t="s">
        <v>158</v>
      </c>
      <c r="C150" s="23">
        <f xml:space="preserve"> (49.08+6.2+1.53)*10.764</f>
        <v>611.50283999999999</v>
      </c>
      <c r="D150" s="75">
        <f>4.54*10.764</f>
        <v>48.868559999999995</v>
      </c>
      <c r="E150" s="76"/>
      <c r="F150" s="75">
        <f>C150*1.45+D150</f>
        <v>935.54767800000002</v>
      </c>
      <c r="G150" s="76"/>
      <c r="H150" s="23" t="s">
        <v>159</v>
      </c>
      <c r="I150" s="88"/>
      <c r="J150" s="89"/>
    </row>
    <row r="151" spans="1:12" ht="15.5" x14ac:dyDescent="0.35">
      <c r="A151" s="23">
        <v>3</v>
      </c>
      <c r="B151" s="23" t="s">
        <v>132</v>
      </c>
      <c r="C151" s="23">
        <f xml:space="preserve"> (33.38+5.96+1.44)*10.764</f>
        <v>438.95591999999999</v>
      </c>
      <c r="D151" s="75">
        <v>0</v>
      </c>
      <c r="E151" s="76"/>
      <c r="F151" s="75">
        <f>C151*1.45+D151</f>
        <v>636.48608400000001</v>
      </c>
      <c r="G151" s="76"/>
      <c r="H151" s="23" t="s">
        <v>159</v>
      </c>
      <c r="I151" s="88"/>
      <c r="J151" s="89"/>
    </row>
    <row r="152" spans="1:12" ht="15.5" x14ac:dyDescent="0.35">
      <c r="A152" s="23">
        <v>4</v>
      </c>
      <c r="B152" s="23" t="s">
        <v>158</v>
      </c>
      <c r="C152" s="23">
        <f xml:space="preserve"> (35.83+2.54)*10.764</f>
        <v>413.01467999999994</v>
      </c>
      <c r="D152" s="75">
        <f>4.54*10.764</f>
        <v>48.868559999999995</v>
      </c>
      <c r="E152" s="76"/>
      <c r="F152" s="75">
        <f>C152*1.45+D152</f>
        <v>647.73984599999994</v>
      </c>
      <c r="G152" s="76"/>
      <c r="H152" s="23" t="s">
        <v>159</v>
      </c>
      <c r="I152" s="88"/>
      <c r="J152" s="89"/>
    </row>
    <row r="153" spans="1:12" ht="15.5" x14ac:dyDescent="0.35">
      <c r="A153" s="23">
        <v>5</v>
      </c>
      <c r="B153" s="23" t="s">
        <v>158</v>
      </c>
      <c r="C153" s="23">
        <f xml:space="preserve"> (49.62+6.09+1.53)*10.764</f>
        <v>616.13135999999986</v>
      </c>
      <c r="D153" s="75">
        <f>4.54*10.764</f>
        <v>48.868559999999995</v>
      </c>
      <c r="E153" s="76"/>
      <c r="F153" s="75">
        <f>C153*1.45+D153</f>
        <v>942.25903199999982</v>
      </c>
      <c r="G153" s="76"/>
      <c r="H153" s="23" t="s">
        <v>159</v>
      </c>
      <c r="I153" s="90"/>
      <c r="J153" s="91"/>
    </row>
    <row r="154" spans="1:12" ht="15" x14ac:dyDescent="0.35">
      <c r="A154" s="64" t="s">
        <v>166</v>
      </c>
      <c r="B154" s="65"/>
      <c r="C154" s="65"/>
      <c r="D154" s="65"/>
      <c r="E154" s="65"/>
      <c r="F154" s="65"/>
      <c r="G154" s="65"/>
      <c r="H154" s="65"/>
      <c r="I154" s="65"/>
      <c r="J154" s="66"/>
    </row>
    <row r="155" spans="1:12" ht="15.5" x14ac:dyDescent="0.35">
      <c r="A155" s="23">
        <v>1</v>
      </c>
      <c r="B155" s="23" t="s">
        <v>158</v>
      </c>
      <c r="C155" s="23">
        <f xml:space="preserve"> (49.41+5.7+1.62)*10.764</f>
        <v>610.64171999999996</v>
      </c>
      <c r="D155" s="75">
        <f>4.78*10.764</f>
        <v>51.451920000000001</v>
      </c>
      <c r="E155" s="76"/>
      <c r="F155" s="75">
        <f>C155*1.45+D155</f>
        <v>936.88241399999993</v>
      </c>
      <c r="G155" s="76"/>
      <c r="H155" s="23" t="s">
        <v>159</v>
      </c>
      <c r="I155" s="86" t="s">
        <v>167</v>
      </c>
      <c r="J155" s="87"/>
    </row>
    <row r="156" spans="1:12" ht="15.5" x14ac:dyDescent="0.35">
      <c r="A156" s="23">
        <v>2</v>
      </c>
      <c r="B156" s="23" t="s">
        <v>158</v>
      </c>
      <c r="C156" s="23">
        <f xml:space="preserve"> (49.38+6.2+1.53)*10.764</f>
        <v>614.73203999999998</v>
      </c>
      <c r="D156" s="75">
        <f>4.79*10.764</f>
        <v>51.559559999999998</v>
      </c>
      <c r="E156" s="76"/>
      <c r="F156" s="75">
        <f>C156*1.45+D156</f>
        <v>942.921018</v>
      </c>
      <c r="G156" s="76"/>
      <c r="H156" s="23" t="s">
        <v>159</v>
      </c>
      <c r="I156" s="88"/>
      <c r="J156" s="89"/>
    </row>
    <row r="157" spans="1:12" ht="15.5" x14ac:dyDescent="0.35">
      <c r="A157" s="23">
        <v>3</v>
      </c>
      <c r="B157" s="23" t="s">
        <v>132</v>
      </c>
      <c r="C157" s="23">
        <f xml:space="preserve"> (33.84+6.12+1.44)*10.764</f>
        <v>445.62959999999998</v>
      </c>
      <c r="D157" s="75">
        <f>4.78*10.764</f>
        <v>51.451920000000001</v>
      </c>
      <c r="E157" s="76"/>
      <c r="F157" s="75">
        <f>C157*1.45+D157</f>
        <v>697.61483999999996</v>
      </c>
      <c r="G157" s="76"/>
      <c r="H157" s="23" t="s">
        <v>159</v>
      </c>
      <c r="I157" s="88"/>
      <c r="J157" s="89"/>
      <c r="K157">
        <f xml:space="preserve"> 4830000/F157</f>
        <v>6923.5912469981295</v>
      </c>
    </row>
    <row r="158" spans="1:12" ht="15.5" x14ac:dyDescent="0.35">
      <c r="A158" s="23">
        <v>4</v>
      </c>
      <c r="B158" s="23" t="s">
        <v>158</v>
      </c>
      <c r="C158" s="23">
        <f xml:space="preserve"> (35.89+2.54)*10.764</f>
        <v>413.66051999999996</v>
      </c>
      <c r="D158" s="75">
        <f>4.78*10.764</f>
        <v>51.451920000000001</v>
      </c>
      <c r="E158" s="76"/>
      <c r="F158" s="75">
        <f>C158*1.45+D158</f>
        <v>651.2596739999999</v>
      </c>
      <c r="G158" s="76"/>
      <c r="H158" s="23" t="s">
        <v>159</v>
      </c>
      <c r="I158" s="88"/>
      <c r="J158" s="89"/>
    </row>
    <row r="159" spans="1:12" ht="15.5" x14ac:dyDescent="0.35">
      <c r="A159" s="23">
        <v>5</v>
      </c>
      <c r="B159" s="23" t="s">
        <v>158</v>
      </c>
      <c r="C159" s="23">
        <f xml:space="preserve"> (49.65+6.09+1.53)*10.764</f>
        <v>616.45427999999993</v>
      </c>
      <c r="D159" s="75">
        <f>4.78*10.764</f>
        <v>51.451920000000001</v>
      </c>
      <c r="E159" s="76"/>
      <c r="F159" s="75">
        <f>C159*1.45+D159</f>
        <v>945.31062599999984</v>
      </c>
      <c r="G159" s="76"/>
      <c r="H159" s="23" t="s">
        <v>159</v>
      </c>
      <c r="I159" s="90"/>
      <c r="J159" s="91"/>
    </row>
    <row r="160" spans="1:12" ht="15" x14ac:dyDescent="0.35">
      <c r="A160" s="105" t="s">
        <v>175</v>
      </c>
      <c r="B160" s="106"/>
      <c r="C160" s="106"/>
      <c r="D160" s="106"/>
      <c r="E160" s="106"/>
      <c r="F160" s="106"/>
      <c r="G160" s="106"/>
      <c r="H160" s="106"/>
      <c r="I160" s="106"/>
      <c r="J160" s="107"/>
    </row>
    <row r="161" spans="1:12" ht="15" x14ac:dyDescent="0.35">
      <c r="A161" s="64" t="s">
        <v>161</v>
      </c>
      <c r="B161" s="65"/>
      <c r="C161" s="65"/>
      <c r="D161" s="65"/>
      <c r="E161" s="65"/>
      <c r="F161" s="65"/>
      <c r="G161" s="65"/>
      <c r="H161" s="65"/>
      <c r="I161" s="65"/>
      <c r="J161" s="66"/>
    </row>
    <row r="162" spans="1:12" ht="15" x14ac:dyDescent="0.35">
      <c r="A162" s="64" t="s">
        <v>155</v>
      </c>
      <c r="B162" s="65"/>
      <c r="C162" s="65"/>
      <c r="D162" s="65"/>
      <c r="E162" s="65"/>
      <c r="F162" s="65"/>
      <c r="G162" s="65"/>
      <c r="H162" s="65"/>
      <c r="I162" s="65"/>
      <c r="J162" s="66"/>
    </row>
    <row r="163" spans="1:12" ht="15.5" x14ac:dyDescent="0.35">
      <c r="A163" s="23">
        <v>1</v>
      </c>
      <c r="B163" s="23" t="s">
        <v>158</v>
      </c>
      <c r="C163" s="23">
        <f>(47.07+1.2*2.9+0.75*(3.2+2.15))*10.764</f>
        <v>587.31074999999998</v>
      </c>
      <c r="D163" s="75">
        <f>(3.5*1.8)*10.764</f>
        <v>67.813199999999995</v>
      </c>
      <c r="E163" s="76"/>
      <c r="F163" s="75">
        <f t="shared" ref="F163:F169" si="1">C163*1.45+D163</f>
        <v>919.4137874999999</v>
      </c>
      <c r="G163" s="76"/>
      <c r="H163" s="23" t="s">
        <v>159</v>
      </c>
      <c r="I163" s="86" t="str">
        <f>A162</f>
        <v>1st Floor</v>
      </c>
      <c r="J163" s="87"/>
      <c r="K163">
        <f>(4.4*3.2+2.75*2.15+3.6*2.45+1.2*1+1.2*2+2*1.2+2.1*1.2+2.45*2.15+0.6*(2.4+2.45))</f>
        <v>45.51</v>
      </c>
    </row>
    <row r="164" spans="1:12" ht="15.5" x14ac:dyDescent="0.35">
      <c r="A164" s="23">
        <v>2</v>
      </c>
      <c r="B164" s="23" t="s">
        <v>254</v>
      </c>
      <c r="C164" s="23">
        <f>(45.84+1.2*2.75+1.1*2.55+0.75*2.9)*10.764</f>
        <v>582.5476799999999</v>
      </c>
      <c r="D164" s="75">
        <f>(3.05*1.8)*10.764</f>
        <v>59.094360000000002</v>
      </c>
      <c r="E164" s="76"/>
      <c r="F164" s="75">
        <f t="shared" si="1"/>
        <v>903.7884959999999</v>
      </c>
      <c r="G164" s="76"/>
      <c r="H164" s="23" t="s">
        <v>159</v>
      </c>
      <c r="I164" s="88"/>
      <c r="J164" s="89"/>
    </row>
    <row r="165" spans="1:12" ht="15.5" x14ac:dyDescent="0.35">
      <c r="A165" s="23">
        <v>3</v>
      </c>
      <c r="B165" s="23" t="s">
        <v>132</v>
      </c>
      <c r="C165" s="23">
        <f>(37.5+1.1*2.55+0.75*2.9)*10.764</f>
        <v>457.25471999999996</v>
      </c>
      <c r="D165" s="75">
        <f>(2.9*1.8)*10.764</f>
        <v>56.188079999999992</v>
      </c>
      <c r="E165" s="76"/>
      <c r="F165" s="75">
        <f t="shared" si="1"/>
        <v>719.20742399999995</v>
      </c>
      <c r="G165" s="76"/>
      <c r="H165" s="23" t="s">
        <v>159</v>
      </c>
      <c r="I165" s="88"/>
      <c r="J165" s="89"/>
    </row>
    <row r="166" spans="1:12" ht="15.5" x14ac:dyDescent="0.35">
      <c r="A166" s="23">
        <v>4</v>
      </c>
      <c r="B166" s="23" t="s">
        <v>163</v>
      </c>
      <c r="C166" s="23">
        <f>(28.39+1.2*(2.9+2.55))*10.764</f>
        <v>375.98651999999998</v>
      </c>
      <c r="D166" s="75">
        <v>0</v>
      </c>
      <c r="E166" s="76"/>
      <c r="F166" s="75">
        <f t="shared" si="1"/>
        <v>545.18045399999994</v>
      </c>
      <c r="G166" s="76"/>
      <c r="H166" s="23" t="s">
        <v>159</v>
      </c>
      <c r="I166" s="88"/>
      <c r="J166" s="89"/>
    </row>
    <row r="167" spans="1:12" ht="15.5" x14ac:dyDescent="0.35">
      <c r="A167" s="23">
        <v>5</v>
      </c>
      <c r="B167" s="23" t="s">
        <v>163</v>
      </c>
      <c r="C167" s="23">
        <f>(28.39+1.2*(2.9+2.55))*10.764</f>
        <v>375.98651999999998</v>
      </c>
      <c r="D167" s="75">
        <v>0</v>
      </c>
      <c r="E167" s="76"/>
      <c r="F167" s="75">
        <f t="shared" si="1"/>
        <v>545.18045399999994</v>
      </c>
      <c r="G167" s="76"/>
      <c r="H167" s="23" t="s">
        <v>159</v>
      </c>
      <c r="I167" s="88"/>
      <c r="J167" s="89"/>
      <c r="L167">
        <f>F167/C167</f>
        <v>1.45</v>
      </c>
    </row>
    <row r="168" spans="1:12" ht="15.5" x14ac:dyDescent="0.35">
      <c r="A168" s="23">
        <v>6</v>
      </c>
      <c r="B168" s="23" t="s">
        <v>132</v>
      </c>
      <c r="C168" s="23">
        <f>(37.5+1.1*2.55+0.75*2.75)*10.764</f>
        <v>456.04376999999999</v>
      </c>
      <c r="D168" s="75">
        <f>(2.9*1.8)*10.764</f>
        <v>56.188079999999992</v>
      </c>
      <c r="E168" s="76"/>
      <c r="F168" s="75">
        <f t="shared" si="1"/>
        <v>717.45154649999995</v>
      </c>
      <c r="G168" s="76"/>
      <c r="H168" s="23" t="s">
        <v>159</v>
      </c>
      <c r="I168" s="88"/>
      <c r="J168" s="89"/>
    </row>
    <row r="169" spans="1:12" ht="15.5" x14ac:dyDescent="0.35">
      <c r="A169" s="23">
        <v>7</v>
      </c>
      <c r="B169" s="23" t="s">
        <v>254</v>
      </c>
      <c r="C169" s="23">
        <f>(45.84+1.2*2.75+1.1*2.55+0.75*2.9)*10.764</f>
        <v>582.5476799999999</v>
      </c>
      <c r="D169" s="75">
        <f>(3.05*1.8)*10.764</f>
        <v>59.094360000000002</v>
      </c>
      <c r="E169" s="76"/>
      <c r="F169" s="75">
        <f t="shared" si="1"/>
        <v>903.7884959999999</v>
      </c>
      <c r="G169" s="76"/>
      <c r="H169" s="23" t="s">
        <v>159</v>
      </c>
      <c r="I169" s="90"/>
      <c r="J169" s="91"/>
    </row>
    <row r="170" spans="1:12" ht="15" x14ac:dyDescent="0.35">
      <c r="A170" s="248" t="s">
        <v>237</v>
      </c>
      <c r="B170" s="248"/>
      <c r="C170" s="248"/>
      <c r="D170" s="248"/>
      <c r="E170" s="248"/>
      <c r="F170" s="248"/>
      <c r="G170" s="248"/>
      <c r="H170" s="248"/>
      <c r="I170" s="248"/>
      <c r="J170" s="248"/>
    </row>
    <row r="171" spans="1:12" ht="15.5" x14ac:dyDescent="0.35">
      <c r="A171" s="23">
        <v>1</v>
      </c>
      <c r="B171" s="23" t="s">
        <v>158</v>
      </c>
      <c r="C171" s="23">
        <f>(47.07+1.2*2.9+0.75*(3.2+2.15))*10.764</f>
        <v>587.31074999999998</v>
      </c>
      <c r="D171" s="85">
        <f>(3.2*1.8)*10.764</f>
        <v>62.000640000000004</v>
      </c>
      <c r="E171" s="85"/>
      <c r="F171" s="85">
        <f t="shared" ref="F171:F177" si="2">C171*1.45+D171</f>
        <v>913.60122749999994</v>
      </c>
      <c r="G171" s="85"/>
      <c r="H171" s="23" t="s">
        <v>159</v>
      </c>
      <c r="I171" s="85" t="str">
        <f>A170</f>
        <v>2nd, 4th, 6th, 10th, 12th, 16th, 18th, 22nd &amp; 24th Floor</v>
      </c>
      <c r="J171" s="85"/>
    </row>
    <row r="172" spans="1:12" ht="15.5" x14ac:dyDescent="0.35">
      <c r="A172" s="23">
        <v>2</v>
      </c>
      <c r="B172" s="23" t="s">
        <v>254</v>
      </c>
      <c r="C172" s="23">
        <f>((45.84+1.2*2.75+1.1*2.55)+0.75*2.9)*10.764</f>
        <v>582.5476799999999</v>
      </c>
      <c r="D172" s="85">
        <f>(2.75*1.8)*10.764</f>
        <v>53.281799999999997</v>
      </c>
      <c r="E172" s="85"/>
      <c r="F172" s="85">
        <f t="shared" si="2"/>
        <v>897.97593599999982</v>
      </c>
      <c r="G172" s="85"/>
      <c r="H172" s="23" t="s">
        <v>159</v>
      </c>
      <c r="I172" s="85"/>
      <c r="J172" s="85"/>
    </row>
    <row r="173" spans="1:12" ht="15.5" x14ac:dyDescent="0.35">
      <c r="A173" s="23">
        <v>3</v>
      </c>
      <c r="B173" s="23" t="s">
        <v>132</v>
      </c>
      <c r="C173" s="23">
        <f>(37.5+1.1*2.55+0.75*2.9)*10.764</f>
        <v>457.25471999999996</v>
      </c>
      <c r="D173" s="85">
        <f>(1.8*2.75)*10.764</f>
        <v>53.281799999999997</v>
      </c>
      <c r="E173" s="85"/>
      <c r="F173" s="85">
        <f t="shared" si="2"/>
        <v>716.30114399999991</v>
      </c>
      <c r="G173" s="85"/>
      <c r="H173" s="23" t="s">
        <v>159</v>
      </c>
      <c r="I173" s="85"/>
      <c r="J173" s="85"/>
    </row>
    <row r="174" spans="1:12" ht="15.5" x14ac:dyDescent="0.35">
      <c r="A174" s="23">
        <v>4</v>
      </c>
      <c r="B174" s="23" t="s">
        <v>132</v>
      </c>
      <c r="C174" s="23">
        <f>(37.32+1.2*(2.9+2.55))*10.764</f>
        <v>472.10903999999999</v>
      </c>
      <c r="D174" s="85">
        <f>(2.75*1.8)*10.764</f>
        <v>53.281799999999997</v>
      </c>
      <c r="E174" s="85"/>
      <c r="F174" s="85">
        <f t="shared" si="2"/>
        <v>737.83990799999992</v>
      </c>
      <c r="G174" s="85"/>
      <c r="H174" s="23" t="s">
        <v>159</v>
      </c>
      <c r="I174" s="85"/>
      <c r="J174" s="85"/>
    </row>
    <row r="175" spans="1:12" ht="15.5" x14ac:dyDescent="0.35">
      <c r="A175" s="23">
        <v>5</v>
      </c>
      <c r="B175" s="23" t="s">
        <v>132</v>
      </c>
      <c r="C175" s="23">
        <f>(37.32+1.2*(2.9+2.55))*10.764</f>
        <v>472.10903999999999</v>
      </c>
      <c r="D175" s="85">
        <f>(2.75*1.8)*10.764</f>
        <v>53.281799999999997</v>
      </c>
      <c r="E175" s="85"/>
      <c r="F175" s="85">
        <f t="shared" si="2"/>
        <v>737.83990799999992</v>
      </c>
      <c r="G175" s="85"/>
      <c r="H175" s="23" t="s">
        <v>159</v>
      </c>
      <c r="I175" s="85"/>
      <c r="J175" s="85"/>
    </row>
    <row r="176" spans="1:12" ht="15.5" x14ac:dyDescent="0.35">
      <c r="A176" s="23">
        <v>6</v>
      </c>
      <c r="B176" s="23" t="s">
        <v>132</v>
      </c>
      <c r="C176" s="23">
        <f>(37.5+1.1*2.55+0.75*2.9)*10.764</f>
        <v>457.25471999999996</v>
      </c>
      <c r="D176" s="85">
        <f>(2.75*1.8)*10.764</f>
        <v>53.281799999999997</v>
      </c>
      <c r="E176" s="85"/>
      <c r="F176" s="85">
        <f t="shared" si="2"/>
        <v>716.30114399999991</v>
      </c>
      <c r="G176" s="85"/>
      <c r="H176" s="23" t="s">
        <v>159</v>
      </c>
      <c r="I176" s="85"/>
      <c r="J176" s="85"/>
    </row>
    <row r="177" spans="1:11" ht="15.5" x14ac:dyDescent="0.35">
      <c r="A177" s="23">
        <v>7</v>
      </c>
      <c r="B177" s="23" t="s">
        <v>254</v>
      </c>
      <c r="C177" s="23">
        <f>((45.84+1.2*2.75+1.1*2.55)+0.75*2.9)*10.764</f>
        <v>582.5476799999999</v>
      </c>
      <c r="D177" s="85">
        <f>(2.75*1.8)*10.764</f>
        <v>53.281799999999997</v>
      </c>
      <c r="E177" s="85"/>
      <c r="F177" s="85">
        <f t="shared" si="2"/>
        <v>897.97593599999982</v>
      </c>
      <c r="G177" s="85"/>
      <c r="H177" s="23" t="s">
        <v>159</v>
      </c>
      <c r="I177" s="85"/>
      <c r="J177" s="85"/>
    </row>
    <row r="178" spans="1:11" ht="15" x14ac:dyDescent="0.35">
      <c r="A178" s="64" t="s">
        <v>240</v>
      </c>
      <c r="B178" s="65"/>
      <c r="C178" s="65"/>
      <c r="D178" s="65"/>
      <c r="E178" s="65"/>
      <c r="F178" s="65"/>
      <c r="G178" s="65"/>
      <c r="H178" s="65"/>
      <c r="I178" s="65"/>
      <c r="J178" s="66"/>
    </row>
    <row r="179" spans="1:11" ht="15.5" x14ac:dyDescent="0.35">
      <c r="A179" s="23">
        <v>1</v>
      </c>
      <c r="B179" s="23" t="s">
        <v>158</v>
      </c>
      <c r="C179" s="23">
        <f>(47.07+1.2*2.9+0.75*(3.2+2.15))*10.764</f>
        <v>587.31074999999998</v>
      </c>
      <c r="D179" s="75">
        <f>(3.2*1.8)*10.764</f>
        <v>62.000640000000004</v>
      </c>
      <c r="E179" s="76"/>
      <c r="F179" s="75">
        <f t="shared" ref="F179:F185" si="3">C179*1.45+D179</f>
        <v>913.60122749999994</v>
      </c>
      <c r="G179" s="76"/>
      <c r="H179" s="23" t="s">
        <v>159</v>
      </c>
      <c r="I179" s="86" t="str">
        <f>A178</f>
        <v>3rd, 7th, 9th, 13th, 15th, 19th &amp; 21st Floor</v>
      </c>
      <c r="J179" s="87"/>
    </row>
    <row r="180" spans="1:11" ht="15.5" x14ac:dyDescent="0.35">
      <c r="A180" s="23">
        <v>2</v>
      </c>
      <c r="B180" s="23" t="s">
        <v>254</v>
      </c>
      <c r="C180" s="23">
        <f>((45.84+1.2*2.75+1.1*2.55)+0.75*2.9)*10.764</f>
        <v>582.5476799999999</v>
      </c>
      <c r="D180" s="75">
        <f>(2.9*1.8)*10.764</f>
        <v>56.188079999999992</v>
      </c>
      <c r="E180" s="76"/>
      <c r="F180" s="75">
        <f t="shared" si="3"/>
        <v>900.88221599999986</v>
      </c>
      <c r="G180" s="76"/>
      <c r="H180" s="23" t="s">
        <v>159</v>
      </c>
      <c r="I180" s="88"/>
      <c r="J180" s="89"/>
    </row>
    <row r="181" spans="1:11" ht="15.5" x14ac:dyDescent="0.35">
      <c r="A181" s="23">
        <v>3</v>
      </c>
      <c r="B181" s="23" t="s">
        <v>132</v>
      </c>
      <c r="C181" s="23">
        <f>(37.5+1.1*2.55+0.75*2.9)*10.764</f>
        <v>457.25471999999996</v>
      </c>
      <c r="D181" s="75">
        <f>(2.9*1.8)*10.764</f>
        <v>56.188079999999992</v>
      </c>
      <c r="E181" s="76"/>
      <c r="F181" s="75">
        <f t="shared" si="3"/>
        <v>719.20742399999995</v>
      </c>
      <c r="G181" s="76"/>
      <c r="H181" s="23" t="s">
        <v>159</v>
      </c>
      <c r="I181" s="88"/>
      <c r="J181" s="89"/>
    </row>
    <row r="182" spans="1:11" ht="15.5" x14ac:dyDescent="0.35">
      <c r="A182" s="23">
        <v>4</v>
      </c>
      <c r="B182" s="23" t="s">
        <v>132</v>
      </c>
      <c r="C182" s="23">
        <f>(37.32+1.2*(2.55+2.9)+0.75*2.75)*10.764</f>
        <v>494.30978999999996</v>
      </c>
      <c r="D182" s="75">
        <v>0</v>
      </c>
      <c r="E182" s="76"/>
      <c r="F182" s="75">
        <f t="shared" si="3"/>
        <v>716.74919549999993</v>
      </c>
      <c r="G182" s="76"/>
      <c r="H182" s="23" t="s">
        <v>159</v>
      </c>
      <c r="I182" s="88"/>
      <c r="J182" s="89"/>
    </row>
    <row r="183" spans="1:11" ht="15.5" x14ac:dyDescent="0.35">
      <c r="A183" s="23">
        <v>5</v>
      </c>
      <c r="B183" s="23" t="s">
        <v>132</v>
      </c>
      <c r="C183" s="23">
        <f>(37.32+1.2*(2.55+2.9)+0.75*2.75)*10.764</f>
        <v>494.30978999999996</v>
      </c>
      <c r="D183" s="75">
        <v>0</v>
      </c>
      <c r="E183" s="76"/>
      <c r="F183" s="75">
        <f t="shared" si="3"/>
        <v>716.74919549999993</v>
      </c>
      <c r="G183" s="76"/>
      <c r="H183" s="23" t="s">
        <v>159</v>
      </c>
      <c r="I183" s="88"/>
      <c r="J183" s="89"/>
    </row>
    <row r="184" spans="1:11" ht="15.5" x14ac:dyDescent="0.35">
      <c r="A184" s="23">
        <v>6</v>
      </c>
      <c r="B184" s="23" t="s">
        <v>132</v>
      </c>
      <c r="C184" s="23">
        <f>(37.5+1.1*2.55+0.75*2.9)*10.764</f>
        <v>457.25471999999996</v>
      </c>
      <c r="D184" s="75">
        <f>(2.9*1.8)*10.764</f>
        <v>56.188079999999992</v>
      </c>
      <c r="E184" s="76"/>
      <c r="F184" s="75">
        <f t="shared" si="3"/>
        <v>719.20742399999995</v>
      </c>
      <c r="G184" s="76"/>
      <c r="H184" s="23" t="s">
        <v>159</v>
      </c>
      <c r="I184" s="88"/>
      <c r="J184" s="89"/>
    </row>
    <row r="185" spans="1:11" ht="15.5" x14ac:dyDescent="0.35">
      <c r="A185" s="23">
        <v>7</v>
      </c>
      <c r="B185" s="23" t="s">
        <v>254</v>
      </c>
      <c r="C185" s="23">
        <f>(45.84+1.1*2.55+1.2*2.75+0.75*2.9)*10.764</f>
        <v>582.5476799999999</v>
      </c>
      <c r="D185" s="75">
        <f>(2.9*1.8)*10.764</f>
        <v>56.188079999999992</v>
      </c>
      <c r="E185" s="76"/>
      <c r="F185" s="75">
        <f t="shared" si="3"/>
        <v>900.88221599999986</v>
      </c>
      <c r="G185" s="76"/>
      <c r="H185" s="23" t="s">
        <v>159</v>
      </c>
      <c r="I185" s="90"/>
      <c r="J185" s="91"/>
    </row>
    <row r="186" spans="1:11" ht="15" x14ac:dyDescent="0.35">
      <c r="A186" s="64" t="s">
        <v>239</v>
      </c>
      <c r="B186" s="65"/>
      <c r="C186" s="65"/>
      <c r="D186" s="65"/>
      <c r="E186" s="65"/>
      <c r="F186" s="65"/>
      <c r="G186" s="65"/>
      <c r="H186" s="65"/>
      <c r="I186" s="65"/>
      <c r="J186" s="66"/>
    </row>
    <row r="187" spans="1:11" ht="15.5" x14ac:dyDescent="0.35">
      <c r="A187" s="23">
        <v>1</v>
      </c>
      <c r="B187" s="23" t="s">
        <v>158</v>
      </c>
      <c r="C187" s="23">
        <f>(47.07+1.2*2.9+0.75*(3.2+2.15))*10.764</f>
        <v>587.31074999999998</v>
      </c>
      <c r="D187" s="75">
        <f>(3.5*1.8)*10.764</f>
        <v>67.813199999999995</v>
      </c>
      <c r="E187" s="76"/>
      <c r="F187" s="75">
        <f t="shared" ref="F187:F193" si="4">C187*1.45+D187</f>
        <v>919.4137874999999</v>
      </c>
      <c r="G187" s="76"/>
      <c r="H187" s="23" t="s">
        <v>159</v>
      </c>
      <c r="I187" s="86" t="str">
        <f>A186</f>
        <v>5th, 11th, 17th &amp; 23rd Floor (Part refuge area)</v>
      </c>
      <c r="J187" s="87"/>
      <c r="K187" s="48">
        <f>4.4*3.2+2.75*2.15+2.45*2.15+3.6*2.45+2.1*1.2+1.35*1.2+1.4*1.1+0.75*0.9+0.6*(2.4+1.1+2.45)</f>
        <v>44.004999999999995</v>
      </c>
    </row>
    <row r="188" spans="1:11" ht="15.5" x14ac:dyDescent="0.35">
      <c r="A188" s="23">
        <v>2</v>
      </c>
      <c r="B188" s="23" t="s">
        <v>132</v>
      </c>
      <c r="C188" s="23">
        <f>(37.5+1.1*2.55+2.75*0.75)*10.764</f>
        <v>456.04376999999999</v>
      </c>
      <c r="D188" s="75">
        <f>(2.9*1.8)*10.764</f>
        <v>56.188079999999992</v>
      </c>
      <c r="E188" s="76"/>
      <c r="F188" s="75">
        <f t="shared" si="4"/>
        <v>717.45154649999995</v>
      </c>
      <c r="G188" s="76"/>
      <c r="H188" s="23" t="s">
        <v>159</v>
      </c>
      <c r="I188" s="88"/>
      <c r="J188" s="89"/>
    </row>
    <row r="189" spans="1:11" ht="15.5" x14ac:dyDescent="0.35">
      <c r="A189" s="23">
        <v>3</v>
      </c>
      <c r="B189" s="23" t="s">
        <v>132</v>
      </c>
      <c r="C189" s="23">
        <f>(37.5+1.1*2.55+2.75*0.75)*10.764</f>
        <v>456.04376999999999</v>
      </c>
      <c r="D189" s="75">
        <f>(2.9*1.8)*10.764</f>
        <v>56.188079999999992</v>
      </c>
      <c r="E189" s="76"/>
      <c r="F189" s="75">
        <f t="shared" si="4"/>
        <v>717.45154649999995</v>
      </c>
      <c r="G189" s="76"/>
      <c r="H189" s="23" t="s">
        <v>159</v>
      </c>
      <c r="I189" s="88"/>
      <c r="J189" s="89"/>
    </row>
    <row r="190" spans="1:11" ht="15.5" x14ac:dyDescent="0.35">
      <c r="A190" s="23">
        <v>4</v>
      </c>
      <c r="B190" s="23" t="s">
        <v>132</v>
      </c>
      <c r="C190" s="23">
        <f>(37.32+1.2*(2.55+2.9)+2.75*0.75)*10.764</f>
        <v>494.30978999999996</v>
      </c>
      <c r="D190" s="75">
        <v>0</v>
      </c>
      <c r="E190" s="76"/>
      <c r="F190" s="75">
        <f t="shared" si="4"/>
        <v>716.74919549999993</v>
      </c>
      <c r="G190" s="76"/>
      <c r="H190" s="23" t="s">
        <v>159</v>
      </c>
      <c r="I190" s="88"/>
      <c r="J190" s="89"/>
    </row>
    <row r="191" spans="1:11" ht="15.5" x14ac:dyDescent="0.35">
      <c r="A191" s="23">
        <v>5</v>
      </c>
      <c r="B191" s="23" t="s">
        <v>132</v>
      </c>
      <c r="C191" s="23">
        <f>(37.32+1.2*(2.55+2.9)+2.75*0.75)*10.764</f>
        <v>494.30978999999996</v>
      </c>
      <c r="D191" s="75">
        <v>0</v>
      </c>
      <c r="E191" s="76"/>
      <c r="F191" s="75">
        <f t="shared" si="4"/>
        <v>716.74919549999993</v>
      </c>
      <c r="G191" s="76"/>
      <c r="H191" s="23" t="s">
        <v>159</v>
      </c>
      <c r="I191" s="88"/>
      <c r="J191" s="89"/>
    </row>
    <row r="192" spans="1:11" ht="15.5" x14ac:dyDescent="0.35">
      <c r="A192" s="23">
        <v>6</v>
      </c>
      <c r="B192" s="23" t="s">
        <v>132</v>
      </c>
      <c r="C192" s="23">
        <f>(37.5+1.1*2.55+2.75*0.75)*10.764</f>
        <v>456.04376999999999</v>
      </c>
      <c r="D192" s="75">
        <f>(2.9*1.8)*10.764</f>
        <v>56.188079999999992</v>
      </c>
      <c r="E192" s="76"/>
      <c r="F192" s="75">
        <f t="shared" si="4"/>
        <v>717.45154649999995</v>
      </c>
      <c r="G192" s="76"/>
      <c r="H192" s="23" t="s">
        <v>159</v>
      </c>
      <c r="I192" s="88"/>
      <c r="J192" s="89"/>
    </row>
    <row r="193" spans="1:12" ht="15.5" x14ac:dyDescent="0.35">
      <c r="A193" s="23">
        <v>7</v>
      </c>
      <c r="B193" s="23" t="s">
        <v>162</v>
      </c>
      <c r="C193" s="23">
        <f>(45.84+1.1*2.55+1.2*2.75+2.75*0.75)*10.764</f>
        <v>581.33672999999999</v>
      </c>
      <c r="D193" s="75">
        <f>(2.9*1.8)*10.764</f>
        <v>56.188079999999992</v>
      </c>
      <c r="E193" s="76"/>
      <c r="F193" s="75">
        <f t="shared" si="4"/>
        <v>899.12633849999997</v>
      </c>
      <c r="G193" s="76"/>
      <c r="H193" s="23" t="s">
        <v>159</v>
      </c>
      <c r="I193" s="90"/>
      <c r="J193" s="91"/>
    </row>
    <row r="194" spans="1:12" ht="15" x14ac:dyDescent="0.35">
      <c r="A194" s="64" t="s">
        <v>238</v>
      </c>
      <c r="B194" s="65"/>
      <c r="C194" s="65"/>
      <c r="D194" s="65"/>
      <c r="E194" s="65"/>
      <c r="F194" s="65"/>
      <c r="G194" s="65"/>
      <c r="H194" s="65"/>
      <c r="I194" s="65"/>
      <c r="J194" s="66"/>
    </row>
    <row r="195" spans="1:12" ht="15.5" x14ac:dyDescent="0.35">
      <c r="A195" s="23">
        <v>1</v>
      </c>
      <c r="B195" s="23" t="s">
        <v>158</v>
      </c>
      <c r="C195" s="23">
        <f>(47.07+1.2*2.9+0.75*(3.2+2.15))*10.764</f>
        <v>587.31074999999998</v>
      </c>
      <c r="D195" s="75">
        <f>(3.2*1.8)*10.764</f>
        <v>62.000640000000004</v>
      </c>
      <c r="E195" s="76"/>
      <c r="F195" s="75">
        <f t="shared" ref="F195:F201" si="5">C195*1.45+D195</f>
        <v>913.60122749999994</v>
      </c>
      <c r="G195" s="76"/>
      <c r="H195" s="23" t="s">
        <v>159</v>
      </c>
      <c r="I195" s="86" t="str">
        <f>A194</f>
        <v>8th, 14th &amp; 20th Floor (Part refuge area)</v>
      </c>
      <c r="J195" s="87"/>
    </row>
    <row r="196" spans="1:12" ht="15.5" x14ac:dyDescent="0.35">
      <c r="A196" s="23">
        <v>2</v>
      </c>
      <c r="B196" s="23" t="s">
        <v>132</v>
      </c>
      <c r="C196" s="23">
        <f>(37.5+1.1*2.55+2.9*0.75)*10.764</f>
        <v>457.25471999999996</v>
      </c>
      <c r="D196" s="75">
        <f>(2.75*1.8)*10.764</f>
        <v>53.281799999999997</v>
      </c>
      <c r="E196" s="76"/>
      <c r="F196" s="75">
        <f t="shared" si="5"/>
        <v>716.30114399999991</v>
      </c>
      <c r="G196" s="76"/>
      <c r="H196" s="23" t="s">
        <v>159</v>
      </c>
      <c r="I196" s="88"/>
      <c r="J196" s="89"/>
    </row>
    <row r="197" spans="1:12" ht="15.5" x14ac:dyDescent="0.35">
      <c r="A197" s="23">
        <v>3</v>
      </c>
      <c r="B197" s="23" t="s">
        <v>132</v>
      </c>
      <c r="C197" s="23">
        <f>(37.5+1.1*2.55+2.9*0.75)*10.764</f>
        <v>457.25471999999996</v>
      </c>
      <c r="D197" s="75">
        <f>(1.8*2.9)*10.764</f>
        <v>56.188079999999992</v>
      </c>
      <c r="E197" s="76"/>
      <c r="F197" s="75">
        <f t="shared" si="5"/>
        <v>719.20742399999995</v>
      </c>
      <c r="G197" s="76"/>
      <c r="H197" s="23" t="s">
        <v>159</v>
      </c>
      <c r="I197" s="88"/>
      <c r="J197" s="89"/>
    </row>
    <row r="198" spans="1:12" ht="15.5" x14ac:dyDescent="0.35">
      <c r="A198" s="23">
        <v>4</v>
      </c>
      <c r="B198" s="23" t="s">
        <v>132</v>
      </c>
      <c r="C198" s="23">
        <f>(37.32+1.2*(2.9+2.55))*10.764</f>
        <v>472.10903999999999</v>
      </c>
      <c r="D198" s="75">
        <f>(2.75*1.8)*10.764</f>
        <v>53.281799999999997</v>
      </c>
      <c r="E198" s="76"/>
      <c r="F198" s="75">
        <f t="shared" si="5"/>
        <v>737.83990799999992</v>
      </c>
      <c r="G198" s="76"/>
      <c r="H198" s="23" t="s">
        <v>159</v>
      </c>
      <c r="I198" s="88"/>
      <c r="J198" s="89"/>
    </row>
    <row r="199" spans="1:12" ht="15.5" x14ac:dyDescent="0.35">
      <c r="A199" s="23">
        <v>5</v>
      </c>
      <c r="B199" s="23" t="s">
        <v>132</v>
      </c>
      <c r="C199" s="23">
        <f>(37.32+1.2*(2.9+2.55))*10.764</f>
        <v>472.10903999999999</v>
      </c>
      <c r="D199" s="75">
        <f>(2.75*1.8)*10.764</f>
        <v>53.281799999999997</v>
      </c>
      <c r="E199" s="76"/>
      <c r="F199" s="75">
        <f t="shared" si="5"/>
        <v>737.83990799999992</v>
      </c>
      <c r="G199" s="76"/>
      <c r="H199" s="23" t="s">
        <v>159</v>
      </c>
      <c r="I199" s="88"/>
      <c r="J199" s="89"/>
    </row>
    <row r="200" spans="1:12" ht="15.5" x14ac:dyDescent="0.35">
      <c r="A200" s="23">
        <v>6</v>
      </c>
      <c r="B200" s="23" t="s">
        <v>132</v>
      </c>
      <c r="C200" s="23">
        <f>(37.54+1.1*2.55+2.9*0.75)*10.764</f>
        <v>457.68527999999992</v>
      </c>
      <c r="D200" s="75">
        <f>(2.75*1.8)*10.764</f>
        <v>53.281799999999997</v>
      </c>
      <c r="E200" s="76"/>
      <c r="F200" s="75">
        <f t="shared" si="5"/>
        <v>716.92545599999983</v>
      </c>
      <c r="G200" s="76"/>
      <c r="H200" s="23" t="s">
        <v>159</v>
      </c>
      <c r="I200" s="88"/>
      <c r="J200" s="89"/>
    </row>
    <row r="201" spans="1:12" ht="15.5" x14ac:dyDescent="0.35">
      <c r="A201" s="23">
        <v>7</v>
      </c>
      <c r="B201" s="23" t="s">
        <v>162</v>
      </c>
      <c r="C201" s="23">
        <f>(45.84+1.1*2.55+1.2*2.75+2.9*0.75)*10.764</f>
        <v>582.5476799999999</v>
      </c>
      <c r="D201" s="75">
        <f>(2.75*1.8)*10.764</f>
        <v>53.281799999999997</v>
      </c>
      <c r="E201" s="76"/>
      <c r="F201" s="75">
        <f t="shared" si="5"/>
        <v>897.97593599999982</v>
      </c>
      <c r="G201" s="76"/>
      <c r="H201" s="23" t="s">
        <v>159</v>
      </c>
      <c r="I201" s="90"/>
      <c r="J201" s="91"/>
    </row>
    <row r="202" spans="1:12" ht="15" x14ac:dyDescent="0.35">
      <c r="A202" s="105" t="s">
        <v>176</v>
      </c>
      <c r="B202" s="106"/>
      <c r="C202" s="106"/>
      <c r="D202" s="106"/>
      <c r="E202" s="106"/>
      <c r="F202" s="106"/>
      <c r="G202" s="106"/>
      <c r="H202" s="106"/>
      <c r="I202" s="106"/>
      <c r="J202" s="107"/>
    </row>
    <row r="203" spans="1:12" ht="15" x14ac:dyDescent="0.35">
      <c r="A203" s="64" t="s">
        <v>164</v>
      </c>
      <c r="B203" s="65"/>
      <c r="C203" s="65"/>
      <c r="D203" s="65"/>
      <c r="E203" s="65"/>
      <c r="F203" s="65"/>
      <c r="G203" s="65"/>
      <c r="H203" s="65"/>
      <c r="I203" s="65"/>
      <c r="J203" s="66"/>
    </row>
    <row r="204" spans="1:12" ht="15" x14ac:dyDescent="0.35">
      <c r="A204" s="64" t="s">
        <v>155</v>
      </c>
      <c r="B204" s="65"/>
      <c r="C204" s="65"/>
      <c r="D204" s="65"/>
      <c r="E204" s="65"/>
      <c r="F204" s="65"/>
      <c r="G204" s="65"/>
      <c r="H204" s="65"/>
      <c r="I204" s="65"/>
      <c r="J204" s="66"/>
    </row>
    <row r="205" spans="1:12" ht="15.5" x14ac:dyDescent="0.35">
      <c r="A205" s="23">
        <v>1</v>
      </c>
      <c r="B205" s="23" t="s">
        <v>162</v>
      </c>
      <c r="C205" s="23">
        <f>(45.84+1.2*2.75+1.1*2.55+0.75*2.9)*10.764</f>
        <v>582.5476799999999</v>
      </c>
      <c r="D205" s="75">
        <f>(3.05*1.8)*10.764</f>
        <v>59.094360000000002</v>
      </c>
      <c r="E205" s="76"/>
      <c r="F205" s="75">
        <f t="shared" ref="F205:F211" si="6">C205*1.45+D205</f>
        <v>903.7884959999999</v>
      </c>
      <c r="G205" s="76"/>
      <c r="H205" s="23" t="s">
        <v>159</v>
      </c>
      <c r="I205" s="86" t="str">
        <f>A204</f>
        <v>1st Floor</v>
      </c>
      <c r="J205" s="87"/>
      <c r="K205" s="49">
        <f>2.9*5+2.55*2.15+1.2*0.65+2.75*3.05+1.2*2.05+1.2*1.8+2.4*0.6+2.75*1.85+1.1*2.55</f>
        <v>43.102499999999992</v>
      </c>
      <c r="L205" s="50">
        <v>10.763999999999999</v>
      </c>
    </row>
    <row r="206" spans="1:12" ht="15.5" x14ac:dyDescent="0.35">
      <c r="A206" s="23">
        <v>2</v>
      </c>
      <c r="B206" s="23" t="s">
        <v>132</v>
      </c>
      <c r="C206" s="23">
        <f>(37.5+1.1*2.55+0.75*2.9)*10.764</f>
        <v>457.25471999999996</v>
      </c>
      <c r="D206" s="75">
        <f>(2.9*1.8)*10.764</f>
        <v>56.188079999999992</v>
      </c>
      <c r="E206" s="76"/>
      <c r="F206" s="75">
        <f t="shared" si="6"/>
        <v>719.20742399999995</v>
      </c>
      <c r="G206" s="76"/>
      <c r="H206" s="23" t="s">
        <v>159</v>
      </c>
      <c r="I206" s="88"/>
      <c r="J206" s="89"/>
    </row>
    <row r="207" spans="1:12" ht="15.5" x14ac:dyDescent="0.35">
      <c r="A207" s="23">
        <v>3</v>
      </c>
      <c r="B207" s="23" t="s">
        <v>163</v>
      </c>
      <c r="C207" s="23">
        <f>(28.39+1.2*(2.9+2.55))*10.764</f>
        <v>375.98651999999998</v>
      </c>
      <c r="D207" s="75">
        <v>0</v>
      </c>
      <c r="E207" s="76"/>
      <c r="F207" s="75">
        <f t="shared" si="6"/>
        <v>545.18045399999994</v>
      </c>
      <c r="G207" s="76"/>
      <c r="H207" s="23" t="s">
        <v>159</v>
      </c>
      <c r="I207" s="88"/>
      <c r="J207" s="89"/>
    </row>
    <row r="208" spans="1:12" ht="15.5" x14ac:dyDescent="0.35">
      <c r="A208" s="23">
        <v>4</v>
      </c>
      <c r="B208" s="23" t="s">
        <v>163</v>
      </c>
      <c r="C208" s="23">
        <f>(28.39+1.2*(2.9+2.55))*10.764</f>
        <v>375.98651999999998</v>
      </c>
      <c r="D208" s="75">
        <v>0</v>
      </c>
      <c r="E208" s="76"/>
      <c r="F208" s="75">
        <f t="shared" si="6"/>
        <v>545.18045399999994</v>
      </c>
      <c r="G208" s="76"/>
      <c r="H208" s="23" t="s">
        <v>159</v>
      </c>
      <c r="I208" s="88"/>
      <c r="J208" s="89"/>
    </row>
    <row r="209" spans="1:13" ht="15.5" x14ac:dyDescent="0.35">
      <c r="A209" s="23">
        <v>5</v>
      </c>
      <c r="B209" s="23" t="s">
        <v>132</v>
      </c>
      <c r="C209" s="23">
        <f>(37.5+1.1*2.55+0.75*2.75)*10.764</f>
        <v>456.04376999999999</v>
      </c>
      <c r="D209" s="75">
        <f>(2.9*1.8)*10.764</f>
        <v>56.188079999999992</v>
      </c>
      <c r="E209" s="76"/>
      <c r="F209" s="75">
        <f t="shared" si="6"/>
        <v>717.45154649999995</v>
      </c>
      <c r="G209" s="76"/>
      <c r="H209" s="23" t="s">
        <v>159</v>
      </c>
      <c r="I209" s="88"/>
      <c r="J209" s="89"/>
    </row>
    <row r="210" spans="1:13" ht="15.5" x14ac:dyDescent="0.35">
      <c r="A210" s="23">
        <v>6</v>
      </c>
      <c r="B210" s="23" t="s">
        <v>162</v>
      </c>
      <c r="C210" s="23">
        <f>(45.84+1.2*2.75+1.1*2.55+0.75*2.9)*10.764</f>
        <v>582.5476799999999</v>
      </c>
      <c r="D210" s="75">
        <f>(3.05*1.8)*10.764</f>
        <v>59.094360000000002</v>
      </c>
      <c r="E210" s="76"/>
      <c r="F210" s="75">
        <f t="shared" si="6"/>
        <v>903.7884959999999</v>
      </c>
      <c r="G210" s="76"/>
      <c r="H210" s="23" t="s">
        <v>159</v>
      </c>
      <c r="I210" s="88"/>
      <c r="J210" s="89"/>
    </row>
    <row r="211" spans="1:13" ht="15.5" x14ac:dyDescent="0.35">
      <c r="A211" s="23">
        <v>7</v>
      </c>
      <c r="B211" s="23" t="s">
        <v>158</v>
      </c>
      <c r="C211" s="23">
        <f>(47.07+1.2*2.9+0.75*(3.2+2.15))*10.764</f>
        <v>587.31074999999998</v>
      </c>
      <c r="D211" s="75">
        <f>(3.5*1.8)*10.764</f>
        <v>67.813199999999995</v>
      </c>
      <c r="E211" s="76"/>
      <c r="F211" s="75">
        <f t="shared" si="6"/>
        <v>919.4137874999999</v>
      </c>
      <c r="G211" s="76"/>
      <c r="H211" s="23" t="s">
        <v>159</v>
      </c>
      <c r="I211" s="90"/>
      <c r="J211" s="91"/>
    </row>
    <row r="212" spans="1:13" ht="15" x14ac:dyDescent="0.35">
      <c r="A212" s="64" t="s">
        <v>237</v>
      </c>
      <c r="B212" s="65"/>
      <c r="C212" s="65"/>
      <c r="D212" s="65"/>
      <c r="E212" s="65"/>
      <c r="F212" s="65"/>
      <c r="G212" s="65"/>
      <c r="H212" s="65"/>
      <c r="I212" s="65"/>
      <c r="J212" s="66"/>
    </row>
    <row r="213" spans="1:13" ht="15.5" x14ac:dyDescent="0.35">
      <c r="A213" s="23">
        <v>1</v>
      </c>
      <c r="B213" s="23" t="s">
        <v>254</v>
      </c>
      <c r="C213" s="23">
        <f>((45.84+1.2*2.75+1.1*2.55)+0.75*2.9)*10.764</f>
        <v>582.5476799999999</v>
      </c>
      <c r="D213" s="75">
        <f>(2.75*1.8)*10.764</f>
        <v>53.281799999999997</v>
      </c>
      <c r="E213" s="76"/>
      <c r="F213" s="75">
        <f t="shared" ref="F213:F219" si="7">C213*1.45+D213</f>
        <v>897.97593599999982</v>
      </c>
      <c r="G213" s="76"/>
      <c r="H213" s="23" t="s">
        <v>159</v>
      </c>
      <c r="I213" s="86" t="str">
        <f>A212</f>
        <v>2nd, 4th, 6th, 10th, 12th, 16th, 18th, 22nd &amp; 24th Floor</v>
      </c>
      <c r="J213" s="87"/>
    </row>
    <row r="214" spans="1:13" ht="15.5" x14ac:dyDescent="0.35">
      <c r="A214" s="23">
        <v>2</v>
      </c>
      <c r="B214" s="23" t="s">
        <v>132</v>
      </c>
      <c r="C214" s="23">
        <f>(37.5+1.1*2.55+0.75*2.9)*10.764</f>
        <v>457.25471999999996</v>
      </c>
      <c r="D214" s="75">
        <f>(1.8*2.75)*10.764</f>
        <v>53.281799999999997</v>
      </c>
      <c r="E214" s="76"/>
      <c r="F214" s="75">
        <f t="shared" si="7"/>
        <v>716.30114399999991</v>
      </c>
      <c r="G214" s="76"/>
      <c r="H214" s="23" t="s">
        <v>159</v>
      </c>
      <c r="I214" s="88"/>
      <c r="J214" s="89"/>
    </row>
    <row r="215" spans="1:13" ht="15.5" x14ac:dyDescent="0.35">
      <c r="A215" s="23">
        <v>3</v>
      </c>
      <c r="B215" s="23" t="s">
        <v>132</v>
      </c>
      <c r="C215" s="23">
        <f>(37.32+1.2*(2.9+2.55))*10.764</f>
        <v>472.10903999999999</v>
      </c>
      <c r="D215" s="75">
        <f>(2.75*1.8)*10.764</f>
        <v>53.281799999999997</v>
      </c>
      <c r="E215" s="76"/>
      <c r="F215" s="75">
        <f t="shared" ref="F215:F216" si="8">C215*1.45+D215</f>
        <v>737.83990799999992</v>
      </c>
      <c r="G215" s="76"/>
      <c r="H215" s="23" t="s">
        <v>159</v>
      </c>
      <c r="I215" s="88"/>
      <c r="J215" s="89"/>
    </row>
    <row r="216" spans="1:13" ht="15.5" x14ac:dyDescent="0.35">
      <c r="A216" s="23">
        <v>4</v>
      </c>
      <c r="B216" s="23" t="s">
        <v>132</v>
      </c>
      <c r="C216" s="23">
        <f>(37.32+1.2*(2.9+2.55))*10.764</f>
        <v>472.10903999999999</v>
      </c>
      <c r="D216" s="75">
        <f>(2.75*1.8)*10.764</f>
        <v>53.281799999999997</v>
      </c>
      <c r="E216" s="76"/>
      <c r="F216" s="75">
        <f t="shared" si="8"/>
        <v>737.83990799999992</v>
      </c>
      <c r="G216" s="76"/>
      <c r="H216" s="23" t="s">
        <v>159</v>
      </c>
      <c r="I216" s="88"/>
      <c r="J216" s="89"/>
    </row>
    <row r="217" spans="1:13" ht="15.5" x14ac:dyDescent="0.35">
      <c r="A217" s="23">
        <v>5</v>
      </c>
      <c r="B217" s="23" t="s">
        <v>132</v>
      </c>
      <c r="C217" s="23">
        <f>(37.5+1.1*2.55+0.75*2.9)*10.764</f>
        <v>457.25471999999996</v>
      </c>
      <c r="D217" s="75">
        <f>(2.75*1.8)*10.764</f>
        <v>53.281799999999997</v>
      </c>
      <c r="E217" s="76"/>
      <c r="F217" s="75">
        <f t="shared" si="7"/>
        <v>716.30114399999991</v>
      </c>
      <c r="G217" s="76"/>
      <c r="H217" s="23" t="s">
        <v>159</v>
      </c>
      <c r="I217" s="88"/>
      <c r="J217" s="89"/>
    </row>
    <row r="218" spans="1:13" ht="15.5" x14ac:dyDescent="0.35">
      <c r="A218" s="23">
        <v>6</v>
      </c>
      <c r="B218" s="23" t="s">
        <v>254</v>
      </c>
      <c r="C218" s="23">
        <f>((45.84+1.2*2.75+1.1*2.55)+0.75*2.9)*10.764</f>
        <v>582.5476799999999</v>
      </c>
      <c r="D218" s="75">
        <f>(2.75*1.8)*10.764</f>
        <v>53.281799999999997</v>
      </c>
      <c r="E218" s="76"/>
      <c r="F218" s="75">
        <f t="shared" si="7"/>
        <v>897.97593599999982</v>
      </c>
      <c r="G218" s="76"/>
      <c r="H218" s="23" t="s">
        <v>159</v>
      </c>
      <c r="I218" s="88"/>
      <c r="J218" s="89"/>
      <c r="L218" s="51"/>
      <c r="M218" s="51"/>
    </row>
    <row r="219" spans="1:13" ht="15.5" x14ac:dyDescent="0.35">
      <c r="A219" s="23">
        <v>7</v>
      </c>
      <c r="B219" s="23" t="s">
        <v>132</v>
      </c>
      <c r="C219" s="23">
        <f>(47.07+1.2*2.9+0.75*(3.2+2.15))*10.764</f>
        <v>587.31074999999998</v>
      </c>
      <c r="D219" s="75">
        <f>(3.2*1.8)*10.764</f>
        <v>62.000640000000004</v>
      </c>
      <c r="E219" s="76"/>
      <c r="F219" s="75">
        <f t="shared" si="7"/>
        <v>913.60122749999994</v>
      </c>
      <c r="G219" s="76"/>
      <c r="H219" s="23" t="s">
        <v>159</v>
      </c>
      <c r="I219" s="90"/>
      <c r="J219" s="91"/>
      <c r="L219" s="94"/>
      <c r="M219" s="94"/>
    </row>
    <row r="220" spans="1:13" ht="15" x14ac:dyDescent="0.35">
      <c r="A220" s="248" t="s">
        <v>240</v>
      </c>
      <c r="B220" s="248"/>
      <c r="C220" s="248"/>
      <c r="D220" s="248"/>
      <c r="E220" s="248"/>
      <c r="F220" s="248"/>
      <c r="G220" s="248"/>
      <c r="H220" s="248"/>
      <c r="I220" s="248"/>
      <c r="J220" s="248"/>
      <c r="L220" s="51"/>
      <c r="M220" s="51"/>
    </row>
    <row r="221" spans="1:13" ht="15.75" customHeight="1" x14ac:dyDescent="0.35">
      <c r="A221" s="23">
        <v>1</v>
      </c>
      <c r="B221" s="23" t="s">
        <v>254</v>
      </c>
      <c r="C221" s="50">
        <f>(45.84+2.75*0.75)*10.764</f>
        <v>515.62251000000003</v>
      </c>
      <c r="D221" s="95">
        <f>(2.9*1.8)*10.764</f>
        <v>56.188079999999992</v>
      </c>
      <c r="E221" s="95"/>
      <c r="F221" s="85">
        <f>C221*1.45+D221</f>
        <v>803.84071950000009</v>
      </c>
      <c r="G221" s="85"/>
      <c r="H221" s="23" t="s">
        <v>159</v>
      </c>
      <c r="I221" s="85" t="str">
        <f>A220</f>
        <v>3rd, 7th, 9th, 13th, 15th, 19th &amp; 21st Floor</v>
      </c>
      <c r="J221" s="85"/>
      <c r="L221" s="51"/>
      <c r="M221" s="51"/>
    </row>
    <row r="222" spans="1:13" ht="15.5" x14ac:dyDescent="0.35">
      <c r="A222" s="23">
        <v>2</v>
      </c>
      <c r="B222" s="23" t="s">
        <v>132</v>
      </c>
      <c r="C222" s="50">
        <f>(37.54+2.75*0.75)*10.764</f>
        <v>426.28130999999996</v>
      </c>
      <c r="D222" s="95">
        <f>(2.9*1.8)*10.764</f>
        <v>56.188079999999992</v>
      </c>
      <c r="E222" s="95">
        <v>0</v>
      </c>
      <c r="F222" s="85">
        <f>C222*1.45+D222</f>
        <v>674.29597949999993</v>
      </c>
      <c r="G222" s="85"/>
      <c r="H222" s="23" t="s">
        <v>159</v>
      </c>
      <c r="I222" s="85"/>
      <c r="J222" s="85"/>
      <c r="L222" s="51"/>
      <c r="M222" s="51"/>
    </row>
    <row r="223" spans="1:13" ht="15.75" customHeight="1" x14ac:dyDescent="0.35">
      <c r="A223" s="23">
        <v>3</v>
      </c>
      <c r="B223" s="23" t="s">
        <v>132</v>
      </c>
      <c r="C223" s="50">
        <f>(37.32+2.75*0.75)*10.764</f>
        <v>423.91323</v>
      </c>
      <c r="D223" s="95">
        <v>0</v>
      </c>
      <c r="E223" s="95">
        <v>0</v>
      </c>
      <c r="F223" s="85">
        <f t="shared" ref="F223:F224" si="9">C223*1.45+D223</f>
        <v>614.67418350000003</v>
      </c>
      <c r="G223" s="85"/>
      <c r="H223" s="23" t="s">
        <v>159</v>
      </c>
      <c r="I223" s="85"/>
      <c r="J223" s="85"/>
    </row>
    <row r="224" spans="1:13" ht="15.5" x14ac:dyDescent="0.35">
      <c r="A224" s="23">
        <v>4</v>
      </c>
      <c r="B224" s="23" t="s">
        <v>132</v>
      </c>
      <c r="C224" s="50">
        <f>(37.32+2.75*0.75)*10.764</f>
        <v>423.91323</v>
      </c>
      <c r="D224" s="95">
        <v>0</v>
      </c>
      <c r="E224" s="95">
        <v>0</v>
      </c>
      <c r="F224" s="85">
        <f t="shared" si="9"/>
        <v>614.67418350000003</v>
      </c>
      <c r="G224" s="85"/>
      <c r="H224" s="23" t="s">
        <v>159</v>
      </c>
      <c r="I224" s="85"/>
      <c r="J224" s="85"/>
    </row>
    <row r="225" spans="1:10" ht="15.5" x14ac:dyDescent="0.35">
      <c r="A225" s="23">
        <v>5</v>
      </c>
      <c r="B225" s="23" t="s">
        <v>132</v>
      </c>
      <c r="C225" s="50">
        <f>(37.5+2.75*0.75)*10.764</f>
        <v>425.85074999999995</v>
      </c>
      <c r="D225" s="95">
        <f>(2.9*1.8)*10.764</f>
        <v>56.188079999999992</v>
      </c>
      <c r="E225" s="95">
        <v>0</v>
      </c>
      <c r="F225" s="85">
        <f>C225*1.45+D225</f>
        <v>673.6716674999999</v>
      </c>
      <c r="G225" s="85"/>
      <c r="H225" s="23" t="s">
        <v>159</v>
      </c>
      <c r="I225" s="85"/>
      <c r="J225" s="85"/>
    </row>
    <row r="226" spans="1:10" ht="15.5" x14ac:dyDescent="0.35">
      <c r="A226" s="23">
        <v>6</v>
      </c>
      <c r="B226" s="23" t="s">
        <v>254</v>
      </c>
      <c r="C226" s="50">
        <f>(45.84+2.75*0.75)*10.764</f>
        <v>515.62251000000003</v>
      </c>
      <c r="D226" s="95">
        <f>(2.9*1.8)*10.764</f>
        <v>56.188079999999992</v>
      </c>
      <c r="E226" s="95">
        <v>0</v>
      </c>
      <c r="F226" s="85">
        <f>C226*1.45+D226</f>
        <v>803.84071950000009</v>
      </c>
      <c r="G226" s="85"/>
      <c r="H226" s="23" t="s">
        <v>159</v>
      </c>
      <c r="I226" s="85"/>
      <c r="J226" s="85"/>
    </row>
    <row r="227" spans="1:10" ht="15.5" x14ac:dyDescent="0.35">
      <c r="A227" s="23">
        <v>7</v>
      </c>
      <c r="B227" s="23" t="s">
        <v>132</v>
      </c>
      <c r="C227" s="23">
        <f>(47.07+1.2*2.9+0.75*(3.2+2.15))*10.764</f>
        <v>587.31074999999998</v>
      </c>
      <c r="D227" s="85">
        <f>(3.2*1.8)*10.764</f>
        <v>62.000640000000004</v>
      </c>
      <c r="E227" s="85"/>
      <c r="F227" s="85">
        <f>C227*1.45+D227</f>
        <v>913.60122749999994</v>
      </c>
      <c r="G227" s="85"/>
      <c r="H227" s="23" t="s">
        <v>159</v>
      </c>
      <c r="I227" s="85"/>
      <c r="J227" s="85"/>
    </row>
    <row r="228" spans="1:10" ht="15" x14ac:dyDescent="0.35">
      <c r="A228" s="64" t="s">
        <v>239</v>
      </c>
      <c r="B228" s="65"/>
      <c r="C228" s="65"/>
      <c r="D228" s="65"/>
      <c r="E228" s="65"/>
      <c r="F228" s="65"/>
      <c r="G228" s="65"/>
      <c r="H228" s="65"/>
      <c r="I228" s="65"/>
      <c r="J228" s="66"/>
    </row>
    <row r="229" spans="1:10" ht="15.75" customHeight="1" x14ac:dyDescent="0.35">
      <c r="A229" s="23">
        <v>1</v>
      </c>
      <c r="B229" s="23" t="s">
        <v>254</v>
      </c>
      <c r="C229" s="50">
        <f>(45.84+2.75*0.75)*10.764</f>
        <v>515.62251000000003</v>
      </c>
      <c r="D229" s="92">
        <f>(2.9*1.8)*10.764</f>
        <v>56.188079999999992</v>
      </c>
      <c r="E229" s="93"/>
      <c r="F229" s="75">
        <f>C229*1.45+D229</f>
        <v>803.84071950000009</v>
      </c>
      <c r="G229" s="76"/>
      <c r="H229" s="23" t="s">
        <v>159</v>
      </c>
      <c r="I229" s="86" t="str">
        <f>A228</f>
        <v>5th, 11th, 17th &amp; 23rd Floor (Part refuge area)</v>
      </c>
      <c r="J229" s="87"/>
    </row>
    <row r="230" spans="1:10" ht="15.5" x14ac:dyDescent="0.35">
      <c r="A230" s="23">
        <v>2</v>
      </c>
      <c r="B230" s="23" t="s">
        <v>132</v>
      </c>
      <c r="C230" s="50">
        <f>(37.54+2.75*0.75)*10.764</f>
        <v>426.28130999999996</v>
      </c>
      <c r="D230" s="92">
        <f>(2.9*1.8)*10.764</f>
        <v>56.188079999999992</v>
      </c>
      <c r="E230" s="93">
        <v>0</v>
      </c>
      <c r="F230" s="75">
        <f>C230*1.45+D230</f>
        <v>674.29597949999993</v>
      </c>
      <c r="G230" s="76"/>
      <c r="H230" s="23" t="s">
        <v>159</v>
      </c>
      <c r="I230" s="88"/>
      <c r="J230" s="89"/>
    </row>
    <row r="231" spans="1:10" ht="15.75" customHeight="1" x14ac:dyDescent="0.35">
      <c r="A231" s="23">
        <v>3</v>
      </c>
      <c r="B231" s="23" t="s">
        <v>132</v>
      </c>
      <c r="C231" s="50">
        <f>(37.32+2.75*0.75)*10.764</f>
        <v>423.91323</v>
      </c>
      <c r="D231" s="92">
        <v>0</v>
      </c>
      <c r="E231" s="93">
        <v>0</v>
      </c>
      <c r="F231" s="75">
        <f t="shared" ref="F231:F232" si="10">C231*1.45+D231</f>
        <v>614.67418350000003</v>
      </c>
      <c r="G231" s="76"/>
      <c r="H231" s="23" t="s">
        <v>159</v>
      </c>
      <c r="I231" s="88"/>
      <c r="J231" s="89"/>
    </row>
    <row r="232" spans="1:10" ht="15.5" x14ac:dyDescent="0.35">
      <c r="A232" s="23">
        <v>4</v>
      </c>
      <c r="B232" s="23" t="s">
        <v>132</v>
      </c>
      <c r="C232" s="50">
        <f>(37.32+2.75*0.75)*10.764</f>
        <v>423.91323</v>
      </c>
      <c r="D232" s="92">
        <v>0</v>
      </c>
      <c r="E232" s="93">
        <v>0</v>
      </c>
      <c r="F232" s="75">
        <f t="shared" si="10"/>
        <v>614.67418350000003</v>
      </c>
      <c r="G232" s="76"/>
      <c r="H232" s="23" t="s">
        <v>159</v>
      </c>
      <c r="I232" s="88"/>
      <c r="J232" s="89"/>
    </row>
    <row r="233" spans="1:10" ht="15.5" x14ac:dyDescent="0.35">
      <c r="A233" s="23">
        <v>5</v>
      </c>
      <c r="B233" s="23" t="s">
        <v>132</v>
      </c>
      <c r="C233" s="50">
        <f>(37.5+2.75*0.75)*10.764</f>
        <v>425.85074999999995</v>
      </c>
      <c r="D233" s="92">
        <f>(2.9*1.8)*10.764</f>
        <v>56.188079999999992</v>
      </c>
      <c r="E233" s="93">
        <v>0</v>
      </c>
      <c r="F233" s="75">
        <f>C233*1.45+D233</f>
        <v>673.6716674999999</v>
      </c>
      <c r="G233" s="76"/>
      <c r="H233" s="23" t="s">
        <v>159</v>
      </c>
      <c r="I233" s="88"/>
      <c r="J233" s="89"/>
    </row>
    <row r="234" spans="1:10" ht="15.5" x14ac:dyDescent="0.35">
      <c r="A234" s="23">
        <v>6</v>
      </c>
      <c r="B234" s="23" t="s">
        <v>132</v>
      </c>
      <c r="C234" s="50">
        <f>(37.5+2.75*0.75)*10.764</f>
        <v>425.85074999999995</v>
      </c>
      <c r="D234" s="92">
        <f>(2.9*1.8)*10.764</f>
        <v>56.188079999999992</v>
      </c>
      <c r="E234" s="93">
        <v>0</v>
      </c>
      <c r="F234" s="75">
        <f>C234*1.45+D234</f>
        <v>673.6716674999999</v>
      </c>
      <c r="G234" s="76"/>
      <c r="H234" s="23" t="s">
        <v>159</v>
      </c>
      <c r="I234" s="88"/>
      <c r="J234" s="89"/>
    </row>
    <row r="235" spans="1:10" ht="15.5" x14ac:dyDescent="0.35">
      <c r="A235" s="23">
        <v>7</v>
      </c>
      <c r="B235" s="23" t="s">
        <v>132</v>
      </c>
      <c r="C235" s="23">
        <f>(47.07+1.2*2.9+0.75*(3.2+2.15))*10.764</f>
        <v>587.31074999999998</v>
      </c>
      <c r="D235" s="75">
        <f>(3.5*1.8)*10.764</f>
        <v>67.813199999999995</v>
      </c>
      <c r="E235" s="76"/>
      <c r="F235" s="75">
        <f>C235*1.45+D235</f>
        <v>919.4137874999999</v>
      </c>
      <c r="G235" s="76"/>
      <c r="H235" s="23" t="s">
        <v>159</v>
      </c>
      <c r="I235" s="90"/>
      <c r="J235" s="91"/>
    </row>
    <row r="236" spans="1:10" ht="15" x14ac:dyDescent="0.35">
      <c r="A236" s="64" t="s">
        <v>238</v>
      </c>
      <c r="B236" s="65"/>
      <c r="C236" s="65"/>
      <c r="D236" s="65"/>
      <c r="E236" s="65"/>
      <c r="F236" s="65"/>
      <c r="G236" s="65"/>
      <c r="H236" s="65"/>
      <c r="I236" s="65"/>
      <c r="J236" s="66"/>
    </row>
    <row r="237" spans="1:10" ht="15.75" customHeight="1" x14ac:dyDescent="0.35">
      <c r="A237" s="23">
        <v>1</v>
      </c>
      <c r="B237" s="23" t="s">
        <v>254</v>
      </c>
      <c r="C237" s="23">
        <f>((45.84+1.2*2.75+1.1*2.55)+0.75*2.9)*10.764</f>
        <v>582.5476799999999</v>
      </c>
      <c r="D237" s="75">
        <f>(2.75*1.8)*10.764</f>
        <v>53.281799999999997</v>
      </c>
      <c r="E237" s="76"/>
      <c r="F237" s="75">
        <f>C237*1.45+D237</f>
        <v>897.97593599999982</v>
      </c>
      <c r="G237" s="76"/>
      <c r="H237" s="23" t="s">
        <v>159</v>
      </c>
      <c r="I237" s="86" t="str">
        <f>A236</f>
        <v>8th, 14th &amp; 20th Floor (Part refuge area)</v>
      </c>
      <c r="J237" s="87"/>
    </row>
    <row r="238" spans="1:10" ht="15.5" x14ac:dyDescent="0.35">
      <c r="A238" s="23">
        <v>2</v>
      </c>
      <c r="B238" s="23" t="s">
        <v>132</v>
      </c>
      <c r="C238" s="23">
        <f>(37.5+1.1*2.55+0.75*2.9)*10.764</f>
        <v>457.25471999999996</v>
      </c>
      <c r="D238" s="75">
        <f>(1.8*2.75)*10.764</f>
        <v>53.281799999999997</v>
      </c>
      <c r="E238" s="76"/>
      <c r="F238" s="75">
        <f>C238*1.45+D238</f>
        <v>716.30114399999991</v>
      </c>
      <c r="G238" s="76"/>
      <c r="H238" s="23" t="s">
        <v>159</v>
      </c>
      <c r="I238" s="88"/>
      <c r="J238" s="89"/>
    </row>
    <row r="239" spans="1:10" ht="15.75" customHeight="1" x14ac:dyDescent="0.35">
      <c r="A239" s="23">
        <v>3</v>
      </c>
      <c r="B239" s="23" t="s">
        <v>132</v>
      </c>
      <c r="C239" s="23">
        <f>(37.32+1.2*(2.9+2.55))*10.764</f>
        <v>472.10903999999999</v>
      </c>
      <c r="D239" s="75">
        <f>(2.75*1.8)*10.764</f>
        <v>53.281799999999997</v>
      </c>
      <c r="E239" s="76"/>
      <c r="F239" s="75">
        <f t="shared" ref="F239:F240" si="11">C239*1.45+D239</f>
        <v>737.83990799999992</v>
      </c>
      <c r="G239" s="76"/>
      <c r="H239" s="23" t="s">
        <v>159</v>
      </c>
      <c r="I239" s="88"/>
      <c r="J239" s="89"/>
    </row>
    <row r="240" spans="1:10" ht="15.5" x14ac:dyDescent="0.35">
      <c r="A240" s="23">
        <v>4</v>
      </c>
      <c r="B240" s="23" t="s">
        <v>132</v>
      </c>
      <c r="C240" s="23">
        <f>(37.32+1.2*(2.9+2.55))*10.764</f>
        <v>472.10903999999999</v>
      </c>
      <c r="D240" s="75">
        <f>(2.75*1.8)*10.764</f>
        <v>53.281799999999997</v>
      </c>
      <c r="E240" s="76"/>
      <c r="F240" s="75">
        <f t="shared" si="11"/>
        <v>737.83990799999992</v>
      </c>
      <c r="G240" s="76"/>
      <c r="H240" s="23" t="s">
        <v>159</v>
      </c>
      <c r="I240" s="88"/>
      <c r="J240" s="89"/>
    </row>
    <row r="241" spans="1:10" ht="15.5" x14ac:dyDescent="0.35">
      <c r="A241" s="23">
        <v>5</v>
      </c>
      <c r="B241" s="23" t="s">
        <v>132</v>
      </c>
      <c r="C241" s="23">
        <f>(37.5+1.1*2.55+0.75*2.9)*10.764</f>
        <v>457.25471999999996</v>
      </c>
      <c r="D241" s="75">
        <f>(2.75*1.8)*10.764</f>
        <v>53.281799999999997</v>
      </c>
      <c r="E241" s="76"/>
      <c r="F241" s="75">
        <f>C241*1.45+D241</f>
        <v>716.30114399999991</v>
      </c>
      <c r="G241" s="76"/>
      <c r="H241" s="23" t="s">
        <v>159</v>
      </c>
      <c r="I241" s="88"/>
      <c r="J241" s="89"/>
    </row>
    <row r="242" spans="1:10" ht="15.5" x14ac:dyDescent="0.35">
      <c r="A242" s="23">
        <v>6</v>
      </c>
      <c r="B242" s="23" t="s">
        <v>132</v>
      </c>
      <c r="C242" s="50">
        <f>(37.5+2.9*0.75+1.1*2.55)*10.764</f>
        <v>457.25471999999996</v>
      </c>
      <c r="D242" s="92">
        <f t="shared" ref="D242" si="12">(2.75*1.8)*10.764</f>
        <v>53.281799999999997</v>
      </c>
      <c r="E242" s="93">
        <v>0</v>
      </c>
      <c r="F242" s="75">
        <f>C242*1.45+D242</f>
        <v>716.30114399999991</v>
      </c>
      <c r="G242" s="76"/>
      <c r="H242" s="23" t="s">
        <v>159</v>
      </c>
      <c r="I242" s="88"/>
      <c r="J242" s="89"/>
    </row>
    <row r="243" spans="1:10" ht="15.5" x14ac:dyDescent="0.35">
      <c r="A243" s="23">
        <v>7</v>
      </c>
      <c r="B243" s="23" t="s">
        <v>132</v>
      </c>
      <c r="C243" s="23">
        <f>(47.07+1.2*2.9+0.75*(3.2+2.15))*10.764</f>
        <v>587.31074999999998</v>
      </c>
      <c r="D243" s="75">
        <f>(3.2*1.8)*10.764</f>
        <v>62.000640000000004</v>
      </c>
      <c r="E243" s="76"/>
      <c r="F243" s="75">
        <f>C243*1.45+D243</f>
        <v>913.60122749999994</v>
      </c>
      <c r="G243" s="76"/>
      <c r="H243" s="23" t="s">
        <v>159</v>
      </c>
      <c r="I243" s="90"/>
      <c r="J243" s="91"/>
    </row>
    <row r="244" spans="1:10" ht="15" customHeight="1" x14ac:dyDescent="0.35">
      <c r="A244" s="199" t="s">
        <v>271</v>
      </c>
      <c r="B244" s="200"/>
      <c r="C244" s="200"/>
      <c r="D244" s="200"/>
      <c r="E244" s="200"/>
      <c r="F244" s="200"/>
      <c r="G244" s="200"/>
      <c r="H244" s="200"/>
      <c r="I244" s="200"/>
      <c r="J244" s="201"/>
    </row>
    <row r="245" spans="1:10" ht="188.25" customHeight="1" x14ac:dyDescent="0.35">
      <c r="A245" s="202"/>
      <c r="B245" s="203"/>
      <c r="C245" s="203"/>
      <c r="D245" s="203"/>
      <c r="E245" s="203"/>
      <c r="F245" s="203"/>
      <c r="G245" s="203"/>
      <c r="H245" s="203"/>
      <c r="I245" s="203"/>
      <c r="J245" s="204"/>
    </row>
    <row r="246" spans="1:10" x14ac:dyDescent="0.35">
      <c r="A246" s="196" t="s">
        <v>24</v>
      </c>
      <c r="B246" s="197"/>
      <c r="C246" s="197"/>
      <c r="D246" s="197"/>
      <c r="E246" s="197"/>
      <c r="F246" s="197"/>
      <c r="G246" s="197"/>
      <c r="H246" s="197"/>
      <c r="I246" s="197"/>
      <c r="J246" s="198"/>
    </row>
    <row r="247" spans="1:10" x14ac:dyDescent="0.35">
      <c r="A247" s="59" t="s">
        <v>32</v>
      </c>
      <c r="B247" s="60"/>
      <c r="C247" s="60"/>
      <c r="D247" s="60"/>
      <c r="E247" s="60"/>
      <c r="F247" s="60"/>
      <c r="G247" s="60"/>
      <c r="H247" s="60"/>
      <c r="I247" s="60"/>
      <c r="J247" s="136"/>
    </row>
    <row r="248" spans="1:10" x14ac:dyDescent="0.35">
      <c r="A248" s="196" t="s">
        <v>26</v>
      </c>
      <c r="B248" s="197"/>
      <c r="C248" s="197"/>
      <c r="D248" s="197"/>
      <c r="E248" s="197"/>
      <c r="F248" s="197"/>
      <c r="G248" s="197"/>
      <c r="H248" s="197"/>
      <c r="I248" s="197"/>
      <c r="J248" s="198"/>
    </row>
    <row r="249" spans="1:10" ht="16.5" customHeight="1" x14ac:dyDescent="0.35">
      <c r="A249" s="61" t="s">
        <v>37</v>
      </c>
      <c r="B249" s="62"/>
      <c r="C249" s="62"/>
      <c r="D249" s="62"/>
      <c r="E249" s="62"/>
      <c r="F249" s="62"/>
      <c r="G249" s="62"/>
      <c r="H249" s="62"/>
      <c r="I249" s="62"/>
      <c r="J249" s="63"/>
    </row>
    <row r="250" spans="1:10" x14ac:dyDescent="0.35">
      <c r="A250" s="61" t="s">
        <v>169</v>
      </c>
      <c r="B250" s="62"/>
      <c r="C250" s="62"/>
      <c r="D250" s="62"/>
      <c r="E250" s="62"/>
      <c r="F250" s="62"/>
      <c r="G250" s="62"/>
      <c r="H250" s="62"/>
      <c r="I250" s="62"/>
      <c r="J250" s="63"/>
    </row>
    <row r="251" spans="1:10" x14ac:dyDescent="0.35">
      <c r="A251" s="61" t="s">
        <v>170</v>
      </c>
      <c r="B251" s="62"/>
      <c r="C251" s="62"/>
      <c r="D251" s="62"/>
      <c r="E251" s="62"/>
      <c r="F251" s="62"/>
      <c r="G251" s="62"/>
      <c r="H251" s="62"/>
      <c r="I251" s="62"/>
      <c r="J251" s="63"/>
    </row>
    <row r="252" spans="1:10" ht="15" customHeight="1" x14ac:dyDescent="0.35">
      <c r="A252" s="67" t="s">
        <v>171</v>
      </c>
      <c r="B252" s="110"/>
      <c r="C252" s="110"/>
      <c r="D252" s="110"/>
      <c r="E252" s="110"/>
      <c r="F252" s="110"/>
      <c r="G252" s="110"/>
      <c r="H252" s="110"/>
      <c r="I252" s="110"/>
      <c r="J252" s="68"/>
    </row>
    <row r="253" spans="1:10" x14ac:dyDescent="0.35">
      <c r="A253" s="166" t="s">
        <v>25</v>
      </c>
      <c r="B253" s="167"/>
      <c r="C253" s="167"/>
      <c r="D253" s="167"/>
      <c r="E253" s="167"/>
      <c r="F253" s="167"/>
      <c r="G253" s="167"/>
      <c r="H253" s="167"/>
      <c r="I253" s="167"/>
      <c r="J253" s="168"/>
    </row>
    <row r="254" spans="1:10" x14ac:dyDescent="0.35">
      <c r="A254" s="169"/>
      <c r="B254" s="170"/>
      <c r="C254" s="170"/>
      <c r="D254" s="170"/>
      <c r="E254" s="170"/>
      <c r="F254" s="170"/>
      <c r="G254" s="170"/>
      <c r="H254" s="170"/>
      <c r="I254" s="170"/>
      <c r="J254" s="171"/>
    </row>
    <row r="255" spans="1:10" ht="23.25" customHeight="1" x14ac:dyDescent="0.35">
      <c r="A255" s="172"/>
      <c r="B255" s="173"/>
      <c r="C255" s="173"/>
      <c r="D255" s="173"/>
      <c r="E255" s="173"/>
      <c r="F255" s="173"/>
      <c r="G255" s="173"/>
      <c r="H255" s="173"/>
      <c r="I255" s="173"/>
      <c r="J255" s="174"/>
    </row>
    <row r="256" spans="1:10" ht="15" x14ac:dyDescent="0.35">
      <c r="A256" s="25" t="s">
        <v>133</v>
      </c>
      <c r="B256" s="16"/>
      <c r="C256" s="16"/>
      <c r="D256" s="24" t="str">
        <f>D8</f>
        <v>Padmavati &amp; Mahalakshmi</v>
      </c>
      <c r="E256" s="16"/>
      <c r="F256" s="16"/>
      <c r="G256" s="16"/>
      <c r="H256" s="16"/>
      <c r="I256" s="16"/>
      <c r="J256" s="16"/>
    </row>
    <row r="257" spans="1:10" x14ac:dyDescent="0.35">
      <c r="A257" s="16"/>
      <c r="B257" s="16"/>
      <c r="C257" s="16"/>
      <c r="D257" s="16"/>
      <c r="E257" s="16"/>
      <c r="F257" s="16"/>
      <c r="G257" s="16"/>
      <c r="H257" s="16"/>
      <c r="I257" s="16"/>
      <c r="J257" s="16"/>
    </row>
    <row r="258" spans="1:10" x14ac:dyDescent="0.35">
      <c r="A258" s="16"/>
      <c r="B258" s="16"/>
      <c r="C258" s="16"/>
      <c r="D258" s="16"/>
      <c r="E258" s="16"/>
      <c r="F258" s="16"/>
      <c r="G258" s="16"/>
      <c r="H258" s="16"/>
      <c r="I258" s="16"/>
      <c r="J258" s="16"/>
    </row>
    <row r="259" spans="1:10" x14ac:dyDescent="0.35">
      <c r="A259" s="16"/>
      <c r="B259" s="16"/>
      <c r="C259" s="16"/>
      <c r="D259" s="16"/>
      <c r="E259" s="16"/>
      <c r="F259" s="16"/>
      <c r="G259" s="16"/>
      <c r="H259" s="16"/>
      <c r="I259" s="16"/>
      <c r="J259" s="16"/>
    </row>
    <row r="260" spans="1:10" x14ac:dyDescent="0.35">
      <c r="A260" s="16"/>
      <c r="B260" s="16"/>
      <c r="C260" s="16"/>
      <c r="D260" s="16"/>
      <c r="E260" s="16"/>
      <c r="F260" s="16"/>
      <c r="G260" s="16"/>
      <c r="H260" s="16"/>
      <c r="I260" s="16"/>
      <c r="J260" s="16"/>
    </row>
    <row r="261" spans="1:10" x14ac:dyDescent="0.35">
      <c r="A261" s="16"/>
      <c r="B261" s="16"/>
      <c r="C261" s="16"/>
      <c r="D261" s="16"/>
      <c r="E261" s="16"/>
      <c r="F261" s="16"/>
      <c r="G261" s="16"/>
      <c r="H261" s="16"/>
      <c r="I261" s="16"/>
      <c r="J261" s="16"/>
    </row>
    <row r="262" spans="1:10" x14ac:dyDescent="0.35">
      <c r="A262" s="16"/>
      <c r="B262" s="16"/>
      <c r="C262" s="16"/>
      <c r="D262" s="16"/>
      <c r="E262" s="16"/>
      <c r="F262" s="16"/>
      <c r="G262" s="16"/>
      <c r="H262" s="16"/>
      <c r="I262" s="16"/>
      <c r="J262" s="16"/>
    </row>
    <row r="263" spans="1:10" x14ac:dyDescent="0.35">
      <c r="A263" s="16"/>
      <c r="B263" s="16"/>
      <c r="C263" s="16"/>
      <c r="D263" s="16"/>
      <c r="E263" s="16"/>
      <c r="F263" s="16"/>
      <c r="G263" s="16"/>
      <c r="H263" s="16"/>
      <c r="I263" s="16"/>
      <c r="J263" s="16"/>
    </row>
    <row r="264" spans="1:10" x14ac:dyDescent="0.35">
      <c r="A264" s="16"/>
      <c r="B264" s="16"/>
      <c r="C264" s="16"/>
      <c r="D264" s="16"/>
      <c r="E264" s="16"/>
      <c r="F264" s="16"/>
      <c r="G264" s="16"/>
      <c r="H264" s="16"/>
      <c r="I264" s="16"/>
      <c r="J264" s="16"/>
    </row>
    <row r="265" spans="1:10" x14ac:dyDescent="0.35">
      <c r="A265" s="16"/>
      <c r="B265" s="16"/>
      <c r="C265" s="16"/>
      <c r="D265" s="16"/>
      <c r="E265" s="16"/>
      <c r="F265" s="16"/>
      <c r="G265" s="16"/>
      <c r="H265" s="16"/>
      <c r="I265" s="16"/>
      <c r="J265" s="16"/>
    </row>
    <row r="266" spans="1:10" x14ac:dyDescent="0.35">
      <c r="A266" s="16"/>
      <c r="B266" s="16"/>
      <c r="C266" s="16"/>
      <c r="D266" s="16"/>
      <c r="E266" s="16"/>
      <c r="F266" s="16"/>
      <c r="G266" s="16"/>
      <c r="H266" s="16"/>
      <c r="I266" s="16"/>
      <c r="J266" s="16"/>
    </row>
    <row r="267" spans="1:10" x14ac:dyDescent="0.35">
      <c r="A267" s="16"/>
      <c r="B267" s="16"/>
      <c r="C267" s="16"/>
      <c r="D267" s="16"/>
      <c r="E267" s="16"/>
      <c r="F267" s="16"/>
      <c r="G267" s="16"/>
      <c r="H267" s="16"/>
      <c r="I267" s="16"/>
      <c r="J267" s="16"/>
    </row>
    <row r="298" spans="1:10" x14ac:dyDescent="0.35">
      <c r="A298" s="53"/>
      <c r="B298" s="53"/>
      <c r="C298" s="53"/>
      <c r="D298" s="53"/>
      <c r="E298" s="53"/>
      <c r="F298" s="53"/>
      <c r="G298" s="53"/>
      <c r="H298" s="53"/>
      <c r="I298" s="53"/>
      <c r="J298" s="53"/>
    </row>
    <row r="301" spans="1:10" x14ac:dyDescent="0.35">
      <c r="A301" s="16"/>
      <c r="B301" s="16"/>
      <c r="C301" s="16"/>
      <c r="D301" s="16"/>
      <c r="E301" s="16"/>
      <c r="F301" s="16"/>
      <c r="G301" s="16"/>
      <c r="H301" s="16"/>
      <c r="I301" s="16"/>
      <c r="J301" s="16"/>
    </row>
    <row r="302" spans="1:10" ht="15" x14ac:dyDescent="0.35">
      <c r="A302" s="25" t="s">
        <v>134</v>
      </c>
    </row>
  </sheetData>
  <mergeCells count="521">
    <mergeCell ref="D214:E214"/>
    <mergeCell ref="D209:E209"/>
    <mergeCell ref="F209:G209"/>
    <mergeCell ref="C53:J53"/>
    <mergeCell ref="C54:J54"/>
    <mergeCell ref="A54:B54"/>
    <mergeCell ref="D222:E222"/>
    <mergeCell ref="A212:J212"/>
    <mergeCell ref="D213:E213"/>
    <mergeCell ref="I213:J219"/>
    <mergeCell ref="D218:E218"/>
    <mergeCell ref="F218:G218"/>
    <mergeCell ref="I221:J227"/>
    <mergeCell ref="D217:E217"/>
    <mergeCell ref="F217:G217"/>
    <mergeCell ref="D225:E225"/>
    <mergeCell ref="F225:G225"/>
    <mergeCell ref="D226:E226"/>
    <mergeCell ref="F226:G226"/>
    <mergeCell ref="D219:E219"/>
    <mergeCell ref="F219:G219"/>
    <mergeCell ref="A220:J220"/>
    <mergeCell ref="D221:E221"/>
    <mergeCell ref="D227:E227"/>
    <mergeCell ref="D185:E185"/>
    <mergeCell ref="F185:G185"/>
    <mergeCell ref="D182:E182"/>
    <mergeCell ref="F182:G182"/>
    <mergeCell ref="D183:E183"/>
    <mergeCell ref="F183:G183"/>
    <mergeCell ref="D184:E184"/>
    <mergeCell ref="F184:G184"/>
    <mergeCell ref="F214:G214"/>
    <mergeCell ref="D210:E210"/>
    <mergeCell ref="F210:G210"/>
    <mergeCell ref="D211:E211"/>
    <mergeCell ref="F211:G211"/>
    <mergeCell ref="A203:J203"/>
    <mergeCell ref="A204:J204"/>
    <mergeCell ref="D205:E205"/>
    <mergeCell ref="F205:G205"/>
    <mergeCell ref="I205:J211"/>
    <mergeCell ref="D206:E206"/>
    <mergeCell ref="F206:G206"/>
    <mergeCell ref="D207:E207"/>
    <mergeCell ref="F207:G207"/>
    <mergeCell ref="F213:G213"/>
    <mergeCell ref="D208:E208"/>
    <mergeCell ref="F208:G208"/>
    <mergeCell ref="A202:J202"/>
    <mergeCell ref="D190:E190"/>
    <mergeCell ref="F190:G190"/>
    <mergeCell ref="D191:E191"/>
    <mergeCell ref="F191:G191"/>
    <mergeCell ref="D192:E192"/>
    <mergeCell ref="F192:G192"/>
    <mergeCell ref="D201:E201"/>
    <mergeCell ref="F201:G201"/>
    <mergeCell ref="A194:J194"/>
    <mergeCell ref="A186:J186"/>
    <mergeCell ref="D187:E187"/>
    <mergeCell ref="F187:G187"/>
    <mergeCell ref="I187:J193"/>
    <mergeCell ref="D188:E188"/>
    <mergeCell ref="F188:G188"/>
    <mergeCell ref="D189:E189"/>
    <mergeCell ref="F189:G189"/>
    <mergeCell ref="D175:E175"/>
    <mergeCell ref="F175:G175"/>
    <mergeCell ref="D176:E176"/>
    <mergeCell ref="F176:G176"/>
    <mergeCell ref="D177:E177"/>
    <mergeCell ref="F177:G177"/>
    <mergeCell ref="D193:E193"/>
    <mergeCell ref="F193:G193"/>
    <mergeCell ref="A178:J178"/>
    <mergeCell ref="D179:E179"/>
    <mergeCell ref="F179:G179"/>
    <mergeCell ref="I179:J185"/>
    <mergeCell ref="D180:E180"/>
    <mergeCell ref="F180:G180"/>
    <mergeCell ref="D181:E181"/>
    <mergeCell ref="F181:G181"/>
    <mergeCell ref="A170:J170"/>
    <mergeCell ref="D171:E171"/>
    <mergeCell ref="F171:G171"/>
    <mergeCell ref="I171:J177"/>
    <mergeCell ref="D172:E172"/>
    <mergeCell ref="F172:G172"/>
    <mergeCell ref="D173:E173"/>
    <mergeCell ref="F173:G173"/>
    <mergeCell ref="D174:E174"/>
    <mergeCell ref="F174:G174"/>
    <mergeCell ref="D168:E168"/>
    <mergeCell ref="F168:G168"/>
    <mergeCell ref="D169:E169"/>
    <mergeCell ref="F169:G169"/>
    <mergeCell ref="I163:J169"/>
    <mergeCell ref="D163:E163"/>
    <mergeCell ref="F163:G163"/>
    <mergeCell ref="D165:E165"/>
    <mergeCell ref="F165:G165"/>
    <mergeCell ref="D166:E166"/>
    <mergeCell ref="F164:G164"/>
    <mergeCell ref="F166:G166"/>
    <mergeCell ref="F167:G167"/>
    <mergeCell ref="D167:E167"/>
    <mergeCell ref="D164:E164"/>
    <mergeCell ref="D7:J7"/>
    <mergeCell ref="D8:J8"/>
    <mergeCell ref="F150:G150"/>
    <mergeCell ref="E16:F16"/>
    <mergeCell ref="E17:F17"/>
    <mergeCell ref="B16:D16"/>
    <mergeCell ref="B17:D17"/>
    <mergeCell ref="A7:C7"/>
    <mergeCell ref="A8:C8"/>
    <mergeCell ref="A10:C10"/>
    <mergeCell ref="A11:C11"/>
    <mergeCell ref="A12:C12"/>
    <mergeCell ref="F145:G145"/>
    <mergeCell ref="D146:E146"/>
    <mergeCell ref="A142:J142"/>
    <mergeCell ref="D130:E130"/>
    <mergeCell ref="D127:E127"/>
    <mergeCell ref="D128:E128"/>
    <mergeCell ref="F130:G130"/>
    <mergeCell ref="G109:J109"/>
    <mergeCell ref="A108:F108"/>
    <mergeCell ref="G108:J108"/>
    <mergeCell ref="A148:J148"/>
    <mergeCell ref="I137:J141"/>
    <mergeCell ref="A13:C13"/>
    <mergeCell ref="F147:G147"/>
    <mergeCell ref="A125:J125"/>
    <mergeCell ref="F124:G124"/>
    <mergeCell ref="A126:J126"/>
    <mergeCell ref="H49:J49"/>
    <mergeCell ref="A49:B49"/>
    <mergeCell ref="C49:F49"/>
    <mergeCell ref="F140:G140"/>
    <mergeCell ref="F141:G141"/>
    <mergeCell ref="F138:G138"/>
    <mergeCell ref="D138:E138"/>
    <mergeCell ref="A18:B18"/>
    <mergeCell ref="F19:J20"/>
    <mergeCell ref="H44:J44"/>
    <mergeCell ref="F131:G131"/>
    <mergeCell ref="A135:J135"/>
    <mergeCell ref="D137:E137"/>
    <mergeCell ref="G105:J105"/>
    <mergeCell ref="A53:B53"/>
    <mergeCell ref="A44:B44"/>
    <mergeCell ref="A36:E36"/>
    <mergeCell ref="H43:J43"/>
    <mergeCell ref="A23:E23"/>
    <mergeCell ref="D10:J10"/>
    <mergeCell ref="D11:J11"/>
    <mergeCell ref="D12:J12"/>
    <mergeCell ref="D13:J13"/>
    <mergeCell ref="A50:C50"/>
    <mergeCell ref="A51:J51"/>
    <mergeCell ref="A46:B46"/>
    <mergeCell ref="D50:E50"/>
    <mergeCell ref="F137:G137"/>
    <mergeCell ref="A110:F110"/>
    <mergeCell ref="A106:F106"/>
    <mergeCell ref="A102:J102"/>
    <mergeCell ref="G106:J106"/>
    <mergeCell ref="A109:F109"/>
    <mergeCell ref="G110:J110"/>
    <mergeCell ref="C59:J59"/>
    <mergeCell ref="A67:B67"/>
    <mergeCell ref="D67:E67"/>
    <mergeCell ref="A68:B68"/>
    <mergeCell ref="D68:E68"/>
    <mergeCell ref="A69:B69"/>
    <mergeCell ref="D69:E69"/>
    <mergeCell ref="A70:B70"/>
    <mergeCell ref="F132:G132"/>
    <mergeCell ref="A2:J2"/>
    <mergeCell ref="A34:J35"/>
    <mergeCell ref="I26:J26"/>
    <mergeCell ref="C27:D27"/>
    <mergeCell ref="F25:J25"/>
    <mergeCell ref="A21:E21"/>
    <mergeCell ref="G17:J17"/>
    <mergeCell ref="I27:J27"/>
    <mergeCell ref="A26:B26"/>
    <mergeCell ref="G16:J16"/>
    <mergeCell ref="F18:G18"/>
    <mergeCell ref="A24:E24"/>
    <mergeCell ref="C18:E18"/>
    <mergeCell ref="A19:E20"/>
    <mergeCell ref="F24:J24"/>
    <mergeCell ref="A22:E22"/>
    <mergeCell ref="E26:F26"/>
    <mergeCell ref="C26:D26"/>
    <mergeCell ref="A3:C3"/>
    <mergeCell ref="D3:J3"/>
    <mergeCell ref="D5:J5"/>
    <mergeCell ref="D6:J6"/>
    <mergeCell ref="A4:C4"/>
    <mergeCell ref="A5:C5"/>
    <mergeCell ref="A6:C6"/>
    <mergeCell ref="D4:J4"/>
    <mergeCell ref="D196:E196"/>
    <mergeCell ref="F196:G196"/>
    <mergeCell ref="F198:G198"/>
    <mergeCell ref="D199:E199"/>
    <mergeCell ref="F199:G199"/>
    <mergeCell ref="E27:F27"/>
    <mergeCell ref="G27:H27"/>
    <mergeCell ref="A27:B27"/>
    <mergeCell ref="A28:B28"/>
    <mergeCell ref="I28:J28"/>
    <mergeCell ref="A29:J29"/>
    <mergeCell ref="A30:J30"/>
    <mergeCell ref="E28:F28"/>
    <mergeCell ref="A42:J42"/>
    <mergeCell ref="A39:E39"/>
    <mergeCell ref="D129:E129"/>
    <mergeCell ref="F134:G134"/>
    <mergeCell ref="A111:F111"/>
    <mergeCell ref="D145:E145"/>
    <mergeCell ref="A38:E38"/>
    <mergeCell ref="A25:E25"/>
    <mergeCell ref="G26:H26"/>
    <mergeCell ref="F23:J23"/>
    <mergeCell ref="F22:J22"/>
    <mergeCell ref="G28:H28"/>
    <mergeCell ref="A31:B31"/>
    <mergeCell ref="F41:J41"/>
    <mergeCell ref="F40:J40"/>
    <mergeCell ref="D70:E70"/>
    <mergeCell ref="A71:B71"/>
    <mergeCell ref="C71:J71"/>
    <mergeCell ref="A45:B45"/>
    <mergeCell ref="C45:F45"/>
    <mergeCell ref="H45:J45"/>
    <mergeCell ref="A48:B48"/>
    <mergeCell ref="C48:F48"/>
    <mergeCell ref="H48:J48"/>
    <mergeCell ref="A32:B32"/>
    <mergeCell ref="C32:J32"/>
    <mergeCell ref="C31:J31"/>
    <mergeCell ref="E72:F72"/>
    <mergeCell ref="I72:J72"/>
    <mergeCell ref="A73:B73"/>
    <mergeCell ref="C73:J73"/>
    <mergeCell ref="A76:B76"/>
    <mergeCell ref="D76:E76"/>
    <mergeCell ref="F76:G76"/>
    <mergeCell ref="A56:J56"/>
    <mergeCell ref="D55:J55"/>
    <mergeCell ref="C74:E75"/>
    <mergeCell ref="A74:B75"/>
    <mergeCell ref="F74:H75"/>
    <mergeCell ref="I74:J75"/>
    <mergeCell ref="A252:J252"/>
    <mergeCell ref="A247:J247"/>
    <mergeCell ref="D124:E124"/>
    <mergeCell ref="A248:J248"/>
    <mergeCell ref="A244:J245"/>
    <mergeCell ref="A249:J249"/>
    <mergeCell ref="A246:J246"/>
    <mergeCell ref="I124:J124"/>
    <mergeCell ref="D197:E197"/>
    <mergeCell ref="F197:G197"/>
    <mergeCell ref="D200:E200"/>
    <mergeCell ref="F200:G200"/>
    <mergeCell ref="D198:E198"/>
    <mergeCell ref="D156:E156"/>
    <mergeCell ref="F156:G156"/>
    <mergeCell ref="D157:E157"/>
    <mergeCell ref="F157:G157"/>
    <mergeCell ref="F153:G153"/>
    <mergeCell ref="F133:G133"/>
    <mergeCell ref="D158:E158"/>
    <mergeCell ref="I127:J134"/>
    <mergeCell ref="A136:J136"/>
    <mergeCell ref="D144:E144"/>
    <mergeCell ref="F144:G144"/>
    <mergeCell ref="A253:J255"/>
    <mergeCell ref="A112:F112"/>
    <mergeCell ref="G112:J112"/>
    <mergeCell ref="A122:J122"/>
    <mergeCell ref="A123:J123"/>
    <mergeCell ref="A250:J250"/>
    <mergeCell ref="A251:J251"/>
    <mergeCell ref="D195:E195"/>
    <mergeCell ref="F195:G195"/>
    <mergeCell ref="I195:J201"/>
    <mergeCell ref="A113:J113"/>
    <mergeCell ref="H114:J114"/>
    <mergeCell ref="E114:G114"/>
    <mergeCell ref="E115:G115"/>
    <mergeCell ref="H115:J115"/>
    <mergeCell ref="A116:J116"/>
    <mergeCell ref="H117:J117"/>
    <mergeCell ref="H118:J118"/>
    <mergeCell ref="H119:J119"/>
    <mergeCell ref="E117:G117"/>
    <mergeCell ref="E118:G118"/>
    <mergeCell ref="A117:B117"/>
    <mergeCell ref="I149:J153"/>
    <mergeCell ref="D150:E150"/>
    <mergeCell ref="G107:J107"/>
    <mergeCell ref="A60:B60"/>
    <mergeCell ref="D60:E60"/>
    <mergeCell ref="F60:G60"/>
    <mergeCell ref="H60:J60"/>
    <mergeCell ref="A61:B61"/>
    <mergeCell ref="D61:E61"/>
    <mergeCell ref="F61:G70"/>
    <mergeCell ref="H61:J70"/>
    <mergeCell ref="A62:B62"/>
    <mergeCell ref="D62:E62"/>
    <mergeCell ref="A63:B63"/>
    <mergeCell ref="D63:E63"/>
    <mergeCell ref="D66:E66"/>
    <mergeCell ref="D78:E78"/>
    <mergeCell ref="A79:B79"/>
    <mergeCell ref="D79:E79"/>
    <mergeCell ref="A80:B80"/>
    <mergeCell ref="D80:E80"/>
    <mergeCell ref="A81:B81"/>
    <mergeCell ref="D81:E81"/>
    <mergeCell ref="A82:B82"/>
    <mergeCell ref="D82:E82"/>
    <mergeCell ref="A83:B83"/>
    <mergeCell ref="I15:J15"/>
    <mergeCell ref="F36:J36"/>
    <mergeCell ref="F37:J37"/>
    <mergeCell ref="C43:F43"/>
    <mergeCell ref="C28:D28"/>
    <mergeCell ref="H52:J52"/>
    <mergeCell ref="F52:G52"/>
    <mergeCell ref="A1:J1"/>
    <mergeCell ref="C14:J14"/>
    <mergeCell ref="A41:E41"/>
    <mergeCell ref="D52:E52"/>
    <mergeCell ref="C44:F44"/>
    <mergeCell ref="A52:C52"/>
    <mergeCell ref="C15:G15"/>
    <mergeCell ref="A14:B14"/>
    <mergeCell ref="A15:B15"/>
    <mergeCell ref="A33:J33"/>
    <mergeCell ref="A37:E37"/>
    <mergeCell ref="F39:J39"/>
    <mergeCell ref="A40:E40"/>
    <mergeCell ref="F38:J38"/>
    <mergeCell ref="H18:J18"/>
    <mergeCell ref="F21:J21"/>
    <mergeCell ref="A43:B43"/>
    <mergeCell ref="G111:J111"/>
    <mergeCell ref="A104:J104"/>
    <mergeCell ref="A103:J103"/>
    <mergeCell ref="A101:J101"/>
    <mergeCell ref="A105:F105"/>
    <mergeCell ref="H46:J46"/>
    <mergeCell ref="A57:B57"/>
    <mergeCell ref="C57:J57"/>
    <mergeCell ref="E58:F58"/>
    <mergeCell ref="I58:J58"/>
    <mergeCell ref="A59:B59"/>
    <mergeCell ref="A107:F107"/>
    <mergeCell ref="C46:F46"/>
    <mergeCell ref="A64:B64"/>
    <mergeCell ref="D64:E64"/>
    <mergeCell ref="A65:B65"/>
    <mergeCell ref="D65:E65"/>
    <mergeCell ref="A66:B66"/>
    <mergeCell ref="H76:J76"/>
    <mergeCell ref="A77:B77"/>
    <mergeCell ref="D77:E77"/>
    <mergeCell ref="F77:G86"/>
    <mergeCell ref="H77:J86"/>
    <mergeCell ref="A78:B78"/>
    <mergeCell ref="D83:E83"/>
    <mergeCell ref="A84:B84"/>
    <mergeCell ref="D84:E84"/>
    <mergeCell ref="A85:B85"/>
    <mergeCell ref="D85:E85"/>
    <mergeCell ref="A86:B86"/>
    <mergeCell ref="D86:E86"/>
    <mergeCell ref="A98:B98"/>
    <mergeCell ref="D98:E98"/>
    <mergeCell ref="D100:E100"/>
    <mergeCell ref="A87:B87"/>
    <mergeCell ref="C87:J87"/>
    <mergeCell ref="E88:F88"/>
    <mergeCell ref="I88:J88"/>
    <mergeCell ref="A89:B89"/>
    <mergeCell ref="C89:J89"/>
    <mergeCell ref="A90:B90"/>
    <mergeCell ref="D90:E90"/>
    <mergeCell ref="F90:G90"/>
    <mergeCell ref="H90:J90"/>
    <mergeCell ref="A114:B114"/>
    <mergeCell ref="C114:D114"/>
    <mergeCell ref="N60:P69"/>
    <mergeCell ref="F50:H50"/>
    <mergeCell ref="I50:J50"/>
    <mergeCell ref="A91:B91"/>
    <mergeCell ref="D91:E91"/>
    <mergeCell ref="F91:G100"/>
    <mergeCell ref="H91:J100"/>
    <mergeCell ref="A92:B92"/>
    <mergeCell ref="D92:E92"/>
    <mergeCell ref="A93:B93"/>
    <mergeCell ref="D93:E93"/>
    <mergeCell ref="A94:B94"/>
    <mergeCell ref="D94:E94"/>
    <mergeCell ref="A95:B95"/>
    <mergeCell ref="D95:E95"/>
    <mergeCell ref="A96:B96"/>
    <mergeCell ref="D96:E96"/>
    <mergeCell ref="A97:B97"/>
    <mergeCell ref="D97:E97"/>
    <mergeCell ref="A99:B99"/>
    <mergeCell ref="D99:E99"/>
    <mergeCell ref="A100:B100"/>
    <mergeCell ref="H121:J121"/>
    <mergeCell ref="A162:J162"/>
    <mergeCell ref="F151:G151"/>
    <mergeCell ref="A160:J160"/>
    <mergeCell ref="F158:G158"/>
    <mergeCell ref="D159:E159"/>
    <mergeCell ref="F159:G159"/>
    <mergeCell ref="D143:E143"/>
    <mergeCell ref="F143:G143"/>
    <mergeCell ref="D153:E153"/>
    <mergeCell ref="A154:J154"/>
    <mergeCell ref="C117:D117"/>
    <mergeCell ref="A118:B118"/>
    <mergeCell ref="C118:D118"/>
    <mergeCell ref="A115:B115"/>
    <mergeCell ref="C115:D115"/>
    <mergeCell ref="E119:G119"/>
    <mergeCell ref="A161:J161"/>
    <mergeCell ref="F128:G128"/>
    <mergeCell ref="F129:G129"/>
    <mergeCell ref="D131:E131"/>
    <mergeCell ref="D132:E132"/>
    <mergeCell ref="D151:E151"/>
    <mergeCell ref="D152:E152"/>
    <mergeCell ref="F152:G152"/>
    <mergeCell ref="D149:E149"/>
    <mergeCell ref="F149:G149"/>
    <mergeCell ref="D139:E139"/>
    <mergeCell ref="D141:E141"/>
    <mergeCell ref="H120:J120"/>
    <mergeCell ref="D140:E140"/>
    <mergeCell ref="A119:B119"/>
    <mergeCell ref="C119:D119"/>
    <mergeCell ref="A121:B121"/>
    <mergeCell ref="C121:D121"/>
    <mergeCell ref="L219:M219"/>
    <mergeCell ref="A228:J228"/>
    <mergeCell ref="D229:E229"/>
    <mergeCell ref="F229:G229"/>
    <mergeCell ref="I229:J235"/>
    <mergeCell ref="D230:E230"/>
    <mergeCell ref="F230:G230"/>
    <mergeCell ref="D231:E231"/>
    <mergeCell ref="F231:G231"/>
    <mergeCell ref="D232:E232"/>
    <mergeCell ref="F232:G232"/>
    <mergeCell ref="D233:E233"/>
    <mergeCell ref="F233:G233"/>
    <mergeCell ref="D234:E234"/>
    <mergeCell ref="F234:G234"/>
    <mergeCell ref="D235:E235"/>
    <mergeCell ref="F235:G235"/>
    <mergeCell ref="F227:G227"/>
    <mergeCell ref="F221:G221"/>
    <mergeCell ref="D223:E223"/>
    <mergeCell ref="D224:E224"/>
    <mergeCell ref="F223:G223"/>
    <mergeCell ref="F224:G224"/>
    <mergeCell ref="F222:G222"/>
    <mergeCell ref="D237:E237"/>
    <mergeCell ref="F237:G237"/>
    <mergeCell ref="I237:J243"/>
    <mergeCell ref="D238:E238"/>
    <mergeCell ref="F238:G238"/>
    <mergeCell ref="D239:E239"/>
    <mergeCell ref="F239:G239"/>
    <mergeCell ref="D240:E240"/>
    <mergeCell ref="F240:G240"/>
    <mergeCell ref="D241:E241"/>
    <mergeCell ref="F241:G241"/>
    <mergeCell ref="D242:E242"/>
    <mergeCell ref="F242:G242"/>
    <mergeCell ref="D243:E243"/>
    <mergeCell ref="F243:G243"/>
    <mergeCell ref="A9:C9"/>
    <mergeCell ref="D9:J9"/>
    <mergeCell ref="A236:J236"/>
    <mergeCell ref="A47:B47"/>
    <mergeCell ref="C47:F47"/>
    <mergeCell ref="H47:J47"/>
    <mergeCell ref="D215:E215"/>
    <mergeCell ref="D216:E216"/>
    <mergeCell ref="F215:G215"/>
    <mergeCell ref="F216:G216"/>
    <mergeCell ref="E121:G121"/>
    <mergeCell ref="A120:B120"/>
    <mergeCell ref="C120:D120"/>
    <mergeCell ref="E120:G120"/>
    <mergeCell ref="F139:G139"/>
    <mergeCell ref="F146:G146"/>
    <mergeCell ref="D147:E147"/>
    <mergeCell ref="D133:E133"/>
    <mergeCell ref="D155:E155"/>
    <mergeCell ref="F155:G155"/>
    <mergeCell ref="I155:J159"/>
    <mergeCell ref="I143:J147"/>
    <mergeCell ref="D134:E134"/>
    <mergeCell ref="F127:G127"/>
  </mergeCells>
  <phoneticPr fontId="0" type="noConversion"/>
  <hyperlinks>
    <hyperlink ref="C32" r:id="rId1"/>
  </hyperlinks>
  <pageMargins left="0.39370078740157483" right="0.39370078740157483" top="0.78740157480314965" bottom="0.78740157480314965" header="0.19685039370078741" footer="0.19685039370078741"/>
  <pageSetup scale="95" fitToHeight="0" orientation="portrait" r:id="rId2"/>
  <headerFooter>
    <oddHeader>&amp;C&amp;G</oddHeader>
    <oddFooter>&amp;L&amp;"Times New Roman,Bold"Ref No: &amp;F&amp;C&amp;G&amp;R&amp;P</oddFooter>
  </headerFooter>
  <rowBreaks count="3" manualBreakCount="3">
    <brk id="86" max="9" man="1"/>
    <brk id="255" max="16383" man="1"/>
    <brk id="30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G5" sqref="G5:G7"/>
    </sheetView>
  </sheetViews>
  <sheetFormatPr defaultColWidth="8.7265625" defaultRowHeight="14.5" x14ac:dyDescent="0.35"/>
  <cols>
    <col min="1" max="1" width="8.7265625" style="26"/>
    <col min="2" max="2" width="22.1796875" style="26" customWidth="1"/>
    <col min="3" max="3" width="37" style="26" customWidth="1"/>
    <col min="4" max="5" width="11.453125" style="26" customWidth="1"/>
    <col min="6" max="6" width="14" style="26" customWidth="1"/>
    <col min="7" max="7" width="20" style="26" customWidth="1"/>
    <col min="8" max="8" width="16.453125" style="26" customWidth="1"/>
    <col min="9" max="16384" width="8.7265625" style="26"/>
  </cols>
  <sheetData>
    <row r="1" spans="1:9" ht="15" customHeight="1" x14ac:dyDescent="0.35"/>
    <row r="2" spans="1:9" ht="15" customHeight="1" x14ac:dyDescent="0.35">
      <c r="A2" s="27"/>
      <c r="B2" s="27"/>
      <c r="C2" s="27"/>
      <c r="D2" s="27"/>
      <c r="E2" s="27"/>
      <c r="F2" s="27"/>
      <c r="G2" s="27"/>
      <c r="H2" s="27"/>
    </row>
    <row r="3" spans="1:9" ht="15.75" customHeight="1" x14ac:dyDescent="0.35">
      <c r="A3" s="27"/>
      <c r="B3" s="257" t="s">
        <v>185</v>
      </c>
      <c r="C3" s="257"/>
      <c r="D3" s="257"/>
      <c r="E3" s="257"/>
      <c r="F3" s="257"/>
      <c r="G3" s="257"/>
      <c r="H3" s="257"/>
    </row>
    <row r="4" spans="1:9" x14ac:dyDescent="0.35">
      <c r="A4" s="27"/>
      <c r="B4" s="28" t="s">
        <v>186</v>
      </c>
      <c r="C4" s="28" t="s">
        <v>187</v>
      </c>
      <c r="D4" s="28" t="s">
        <v>87</v>
      </c>
      <c r="E4" s="28" t="s">
        <v>188</v>
      </c>
      <c r="F4" s="28" t="s">
        <v>189</v>
      </c>
      <c r="G4" s="28" t="s">
        <v>190</v>
      </c>
      <c r="H4" s="28" t="s">
        <v>191</v>
      </c>
    </row>
    <row r="5" spans="1:9" ht="15" customHeight="1" x14ac:dyDescent="0.35">
      <c r="A5" s="27"/>
      <c r="B5" s="29" t="s">
        <v>192</v>
      </c>
      <c r="C5" s="30" t="s">
        <v>137</v>
      </c>
      <c r="D5" s="29" t="s">
        <v>197</v>
      </c>
      <c r="E5" s="29">
        <v>600</v>
      </c>
      <c r="F5" s="31">
        <f>E5*1.6</f>
        <v>960</v>
      </c>
      <c r="G5" s="31">
        <f>H5/F5</f>
        <v>6218.75</v>
      </c>
      <c r="H5" s="32">
        <v>5970000</v>
      </c>
    </row>
    <row r="6" spans="1:9" x14ac:dyDescent="0.35">
      <c r="A6" s="27"/>
      <c r="B6" s="29" t="s">
        <v>192</v>
      </c>
      <c r="C6" s="33" t="s">
        <v>137</v>
      </c>
      <c r="D6" s="29" t="s">
        <v>198</v>
      </c>
      <c r="E6" s="29">
        <v>455</v>
      </c>
      <c r="F6" s="31">
        <f t="shared" ref="F6:F11" si="0">E6*1.6</f>
        <v>728</v>
      </c>
      <c r="G6" s="31">
        <f t="shared" ref="G6:G11" si="1">H6/F6</f>
        <v>6456.0439560439563</v>
      </c>
      <c r="H6" s="32">
        <v>4700000</v>
      </c>
    </row>
    <row r="7" spans="1:9" ht="15" customHeight="1" x14ac:dyDescent="0.35">
      <c r="A7" s="27"/>
      <c r="B7" s="29" t="s">
        <v>192</v>
      </c>
      <c r="C7" s="30" t="s">
        <v>137</v>
      </c>
      <c r="D7" s="29" t="s">
        <v>198</v>
      </c>
      <c r="E7" s="29">
        <v>475</v>
      </c>
      <c r="F7" s="31">
        <f t="shared" si="0"/>
        <v>760</v>
      </c>
      <c r="G7" s="31">
        <f t="shared" si="1"/>
        <v>5986.8421052631575</v>
      </c>
      <c r="H7" s="32">
        <v>4550000</v>
      </c>
    </row>
    <row r="8" spans="1:9" x14ac:dyDescent="0.35">
      <c r="A8" s="27"/>
      <c r="B8" s="29" t="s">
        <v>192</v>
      </c>
      <c r="C8" s="33"/>
      <c r="D8" s="29"/>
      <c r="E8" s="29"/>
      <c r="F8" s="31">
        <f t="shared" si="0"/>
        <v>0</v>
      </c>
      <c r="G8" s="31" t="e">
        <f t="shared" si="1"/>
        <v>#DIV/0!</v>
      </c>
      <c r="H8" s="32"/>
    </row>
    <row r="9" spans="1:9" ht="15" customHeight="1" x14ac:dyDescent="0.35">
      <c r="A9" s="27"/>
      <c r="B9" s="29" t="s">
        <v>192</v>
      </c>
      <c r="C9" s="33"/>
      <c r="D9" s="29"/>
      <c r="E9" s="29"/>
      <c r="F9" s="31">
        <f t="shared" si="0"/>
        <v>0</v>
      </c>
      <c r="G9" s="31" t="e">
        <f t="shared" si="1"/>
        <v>#DIV/0!</v>
      </c>
      <c r="H9" s="32"/>
    </row>
    <row r="10" spans="1:9" ht="15" customHeight="1" x14ac:dyDescent="0.35">
      <c r="A10" s="27"/>
      <c r="B10" s="29" t="s">
        <v>193</v>
      </c>
      <c r="C10" s="30"/>
      <c r="D10" s="29"/>
      <c r="E10" s="29"/>
      <c r="F10" s="31">
        <f t="shared" si="0"/>
        <v>0</v>
      </c>
      <c r="G10" s="31" t="e">
        <f t="shared" si="1"/>
        <v>#DIV/0!</v>
      </c>
      <c r="H10" s="32"/>
    </row>
    <row r="11" spans="1:9" ht="15" customHeight="1" x14ac:dyDescent="0.35">
      <c r="A11" s="27"/>
      <c r="B11" s="29" t="s">
        <v>193</v>
      </c>
      <c r="C11" s="30"/>
      <c r="D11" s="29"/>
      <c r="E11" s="29"/>
      <c r="F11" s="31">
        <f t="shared" si="0"/>
        <v>0</v>
      </c>
      <c r="G11" s="31" t="e">
        <f t="shared" si="1"/>
        <v>#DIV/0!</v>
      </c>
      <c r="H11" s="32"/>
    </row>
    <row r="12" spans="1:9" ht="15" customHeight="1" x14ac:dyDescent="0.35">
      <c r="A12" s="27"/>
      <c r="B12" s="34" t="s">
        <v>194</v>
      </c>
      <c r="C12" s="29"/>
      <c r="D12" s="29"/>
      <c r="E12" s="29"/>
      <c r="F12" s="29"/>
      <c r="G12" s="35" t="e">
        <f>AVERAGE(G5:G11)</f>
        <v>#DIV/0!</v>
      </c>
      <c r="H12" s="29"/>
    </row>
    <row r="13" spans="1:9" ht="15" customHeight="1" x14ac:dyDescent="0.35">
      <c r="B13" s="34" t="s">
        <v>195</v>
      </c>
      <c r="C13" s="29"/>
      <c r="D13" s="29"/>
      <c r="E13" s="29"/>
      <c r="F13" s="36"/>
      <c r="G13" s="34"/>
      <c r="H13" s="34"/>
      <c r="I13" s="37"/>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17" sqref="C17"/>
    </sheetView>
  </sheetViews>
  <sheetFormatPr defaultRowHeight="14.5" x14ac:dyDescent="0.35"/>
  <cols>
    <col min="2" max="2" width="11.7265625" customWidth="1"/>
  </cols>
  <sheetData>
    <row r="2" spans="1:16" x14ac:dyDescent="0.35">
      <c r="A2" t="s">
        <v>100</v>
      </c>
      <c r="B2" s="11" t="s">
        <v>120</v>
      </c>
      <c r="C2" s="11">
        <v>7</v>
      </c>
    </row>
    <row r="3" spans="1:16" x14ac:dyDescent="0.35">
      <c r="B3" t="s">
        <v>101</v>
      </c>
      <c r="C3" t="s">
        <v>102</v>
      </c>
    </row>
    <row r="4" spans="1:16" x14ac:dyDescent="0.35">
      <c r="A4" t="s">
        <v>103</v>
      </c>
      <c r="B4" s="6">
        <v>10</v>
      </c>
      <c r="C4" s="18">
        <v>10</v>
      </c>
      <c r="E4">
        <f>C4*10</f>
        <v>100</v>
      </c>
    </row>
    <row r="5" spans="1:16" x14ac:dyDescent="0.35">
      <c r="A5" t="s">
        <v>104</v>
      </c>
      <c r="B5" t="s">
        <v>105</v>
      </c>
      <c r="C5" t="s">
        <v>106</v>
      </c>
      <c r="J5" s="6" t="s">
        <v>107</v>
      </c>
      <c r="K5" s="6" t="s">
        <v>108</v>
      </c>
      <c r="L5" s="6" t="s">
        <v>109</v>
      </c>
      <c r="M5" s="6" t="s">
        <v>36</v>
      </c>
      <c r="N5" s="6" t="s">
        <v>39</v>
      </c>
      <c r="O5" s="6" t="s">
        <v>110</v>
      </c>
      <c r="P5" s="6" t="s">
        <v>40</v>
      </c>
    </row>
    <row r="6" spans="1:16" x14ac:dyDescent="0.35">
      <c r="B6" s="6">
        <f>C2+1</f>
        <v>8</v>
      </c>
      <c r="C6" s="18">
        <v>8</v>
      </c>
      <c r="E6" s="19">
        <f>(100/B6)*C6</f>
        <v>100</v>
      </c>
      <c r="G6" s="12" t="s">
        <v>111</v>
      </c>
      <c r="J6" s="12">
        <f>C4</f>
        <v>10</v>
      </c>
      <c r="K6" s="12">
        <f>40/B6*C6</f>
        <v>40</v>
      </c>
      <c r="L6" s="12">
        <f>15/B8*C8</f>
        <v>15</v>
      </c>
      <c r="M6" s="12">
        <f>10/B10*C10</f>
        <v>10</v>
      </c>
      <c r="N6" s="12">
        <f>10/B12*C12</f>
        <v>10</v>
      </c>
      <c r="O6" s="12">
        <f>5/B14*C14</f>
        <v>5</v>
      </c>
      <c r="P6" s="12">
        <f>5/B16*C16</f>
        <v>5</v>
      </c>
    </row>
    <row r="7" spans="1:16" x14ac:dyDescent="0.35">
      <c r="A7" t="s">
        <v>112</v>
      </c>
      <c r="B7" t="s">
        <v>113</v>
      </c>
      <c r="C7" t="s">
        <v>114</v>
      </c>
      <c r="E7" s="19"/>
      <c r="G7" s="6" t="s">
        <v>115</v>
      </c>
      <c r="H7" s="6"/>
      <c r="I7" s="6"/>
      <c r="J7" s="6">
        <f>J6+20</f>
        <v>30</v>
      </c>
      <c r="K7" s="6">
        <f>30/B6*C6</f>
        <v>30</v>
      </c>
      <c r="L7" s="6">
        <f>15/B8*C8</f>
        <v>15</v>
      </c>
      <c r="M7" s="6">
        <f>10/B10*C10</f>
        <v>10</v>
      </c>
      <c r="N7" s="6">
        <f>5/B12*C12</f>
        <v>5</v>
      </c>
      <c r="O7" s="6">
        <f>5/B14*C14</f>
        <v>5</v>
      </c>
      <c r="P7" s="6">
        <f>5/B16*C16</f>
        <v>5</v>
      </c>
    </row>
    <row r="8" spans="1:16" x14ac:dyDescent="0.35">
      <c r="B8" s="6">
        <f>C2</f>
        <v>7</v>
      </c>
      <c r="C8" s="18">
        <v>7</v>
      </c>
      <c r="E8" s="19">
        <f>(100/B8)*C8</f>
        <v>100</v>
      </c>
    </row>
    <row r="9" spans="1:16" x14ac:dyDescent="0.35">
      <c r="A9" t="s">
        <v>116</v>
      </c>
      <c r="B9" t="s">
        <v>113</v>
      </c>
      <c r="C9" t="s">
        <v>114</v>
      </c>
    </row>
    <row r="10" spans="1:16" x14ac:dyDescent="0.35">
      <c r="B10" s="6">
        <f>C2</f>
        <v>7</v>
      </c>
      <c r="C10" s="18">
        <v>7</v>
      </c>
      <c r="E10">
        <f>(100/B10)*C10</f>
        <v>100</v>
      </c>
    </row>
    <row r="11" spans="1:16" x14ac:dyDescent="0.35">
      <c r="A11" t="s">
        <v>39</v>
      </c>
      <c r="B11" t="s">
        <v>113</v>
      </c>
      <c r="C11" t="s">
        <v>114</v>
      </c>
    </row>
    <row r="12" spans="1:16" x14ac:dyDescent="0.35">
      <c r="B12" s="6">
        <f>C2</f>
        <v>7</v>
      </c>
      <c r="C12" s="18">
        <v>7</v>
      </c>
      <c r="E12">
        <f>(100/B12)*C12</f>
        <v>100</v>
      </c>
      <c r="J12" s="6"/>
      <c r="K12" s="6" t="s">
        <v>111</v>
      </c>
      <c r="L12" s="6" t="s">
        <v>117</v>
      </c>
      <c r="M12" t="s">
        <v>118</v>
      </c>
    </row>
    <row r="13" spans="1:16" ht="29" x14ac:dyDescent="0.35">
      <c r="A13" s="13" t="s">
        <v>110</v>
      </c>
      <c r="B13" t="s">
        <v>113</v>
      </c>
      <c r="C13" t="s">
        <v>114</v>
      </c>
      <c r="J13" s="6" t="s">
        <v>34</v>
      </c>
      <c r="K13" s="6">
        <f>J6</f>
        <v>10</v>
      </c>
      <c r="L13" s="6">
        <f>J7</f>
        <v>30</v>
      </c>
      <c r="M13" t="s">
        <v>118</v>
      </c>
    </row>
    <row r="14" spans="1:16" x14ac:dyDescent="0.35">
      <c r="B14" s="6">
        <f>C2</f>
        <v>7</v>
      </c>
      <c r="C14" s="18">
        <v>7</v>
      </c>
      <c r="E14">
        <f>(100/B14)*C14</f>
        <v>100</v>
      </c>
      <c r="J14" s="6" t="s">
        <v>35</v>
      </c>
      <c r="K14" s="6">
        <f>K6</f>
        <v>40</v>
      </c>
      <c r="L14" s="6">
        <f>K7</f>
        <v>30</v>
      </c>
    </row>
    <row r="15" spans="1:16" x14ac:dyDescent="0.35">
      <c r="A15" t="s">
        <v>40</v>
      </c>
      <c r="B15" t="s">
        <v>113</v>
      </c>
      <c r="C15" t="s">
        <v>114</v>
      </c>
      <c r="J15" s="6" t="s">
        <v>109</v>
      </c>
      <c r="K15" s="6">
        <f>L6</f>
        <v>15</v>
      </c>
      <c r="L15" s="6">
        <f>L7</f>
        <v>15</v>
      </c>
    </row>
    <row r="16" spans="1:16" x14ac:dyDescent="0.35">
      <c r="B16" s="6">
        <f>C2</f>
        <v>7</v>
      </c>
      <c r="C16" s="18">
        <v>7</v>
      </c>
      <c r="E16">
        <f>(100/B16)*C16</f>
        <v>100</v>
      </c>
      <c r="J16" s="6" t="s">
        <v>36</v>
      </c>
      <c r="K16" s="6">
        <f>M6</f>
        <v>10</v>
      </c>
      <c r="L16" s="6">
        <f>M7</f>
        <v>10</v>
      </c>
    </row>
    <row r="17" spans="10:12" x14ac:dyDescent="0.35">
      <c r="J17" s="6" t="s">
        <v>39</v>
      </c>
      <c r="K17" s="6">
        <f>N6</f>
        <v>10</v>
      </c>
      <c r="L17" s="6">
        <f>N7</f>
        <v>5</v>
      </c>
    </row>
    <row r="18" spans="10:12" ht="29" x14ac:dyDescent="0.35">
      <c r="J18" s="14" t="s">
        <v>110</v>
      </c>
      <c r="K18" s="6">
        <f>O6</f>
        <v>5</v>
      </c>
      <c r="L18" s="6">
        <f>O7</f>
        <v>5</v>
      </c>
    </row>
    <row r="19" spans="10:12" x14ac:dyDescent="0.35">
      <c r="J19" s="6" t="s">
        <v>40</v>
      </c>
      <c r="K19" s="6">
        <f>P6</f>
        <v>5</v>
      </c>
      <c r="L19" s="6">
        <f>P7</f>
        <v>5</v>
      </c>
    </row>
    <row r="20" spans="10:12" x14ac:dyDescent="0.35">
      <c r="J20" s="6" t="s">
        <v>119</v>
      </c>
      <c r="K20" s="22">
        <f>K13+K14+K15+K16+K17+K18+K19</f>
        <v>95</v>
      </c>
      <c r="L20" s="22">
        <f>L13+L14+L15+L16+L17+L18+L19</f>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C10" sqref="C10"/>
    </sheetView>
  </sheetViews>
  <sheetFormatPr defaultRowHeight="14.5" x14ac:dyDescent="0.35"/>
  <cols>
    <col min="2" max="2" width="11.7265625" customWidth="1"/>
  </cols>
  <sheetData>
    <row r="2" spans="1:16" x14ac:dyDescent="0.35">
      <c r="A2" t="s">
        <v>100</v>
      </c>
      <c r="B2" s="17" t="s">
        <v>120</v>
      </c>
      <c r="C2" s="11">
        <v>24</v>
      </c>
    </row>
    <row r="3" spans="1:16" x14ac:dyDescent="0.35">
      <c r="B3" t="s">
        <v>101</v>
      </c>
      <c r="C3" t="s">
        <v>102</v>
      </c>
    </row>
    <row r="4" spans="1:16" x14ac:dyDescent="0.35">
      <c r="A4" t="s">
        <v>103</v>
      </c>
      <c r="B4" s="6">
        <v>10</v>
      </c>
      <c r="C4" s="18">
        <v>10</v>
      </c>
      <c r="E4">
        <f>C4*10</f>
        <v>100</v>
      </c>
    </row>
    <row r="5" spans="1:16" x14ac:dyDescent="0.35">
      <c r="A5" t="s">
        <v>104</v>
      </c>
      <c r="B5" t="s">
        <v>105</v>
      </c>
      <c r="C5" t="s">
        <v>106</v>
      </c>
      <c r="E5">
        <f>(100/B6)*C6</f>
        <v>64</v>
      </c>
      <c r="J5" s="6" t="s">
        <v>107</v>
      </c>
      <c r="K5" s="6" t="s">
        <v>108</v>
      </c>
      <c r="L5" s="6" t="s">
        <v>109</v>
      </c>
      <c r="M5" s="6" t="s">
        <v>36</v>
      </c>
      <c r="N5" s="6" t="s">
        <v>39</v>
      </c>
      <c r="O5" s="6" t="s">
        <v>110</v>
      </c>
      <c r="P5" s="6" t="s">
        <v>40</v>
      </c>
    </row>
    <row r="6" spans="1:16" x14ac:dyDescent="0.35">
      <c r="B6" s="6">
        <f>C2+1</f>
        <v>25</v>
      </c>
      <c r="C6" s="18">
        <v>16</v>
      </c>
      <c r="E6">
        <f>(100/B8)*C8</f>
        <v>62.500000000000007</v>
      </c>
      <c r="G6" s="12" t="s">
        <v>111</v>
      </c>
      <c r="J6" s="12">
        <f>C4</f>
        <v>10</v>
      </c>
      <c r="K6" s="12">
        <f>40/B6*C6</f>
        <v>25.6</v>
      </c>
      <c r="L6" s="12">
        <f>15/B8*C8</f>
        <v>9.375</v>
      </c>
      <c r="M6" s="12">
        <f>10/B10*C10</f>
        <v>2.0833333333333335</v>
      </c>
      <c r="N6" s="12">
        <f>10/B12*C12</f>
        <v>0</v>
      </c>
      <c r="O6" s="12">
        <f>5/B14*C14</f>
        <v>0</v>
      </c>
      <c r="P6" s="12">
        <f>5/B16*C16</f>
        <v>0</v>
      </c>
    </row>
    <row r="7" spans="1:16" x14ac:dyDescent="0.35">
      <c r="A7" t="s">
        <v>112</v>
      </c>
      <c r="B7" t="s">
        <v>113</v>
      </c>
      <c r="C7" t="s">
        <v>114</v>
      </c>
      <c r="E7">
        <f>(100/B10)*C10</f>
        <v>20.833333333333336</v>
      </c>
      <c r="G7" s="6" t="s">
        <v>115</v>
      </c>
      <c r="H7" s="6"/>
      <c r="I7" s="6"/>
      <c r="J7" s="6">
        <f>J6+20</f>
        <v>30</v>
      </c>
      <c r="K7" s="6">
        <f>30/B6*C6</f>
        <v>19.2</v>
      </c>
      <c r="L7" s="6">
        <f>15/B8*C8</f>
        <v>9.375</v>
      </c>
      <c r="M7" s="6">
        <f>10/B10*C10</f>
        <v>2.0833333333333335</v>
      </c>
      <c r="N7" s="6">
        <f>5/B12*C12</f>
        <v>0</v>
      </c>
      <c r="O7" s="6">
        <f>5/B14*C14</f>
        <v>0</v>
      </c>
      <c r="P7" s="6">
        <f>5/B16*C16</f>
        <v>0</v>
      </c>
    </row>
    <row r="8" spans="1:16" x14ac:dyDescent="0.35">
      <c r="B8" s="6">
        <f>C2</f>
        <v>24</v>
      </c>
      <c r="C8" s="18">
        <v>15</v>
      </c>
      <c r="E8">
        <f>(100/B12)*C12</f>
        <v>0</v>
      </c>
    </row>
    <row r="9" spans="1:16" x14ac:dyDescent="0.35">
      <c r="A9" t="s">
        <v>116</v>
      </c>
      <c r="B9" t="s">
        <v>113</v>
      </c>
      <c r="C9" t="s">
        <v>114</v>
      </c>
      <c r="E9">
        <f>(100/B14)*C14</f>
        <v>0</v>
      </c>
    </row>
    <row r="10" spans="1:16" x14ac:dyDescent="0.35">
      <c r="B10" s="6">
        <f>C2</f>
        <v>24</v>
      </c>
      <c r="C10" s="18">
        <f>10/2</f>
        <v>5</v>
      </c>
      <c r="E10">
        <f>(100/B16)*C16</f>
        <v>0</v>
      </c>
    </row>
    <row r="11" spans="1:16" x14ac:dyDescent="0.35">
      <c r="A11" t="s">
        <v>39</v>
      </c>
      <c r="B11" t="s">
        <v>113</v>
      </c>
      <c r="C11" t="s">
        <v>114</v>
      </c>
    </row>
    <row r="12" spans="1:16" x14ac:dyDescent="0.35">
      <c r="B12" s="6">
        <f>C2</f>
        <v>24</v>
      </c>
      <c r="C12" s="18">
        <v>0</v>
      </c>
      <c r="E12" s="19"/>
      <c r="J12" s="6"/>
      <c r="K12" s="6" t="s">
        <v>111</v>
      </c>
      <c r="L12" s="6" t="s">
        <v>117</v>
      </c>
      <c r="M12" t="s">
        <v>118</v>
      </c>
    </row>
    <row r="13" spans="1:16" ht="29" x14ac:dyDescent="0.35">
      <c r="A13" s="13" t="s">
        <v>110</v>
      </c>
      <c r="B13" t="s">
        <v>113</v>
      </c>
      <c r="C13" t="s">
        <v>114</v>
      </c>
      <c r="J13" s="6" t="s">
        <v>34</v>
      </c>
      <c r="K13" s="6">
        <f>J6</f>
        <v>10</v>
      </c>
      <c r="L13" s="6">
        <f>J7</f>
        <v>30</v>
      </c>
      <c r="M13" t="s">
        <v>118</v>
      </c>
    </row>
    <row r="14" spans="1:16" x14ac:dyDescent="0.35">
      <c r="B14" s="6">
        <f>C2</f>
        <v>24</v>
      </c>
      <c r="C14" s="18">
        <v>0</v>
      </c>
      <c r="J14" s="6" t="s">
        <v>35</v>
      </c>
      <c r="K14" s="6">
        <f>K6</f>
        <v>25.6</v>
      </c>
      <c r="L14" s="6">
        <f>K7</f>
        <v>19.2</v>
      </c>
    </row>
    <row r="15" spans="1:16" x14ac:dyDescent="0.35">
      <c r="A15" t="s">
        <v>40</v>
      </c>
      <c r="B15" t="s">
        <v>113</v>
      </c>
      <c r="C15" t="s">
        <v>114</v>
      </c>
      <c r="J15" s="6" t="s">
        <v>109</v>
      </c>
      <c r="K15" s="6">
        <f>L6</f>
        <v>9.375</v>
      </c>
      <c r="L15" s="6">
        <f>L7</f>
        <v>9.375</v>
      </c>
    </row>
    <row r="16" spans="1:16" x14ac:dyDescent="0.35">
      <c r="B16" s="6">
        <f>C2</f>
        <v>24</v>
      </c>
      <c r="C16" s="18">
        <v>0</v>
      </c>
      <c r="J16" s="6" t="s">
        <v>36</v>
      </c>
      <c r="K16" s="6">
        <f>M6</f>
        <v>2.0833333333333335</v>
      </c>
      <c r="L16" s="6">
        <f>M7</f>
        <v>2.0833333333333335</v>
      </c>
    </row>
    <row r="17" spans="10:12" x14ac:dyDescent="0.35">
      <c r="J17" s="6" t="s">
        <v>39</v>
      </c>
      <c r="K17" s="6">
        <f>N6</f>
        <v>0</v>
      </c>
      <c r="L17" s="6">
        <f>N7</f>
        <v>0</v>
      </c>
    </row>
    <row r="18" spans="10:12" ht="29" x14ac:dyDescent="0.35">
      <c r="J18" s="14" t="s">
        <v>110</v>
      </c>
      <c r="K18" s="6">
        <f>O6</f>
        <v>0</v>
      </c>
      <c r="L18" s="6">
        <f>O7</f>
        <v>0</v>
      </c>
    </row>
    <row r="19" spans="10:12" x14ac:dyDescent="0.35">
      <c r="J19" s="6" t="s">
        <v>40</v>
      </c>
      <c r="K19" s="6">
        <f>P6</f>
        <v>0</v>
      </c>
      <c r="L19" s="6">
        <f>P7</f>
        <v>0</v>
      </c>
    </row>
    <row r="20" spans="10:12" x14ac:dyDescent="0.35">
      <c r="J20" s="6" t="s">
        <v>119</v>
      </c>
      <c r="K20" s="22">
        <f>K13+K14+K15+K16+K17+K18+K19</f>
        <v>47.058333333333337</v>
      </c>
      <c r="L20" s="22">
        <f>L13+L14+L15+L16+L17+L18+L19</f>
        <v>60.658333333333339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G19" sqref="G19"/>
    </sheetView>
  </sheetViews>
  <sheetFormatPr defaultRowHeight="14.5" x14ac:dyDescent="0.35"/>
  <cols>
    <col min="2" max="2" width="11.7265625" customWidth="1"/>
  </cols>
  <sheetData>
    <row r="2" spans="1:16" x14ac:dyDescent="0.35">
      <c r="A2" t="s">
        <v>100</v>
      </c>
      <c r="B2" s="17" t="s">
        <v>120</v>
      </c>
      <c r="C2" s="11">
        <v>24</v>
      </c>
    </row>
    <row r="3" spans="1:16" x14ac:dyDescent="0.35">
      <c r="B3" t="s">
        <v>101</v>
      </c>
      <c r="C3" t="s">
        <v>102</v>
      </c>
    </row>
    <row r="4" spans="1:16" x14ac:dyDescent="0.35">
      <c r="A4" t="s">
        <v>103</v>
      </c>
      <c r="B4" s="6">
        <v>10</v>
      </c>
      <c r="C4" s="18">
        <v>10</v>
      </c>
      <c r="E4">
        <f>C4*10</f>
        <v>100</v>
      </c>
    </row>
    <row r="5" spans="1:16" x14ac:dyDescent="0.35">
      <c r="A5" t="s">
        <v>104</v>
      </c>
      <c r="B5" t="s">
        <v>105</v>
      </c>
      <c r="C5" t="s">
        <v>106</v>
      </c>
      <c r="J5" s="6" t="s">
        <v>107</v>
      </c>
      <c r="K5" s="6" t="s">
        <v>108</v>
      </c>
      <c r="L5" s="6" t="s">
        <v>109</v>
      </c>
      <c r="M5" s="6" t="s">
        <v>36</v>
      </c>
      <c r="N5" s="6" t="s">
        <v>39</v>
      </c>
      <c r="O5" s="6" t="s">
        <v>110</v>
      </c>
      <c r="P5" s="6" t="s">
        <v>40</v>
      </c>
    </row>
    <row r="6" spans="1:16" x14ac:dyDescent="0.35">
      <c r="B6" s="6">
        <f>C2+1</f>
        <v>25</v>
      </c>
      <c r="C6" s="18">
        <v>0.5</v>
      </c>
      <c r="E6">
        <f>(100/B6)*C6</f>
        <v>2</v>
      </c>
      <c r="G6" s="12" t="s">
        <v>111</v>
      </c>
      <c r="J6" s="12">
        <f>C4</f>
        <v>10</v>
      </c>
      <c r="K6" s="12">
        <f>40/B6*C6</f>
        <v>0.8</v>
      </c>
      <c r="L6" s="12">
        <f>15/B8*C8</f>
        <v>0</v>
      </c>
      <c r="M6" s="12">
        <f>10/B10*C10</f>
        <v>0</v>
      </c>
      <c r="N6" s="12">
        <f>10/B12*C12</f>
        <v>0</v>
      </c>
      <c r="O6" s="12">
        <f>5/B14*C14</f>
        <v>0</v>
      </c>
      <c r="P6" s="12">
        <f>5/B16*C16</f>
        <v>0</v>
      </c>
    </row>
    <row r="7" spans="1:16" x14ac:dyDescent="0.35">
      <c r="A7" t="s">
        <v>112</v>
      </c>
      <c r="B7" t="s">
        <v>113</v>
      </c>
      <c r="C7" t="s">
        <v>114</v>
      </c>
      <c r="G7" s="6" t="s">
        <v>115</v>
      </c>
      <c r="H7" s="6"/>
      <c r="I7" s="6"/>
      <c r="J7" s="6">
        <f>J6+20</f>
        <v>30</v>
      </c>
      <c r="K7" s="6">
        <f>30/B6*C6</f>
        <v>0.6</v>
      </c>
      <c r="L7" s="6">
        <f>15/B8*C8</f>
        <v>0</v>
      </c>
      <c r="M7" s="6">
        <f>10/B10*C10</f>
        <v>0</v>
      </c>
      <c r="N7" s="6">
        <f>5/B12*C12</f>
        <v>0</v>
      </c>
      <c r="O7" s="6">
        <f>5/B14*C14</f>
        <v>0</v>
      </c>
      <c r="P7" s="6">
        <f>5/B16*C16</f>
        <v>0</v>
      </c>
    </row>
    <row r="8" spans="1:16" x14ac:dyDescent="0.35">
      <c r="B8" s="6">
        <f>C2</f>
        <v>24</v>
      </c>
      <c r="C8" s="18">
        <v>0</v>
      </c>
      <c r="E8">
        <f>(100/B8)*C8</f>
        <v>0</v>
      </c>
    </row>
    <row r="9" spans="1:16" x14ac:dyDescent="0.35">
      <c r="A9" t="s">
        <v>116</v>
      </c>
      <c r="B9" t="s">
        <v>113</v>
      </c>
      <c r="C9" t="s">
        <v>114</v>
      </c>
    </row>
    <row r="10" spans="1:16" x14ac:dyDescent="0.35">
      <c r="B10" s="6">
        <f>C2</f>
        <v>24</v>
      </c>
      <c r="C10" s="18">
        <v>0</v>
      </c>
      <c r="E10">
        <f>(100/B10)*C10</f>
        <v>0</v>
      </c>
    </row>
    <row r="11" spans="1:16" x14ac:dyDescent="0.35">
      <c r="A11" t="s">
        <v>39</v>
      </c>
      <c r="B11" t="s">
        <v>113</v>
      </c>
      <c r="C11" t="s">
        <v>114</v>
      </c>
    </row>
    <row r="12" spans="1:16" x14ac:dyDescent="0.35">
      <c r="B12" s="6">
        <f>C2</f>
        <v>24</v>
      </c>
      <c r="C12" s="18">
        <v>0</v>
      </c>
      <c r="E12" s="19">
        <f>(100/B12)*C12</f>
        <v>0</v>
      </c>
      <c r="J12" s="6"/>
      <c r="K12" s="6" t="s">
        <v>111</v>
      </c>
      <c r="L12" s="6" t="s">
        <v>117</v>
      </c>
      <c r="M12" t="s">
        <v>118</v>
      </c>
    </row>
    <row r="13" spans="1:16" ht="29" x14ac:dyDescent="0.35">
      <c r="A13" s="13" t="s">
        <v>110</v>
      </c>
      <c r="B13" t="s">
        <v>113</v>
      </c>
      <c r="C13" t="s">
        <v>114</v>
      </c>
      <c r="J13" s="6" t="s">
        <v>34</v>
      </c>
      <c r="K13" s="6">
        <f>J6</f>
        <v>10</v>
      </c>
      <c r="L13" s="6">
        <f>J7</f>
        <v>30</v>
      </c>
      <c r="M13" t="s">
        <v>118</v>
      </c>
    </row>
    <row r="14" spans="1:16" x14ac:dyDescent="0.35">
      <c r="B14" s="6">
        <f>C2</f>
        <v>24</v>
      </c>
      <c r="C14" s="18">
        <v>0</v>
      </c>
      <c r="E14">
        <f>(100/B14)*C14</f>
        <v>0</v>
      </c>
      <c r="J14" s="6" t="s">
        <v>35</v>
      </c>
      <c r="K14" s="6">
        <f>K6</f>
        <v>0.8</v>
      </c>
      <c r="L14" s="6">
        <f>K7</f>
        <v>0.6</v>
      </c>
    </row>
    <row r="15" spans="1:16" x14ac:dyDescent="0.35">
      <c r="A15" t="s">
        <v>40</v>
      </c>
      <c r="B15" t="s">
        <v>113</v>
      </c>
      <c r="C15" t="s">
        <v>114</v>
      </c>
      <c r="J15" s="6" t="s">
        <v>109</v>
      </c>
      <c r="K15" s="6">
        <f>L6</f>
        <v>0</v>
      </c>
      <c r="L15" s="6">
        <f>L7</f>
        <v>0</v>
      </c>
    </row>
    <row r="16" spans="1:16" x14ac:dyDescent="0.35">
      <c r="B16" s="6">
        <f>C2</f>
        <v>24</v>
      </c>
      <c r="C16" s="18">
        <v>0</v>
      </c>
      <c r="E16">
        <f>(100/B16)*C16</f>
        <v>0</v>
      </c>
      <c r="J16" s="6" t="s">
        <v>36</v>
      </c>
      <c r="K16" s="6">
        <f>M6</f>
        <v>0</v>
      </c>
      <c r="L16" s="6">
        <f>M7</f>
        <v>0</v>
      </c>
    </row>
    <row r="17" spans="10:12" x14ac:dyDescent="0.35">
      <c r="J17" s="6" t="s">
        <v>39</v>
      </c>
      <c r="K17" s="6">
        <f>N6</f>
        <v>0</v>
      </c>
      <c r="L17" s="6">
        <f>N7</f>
        <v>0</v>
      </c>
    </row>
    <row r="18" spans="10:12" ht="29" x14ac:dyDescent="0.35">
      <c r="J18" s="14" t="s">
        <v>110</v>
      </c>
      <c r="K18" s="6">
        <f>O6</f>
        <v>0</v>
      </c>
      <c r="L18" s="6">
        <f>O7</f>
        <v>0</v>
      </c>
    </row>
    <row r="19" spans="10:12" x14ac:dyDescent="0.35">
      <c r="J19" s="6" t="s">
        <v>40</v>
      </c>
      <c r="K19" s="6">
        <f>P6</f>
        <v>0</v>
      </c>
      <c r="L19" s="6">
        <f>P7</f>
        <v>0</v>
      </c>
    </row>
    <row r="20" spans="10:12" x14ac:dyDescent="0.35">
      <c r="J20" s="6" t="s">
        <v>119</v>
      </c>
      <c r="K20" s="6">
        <f>K13+K14+K15+K16+K17+K18+K19</f>
        <v>10.8</v>
      </c>
      <c r="L20" s="6">
        <f>L13+L14+L15+L16+L17+L18+L19</f>
        <v>30.6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6"/>
  <sheetViews>
    <sheetView topLeftCell="C12" workbookViewId="0">
      <selection activeCell="F37" sqref="F37"/>
    </sheetView>
  </sheetViews>
  <sheetFormatPr defaultRowHeight="14.5" x14ac:dyDescent="0.35"/>
  <sheetData>
    <row r="2" spans="2:13" x14ac:dyDescent="0.35">
      <c r="C2" s="9" t="s">
        <v>86</v>
      </c>
      <c r="D2" s="258"/>
      <c r="E2" s="258"/>
    </row>
    <row r="3" spans="2:13" x14ac:dyDescent="0.35">
      <c r="E3" s="8"/>
      <c r="F3" s="8"/>
      <c r="G3" s="8"/>
      <c r="H3" s="8"/>
      <c r="I3" s="8"/>
      <c r="J3" s="8"/>
    </row>
    <row r="4" spans="2:13" x14ac:dyDescent="0.35">
      <c r="B4" s="9" t="s">
        <v>87</v>
      </c>
      <c r="C4" s="7" t="s">
        <v>67</v>
      </c>
      <c r="D4" s="259" t="s">
        <v>68</v>
      </c>
      <c r="E4" s="259"/>
      <c r="F4" s="259"/>
      <c r="G4" s="10"/>
      <c r="H4" s="259" t="s">
        <v>69</v>
      </c>
      <c r="I4" s="259"/>
      <c r="J4" s="259"/>
      <c r="K4" s="259" t="s">
        <v>70</v>
      </c>
      <c r="L4" s="259"/>
      <c r="M4" s="259"/>
    </row>
    <row r="5" spans="2:13" x14ac:dyDescent="0.35">
      <c r="B5" s="9">
        <v>705</v>
      </c>
      <c r="C5" s="7"/>
      <c r="D5" s="7" t="s">
        <v>71</v>
      </c>
      <c r="E5" s="7" t="s">
        <v>72</v>
      </c>
      <c r="F5" s="7" t="s">
        <v>73</v>
      </c>
      <c r="G5" s="7"/>
      <c r="H5" s="7" t="s">
        <v>71</v>
      </c>
      <c r="I5" s="7" t="s">
        <v>72</v>
      </c>
      <c r="J5" s="7" t="s">
        <v>73</v>
      </c>
      <c r="K5" s="7" t="s">
        <v>71</v>
      </c>
      <c r="L5" s="7" t="s">
        <v>72</v>
      </c>
      <c r="M5" s="7" t="s">
        <v>73</v>
      </c>
    </row>
    <row r="6" spans="2:13" x14ac:dyDescent="0.35">
      <c r="C6" s="6" t="s">
        <v>74</v>
      </c>
      <c r="D6" s="6">
        <v>2.9</v>
      </c>
      <c r="E6" s="6">
        <v>5</v>
      </c>
      <c r="F6" s="6">
        <f>D6*E6</f>
        <v>14.5</v>
      </c>
      <c r="G6" s="6" t="s">
        <v>89</v>
      </c>
      <c r="H6" s="6">
        <v>1.2</v>
      </c>
      <c r="I6" s="6">
        <v>2.15</v>
      </c>
      <c r="J6" s="6">
        <f>H6*I6</f>
        <v>2.5799999999999996</v>
      </c>
      <c r="K6" s="6">
        <v>1.65</v>
      </c>
      <c r="L6" s="6">
        <v>2.9</v>
      </c>
      <c r="M6" s="6">
        <f>K6*L6</f>
        <v>4.7849999999999993</v>
      </c>
    </row>
    <row r="7" spans="2:13" x14ac:dyDescent="0.35">
      <c r="C7" s="6"/>
      <c r="D7" s="6"/>
      <c r="E7" s="6"/>
      <c r="F7" s="6">
        <f t="shared" ref="F7:F33" si="0">D7*E7</f>
        <v>0</v>
      </c>
      <c r="G7" s="6" t="s">
        <v>90</v>
      </c>
      <c r="H7" s="6"/>
      <c r="I7" s="6"/>
      <c r="J7" s="6">
        <f t="shared" ref="J7:J29" si="1">H7*I7</f>
        <v>0</v>
      </c>
      <c r="K7" s="6"/>
      <c r="L7" s="6"/>
      <c r="M7" s="6">
        <f t="shared" ref="M7:M29" si="2">K7*L7</f>
        <v>0</v>
      </c>
    </row>
    <row r="8" spans="2:13" x14ac:dyDescent="0.35">
      <c r="C8" s="6"/>
      <c r="D8" s="6"/>
      <c r="E8" s="6"/>
      <c r="F8" s="6">
        <f t="shared" si="0"/>
        <v>0</v>
      </c>
      <c r="G8" s="6"/>
      <c r="H8" s="6"/>
      <c r="I8" s="6"/>
      <c r="J8" s="6">
        <f t="shared" si="1"/>
        <v>0</v>
      </c>
      <c r="K8" s="6"/>
      <c r="L8" s="6"/>
      <c r="M8" s="6">
        <f t="shared" si="2"/>
        <v>0</v>
      </c>
    </row>
    <row r="9" spans="2:13" x14ac:dyDescent="0.35">
      <c r="C9" s="6" t="s">
        <v>77</v>
      </c>
      <c r="D9" s="6">
        <v>2.5499999999999998</v>
      </c>
      <c r="E9" s="6">
        <v>2.15</v>
      </c>
      <c r="F9" s="6">
        <f t="shared" si="0"/>
        <v>5.482499999999999</v>
      </c>
      <c r="G9" s="6" t="s">
        <v>89</v>
      </c>
      <c r="H9" s="6"/>
      <c r="I9" s="6"/>
      <c r="J9" s="6">
        <f t="shared" si="1"/>
        <v>0</v>
      </c>
      <c r="K9" s="6"/>
      <c r="L9" s="6"/>
      <c r="M9" s="6">
        <f t="shared" si="2"/>
        <v>0</v>
      </c>
    </row>
    <row r="10" spans="2:13" x14ac:dyDescent="0.35">
      <c r="C10" s="6"/>
      <c r="D10" s="6">
        <v>1.2</v>
      </c>
      <c r="E10" s="6">
        <v>0.65</v>
      </c>
      <c r="F10" s="6">
        <f t="shared" si="0"/>
        <v>0.78</v>
      </c>
      <c r="G10" s="6" t="s">
        <v>90</v>
      </c>
      <c r="H10" s="6"/>
      <c r="I10" s="6"/>
      <c r="J10" s="6">
        <f t="shared" si="1"/>
        <v>0</v>
      </c>
      <c r="K10" s="6"/>
      <c r="L10" s="6"/>
      <c r="M10" s="6">
        <f t="shared" si="2"/>
        <v>0</v>
      </c>
    </row>
    <row r="11" spans="2:13" x14ac:dyDescent="0.35">
      <c r="C11" s="6"/>
      <c r="D11" s="6"/>
      <c r="E11" s="6"/>
      <c r="F11" s="6">
        <f t="shared" si="0"/>
        <v>0</v>
      </c>
      <c r="G11" s="6"/>
      <c r="H11" s="6"/>
      <c r="I11" s="6"/>
      <c r="J11" s="6">
        <f t="shared" si="1"/>
        <v>0</v>
      </c>
      <c r="K11" s="6"/>
      <c r="L11" s="6"/>
      <c r="M11" s="6">
        <f t="shared" si="2"/>
        <v>0</v>
      </c>
    </row>
    <row r="12" spans="2:13" x14ac:dyDescent="0.35">
      <c r="C12" s="6"/>
      <c r="D12" s="6"/>
      <c r="E12" s="6"/>
      <c r="F12" s="6">
        <f t="shared" si="0"/>
        <v>0</v>
      </c>
      <c r="G12" s="6"/>
      <c r="H12" s="6"/>
      <c r="I12" s="6"/>
      <c r="J12" s="6">
        <f t="shared" si="1"/>
        <v>0</v>
      </c>
      <c r="K12" s="6"/>
      <c r="L12" s="6"/>
      <c r="M12" s="6">
        <f t="shared" si="2"/>
        <v>0</v>
      </c>
    </row>
    <row r="13" spans="2:13" x14ac:dyDescent="0.35">
      <c r="C13" s="6" t="s">
        <v>75</v>
      </c>
      <c r="D13" s="6"/>
      <c r="E13" s="6"/>
      <c r="F13" s="6">
        <f t="shared" si="0"/>
        <v>0</v>
      </c>
      <c r="G13" s="6" t="s">
        <v>89</v>
      </c>
      <c r="H13" s="6"/>
      <c r="I13" s="6"/>
      <c r="J13" s="6">
        <f t="shared" si="1"/>
        <v>0</v>
      </c>
      <c r="K13" s="6"/>
      <c r="L13" s="6"/>
      <c r="M13" s="6">
        <f t="shared" si="2"/>
        <v>0</v>
      </c>
    </row>
    <row r="14" spans="2:13" x14ac:dyDescent="0.35">
      <c r="C14" s="6"/>
      <c r="D14" s="6"/>
      <c r="E14" s="6"/>
      <c r="F14" s="6">
        <f t="shared" si="0"/>
        <v>0</v>
      </c>
      <c r="G14" s="6" t="s">
        <v>90</v>
      </c>
      <c r="H14" s="6"/>
      <c r="I14" s="6"/>
      <c r="J14" s="6">
        <f t="shared" si="1"/>
        <v>0</v>
      </c>
      <c r="K14" s="6"/>
      <c r="L14" s="6"/>
      <c r="M14" s="6">
        <f t="shared" si="2"/>
        <v>0</v>
      </c>
    </row>
    <row r="15" spans="2:13" x14ac:dyDescent="0.35">
      <c r="C15" s="6"/>
      <c r="D15" s="6"/>
      <c r="E15" s="6"/>
      <c r="F15" s="6">
        <f t="shared" si="0"/>
        <v>0</v>
      </c>
      <c r="G15" s="6"/>
      <c r="H15" s="6"/>
      <c r="I15" s="6"/>
      <c r="J15" s="6">
        <f t="shared" si="1"/>
        <v>0</v>
      </c>
      <c r="K15" s="6"/>
      <c r="L15" s="6"/>
      <c r="M15" s="6">
        <f t="shared" si="2"/>
        <v>0</v>
      </c>
    </row>
    <row r="16" spans="2:13" x14ac:dyDescent="0.35">
      <c r="C16" s="6"/>
      <c r="D16" s="6"/>
      <c r="E16" s="6"/>
      <c r="F16" s="6">
        <f t="shared" si="0"/>
        <v>0</v>
      </c>
      <c r="G16" s="6"/>
      <c r="H16" s="6"/>
      <c r="I16" s="6"/>
      <c r="J16" s="6">
        <f t="shared" si="1"/>
        <v>0</v>
      </c>
      <c r="K16" s="6"/>
      <c r="L16" s="6"/>
      <c r="M16" s="6">
        <f t="shared" si="2"/>
        <v>0</v>
      </c>
    </row>
    <row r="17" spans="3:13" x14ac:dyDescent="0.35">
      <c r="C17" s="6" t="s">
        <v>76</v>
      </c>
      <c r="D17" s="6"/>
      <c r="E17" s="6"/>
      <c r="F17" s="6">
        <f t="shared" si="0"/>
        <v>0</v>
      </c>
      <c r="G17" s="6" t="s">
        <v>89</v>
      </c>
      <c r="H17" s="6"/>
      <c r="I17" s="6"/>
      <c r="J17" s="6">
        <f t="shared" si="1"/>
        <v>0</v>
      </c>
      <c r="K17" s="6"/>
      <c r="L17" s="6"/>
      <c r="M17" s="6">
        <f t="shared" si="2"/>
        <v>0</v>
      </c>
    </row>
    <row r="18" spans="3:13" x14ac:dyDescent="0.35">
      <c r="C18" s="6"/>
      <c r="D18" s="6"/>
      <c r="E18" s="6"/>
      <c r="F18" s="6">
        <f t="shared" si="0"/>
        <v>0</v>
      </c>
      <c r="G18" s="6" t="s">
        <v>90</v>
      </c>
      <c r="H18" s="6"/>
      <c r="I18" s="6"/>
      <c r="J18" s="6">
        <f t="shared" si="1"/>
        <v>0</v>
      </c>
      <c r="K18" s="6"/>
      <c r="L18" s="6"/>
      <c r="M18" s="6">
        <f t="shared" si="2"/>
        <v>0</v>
      </c>
    </row>
    <row r="19" spans="3:13" x14ac:dyDescent="0.35">
      <c r="C19" s="6"/>
      <c r="D19" s="6"/>
      <c r="E19" s="6"/>
      <c r="F19" s="6">
        <f t="shared" si="0"/>
        <v>0</v>
      </c>
      <c r="G19" s="6"/>
      <c r="H19" s="6"/>
      <c r="I19" s="6"/>
      <c r="J19" s="6">
        <f t="shared" si="1"/>
        <v>0</v>
      </c>
      <c r="K19" s="6"/>
      <c r="L19" s="6"/>
      <c r="M19" s="6">
        <f t="shared" si="2"/>
        <v>0</v>
      </c>
    </row>
    <row r="20" spans="3:13" x14ac:dyDescent="0.35">
      <c r="C20" s="6" t="s">
        <v>76</v>
      </c>
      <c r="D20" s="6"/>
      <c r="E20" s="6"/>
      <c r="F20" s="6">
        <f t="shared" si="0"/>
        <v>0</v>
      </c>
      <c r="G20" s="6" t="s">
        <v>89</v>
      </c>
      <c r="H20" s="6"/>
      <c r="I20" s="6"/>
      <c r="J20" s="6">
        <f t="shared" si="1"/>
        <v>0</v>
      </c>
      <c r="K20" s="6"/>
      <c r="L20" s="6"/>
      <c r="M20" s="6">
        <f t="shared" si="2"/>
        <v>0</v>
      </c>
    </row>
    <row r="21" spans="3:13" x14ac:dyDescent="0.35">
      <c r="C21" s="6"/>
      <c r="D21" s="6"/>
      <c r="E21" s="6"/>
      <c r="F21" s="6">
        <f t="shared" si="0"/>
        <v>0</v>
      </c>
      <c r="G21" s="6" t="s">
        <v>90</v>
      </c>
      <c r="H21" s="6"/>
      <c r="I21" s="6"/>
      <c r="J21" s="6">
        <f t="shared" si="1"/>
        <v>0</v>
      </c>
      <c r="K21" s="6"/>
      <c r="L21" s="6"/>
      <c r="M21" s="6">
        <f t="shared" si="2"/>
        <v>0</v>
      </c>
    </row>
    <row r="22" spans="3:13" x14ac:dyDescent="0.35">
      <c r="C22" s="6"/>
      <c r="D22" s="6"/>
      <c r="E22" s="6"/>
      <c r="F22" s="6">
        <f t="shared" si="0"/>
        <v>0</v>
      </c>
      <c r="G22" s="6"/>
      <c r="H22" s="6"/>
      <c r="I22" s="6"/>
      <c r="J22" s="6">
        <f t="shared" si="1"/>
        <v>0</v>
      </c>
      <c r="K22" s="6"/>
      <c r="L22" s="6"/>
      <c r="M22" s="6">
        <f t="shared" si="2"/>
        <v>0</v>
      </c>
    </row>
    <row r="23" spans="3:13" x14ac:dyDescent="0.35">
      <c r="C23" s="6" t="s">
        <v>82</v>
      </c>
      <c r="D23" s="6">
        <v>1.2</v>
      </c>
      <c r="E23" s="6">
        <v>2.0499999999999998</v>
      </c>
      <c r="F23" s="6">
        <f t="shared" si="0"/>
        <v>2.4599999999999995</v>
      </c>
      <c r="G23" s="6" t="s">
        <v>91</v>
      </c>
      <c r="H23" s="6"/>
      <c r="I23" s="6"/>
      <c r="J23" s="6">
        <f t="shared" si="1"/>
        <v>0</v>
      </c>
      <c r="K23" s="6"/>
      <c r="L23" s="6"/>
      <c r="M23" s="6">
        <f t="shared" si="2"/>
        <v>0</v>
      </c>
    </row>
    <row r="24" spans="3:13" x14ac:dyDescent="0.35">
      <c r="C24" s="6" t="s">
        <v>83</v>
      </c>
      <c r="D24" s="6"/>
      <c r="E24" s="6"/>
      <c r="F24" s="6">
        <f t="shared" si="0"/>
        <v>0</v>
      </c>
      <c r="G24" s="6" t="s">
        <v>91</v>
      </c>
      <c r="H24" s="6"/>
      <c r="I24" s="6"/>
      <c r="J24" s="6">
        <f t="shared" si="1"/>
        <v>0</v>
      </c>
      <c r="K24" s="6"/>
      <c r="L24" s="6"/>
      <c r="M24" s="6">
        <f t="shared" si="2"/>
        <v>0</v>
      </c>
    </row>
    <row r="25" spans="3:13" x14ac:dyDescent="0.35">
      <c r="C25" s="6" t="s">
        <v>84</v>
      </c>
      <c r="D25" s="6"/>
      <c r="E25" s="6"/>
      <c r="F25" s="6">
        <f t="shared" si="0"/>
        <v>0</v>
      </c>
      <c r="G25" s="6" t="s">
        <v>91</v>
      </c>
      <c r="H25" s="6"/>
      <c r="I25" s="6"/>
      <c r="J25" s="6">
        <f t="shared" si="1"/>
        <v>0</v>
      </c>
      <c r="K25" s="6"/>
      <c r="L25" s="6"/>
      <c r="M25" s="6">
        <f t="shared" si="2"/>
        <v>0</v>
      </c>
    </row>
    <row r="26" spans="3:13" x14ac:dyDescent="0.35">
      <c r="C26" s="6"/>
      <c r="D26" s="6"/>
      <c r="E26" s="6"/>
      <c r="F26" s="6">
        <f t="shared" si="0"/>
        <v>0</v>
      </c>
      <c r="G26" s="6"/>
      <c r="H26" s="6"/>
      <c r="I26" s="6"/>
      <c r="J26" s="6">
        <f t="shared" si="1"/>
        <v>0</v>
      </c>
      <c r="K26" s="6"/>
      <c r="L26" s="6"/>
      <c r="M26" s="6">
        <f t="shared" si="2"/>
        <v>0</v>
      </c>
    </row>
    <row r="27" spans="3:13" x14ac:dyDescent="0.35">
      <c r="C27" s="6" t="s">
        <v>78</v>
      </c>
      <c r="D27" s="6"/>
      <c r="E27" s="6"/>
      <c r="F27" s="6">
        <f t="shared" si="0"/>
        <v>0</v>
      </c>
      <c r="G27" s="6"/>
      <c r="H27" s="6"/>
      <c r="I27" s="6"/>
      <c r="J27" s="6">
        <f t="shared" si="1"/>
        <v>0</v>
      </c>
      <c r="K27" s="6"/>
      <c r="L27" s="6"/>
      <c r="M27" s="6">
        <f t="shared" si="2"/>
        <v>0</v>
      </c>
    </row>
    <row r="28" spans="3:13" x14ac:dyDescent="0.35">
      <c r="C28" s="6" t="s">
        <v>79</v>
      </c>
      <c r="D28" s="6"/>
      <c r="E28" s="6"/>
      <c r="F28" s="6">
        <f t="shared" si="0"/>
        <v>0</v>
      </c>
      <c r="G28" s="6"/>
      <c r="H28" s="6"/>
      <c r="I28" s="6"/>
      <c r="J28" s="6">
        <f t="shared" si="1"/>
        <v>0</v>
      </c>
      <c r="K28" s="6"/>
      <c r="L28" s="6"/>
      <c r="M28" s="6">
        <f t="shared" si="2"/>
        <v>0</v>
      </c>
    </row>
    <row r="29" spans="3:13" x14ac:dyDescent="0.35">
      <c r="C29" s="6" t="s">
        <v>80</v>
      </c>
      <c r="D29" s="6"/>
      <c r="E29" s="6"/>
      <c r="F29" s="6">
        <f t="shared" si="0"/>
        <v>0</v>
      </c>
      <c r="G29" s="6"/>
      <c r="H29" s="6"/>
      <c r="I29" s="6"/>
      <c r="J29" s="6">
        <f t="shared" si="1"/>
        <v>0</v>
      </c>
      <c r="K29" s="6"/>
      <c r="L29" s="6"/>
      <c r="M29" s="6">
        <f t="shared" si="2"/>
        <v>0</v>
      </c>
    </row>
    <row r="30" spans="3:13" x14ac:dyDescent="0.35">
      <c r="C30" s="6" t="s">
        <v>81</v>
      </c>
      <c r="D30" s="6"/>
      <c r="E30" s="6"/>
      <c r="F30" s="6">
        <f t="shared" si="0"/>
        <v>0</v>
      </c>
      <c r="G30" s="6"/>
      <c r="H30" s="6"/>
      <c r="I30" s="6"/>
      <c r="J30" s="6">
        <f>H30*I30</f>
        <v>0</v>
      </c>
      <c r="K30" s="6"/>
      <c r="L30" s="6"/>
      <c r="M30" s="6">
        <f>K30*L30</f>
        <v>0</v>
      </c>
    </row>
    <row r="31" spans="3:13" x14ac:dyDescent="0.35">
      <c r="C31" s="6"/>
      <c r="D31" s="6"/>
      <c r="E31" s="6"/>
      <c r="F31" s="6">
        <f t="shared" si="0"/>
        <v>0</v>
      </c>
      <c r="G31" s="6"/>
      <c r="H31" s="6"/>
      <c r="I31" s="6"/>
      <c r="J31" s="6">
        <f>H31*I31</f>
        <v>0</v>
      </c>
      <c r="K31" s="6"/>
      <c r="L31" s="6"/>
      <c r="M31" s="6">
        <f>K31*L31</f>
        <v>0</v>
      </c>
    </row>
    <row r="32" spans="3:13" x14ac:dyDescent="0.35">
      <c r="C32" s="6"/>
      <c r="D32" s="6"/>
      <c r="E32" s="6"/>
      <c r="F32" s="6">
        <f t="shared" si="0"/>
        <v>0</v>
      </c>
      <c r="G32" s="6"/>
      <c r="H32" s="6"/>
      <c r="I32" s="6"/>
      <c r="J32" s="6">
        <f>H32*I32</f>
        <v>0</v>
      </c>
      <c r="K32" s="6"/>
      <c r="L32" s="6"/>
      <c r="M32" s="6">
        <f>K32*L32</f>
        <v>0</v>
      </c>
    </row>
    <row r="33" spans="3:13" x14ac:dyDescent="0.35">
      <c r="C33" s="6"/>
      <c r="D33" s="6"/>
      <c r="E33" s="6"/>
      <c r="F33" s="6">
        <f t="shared" si="0"/>
        <v>0</v>
      </c>
      <c r="G33" s="6"/>
      <c r="H33" s="6"/>
      <c r="I33" s="6"/>
      <c r="J33" s="6">
        <f>H33*I33</f>
        <v>0</v>
      </c>
      <c r="K33" s="6"/>
      <c r="L33" s="6"/>
      <c r="M33" s="6">
        <f>K33*L33</f>
        <v>0</v>
      </c>
    </row>
    <row r="34" spans="3:13" x14ac:dyDescent="0.35">
      <c r="C34" s="6" t="s">
        <v>85</v>
      </c>
      <c r="D34" s="6"/>
      <c r="E34" s="6">
        <f>F34*10.764</f>
        <v>249.96698999999998</v>
      </c>
      <c r="F34" s="6">
        <f>SUM(F6:F33)</f>
        <v>23.2225</v>
      </c>
      <c r="G34" s="6"/>
      <c r="H34" s="6"/>
      <c r="I34" s="6">
        <f>J34*10.764</f>
        <v>27.771119999999993</v>
      </c>
      <c r="J34" s="6">
        <f>SUM(J6:J33)</f>
        <v>2.5799999999999996</v>
      </c>
      <c r="K34" s="6"/>
      <c r="L34" s="6">
        <f>M34*10.764</f>
        <v>51.505739999999989</v>
      </c>
      <c r="M34" s="6">
        <f>SUM(M6:M33)</f>
        <v>4.7849999999999993</v>
      </c>
    </row>
    <row r="36" spans="3:13" x14ac:dyDescent="0.35">
      <c r="F36">
        <f>E34+I34</f>
        <v>277.73810999999995</v>
      </c>
    </row>
  </sheetData>
  <mergeCells count="4">
    <mergeCell ref="D2:E2"/>
    <mergeCell ref="D4:F4"/>
    <mergeCell ref="H4:J4"/>
    <mergeCell ref="K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6"/>
  <sheetViews>
    <sheetView topLeftCell="C22" workbookViewId="0">
      <selection activeCell="H38" sqref="H38"/>
    </sheetView>
  </sheetViews>
  <sheetFormatPr defaultRowHeight="14.5" x14ac:dyDescent="0.35"/>
  <sheetData>
    <row r="2" spans="2:13" x14ac:dyDescent="0.35">
      <c r="C2" s="9" t="s">
        <v>86</v>
      </c>
      <c r="D2" s="258"/>
      <c r="E2" s="258"/>
    </row>
    <row r="3" spans="2:13" x14ac:dyDescent="0.35">
      <c r="E3" s="8"/>
      <c r="F3" s="8"/>
      <c r="G3" s="8"/>
      <c r="H3" s="8"/>
      <c r="I3" s="8"/>
      <c r="J3" s="8"/>
    </row>
    <row r="4" spans="2:13" x14ac:dyDescent="0.35">
      <c r="B4" s="9" t="s">
        <v>87</v>
      </c>
      <c r="C4" s="7" t="s">
        <v>67</v>
      </c>
      <c r="D4" s="259" t="s">
        <v>68</v>
      </c>
      <c r="E4" s="259"/>
      <c r="F4" s="259"/>
      <c r="G4" s="10"/>
      <c r="H4" s="259" t="s">
        <v>69</v>
      </c>
      <c r="I4" s="259"/>
      <c r="J4" s="259"/>
      <c r="K4" s="259" t="s">
        <v>70</v>
      </c>
      <c r="L4" s="259"/>
      <c r="M4" s="259"/>
    </row>
    <row r="5" spans="2:13" x14ac:dyDescent="0.35">
      <c r="B5" s="9">
        <v>705</v>
      </c>
      <c r="C5" s="7"/>
      <c r="D5" s="7" t="s">
        <v>71</v>
      </c>
      <c r="E5" s="7" t="s">
        <v>72</v>
      </c>
      <c r="F5" s="7" t="s">
        <v>73</v>
      </c>
      <c r="G5" s="7"/>
      <c r="H5" s="7" t="s">
        <v>71</v>
      </c>
      <c r="I5" s="7" t="s">
        <v>72</v>
      </c>
      <c r="J5" s="7" t="s">
        <v>73</v>
      </c>
      <c r="K5" s="7" t="s">
        <v>71</v>
      </c>
      <c r="L5" s="7" t="s">
        <v>72</v>
      </c>
      <c r="M5" s="7" t="s">
        <v>73</v>
      </c>
    </row>
    <row r="6" spans="2:13" x14ac:dyDescent="0.35">
      <c r="C6" s="6" t="s">
        <v>74</v>
      </c>
      <c r="D6" s="6">
        <v>2.9</v>
      </c>
      <c r="E6" s="6">
        <v>5</v>
      </c>
      <c r="F6" s="6">
        <f>D6*E6</f>
        <v>14.5</v>
      </c>
      <c r="G6" s="6" t="s">
        <v>89</v>
      </c>
      <c r="H6" s="6">
        <v>1.2</v>
      </c>
      <c r="I6" s="6">
        <v>2.15</v>
      </c>
      <c r="J6" s="6">
        <f>H6*I6</f>
        <v>2.5799999999999996</v>
      </c>
      <c r="K6" s="6">
        <v>1.65</v>
      </c>
      <c r="L6" s="6">
        <v>2.9</v>
      </c>
      <c r="M6" s="6">
        <f>K6*L6</f>
        <v>4.7849999999999993</v>
      </c>
    </row>
    <row r="7" spans="2:13" x14ac:dyDescent="0.35">
      <c r="C7" s="6"/>
      <c r="D7" s="6"/>
      <c r="E7" s="6"/>
      <c r="F7" s="6">
        <f t="shared" ref="F7:F33" si="0">D7*E7</f>
        <v>0</v>
      </c>
      <c r="G7" s="6" t="s">
        <v>90</v>
      </c>
      <c r="H7" s="6"/>
      <c r="I7" s="6"/>
      <c r="J7" s="6">
        <f t="shared" ref="J7:J29" si="1">H7*I7</f>
        <v>0</v>
      </c>
      <c r="K7" s="6"/>
      <c r="L7" s="6"/>
      <c r="M7" s="6">
        <f t="shared" ref="M7:M29" si="2">K7*L7</f>
        <v>0</v>
      </c>
    </row>
    <row r="8" spans="2:13" x14ac:dyDescent="0.35">
      <c r="C8" s="6"/>
      <c r="D8" s="6"/>
      <c r="E8" s="6"/>
      <c r="F8" s="6">
        <f t="shared" si="0"/>
        <v>0</v>
      </c>
      <c r="G8" s="6"/>
      <c r="H8" s="6"/>
      <c r="I8" s="6"/>
      <c r="J8" s="6">
        <f t="shared" si="1"/>
        <v>0</v>
      </c>
      <c r="K8" s="6"/>
      <c r="L8" s="6"/>
      <c r="M8" s="6">
        <f t="shared" si="2"/>
        <v>0</v>
      </c>
    </row>
    <row r="9" spans="2:13" x14ac:dyDescent="0.35">
      <c r="C9" s="6" t="s">
        <v>77</v>
      </c>
      <c r="D9" s="6">
        <v>2.5499999999999998</v>
      </c>
      <c r="E9" s="6">
        <v>2.15</v>
      </c>
      <c r="F9" s="6">
        <f t="shared" si="0"/>
        <v>5.482499999999999</v>
      </c>
      <c r="G9" s="6" t="s">
        <v>89</v>
      </c>
      <c r="H9" s="6"/>
      <c r="I9" s="6"/>
      <c r="J9" s="6">
        <f t="shared" si="1"/>
        <v>0</v>
      </c>
      <c r="K9" s="6"/>
      <c r="L9" s="6"/>
      <c r="M9" s="6">
        <f t="shared" si="2"/>
        <v>0</v>
      </c>
    </row>
    <row r="10" spans="2:13" x14ac:dyDescent="0.35">
      <c r="C10" s="6"/>
      <c r="D10" s="6">
        <v>1.2</v>
      </c>
      <c r="E10" s="6">
        <v>0.65</v>
      </c>
      <c r="F10" s="6">
        <f t="shared" si="0"/>
        <v>0.78</v>
      </c>
      <c r="G10" s="6" t="s">
        <v>90</v>
      </c>
      <c r="H10" s="6"/>
      <c r="I10" s="6"/>
      <c r="J10" s="6">
        <f t="shared" si="1"/>
        <v>0</v>
      </c>
      <c r="K10" s="6"/>
      <c r="L10" s="6"/>
      <c r="M10" s="6">
        <f t="shared" si="2"/>
        <v>0</v>
      </c>
    </row>
    <row r="11" spans="2:13" x14ac:dyDescent="0.35">
      <c r="C11" s="6"/>
      <c r="D11" s="6"/>
      <c r="E11" s="6"/>
      <c r="F11" s="6">
        <f t="shared" si="0"/>
        <v>0</v>
      </c>
      <c r="G11" s="6"/>
      <c r="H11" s="6"/>
      <c r="I11" s="6"/>
      <c r="J11" s="6">
        <f t="shared" si="1"/>
        <v>0</v>
      </c>
      <c r="K11" s="6"/>
      <c r="L11" s="6"/>
      <c r="M11" s="6">
        <f t="shared" si="2"/>
        <v>0</v>
      </c>
    </row>
    <row r="12" spans="2:13" x14ac:dyDescent="0.35">
      <c r="C12" s="6"/>
      <c r="D12" s="6"/>
      <c r="E12" s="6"/>
      <c r="F12" s="6">
        <f t="shared" si="0"/>
        <v>0</v>
      </c>
      <c r="G12" s="6"/>
      <c r="H12" s="6"/>
      <c r="I12" s="6"/>
      <c r="J12" s="6">
        <f t="shared" si="1"/>
        <v>0</v>
      </c>
      <c r="K12" s="6"/>
      <c r="L12" s="6"/>
      <c r="M12" s="6">
        <f t="shared" si="2"/>
        <v>0</v>
      </c>
    </row>
    <row r="13" spans="2:13" x14ac:dyDescent="0.35">
      <c r="C13" s="6" t="s">
        <v>75</v>
      </c>
      <c r="D13" s="6">
        <v>2.75</v>
      </c>
      <c r="E13" s="6">
        <v>3.05</v>
      </c>
      <c r="F13" s="6">
        <f t="shared" si="0"/>
        <v>8.3874999999999993</v>
      </c>
      <c r="G13" s="6" t="s">
        <v>89</v>
      </c>
      <c r="H13" s="6"/>
      <c r="I13" s="6"/>
      <c r="J13" s="6">
        <f t="shared" si="1"/>
        <v>0</v>
      </c>
      <c r="K13" s="6"/>
      <c r="L13" s="6"/>
      <c r="M13" s="6">
        <f t="shared" si="2"/>
        <v>0</v>
      </c>
    </row>
    <row r="14" spans="2:13" x14ac:dyDescent="0.35">
      <c r="C14" s="6"/>
      <c r="D14" s="6">
        <v>0.6</v>
      </c>
      <c r="E14" s="6">
        <v>2.5</v>
      </c>
      <c r="F14" s="6">
        <f t="shared" si="0"/>
        <v>1.5</v>
      </c>
      <c r="G14" s="6" t="s">
        <v>90</v>
      </c>
      <c r="H14" s="6"/>
      <c r="I14" s="6"/>
      <c r="J14" s="6">
        <f t="shared" si="1"/>
        <v>0</v>
      </c>
      <c r="K14" s="6"/>
      <c r="L14" s="6"/>
      <c r="M14" s="6">
        <f t="shared" si="2"/>
        <v>0</v>
      </c>
    </row>
    <row r="15" spans="2:13" x14ac:dyDescent="0.35">
      <c r="C15" s="6"/>
      <c r="D15" s="6"/>
      <c r="E15" s="6"/>
      <c r="F15" s="6">
        <f t="shared" si="0"/>
        <v>0</v>
      </c>
      <c r="G15" s="6"/>
      <c r="H15" s="6"/>
      <c r="I15" s="6"/>
      <c r="J15" s="6">
        <f t="shared" si="1"/>
        <v>0</v>
      </c>
      <c r="K15" s="6"/>
      <c r="L15" s="6"/>
      <c r="M15" s="6">
        <f t="shared" si="2"/>
        <v>0</v>
      </c>
    </row>
    <row r="16" spans="2:13" x14ac:dyDescent="0.35">
      <c r="C16" s="6"/>
      <c r="D16" s="6"/>
      <c r="E16" s="6"/>
      <c r="F16" s="6">
        <f t="shared" si="0"/>
        <v>0</v>
      </c>
      <c r="G16" s="6"/>
      <c r="H16" s="6"/>
      <c r="I16" s="6"/>
      <c r="J16" s="6">
        <f t="shared" si="1"/>
        <v>0</v>
      </c>
      <c r="K16" s="6"/>
      <c r="L16" s="6"/>
      <c r="M16" s="6">
        <f t="shared" si="2"/>
        <v>0</v>
      </c>
    </row>
    <row r="17" spans="3:13" x14ac:dyDescent="0.35">
      <c r="C17" s="6" t="s">
        <v>76</v>
      </c>
      <c r="D17" s="6"/>
      <c r="E17" s="6"/>
      <c r="F17" s="6">
        <f t="shared" si="0"/>
        <v>0</v>
      </c>
      <c r="G17" s="6" t="s">
        <v>89</v>
      </c>
      <c r="H17" s="6"/>
      <c r="I17" s="6"/>
      <c r="J17" s="6">
        <f t="shared" si="1"/>
        <v>0</v>
      </c>
      <c r="K17" s="6"/>
      <c r="L17" s="6"/>
      <c r="M17" s="6">
        <f t="shared" si="2"/>
        <v>0</v>
      </c>
    </row>
    <row r="18" spans="3:13" x14ac:dyDescent="0.35">
      <c r="C18" s="6"/>
      <c r="D18" s="6"/>
      <c r="E18" s="6"/>
      <c r="F18" s="6">
        <f t="shared" si="0"/>
        <v>0</v>
      </c>
      <c r="G18" s="6" t="s">
        <v>90</v>
      </c>
      <c r="H18" s="6"/>
      <c r="I18" s="6"/>
      <c r="J18" s="6">
        <f t="shared" si="1"/>
        <v>0</v>
      </c>
      <c r="K18" s="6"/>
      <c r="L18" s="6"/>
      <c r="M18" s="6">
        <f t="shared" si="2"/>
        <v>0</v>
      </c>
    </row>
    <row r="19" spans="3:13" x14ac:dyDescent="0.35">
      <c r="C19" s="6"/>
      <c r="D19" s="6"/>
      <c r="E19" s="6"/>
      <c r="F19" s="6">
        <f t="shared" si="0"/>
        <v>0</v>
      </c>
      <c r="G19" s="6"/>
      <c r="H19" s="6"/>
      <c r="I19" s="6"/>
      <c r="J19" s="6">
        <f t="shared" si="1"/>
        <v>0</v>
      </c>
      <c r="K19" s="6"/>
      <c r="L19" s="6"/>
      <c r="M19" s="6">
        <f t="shared" si="2"/>
        <v>0</v>
      </c>
    </row>
    <row r="20" spans="3:13" x14ac:dyDescent="0.35">
      <c r="C20" s="6" t="s">
        <v>76</v>
      </c>
      <c r="D20" s="6"/>
      <c r="E20" s="6"/>
      <c r="F20" s="6">
        <f t="shared" si="0"/>
        <v>0</v>
      </c>
      <c r="G20" s="6" t="s">
        <v>89</v>
      </c>
      <c r="H20" s="6"/>
      <c r="I20" s="6"/>
      <c r="J20" s="6">
        <f t="shared" si="1"/>
        <v>0</v>
      </c>
      <c r="K20" s="6"/>
      <c r="L20" s="6"/>
      <c r="M20" s="6">
        <f t="shared" si="2"/>
        <v>0</v>
      </c>
    </row>
    <row r="21" spans="3:13" x14ac:dyDescent="0.35">
      <c r="C21" s="6"/>
      <c r="D21" s="6"/>
      <c r="E21" s="6"/>
      <c r="F21" s="6">
        <f t="shared" si="0"/>
        <v>0</v>
      </c>
      <c r="G21" s="6" t="s">
        <v>90</v>
      </c>
      <c r="H21" s="6"/>
      <c r="I21" s="6"/>
      <c r="J21" s="6">
        <f t="shared" si="1"/>
        <v>0</v>
      </c>
      <c r="K21" s="6"/>
      <c r="L21" s="6"/>
      <c r="M21" s="6">
        <f t="shared" si="2"/>
        <v>0</v>
      </c>
    </row>
    <row r="22" spans="3:13" x14ac:dyDescent="0.35">
      <c r="C22" s="6"/>
      <c r="D22" s="6"/>
      <c r="E22" s="6"/>
      <c r="F22" s="6">
        <f t="shared" si="0"/>
        <v>0</v>
      </c>
      <c r="G22" s="6"/>
      <c r="H22" s="6"/>
      <c r="I22" s="6"/>
      <c r="J22" s="6">
        <f t="shared" si="1"/>
        <v>0</v>
      </c>
      <c r="K22" s="6"/>
      <c r="L22" s="6"/>
      <c r="M22" s="6">
        <f t="shared" si="2"/>
        <v>0</v>
      </c>
    </row>
    <row r="23" spans="3:13" x14ac:dyDescent="0.35">
      <c r="C23" s="6" t="s">
        <v>82</v>
      </c>
      <c r="D23" s="6">
        <v>1.2</v>
      </c>
      <c r="E23" s="6">
        <v>2.0499999999999998</v>
      </c>
      <c r="F23" s="6">
        <f t="shared" si="0"/>
        <v>2.4599999999999995</v>
      </c>
      <c r="G23" s="6" t="s">
        <v>91</v>
      </c>
      <c r="H23" s="6"/>
      <c r="I23" s="6"/>
      <c r="J23" s="6">
        <f t="shared" si="1"/>
        <v>0</v>
      </c>
      <c r="K23" s="6"/>
      <c r="L23" s="6"/>
      <c r="M23" s="6">
        <f t="shared" si="2"/>
        <v>0</v>
      </c>
    </row>
    <row r="24" spans="3:13" x14ac:dyDescent="0.35">
      <c r="C24" s="6" t="s">
        <v>83</v>
      </c>
      <c r="D24" s="6"/>
      <c r="E24" s="6"/>
      <c r="F24" s="6">
        <f t="shared" si="0"/>
        <v>0</v>
      </c>
      <c r="G24" s="6" t="s">
        <v>91</v>
      </c>
      <c r="H24" s="6"/>
      <c r="I24" s="6"/>
      <c r="J24" s="6">
        <f t="shared" si="1"/>
        <v>0</v>
      </c>
      <c r="K24" s="6"/>
      <c r="L24" s="6"/>
      <c r="M24" s="6">
        <f t="shared" si="2"/>
        <v>0</v>
      </c>
    </row>
    <row r="25" spans="3:13" x14ac:dyDescent="0.35">
      <c r="C25" s="6" t="s">
        <v>84</v>
      </c>
      <c r="D25" s="6"/>
      <c r="E25" s="6"/>
      <c r="F25" s="6">
        <f t="shared" si="0"/>
        <v>0</v>
      </c>
      <c r="G25" s="6" t="s">
        <v>91</v>
      </c>
      <c r="H25" s="6"/>
      <c r="I25" s="6"/>
      <c r="J25" s="6">
        <f t="shared" si="1"/>
        <v>0</v>
      </c>
      <c r="K25" s="6"/>
      <c r="L25" s="6"/>
      <c r="M25" s="6">
        <f t="shared" si="2"/>
        <v>0</v>
      </c>
    </row>
    <row r="26" spans="3:13" x14ac:dyDescent="0.35">
      <c r="C26" s="6"/>
      <c r="D26" s="6"/>
      <c r="E26" s="6"/>
      <c r="F26" s="6">
        <f t="shared" si="0"/>
        <v>0</v>
      </c>
      <c r="G26" s="6"/>
      <c r="H26" s="6"/>
      <c r="I26" s="6"/>
      <c r="J26" s="6">
        <f t="shared" si="1"/>
        <v>0</v>
      </c>
      <c r="K26" s="6"/>
      <c r="L26" s="6"/>
      <c r="M26" s="6">
        <f t="shared" si="2"/>
        <v>0</v>
      </c>
    </row>
    <row r="27" spans="3:13" x14ac:dyDescent="0.35">
      <c r="C27" s="6" t="s">
        <v>78</v>
      </c>
      <c r="D27" s="6"/>
      <c r="E27" s="6"/>
      <c r="F27" s="6">
        <f t="shared" si="0"/>
        <v>0</v>
      </c>
      <c r="G27" s="6"/>
      <c r="H27" s="6"/>
      <c r="I27" s="6"/>
      <c r="J27" s="6">
        <f t="shared" si="1"/>
        <v>0</v>
      </c>
      <c r="K27" s="6"/>
      <c r="L27" s="6"/>
      <c r="M27" s="6">
        <f t="shared" si="2"/>
        <v>0</v>
      </c>
    </row>
    <row r="28" spans="3:13" x14ac:dyDescent="0.35">
      <c r="C28" s="6" t="s">
        <v>79</v>
      </c>
      <c r="D28" s="6"/>
      <c r="E28" s="6"/>
      <c r="F28" s="6">
        <f t="shared" si="0"/>
        <v>0</v>
      </c>
      <c r="G28" s="6"/>
      <c r="H28" s="6"/>
      <c r="I28" s="6"/>
      <c r="J28" s="6">
        <f t="shared" si="1"/>
        <v>0</v>
      </c>
      <c r="K28" s="6"/>
      <c r="L28" s="6"/>
      <c r="M28" s="6">
        <f t="shared" si="2"/>
        <v>0</v>
      </c>
    </row>
    <row r="29" spans="3:13" x14ac:dyDescent="0.35">
      <c r="C29" s="6" t="s">
        <v>80</v>
      </c>
      <c r="D29" s="6"/>
      <c r="E29" s="6"/>
      <c r="F29" s="6">
        <f t="shared" si="0"/>
        <v>0</v>
      </c>
      <c r="G29" s="6"/>
      <c r="H29" s="6"/>
      <c r="I29" s="6"/>
      <c r="J29" s="6">
        <f t="shared" si="1"/>
        <v>0</v>
      </c>
      <c r="K29" s="6"/>
      <c r="L29" s="6"/>
      <c r="M29" s="6">
        <f t="shared" si="2"/>
        <v>0</v>
      </c>
    </row>
    <row r="30" spans="3:13" x14ac:dyDescent="0.35">
      <c r="C30" s="6" t="s">
        <v>81</v>
      </c>
      <c r="D30" s="6"/>
      <c r="E30" s="6"/>
      <c r="F30" s="6">
        <f t="shared" si="0"/>
        <v>0</v>
      </c>
      <c r="G30" s="6"/>
      <c r="H30" s="6"/>
      <c r="I30" s="6"/>
      <c r="J30" s="6">
        <f>H30*I30</f>
        <v>0</v>
      </c>
      <c r="K30" s="6"/>
      <c r="L30" s="6"/>
      <c r="M30" s="6">
        <f>K30*L30</f>
        <v>0</v>
      </c>
    </row>
    <row r="31" spans="3:13" x14ac:dyDescent="0.35">
      <c r="C31" s="6"/>
      <c r="D31" s="6"/>
      <c r="E31" s="6"/>
      <c r="F31" s="6">
        <f t="shared" si="0"/>
        <v>0</v>
      </c>
      <c r="G31" s="6"/>
      <c r="H31" s="6"/>
      <c r="I31" s="6"/>
      <c r="J31" s="6">
        <f>H31*I31</f>
        <v>0</v>
      </c>
      <c r="K31" s="6"/>
      <c r="L31" s="6"/>
      <c r="M31" s="6">
        <f>K31*L31</f>
        <v>0</v>
      </c>
    </row>
    <row r="32" spans="3:13" x14ac:dyDescent="0.35">
      <c r="C32" s="6"/>
      <c r="D32" s="6"/>
      <c r="E32" s="6"/>
      <c r="F32" s="6">
        <f t="shared" si="0"/>
        <v>0</v>
      </c>
      <c r="G32" s="6"/>
      <c r="H32" s="6"/>
      <c r="I32" s="6"/>
      <c r="J32" s="6">
        <f>H32*I32</f>
        <v>0</v>
      </c>
      <c r="K32" s="6"/>
      <c r="L32" s="6"/>
      <c r="M32" s="6">
        <f>K32*L32</f>
        <v>0</v>
      </c>
    </row>
    <row r="33" spans="3:13" x14ac:dyDescent="0.35">
      <c r="C33" s="6"/>
      <c r="D33" s="6"/>
      <c r="E33" s="6"/>
      <c r="F33" s="6">
        <f t="shared" si="0"/>
        <v>0</v>
      </c>
      <c r="G33" s="6"/>
      <c r="H33" s="6"/>
      <c r="I33" s="6"/>
      <c r="J33" s="6">
        <f>H33*I33</f>
        <v>0</v>
      </c>
      <c r="K33" s="6"/>
      <c r="L33" s="6"/>
      <c r="M33" s="6">
        <f>K33*L33</f>
        <v>0</v>
      </c>
    </row>
    <row r="34" spans="3:13" x14ac:dyDescent="0.35">
      <c r="C34" s="6" t="s">
        <v>85</v>
      </c>
      <c r="D34" s="6"/>
      <c r="E34" s="6">
        <f>F34*10.764</f>
        <v>356.39603999999997</v>
      </c>
      <c r="F34" s="6">
        <f>SUM(F6:F33)</f>
        <v>33.11</v>
      </c>
      <c r="G34" s="6"/>
      <c r="H34" s="6"/>
      <c r="I34" s="6">
        <f>J34*10.764</f>
        <v>27.771119999999993</v>
      </c>
      <c r="J34" s="6">
        <f>SUM(J6:J33)</f>
        <v>2.5799999999999996</v>
      </c>
      <c r="K34" s="6"/>
      <c r="L34" s="6">
        <f>M34*10.764</f>
        <v>51.505739999999989</v>
      </c>
      <c r="M34" s="6">
        <f>SUM(M6:M33)</f>
        <v>4.7849999999999993</v>
      </c>
    </row>
    <row r="36" spans="3:13" x14ac:dyDescent="0.35">
      <c r="F36">
        <f>E34+I34</f>
        <v>384.16715999999997</v>
      </c>
    </row>
  </sheetData>
  <mergeCells count="4">
    <mergeCell ref="D2:E2"/>
    <mergeCell ref="D4:F4"/>
    <mergeCell ref="H4:J4"/>
    <mergeCell ref="K4: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6"/>
  <sheetViews>
    <sheetView topLeftCell="C28" workbookViewId="0">
      <selection activeCell="G41" sqref="G41"/>
    </sheetView>
  </sheetViews>
  <sheetFormatPr defaultRowHeight="14.5" x14ac:dyDescent="0.35"/>
  <sheetData>
    <row r="2" spans="2:13" x14ac:dyDescent="0.35">
      <c r="C2" s="9" t="s">
        <v>86</v>
      </c>
      <c r="D2" s="258"/>
      <c r="E2" s="258"/>
    </row>
    <row r="3" spans="2:13" x14ac:dyDescent="0.35">
      <c r="E3" s="8"/>
      <c r="F3" s="8"/>
      <c r="G3" s="8"/>
      <c r="H3" s="8"/>
      <c r="I3" s="8"/>
      <c r="J3" s="8"/>
    </row>
    <row r="4" spans="2:13" x14ac:dyDescent="0.35">
      <c r="B4" s="9" t="s">
        <v>87</v>
      </c>
      <c r="C4" s="7" t="s">
        <v>67</v>
      </c>
      <c r="D4" s="259" t="s">
        <v>68</v>
      </c>
      <c r="E4" s="259"/>
      <c r="F4" s="259"/>
      <c r="G4" s="10"/>
      <c r="H4" s="259" t="s">
        <v>69</v>
      </c>
      <c r="I4" s="259"/>
      <c r="J4" s="259"/>
      <c r="K4" s="259" t="s">
        <v>70</v>
      </c>
      <c r="L4" s="259"/>
      <c r="M4" s="259"/>
    </row>
    <row r="5" spans="2:13" x14ac:dyDescent="0.35">
      <c r="B5" s="9">
        <v>705</v>
      </c>
      <c r="C5" s="7"/>
      <c r="D5" s="7" t="s">
        <v>71</v>
      </c>
      <c r="E5" s="7" t="s">
        <v>72</v>
      </c>
      <c r="F5" s="7" t="s">
        <v>73</v>
      </c>
      <c r="G5" s="7"/>
      <c r="H5" s="7" t="s">
        <v>71</v>
      </c>
      <c r="I5" s="7" t="s">
        <v>72</v>
      </c>
      <c r="J5" s="7" t="s">
        <v>73</v>
      </c>
      <c r="K5" s="7" t="s">
        <v>71</v>
      </c>
      <c r="L5" s="7" t="s">
        <v>72</v>
      </c>
      <c r="M5" s="7" t="s">
        <v>73</v>
      </c>
    </row>
    <row r="6" spans="2:13" x14ac:dyDescent="0.35">
      <c r="C6" s="6" t="s">
        <v>74</v>
      </c>
      <c r="D6" s="6">
        <v>4.4000000000000004</v>
      </c>
      <c r="E6" s="6">
        <v>3.2</v>
      </c>
      <c r="F6" s="6">
        <f>D6*E6</f>
        <v>14.080000000000002</v>
      </c>
      <c r="G6" s="6" t="s">
        <v>89</v>
      </c>
      <c r="H6" s="6">
        <v>1.2</v>
      </c>
      <c r="I6" s="6">
        <v>2.8</v>
      </c>
      <c r="J6" s="6">
        <f>H6*I6</f>
        <v>3.36</v>
      </c>
      <c r="K6" s="6">
        <v>1.65</v>
      </c>
      <c r="L6" s="6">
        <v>3.2</v>
      </c>
      <c r="M6" s="6">
        <f>K6*L6</f>
        <v>5.28</v>
      </c>
    </row>
    <row r="7" spans="2:13" x14ac:dyDescent="0.35">
      <c r="C7" s="6"/>
      <c r="D7" s="6"/>
      <c r="E7" s="6"/>
      <c r="F7" s="6">
        <f t="shared" ref="F7:F33" si="0">D7*E7</f>
        <v>0</v>
      </c>
      <c r="G7" s="6" t="s">
        <v>90</v>
      </c>
      <c r="H7" s="6"/>
      <c r="I7" s="6"/>
      <c r="J7" s="6">
        <f t="shared" ref="J7:J29" si="1">H7*I7</f>
        <v>0</v>
      </c>
      <c r="K7" s="6"/>
      <c r="L7" s="6"/>
      <c r="M7" s="6">
        <f t="shared" ref="M7:M29" si="2">K7*L7</f>
        <v>0</v>
      </c>
    </row>
    <row r="8" spans="2:13" x14ac:dyDescent="0.35">
      <c r="C8" s="6"/>
      <c r="D8" s="6"/>
      <c r="E8" s="6"/>
      <c r="F8" s="6">
        <f t="shared" si="0"/>
        <v>0</v>
      </c>
      <c r="G8" s="6"/>
      <c r="H8" s="6"/>
      <c r="I8" s="6"/>
      <c r="J8" s="6">
        <f t="shared" si="1"/>
        <v>0</v>
      </c>
      <c r="K8" s="6"/>
      <c r="L8" s="6"/>
      <c r="M8" s="6">
        <f t="shared" si="2"/>
        <v>0</v>
      </c>
    </row>
    <row r="9" spans="2:13" x14ac:dyDescent="0.35">
      <c r="C9" s="6" t="s">
        <v>77</v>
      </c>
      <c r="D9" s="6">
        <v>2.4500000000000002</v>
      </c>
      <c r="E9" s="6">
        <v>2.8</v>
      </c>
      <c r="F9" s="6">
        <f t="shared" si="0"/>
        <v>6.86</v>
      </c>
      <c r="G9" s="6" t="s">
        <v>89</v>
      </c>
      <c r="H9" s="6"/>
      <c r="I9" s="6"/>
      <c r="J9" s="6">
        <f t="shared" si="1"/>
        <v>0</v>
      </c>
      <c r="K9" s="6"/>
      <c r="L9" s="6"/>
      <c r="M9" s="6">
        <f t="shared" si="2"/>
        <v>0</v>
      </c>
    </row>
    <row r="10" spans="2:13" x14ac:dyDescent="0.35">
      <c r="C10" s="6"/>
      <c r="D10" s="6"/>
      <c r="E10" s="6"/>
      <c r="F10" s="6">
        <f t="shared" si="0"/>
        <v>0</v>
      </c>
      <c r="G10" s="6" t="s">
        <v>90</v>
      </c>
      <c r="H10" s="6"/>
      <c r="I10" s="6"/>
      <c r="J10" s="6">
        <f t="shared" si="1"/>
        <v>0</v>
      </c>
      <c r="K10" s="6"/>
      <c r="L10" s="6"/>
      <c r="M10" s="6">
        <f t="shared" si="2"/>
        <v>0</v>
      </c>
    </row>
    <row r="11" spans="2:13" x14ac:dyDescent="0.35">
      <c r="C11" s="6"/>
      <c r="D11" s="6"/>
      <c r="E11" s="6"/>
      <c r="F11" s="6">
        <f t="shared" si="0"/>
        <v>0</v>
      </c>
      <c r="G11" s="6"/>
      <c r="H11" s="6"/>
      <c r="I11" s="6"/>
      <c r="J11" s="6">
        <f t="shared" si="1"/>
        <v>0</v>
      </c>
      <c r="K11" s="6"/>
      <c r="L11" s="6"/>
      <c r="M11" s="6">
        <f t="shared" si="2"/>
        <v>0</v>
      </c>
    </row>
    <row r="12" spans="2:13" x14ac:dyDescent="0.35">
      <c r="C12" s="6"/>
      <c r="D12" s="6"/>
      <c r="E12" s="6"/>
      <c r="F12" s="6">
        <f t="shared" si="0"/>
        <v>0</v>
      </c>
      <c r="G12" s="6"/>
      <c r="H12" s="6"/>
      <c r="I12" s="6"/>
      <c r="J12" s="6">
        <f t="shared" si="1"/>
        <v>0</v>
      </c>
      <c r="K12" s="6"/>
      <c r="L12" s="6"/>
      <c r="M12" s="6">
        <f t="shared" si="2"/>
        <v>0</v>
      </c>
    </row>
    <row r="13" spans="2:13" x14ac:dyDescent="0.35">
      <c r="C13" s="6" t="s">
        <v>75</v>
      </c>
      <c r="D13" s="6">
        <v>3.6</v>
      </c>
      <c r="E13" s="6">
        <v>3.6</v>
      </c>
      <c r="F13" s="6">
        <f t="shared" si="0"/>
        <v>12.96</v>
      </c>
      <c r="G13" s="6" t="s">
        <v>89</v>
      </c>
      <c r="H13" s="6"/>
      <c r="I13" s="6"/>
      <c r="J13" s="6">
        <f t="shared" si="1"/>
        <v>0</v>
      </c>
      <c r="K13" s="6"/>
      <c r="L13" s="6"/>
      <c r="M13" s="6">
        <f t="shared" si="2"/>
        <v>0</v>
      </c>
    </row>
    <row r="14" spans="2:13" x14ac:dyDescent="0.35">
      <c r="C14" s="6"/>
      <c r="D14" s="6">
        <v>1.3</v>
      </c>
      <c r="E14" s="6">
        <v>0.9</v>
      </c>
      <c r="F14" s="6">
        <f t="shared" si="0"/>
        <v>1.1700000000000002</v>
      </c>
      <c r="G14" s="6" t="s">
        <v>90</v>
      </c>
      <c r="H14" s="6"/>
      <c r="I14" s="6"/>
      <c r="J14" s="6">
        <f t="shared" si="1"/>
        <v>0</v>
      </c>
      <c r="K14" s="6"/>
      <c r="L14" s="6"/>
      <c r="M14" s="6">
        <f t="shared" si="2"/>
        <v>0</v>
      </c>
    </row>
    <row r="15" spans="2:13" x14ac:dyDescent="0.35">
      <c r="C15" s="6"/>
      <c r="D15" s="6"/>
      <c r="E15" s="6"/>
      <c r="F15" s="6">
        <f t="shared" si="0"/>
        <v>0</v>
      </c>
      <c r="G15" s="6"/>
      <c r="H15" s="6"/>
      <c r="I15" s="6"/>
      <c r="J15" s="6">
        <f t="shared" si="1"/>
        <v>0</v>
      </c>
      <c r="K15" s="6"/>
      <c r="L15" s="6"/>
      <c r="M15" s="6">
        <f t="shared" si="2"/>
        <v>0</v>
      </c>
    </row>
    <row r="16" spans="2:13" x14ac:dyDescent="0.35">
      <c r="C16" s="6"/>
      <c r="D16" s="6"/>
      <c r="E16" s="6"/>
      <c r="F16" s="6">
        <f t="shared" si="0"/>
        <v>0</v>
      </c>
      <c r="G16" s="6"/>
      <c r="H16" s="6"/>
      <c r="I16" s="6"/>
      <c r="J16" s="6">
        <f t="shared" si="1"/>
        <v>0</v>
      </c>
      <c r="K16" s="6"/>
      <c r="L16" s="6"/>
      <c r="M16" s="6">
        <f t="shared" si="2"/>
        <v>0</v>
      </c>
    </row>
    <row r="17" spans="3:13" x14ac:dyDescent="0.35">
      <c r="C17" s="6" t="s">
        <v>76</v>
      </c>
      <c r="D17" s="6"/>
      <c r="E17" s="6"/>
      <c r="F17" s="6">
        <f t="shared" si="0"/>
        <v>0</v>
      </c>
      <c r="G17" s="6" t="s">
        <v>89</v>
      </c>
      <c r="H17" s="6"/>
      <c r="I17" s="6"/>
      <c r="J17" s="6">
        <f t="shared" si="1"/>
        <v>0</v>
      </c>
      <c r="K17" s="6"/>
      <c r="L17" s="6"/>
      <c r="M17" s="6">
        <f t="shared" si="2"/>
        <v>0</v>
      </c>
    </row>
    <row r="18" spans="3:13" x14ac:dyDescent="0.35">
      <c r="C18" s="6"/>
      <c r="D18" s="6"/>
      <c r="E18" s="6"/>
      <c r="F18" s="6">
        <f t="shared" si="0"/>
        <v>0</v>
      </c>
      <c r="G18" s="6" t="s">
        <v>90</v>
      </c>
      <c r="H18" s="6"/>
      <c r="I18" s="6"/>
      <c r="J18" s="6">
        <f t="shared" si="1"/>
        <v>0</v>
      </c>
      <c r="K18" s="6"/>
      <c r="L18" s="6"/>
      <c r="M18" s="6">
        <f t="shared" si="2"/>
        <v>0</v>
      </c>
    </row>
    <row r="19" spans="3:13" x14ac:dyDescent="0.35">
      <c r="C19" s="6"/>
      <c r="D19" s="6"/>
      <c r="E19" s="6"/>
      <c r="F19" s="6">
        <f t="shared" si="0"/>
        <v>0</v>
      </c>
      <c r="G19" s="6"/>
      <c r="H19" s="6"/>
      <c r="I19" s="6"/>
      <c r="J19" s="6">
        <f t="shared" si="1"/>
        <v>0</v>
      </c>
      <c r="K19" s="6"/>
      <c r="L19" s="6"/>
      <c r="M19" s="6">
        <f t="shared" si="2"/>
        <v>0</v>
      </c>
    </row>
    <row r="20" spans="3:13" x14ac:dyDescent="0.35">
      <c r="C20" s="6" t="s">
        <v>76</v>
      </c>
      <c r="D20" s="6"/>
      <c r="E20" s="6"/>
      <c r="F20" s="6">
        <f t="shared" si="0"/>
        <v>0</v>
      </c>
      <c r="G20" s="6" t="s">
        <v>89</v>
      </c>
      <c r="H20" s="6"/>
      <c r="I20" s="6"/>
      <c r="J20" s="6">
        <f t="shared" si="1"/>
        <v>0</v>
      </c>
      <c r="K20" s="6"/>
      <c r="L20" s="6"/>
      <c r="M20" s="6">
        <f t="shared" si="2"/>
        <v>0</v>
      </c>
    </row>
    <row r="21" spans="3:13" x14ac:dyDescent="0.35">
      <c r="C21" s="6"/>
      <c r="D21" s="6"/>
      <c r="E21" s="6"/>
      <c r="F21" s="6">
        <f t="shared" si="0"/>
        <v>0</v>
      </c>
      <c r="G21" s="6" t="s">
        <v>90</v>
      </c>
      <c r="H21" s="6"/>
      <c r="I21" s="6"/>
      <c r="J21" s="6">
        <f t="shared" si="1"/>
        <v>0</v>
      </c>
      <c r="K21" s="6"/>
      <c r="L21" s="6"/>
      <c r="M21" s="6">
        <f t="shared" si="2"/>
        <v>0</v>
      </c>
    </row>
    <row r="22" spans="3:13" x14ac:dyDescent="0.35">
      <c r="C22" s="6"/>
      <c r="D22" s="6"/>
      <c r="E22" s="6"/>
      <c r="F22" s="6">
        <f t="shared" si="0"/>
        <v>0</v>
      </c>
      <c r="G22" s="6"/>
      <c r="H22" s="6"/>
      <c r="I22" s="6"/>
      <c r="J22" s="6">
        <f t="shared" si="1"/>
        <v>0</v>
      </c>
      <c r="K22" s="6"/>
      <c r="L22" s="6"/>
      <c r="M22" s="6">
        <f t="shared" si="2"/>
        <v>0</v>
      </c>
    </row>
    <row r="23" spans="3:13" x14ac:dyDescent="0.35">
      <c r="C23" s="6" t="s">
        <v>82</v>
      </c>
      <c r="D23" s="6">
        <v>2.2000000000000002</v>
      </c>
      <c r="E23" s="6">
        <v>1.2</v>
      </c>
      <c r="F23" s="6">
        <f t="shared" si="0"/>
        <v>2.64</v>
      </c>
      <c r="G23" s="6" t="s">
        <v>91</v>
      </c>
      <c r="H23" s="6"/>
      <c r="I23" s="6"/>
      <c r="J23" s="6">
        <f t="shared" si="1"/>
        <v>0</v>
      </c>
      <c r="K23" s="6"/>
      <c r="L23" s="6"/>
      <c r="M23" s="6">
        <f t="shared" si="2"/>
        <v>0</v>
      </c>
    </row>
    <row r="24" spans="3:13" x14ac:dyDescent="0.35">
      <c r="C24" s="6" t="s">
        <v>83</v>
      </c>
      <c r="D24" s="6">
        <v>1.2</v>
      </c>
      <c r="E24" s="6">
        <v>2</v>
      </c>
      <c r="F24" s="6">
        <f t="shared" si="0"/>
        <v>2.4</v>
      </c>
      <c r="G24" s="6" t="s">
        <v>91</v>
      </c>
      <c r="H24" s="6"/>
      <c r="I24" s="6"/>
      <c r="J24" s="6">
        <f t="shared" si="1"/>
        <v>0</v>
      </c>
      <c r="K24" s="6"/>
      <c r="L24" s="6"/>
      <c r="M24" s="6">
        <f t="shared" si="2"/>
        <v>0</v>
      </c>
    </row>
    <row r="25" spans="3:13" x14ac:dyDescent="0.35">
      <c r="C25" s="6" t="s">
        <v>84</v>
      </c>
      <c r="D25" s="6"/>
      <c r="E25" s="6"/>
      <c r="F25" s="6">
        <f t="shared" si="0"/>
        <v>0</v>
      </c>
      <c r="G25" s="6" t="s">
        <v>91</v>
      </c>
      <c r="H25" s="6"/>
      <c r="I25" s="6"/>
      <c r="J25" s="6">
        <f t="shared" si="1"/>
        <v>0</v>
      </c>
      <c r="K25" s="6"/>
      <c r="L25" s="6"/>
      <c r="M25" s="6">
        <f t="shared" si="2"/>
        <v>0</v>
      </c>
    </row>
    <row r="26" spans="3:13" x14ac:dyDescent="0.35">
      <c r="C26" s="6"/>
      <c r="D26" s="6"/>
      <c r="E26" s="6"/>
      <c r="F26" s="6">
        <f t="shared" si="0"/>
        <v>0</v>
      </c>
      <c r="G26" s="6"/>
      <c r="H26" s="6"/>
      <c r="I26" s="6"/>
      <c r="J26" s="6">
        <f t="shared" si="1"/>
        <v>0</v>
      </c>
      <c r="K26" s="6"/>
      <c r="L26" s="6"/>
      <c r="M26" s="6">
        <f t="shared" si="2"/>
        <v>0</v>
      </c>
    </row>
    <row r="27" spans="3:13" x14ac:dyDescent="0.35">
      <c r="C27" s="6" t="s">
        <v>78</v>
      </c>
      <c r="D27" s="6">
        <v>0.8</v>
      </c>
      <c r="E27" s="6">
        <v>0.9</v>
      </c>
      <c r="F27" s="6">
        <f t="shared" si="0"/>
        <v>0.72000000000000008</v>
      </c>
      <c r="G27" s="6"/>
      <c r="H27" s="6"/>
      <c r="I27" s="6"/>
      <c r="J27" s="6">
        <f t="shared" si="1"/>
        <v>0</v>
      </c>
      <c r="K27" s="6"/>
      <c r="L27" s="6"/>
      <c r="M27" s="6">
        <f t="shared" si="2"/>
        <v>0</v>
      </c>
    </row>
    <row r="28" spans="3:13" x14ac:dyDescent="0.35">
      <c r="C28" s="6" t="s">
        <v>79</v>
      </c>
      <c r="D28" s="6">
        <v>2.4500000000000002</v>
      </c>
      <c r="E28" s="6">
        <v>1.1499999999999999</v>
      </c>
      <c r="F28" s="6">
        <f t="shared" si="0"/>
        <v>2.8174999999999999</v>
      </c>
      <c r="G28" s="6"/>
      <c r="H28" s="6"/>
      <c r="I28" s="6"/>
      <c r="J28" s="6">
        <f t="shared" si="1"/>
        <v>0</v>
      </c>
      <c r="K28" s="6"/>
      <c r="L28" s="6"/>
      <c r="M28" s="6">
        <f t="shared" si="2"/>
        <v>0</v>
      </c>
    </row>
    <row r="29" spans="3:13" x14ac:dyDescent="0.35">
      <c r="C29" s="6" t="s">
        <v>80</v>
      </c>
      <c r="D29" s="6"/>
      <c r="E29" s="6"/>
      <c r="F29" s="6">
        <f t="shared" si="0"/>
        <v>0</v>
      </c>
      <c r="G29" s="6"/>
      <c r="H29" s="6"/>
      <c r="I29" s="6"/>
      <c r="J29" s="6">
        <f t="shared" si="1"/>
        <v>0</v>
      </c>
      <c r="K29" s="6"/>
      <c r="L29" s="6"/>
      <c r="M29" s="6">
        <f t="shared" si="2"/>
        <v>0</v>
      </c>
    </row>
    <row r="30" spans="3:13" x14ac:dyDescent="0.35">
      <c r="C30" s="6" t="s">
        <v>81</v>
      </c>
      <c r="D30" s="6"/>
      <c r="E30" s="6"/>
      <c r="F30" s="6">
        <f t="shared" si="0"/>
        <v>0</v>
      </c>
      <c r="G30" s="6"/>
      <c r="H30" s="6"/>
      <c r="I30" s="6"/>
      <c r="J30" s="6">
        <f>H30*I30</f>
        <v>0</v>
      </c>
      <c r="K30" s="6"/>
      <c r="L30" s="6"/>
      <c r="M30" s="6">
        <f>K30*L30</f>
        <v>0</v>
      </c>
    </row>
    <row r="31" spans="3:13" x14ac:dyDescent="0.35">
      <c r="C31" s="6"/>
      <c r="D31" s="6"/>
      <c r="E31" s="6"/>
      <c r="F31" s="6">
        <f t="shared" si="0"/>
        <v>0</v>
      </c>
      <c r="G31" s="6"/>
      <c r="H31" s="6"/>
      <c r="I31" s="6"/>
      <c r="J31" s="6">
        <f>H31*I31</f>
        <v>0</v>
      </c>
      <c r="K31" s="6"/>
      <c r="L31" s="6"/>
      <c r="M31" s="6">
        <f>K31*L31</f>
        <v>0</v>
      </c>
    </row>
    <row r="32" spans="3:13" x14ac:dyDescent="0.35">
      <c r="C32" s="6"/>
      <c r="D32" s="6"/>
      <c r="E32" s="6"/>
      <c r="F32" s="6">
        <f t="shared" si="0"/>
        <v>0</v>
      </c>
      <c r="G32" s="6"/>
      <c r="H32" s="6"/>
      <c r="I32" s="6"/>
      <c r="J32" s="6">
        <f>H32*I32</f>
        <v>0</v>
      </c>
      <c r="K32" s="6"/>
      <c r="L32" s="6"/>
      <c r="M32" s="6">
        <f>K32*L32</f>
        <v>0</v>
      </c>
    </row>
    <row r="33" spans="3:13" x14ac:dyDescent="0.35">
      <c r="C33" s="6"/>
      <c r="D33" s="6"/>
      <c r="E33" s="6"/>
      <c r="F33" s="6">
        <f t="shared" si="0"/>
        <v>0</v>
      </c>
      <c r="G33" s="6"/>
      <c r="H33" s="6"/>
      <c r="I33" s="6"/>
      <c r="J33" s="6">
        <f>H33*I33</f>
        <v>0</v>
      </c>
      <c r="K33" s="6"/>
      <c r="L33" s="6"/>
      <c r="M33" s="6">
        <f>K33*L33</f>
        <v>0</v>
      </c>
    </row>
    <row r="34" spans="3:13" x14ac:dyDescent="0.35">
      <c r="C34" s="6" t="s">
        <v>85</v>
      </c>
      <c r="D34" s="6"/>
      <c r="E34" s="6">
        <f>F34*10.764</f>
        <v>469.82169000000005</v>
      </c>
      <c r="F34" s="6">
        <f>SUM(F6:F33)</f>
        <v>43.647500000000008</v>
      </c>
      <c r="G34" s="6"/>
      <c r="H34" s="6"/>
      <c r="I34" s="6">
        <f>J34*10.764</f>
        <v>36.167039999999993</v>
      </c>
      <c r="J34" s="6">
        <f>SUM(J6:J33)</f>
        <v>3.36</v>
      </c>
      <c r="K34" s="6"/>
      <c r="L34" s="6">
        <f>M34*10.764</f>
        <v>56.833919999999999</v>
      </c>
      <c r="M34" s="6">
        <f>SUM(M6:M33)</f>
        <v>5.28</v>
      </c>
    </row>
    <row r="36" spans="3:13" x14ac:dyDescent="0.35">
      <c r="F36">
        <f>E34+I34</f>
        <v>505.98873000000003</v>
      </c>
    </row>
  </sheetData>
  <mergeCells count="4">
    <mergeCell ref="D2:E2"/>
    <mergeCell ref="D4:F4"/>
    <mergeCell ref="H4:J4"/>
    <mergeCell ref="K4:M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A63" sqref="A63:J63"/>
    </sheetView>
  </sheetViews>
  <sheetFormatPr defaultRowHeight="14.5" x14ac:dyDescent="0.35"/>
  <cols>
    <col min="2" max="2" width="11.7265625" customWidth="1"/>
  </cols>
  <sheetData>
    <row r="2" spans="1:16" x14ac:dyDescent="0.35">
      <c r="A2" t="s">
        <v>100</v>
      </c>
      <c r="B2" s="11" t="s">
        <v>120</v>
      </c>
      <c r="C2" s="11">
        <v>4</v>
      </c>
    </row>
    <row r="3" spans="1:16" x14ac:dyDescent="0.35">
      <c r="B3" t="s">
        <v>101</v>
      </c>
      <c r="C3" t="s">
        <v>102</v>
      </c>
    </row>
    <row r="4" spans="1:16" x14ac:dyDescent="0.35">
      <c r="A4" t="s">
        <v>103</v>
      </c>
      <c r="B4" s="6">
        <v>10</v>
      </c>
      <c r="C4" s="18">
        <v>0</v>
      </c>
      <c r="E4">
        <f>C4*10</f>
        <v>0</v>
      </c>
    </row>
    <row r="5" spans="1:16" x14ac:dyDescent="0.35">
      <c r="A5" t="s">
        <v>104</v>
      </c>
      <c r="B5" t="s">
        <v>105</v>
      </c>
      <c r="C5" t="s">
        <v>106</v>
      </c>
      <c r="J5" s="6" t="s">
        <v>107</v>
      </c>
      <c r="K5" s="6" t="s">
        <v>108</v>
      </c>
      <c r="L5" s="6" t="s">
        <v>109</v>
      </c>
      <c r="M5" s="6" t="s">
        <v>36</v>
      </c>
      <c r="N5" s="6" t="s">
        <v>39</v>
      </c>
      <c r="O5" s="6" t="s">
        <v>110</v>
      </c>
      <c r="P5" s="6" t="s">
        <v>40</v>
      </c>
    </row>
    <row r="6" spans="1:16" x14ac:dyDescent="0.35">
      <c r="B6" s="6">
        <f>C2+1</f>
        <v>5</v>
      </c>
      <c r="C6" s="18">
        <v>0</v>
      </c>
      <c r="E6">
        <f>(100/B6)*C6</f>
        <v>0</v>
      </c>
      <c r="G6" s="12" t="s">
        <v>111</v>
      </c>
      <c r="J6" s="12">
        <f>C4</f>
        <v>0</v>
      </c>
      <c r="K6" s="12">
        <f>40/B6*C6</f>
        <v>0</v>
      </c>
      <c r="L6" s="12">
        <f>15/B8*C8</f>
        <v>0</v>
      </c>
      <c r="M6" s="12">
        <f>10/B10*C10</f>
        <v>0</v>
      </c>
      <c r="N6" s="12">
        <f>10/B12*C12</f>
        <v>0</v>
      </c>
      <c r="O6" s="12">
        <f>5/B14*C14</f>
        <v>0</v>
      </c>
      <c r="P6" s="12">
        <f>5/B16*C16</f>
        <v>0</v>
      </c>
    </row>
    <row r="7" spans="1:16" x14ac:dyDescent="0.35">
      <c r="A7" t="s">
        <v>112</v>
      </c>
      <c r="B7" t="s">
        <v>113</v>
      </c>
      <c r="C7" t="s">
        <v>114</v>
      </c>
      <c r="G7" s="6" t="s">
        <v>115</v>
      </c>
      <c r="H7" s="6"/>
      <c r="I7" s="6"/>
      <c r="J7" s="6">
        <f>J6+20</f>
        <v>20</v>
      </c>
      <c r="K7" s="6">
        <f>30/B6*C6</f>
        <v>0</v>
      </c>
      <c r="L7" s="6">
        <f>15/B8*C8</f>
        <v>0</v>
      </c>
      <c r="M7" s="6">
        <f>10/B10*C10</f>
        <v>0</v>
      </c>
      <c r="N7" s="6">
        <f>5/B12*C12</f>
        <v>0</v>
      </c>
      <c r="O7" s="6">
        <f>5/B14*C14</f>
        <v>0</v>
      </c>
      <c r="P7" s="6">
        <f>5/B16*C16</f>
        <v>0</v>
      </c>
    </row>
    <row r="8" spans="1:16" x14ac:dyDescent="0.35">
      <c r="B8" s="6">
        <f>C2</f>
        <v>4</v>
      </c>
      <c r="C8" s="18">
        <v>0</v>
      </c>
      <c r="E8">
        <f>(100/B8)*C8</f>
        <v>0</v>
      </c>
    </row>
    <row r="9" spans="1:16" x14ac:dyDescent="0.35">
      <c r="A9" t="s">
        <v>116</v>
      </c>
      <c r="B9" t="s">
        <v>113</v>
      </c>
      <c r="C9" t="s">
        <v>114</v>
      </c>
    </row>
    <row r="10" spans="1:16" x14ac:dyDescent="0.35">
      <c r="B10" s="6">
        <f>C2</f>
        <v>4</v>
      </c>
      <c r="C10" s="18">
        <v>0</v>
      </c>
      <c r="E10">
        <f>(100/B10)*C10</f>
        <v>0</v>
      </c>
    </row>
    <row r="11" spans="1:16" x14ac:dyDescent="0.35">
      <c r="A11" t="s">
        <v>39</v>
      </c>
      <c r="B11" t="s">
        <v>113</v>
      </c>
      <c r="C11" t="s">
        <v>114</v>
      </c>
    </row>
    <row r="12" spans="1:16" x14ac:dyDescent="0.35">
      <c r="B12" s="6">
        <f>C2</f>
        <v>4</v>
      </c>
      <c r="C12" s="18">
        <v>0</v>
      </c>
      <c r="E12">
        <f>(100/B12)*C12</f>
        <v>0</v>
      </c>
      <c r="J12" s="6"/>
      <c r="K12" s="6" t="s">
        <v>111</v>
      </c>
      <c r="L12" s="6" t="s">
        <v>117</v>
      </c>
      <c r="M12" t="s">
        <v>118</v>
      </c>
    </row>
    <row r="13" spans="1:16" ht="29" x14ac:dyDescent="0.35">
      <c r="A13" s="13" t="s">
        <v>110</v>
      </c>
      <c r="B13" t="s">
        <v>113</v>
      </c>
      <c r="C13" t="s">
        <v>114</v>
      </c>
      <c r="J13" s="6" t="s">
        <v>34</v>
      </c>
      <c r="K13" s="6">
        <f>J6</f>
        <v>0</v>
      </c>
      <c r="L13" s="6">
        <f>J7</f>
        <v>20</v>
      </c>
      <c r="M13" t="s">
        <v>118</v>
      </c>
    </row>
    <row r="14" spans="1:16" x14ac:dyDescent="0.35">
      <c r="B14" s="6">
        <f>C2</f>
        <v>4</v>
      </c>
      <c r="C14" s="18">
        <v>0</v>
      </c>
      <c r="E14">
        <f>(100/B14)*C14</f>
        <v>0</v>
      </c>
      <c r="J14" s="6" t="s">
        <v>35</v>
      </c>
      <c r="K14" s="6">
        <f>K6</f>
        <v>0</v>
      </c>
      <c r="L14" s="6">
        <f>K7</f>
        <v>0</v>
      </c>
    </row>
    <row r="15" spans="1:16" x14ac:dyDescent="0.35">
      <c r="A15" t="s">
        <v>40</v>
      </c>
      <c r="B15" t="s">
        <v>113</v>
      </c>
      <c r="C15" t="s">
        <v>114</v>
      </c>
      <c r="J15" s="6" t="s">
        <v>109</v>
      </c>
      <c r="K15" s="6">
        <f>L6</f>
        <v>0</v>
      </c>
      <c r="L15" s="6">
        <f>L7</f>
        <v>0</v>
      </c>
    </row>
    <row r="16" spans="1:16" x14ac:dyDescent="0.35">
      <c r="B16" s="6">
        <f>C2</f>
        <v>4</v>
      </c>
      <c r="C16" s="18">
        <v>0</v>
      </c>
      <c r="E16">
        <f>(100/B16)*C16</f>
        <v>0</v>
      </c>
      <c r="J16" s="6" t="s">
        <v>36</v>
      </c>
      <c r="K16" s="6">
        <f>M6</f>
        <v>0</v>
      </c>
      <c r="L16" s="6">
        <f>M7</f>
        <v>0</v>
      </c>
    </row>
    <row r="17" spans="10:12" x14ac:dyDescent="0.35">
      <c r="J17" s="6" t="s">
        <v>39</v>
      </c>
      <c r="K17" s="6">
        <f>N6</f>
        <v>0</v>
      </c>
      <c r="L17" s="6">
        <f>N7</f>
        <v>0</v>
      </c>
    </row>
    <row r="18" spans="10:12" ht="29" x14ac:dyDescent="0.35">
      <c r="J18" s="14" t="s">
        <v>110</v>
      </c>
      <c r="K18" s="6">
        <f>O6</f>
        <v>0</v>
      </c>
      <c r="L18" s="6">
        <f>O7</f>
        <v>0</v>
      </c>
    </row>
    <row r="19" spans="10:12" x14ac:dyDescent="0.35">
      <c r="J19" s="6" t="s">
        <v>40</v>
      </c>
      <c r="K19" s="6">
        <f>P6</f>
        <v>0</v>
      </c>
      <c r="L19" s="6">
        <f>P7</f>
        <v>0</v>
      </c>
    </row>
    <row r="20" spans="10:12" x14ac:dyDescent="0.35">
      <c r="J20" s="6" t="s">
        <v>119</v>
      </c>
      <c r="K20" s="6">
        <f>K13+K14+K15+K16+K17+K18+K19</f>
        <v>0</v>
      </c>
      <c r="L20" s="6">
        <f>L13+L14+L15+L16+L17+L18+L19</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VALUATION</vt:lpstr>
      <vt:lpstr>C% Padmavati</vt:lpstr>
      <vt:lpstr>A C% Mahalaxmi</vt:lpstr>
      <vt:lpstr>B C% Mahalaxmi (2)</vt:lpstr>
      <vt:lpstr>1, 2, 6</vt:lpstr>
      <vt:lpstr>5</vt:lpstr>
      <vt:lpstr>7</vt:lpstr>
      <vt:lpstr>Construction % (3)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2025-09-19T05:27:57Z</cp:lastPrinted>
  <dcterms:created xsi:type="dcterms:W3CDTF">2013-11-23T05:32:33Z</dcterms:created>
  <dcterms:modified xsi:type="dcterms:W3CDTF">2025-09-19T05:28:08Z</dcterms:modified>
</cp:coreProperties>
</file>