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8-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2" i="1" l="1"/>
  <c r="J199" i="1"/>
  <c r="D237" i="1" l="1"/>
  <c r="F237" i="1" s="1"/>
  <c r="H237" i="1" s="1"/>
  <c r="D235" i="1"/>
  <c r="F235" i="1" s="1"/>
  <c r="H235" i="1" s="1"/>
  <c r="D236" i="1"/>
  <c r="D234" i="1"/>
  <c r="F234" i="1" s="1"/>
  <c r="H234" i="1" s="1"/>
  <c r="J234" i="1" s="1"/>
  <c r="D238" i="1"/>
  <c r="F238" i="1" s="1"/>
  <c r="H238" i="1" s="1"/>
  <c r="F236" i="1"/>
  <c r="H236" i="1" s="1"/>
  <c r="D233" i="1"/>
  <c r="F233" i="1" s="1"/>
  <c r="H233" i="1" s="1"/>
  <c r="D218" i="1"/>
  <c r="F218" i="1" s="1"/>
  <c r="H218" i="1" s="1"/>
  <c r="D219" i="1"/>
  <c r="F219" i="1" s="1"/>
  <c r="H219" i="1" s="1"/>
  <c r="D217" i="1"/>
  <c r="F217" i="1" s="1"/>
  <c r="H217" i="1" s="1"/>
  <c r="D220" i="1"/>
  <c r="F220" i="1" s="1"/>
  <c r="H220" i="1" s="1"/>
  <c r="D216" i="1"/>
  <c r="F216" i="1" s="1"/>
  <c r="H216" i="1" s="1"/>
  <c r="D198" i="1"/>
  <c r="F198" i="1" s="1"/>
  <c r="H198" i="1" s="1"/>
  <c r="J198" i="1" s="1"/>
  <c r="D205" i="1"/>
  <c r="F205" i="1" s="1"/>
  <c r="H205" i="1" s="1"/>
  <c r="D203" i="1"/>
  <c r="D202" i="1"/>
  <c r="D204" i="1"/>
  <c r="D201" i="1"/>
  <c r="D200" i="1"/>
  <c r="A233" i="1"/>
  <c r="A216" i="1"/>
  <c r="D231" i="1" l="1"/>
  <c r="F231" i="1" s="1"/>
  <c r="H231" i="1" s="1"/>
  <c r="G230" i="1"/>
  <c r="D230" i="1"/>
  <c r="F230" i="1" s="1"/>
  <c r="G229" i="1"/>
  <c r="D229" i="1"/>
  <c r="F229" i="1" s="1"/>
  <c r="G227" i="1"/>
  <c r="D227" i="1"/>
  <c r="F227" i="1" s="1"/>
  <c r="G228" i="1"/>
  <c r="D228" i="1"/>
  <c r="F228" i="1" s="1"/>
  <c r="D226" i="1"/>
  <c r="F226" i="1" s="1"/>
  <c r="H226" i="1" s="1"/>
  <c r="A226" i="1"/>
  <c r="A227" i="1" s="1"/>
  <c r="A228" i="1" s="1"/>
  <c r="A229" i="1" s="1"/>
  <c r="A230" i="1" s="1"/>
  <c r="D214" i="1"/>
  <c r="F214" i="1" s="1"/>
  <c r="G213" i="1"/>
  <c r="D213" i="1"/>
  <c r="F213" i="1" s="1"/>
  <c r="G212" i="1"/>
  <c r="D212" i="1"/>
  <c r="F212" i="1" s="1"/>
  <c r="G211" i="1"/>
  <c r="D211" i="1"/>
  <c r="F211" i="1" s="1"/>
  <c r="H211" i="1" s="1"/>
  <c r="D210" i="1"/>
  <c r="F210" i="1" s="1"/>
  <c r="H210" i="1" s="1"/>
  <c r="A210" i="1"/>
  <c r="A211" i="1" s="1"/>
  <c r="A212" i="1" s="1"/>
  <c r="A213" i="1" s="1"/>
  <c r="A214" i="1" s="1"/>
  <c r="G197" i="1"/>
  <c r="D197" i="1"/>
  <c r="G196" i="1"/>
  <c r="D196" i="1"/>
  <c r="G195" i="1"/>
  <c r="D195" i="1"/>
  <c r="G194" i="1"/>
  <c r="D194" i="1"/>
  <c r="D193" i="1"/>
  <c r="J190" i="1"/>
  <c r="J224" i="1"/>
  <c r="D224" i="1"/>
  <c r="F224" i="1" s="1"/>
  <c r="H224" i="1" s="1"/>
  <c r="J223" i="1"/>
  <c r="D223" i="1"/>
  <c r="F223" i="1" s="1"/>
  <c r="J208" i="1"/>
  <c r="D208" i="1"/>
  <c r="F208" i="1" s="1"/>
  <c r="D191" i="1"/>
  <c r="D190" i="1"/>
  <c r="D182" i="1"/>
  <c r="F182" i="1" s="1"/>
  <c r="H182" i="1" s="1"/>
  <c r="D184" i="1"/>
  <c r="F184" i="1" s="1"/>
  <c r="H184" i="1" s="1"/>
  <c r="D183" i="1"/>
  <c r="D181" i="1"/>
  <c r="F181" i="1" s="1"/>
  <c r="H181" i="1" s="1"/>
  <c r="D180" i="1"/>
  <c r="F180" i="1" s="1"/>
  <c r="H180" i="1" s="1"/>
  <c r="D178" i="1"/>
  <c r="F178" i="1" s="1"/>
  <c r="H178" i="1" s="1"/>
  <c r="D179" i="1"/>
  <c r="F179" i="1" s="1"/>
  <c r="H179" i="1" s="1"/>
  <c r="D177" i="1"/>
  <c r="F177" i="1" s="1"/>
  <c r="H177" i="1" s="1"/>
  <c r="D176" i="1"/>
  <c r="F176" i="1" s="1"/>
  <c r="H176" i="1" s="1"/>
  <c r="D175" i="1"/>
  <c r="F175" i="1" s="1"/>
  <c r="H175" i="1" s="1"/>
  <c r="D174" i="1"/>
  <c r="F174" i="1" s="1"/>
  <c r="F183" i="1"/>
  <c r="H183" i="1" s="1"/>
  <c r="A175" i="1"/>
  <c r="A176" i="1" s="1"/>
  <c r="A177" i="1" s="1"/>
  <c r="A178" i="1" s="1"/>
  <c r="A179" i="1" s="1"/>
  <c r="A180" i="1" s="1"/>
  <c r="A181" i="1" s="1"/>
  <c r="A182" i="1" s="1"/>
  <c r="A183" i="1" s="1"/>
  <c r="A184" i="1" s="1"/>
  <c r="J174" i="1"/>
  <c r="D171" i="1"/>
  <c r="F171" i="1" s="1"/>
  <c r="H171" i="1" s="1"/>
  <c r="D170" i="1"/>
  <c r="F170" i="1" s="1"/>
  <c r="H170" i="1" s="1"/>
  <c r="D169" i="1"/>
  <c r="F169" i="1" s="1"/>
  <c r="H169" i="1" s="1"/>
  <c r="D168" i="1"/>
  <c r="F168" i="1" s="1"/>
  <c r="H168" i="1" s="1"/>
  <c r="D167" i="1"/>
  <c r="F167" i="1" s="1"/>
  <c r="H167" i="1" s="1"/>
  <c r="D166" i="1"/>
  <c r="F166" i="1" s="1"/>
  <c r="H166" i="1" s="1"/>
  <c r="D165" i="1"/>
  <c r="F165" i="1" s="1"/>
  <c r="H165" i="1" s="1"/>
  <c r="D164" i="1"/>
  <c r="F164" i="1" s="1"/>
  <c r="A165" i="1"/>
  <c r="A166" i="1" s="1"/>
  <c r="A167" i="1" s="1"/>
  <c r="A168" i="1" s="1"/>
  <c r="A169" i="1" s="1"/>
  <c r="A170" i="1" s="1"/>
  <c r="A171" i="1" s="1"/>
  <c r="J164" i="1"/>
  <c r="D161" i="1"/>
  <c r="F161" i="1" s="1"/>
  <c r="H161" i="1" s="1"/>
  <c r="D160" i="1"/>
  <c r="F160" i="1" s="1"/>
  <c r="H160" i="1" s="1"/>
  <c r="D159" i="1"/>
  <c r="F159" i="1" s="1"/>
  <c r="H159" i="1" s="1"/>
  <c r="D158" i="1"/>
  <c r="F158" i="1" s="1"/>
  <c r="H158" i="1" s="1"/>
  <c r="D157" i="1"/>
  <c r="F157" i="1" s="1"/>
  <c r="H157" i="1" s="1"/>
  <c r="D156" i="1"/>
  <c r="F156" i="1" s="1"/>
  <c r="H156" i="1" s="1"/>
  <c r="D155" i="1"/>
  <c r="F155" i="1" s="1"/>
  <c r="H155" i="1" s="1"/>
  <c r="D154" i="1"/>
  <c r="F154" i="1" s="1"/>
  <c r="H154" i="1" s="1"/>
  <c r="D153" i="1"/>
  <c r="F153" i="1" s="1"/>
  <c r="H153" i="1" s="1"/>
  <c r="D152" i="1"/>
  <c r="D151" i="1"/>
  <c r="D150" i="1"/>
  <c r="D149" i="1"/>
  <c r="J149" i="1"/>
  <c r="A217" i="1"/>
  <c r="A234" i="1"/>
  <c r="H229" i="1" l="1"/>
  <c r="H164" i="1"/>
  <c r="G133" i="1" s="1"/>
  <c r="C133" i="1"/>
  <c r="E133" i="1"/>
  <c r="H223" i="1"/>
  <c r="E140" i="1"/>
  <c r="C140" i="1"/>
  <c r="H174" i="1"/>
  <c r="G134" i="1" s="1"/>
  <c r="E134" i="1"/>
  <c r="C134" i="1"/>
  <c r="H208" i="1"/>
  <c r="E139" i="1"/>
  <c r="C139" i="1"/>
  <c r="H228" i="1"/>
  <c r="H214" i="1"/>
  <c r="H227" i="1"/>
  <c r="H230" i="1"/>
  <c r="H213" i="1"/>
  <c r="H212" i="1"/>
  <c r="C51" i="1"/>
  <c r="A218" i="1"/>
  <c r="A235" i="1"/>
  <c r="G139" i="1" l="1"/>
  <c r="G140" i="1"/>
  <c r="C103" i="1"/>
  <c r="C89" i="1"/>
  <c r="A219" i="1"/>
  <c r="A236" i="1"/>
  <c r="F149" i="1" l="1"/>
  <c r="A220" i="1"/>
  <c r="A237" i="1"/>
  <c r="H149" i="1" l="1"/>
  <c r="E31" i="1"/>
  <c r="E26" i="1"/>
  <c r="A238" i="1"/>
  <c r="F190" i="1" l="1"/>
  <c r="H190"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D44" i="7" s="1"/>
  <c r="I42" i="7"/>
  <c r="H42" i="7" s="1"/>
  <c r="L42" i="7"/>
  <c r="K42" i="7" s="1"/>
  <c r="E44" i="7" l="1"/>
  <c r="B241" i="1"/>
  <c r="F150" i="1" l="1"/>
  <c r="F151" i="1"/>
  <c r="H151" i="1" s="1"/>
  <c r="F152" i="1"/>
  <c r="H152" i="1" s="1"/>
  <c r="H150" i="1" l="1"/>
  <c r="G132" i="1" s="1"/>
  <c r="G135" i="1" s="1"/>
  <c r="C132" i="1"/>
  <c r="C135" i="1" s="1"/>
  <c r="E132" i="1"/>
  <c r="E135" i="1" s="1"/>
  <c r="G56" i="1"/>
  <c r="C56" i="1"/>
  <c r="C54" i="1"/>
  <c r="S33" i="1" l="1"/>
  <c r="F11" i="5" l="1"/>
  <c r="G11" i="5" s="1"/>
  <c r="F10" i="5"/>
  <c r="G10" i="5" s="1"/>
  <c r="F9" i="5"/>
  <c r="G9" i="5" s="1"/>
  <c r="F8" i="5"/>
  <c r="G8" i="5" s="1"/>
  <c r="F7" i="5"/>
  <c r="G7" i="5" s="1"/>
  <c r="F6" i="5"/>
  <c r="G6" i="5" s="1"/>
  <c r="F5" i="5"/>
  <c r="G5" i="5" s="1"/>
  <c r="G12" i="5" s="1"/>
  <c r="D266" i="1"/>
  <c r="B242" i="1"/>
  <c r="F204" i="1"/>
  <c r="H204" i="1" s="1"/>
  <c r="F203" i="1"/>
  <c r="H203" i="1" s="1"/>
  <c r="F202" i="1"/>
  <c r="H202" i="1" s="1"/>
  <c r="F201" i="1"/>
  <c r="H201" i="1" s="1"/>
  <c r="J201" i="1" s="1"/>
  <c r="F200" i="1"/>
  <c r="H200" i="1" s="1"/>
  <c r="J200" i="1" s="1"/>
  <c r="F197" i="1"/>
  <c r="H197" i="1" s="1"/>
  <c r="J197" i="1" s="1"/>
  <c r="F196" i="1"/>
  <c r="H196" i="1" s="1"/>
  <c r="J196" i="1" s="1"/>
  <c r="F195" i="1"/>
  <c r="H195" i="1" s="1"/>
  <c r="J195" i="1" s="1"/>
  <c r="F194" i="1"/>
  <c r="H194" i="1" s="1"/>
  <c r="J194" i="1" s="1"/>
  <c r="F193" i="1"/>
  <c r="H193" i="1" s="1"/>
  <c r="J193" i="1" s="1"/>
  <c r="A193" i="1"/>
  <c r="A194" i="1" s="1"/>
  <c r="A195" i="1" s="1"/>
  <c r="A196" i="1" s="1"/>
  <c r="A197" i="1" s="1"/>
  <c r="A198" i="1" s="1"/>
  <c r="F191" i="1"/>
  <c r="A191" i="1"/>
  <c r="A150" i="1"/>
  <c r="A151" i="1" s="1"/>
  <c r="A152" i="1" s="1"/>
  <c r="A153" i="1" s="1"/>
  <c r="A154" i="1" s="1"/>
  <c r="A155" i="1" s="1"/>
  <c r="A156" i="1" s="1"/>
  <c r="A157" i="1" s="1"/>
  <c r="A158" i="1" s="1"/>
  <c r="A159" i="1" s="1"/>
  <c r="A160" i="1" s="1"/>
  <c r="A161" i="1" s="1"/>
  <c r="F129" i="1"/>
  <c r="C75" i="1"/>
  <c r="G51" i="1"/>
  <c r="G52" i="1" s="1"/>
  <c r="E44" i="1"/>
  <c r="E45" i="1" s="1"/>
  <c r="E28" i="1"/>
  <c r="C16" i="1"/>
  <c r="I15" i="1"/>
  <c r="Z13" i="1"/>
  <c r="E8" i="1"/>
  <c r="E3" i="1"/>
  <c r="D69" i="1" s="1"/>
  <c r="H76" i="1"/>
  <c r="A200" i="1"/>
  <c r="H191" i="1" l="1"/>
  <c r="E138" i="1"/>
  <c r="E141" i="1" s="1"/>
  <c r="E142" i="1" s="1"/>
  <c r="C138" i="1"/>
  <c r="C141" i="1" s="1"/>
  <c r="C142" i="1" s="1"/>
  <c r="J75" i="1"/>
  <c r="J77" i="1" s="1"/>
  <c r="J78" i="1"/>
  <c r="J79" i="1"/>
  <c r="J80" i="1"/>
  <c r="D83" i="1"/>
  <c r="D85" i="1"/>
  <c r="D84" i="1"/>
  <c r="D88" i="1"/>
  <c r="D82" i="1"/>
  <c r="D87" i="1"/>
  <c r="D81" i="1"/>
  <c r="D86" i="1"/>
  <c r="J81" i="1"/>
  <c r="A201" i="1"/>
  <c r="G138" i="1" l="1"/>
  <c r="G141" i="1" s="1"/>
  <c r="G142" i="1" s="1"/>
  <c r="J191" i="1"/>
  <c r="D79" i="1"/>
  <c r="J85" i="1"/>
  <c r="J83" i="1"/>
  <c r="J84" i="1"/>
  <c r="J82" i="1"/>
  <c r="J87" i="1" s="1"/>
  <c r="J88" i="1" s="1"/>
  <c r="J86" i="1"/>
  <c r="A202" i="1"/>
  <c r="J76" i="1" l="1"/>
  <c r="E79" i="1"/>
  <c r="D80" i="1"/>
  <c r="G79" i="1"/>
  <c r="A203" i="1"/>
  <c r="H90"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A204" i="1"/>
  <c r="E93" i="1" l="1"/>
  <c r="D94" i="1"/>
  <c r="G93" i="1"/>
  <c r="D93" i="1"/>
  <c r="H104" i="1"/>
  <c r="A205"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D73" i="1" s="1"/>
  <c r="D74" i="1" l="1"/>
  <c r="F74" i="1"/>
  <c r="I103" i="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<sst xmlns="http://schemas.openxmlformats.org/spreadsheetml/2006/main" count="759" uniqueCount="406">
  <si>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</si>
  <si>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</si>
  <si>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</si>
  <si>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</si>
  <si>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</si>
  <si>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</si>
  <si>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</si>
  <si>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</si>
  <si>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</si>
  <si>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</si>
  <si>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</si>
  <si>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</si>
  <si>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</si>
  <si>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</si>
  <si>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</si>
  <si>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</si>
  <si>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</si>
  <si>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</si>
  <si>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</si>
  <si>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</si>
  <si>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</si>
  <si>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</si>
  <si>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</si>
  <si>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</si>
  <si>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</si>
  <si>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</si>
  <si>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</si>
  <si>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</si>
  <si>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</si>
  <si>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</si>
  <si>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</si>
  <si>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</si>
  <si>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</si>
  <si>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</si>
  <si>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</si>
  <si>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</si>
  <si>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</si>
  <si>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</si>
  <si>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</si>
  <si>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</si>
  <si>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</si>
  <si>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</si>
  <si>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</si>
  <si>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</si>
  <si>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</si>
  <si>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</si>
  <si>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</si>
  <si>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</si>
  <si>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</si>
  <si>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</si>
  <si>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</si>
  <si>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</si>
  <si>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</si>
  <si>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</si>
  <si>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</si>
  <si>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</si>
  <si>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</si>
  <si>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</si>
  <si>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</si>
  <si>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</si>
  <si>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</si>
  <si>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</si>
  <si>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</si>
  <si>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</si>
  <si>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</si>
  <si>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</si>
  <si>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</si>
  <si>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</si>
  <si>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</si>
  <si>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</si>
  <si>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</si>
  <si>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</si>
  <si>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</si>
  <si>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</si>
  <si>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</si>
  <si>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</si>
  <si>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</si>
  <si>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</si>
  <si>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</si>
  <si>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</si>
  <si>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</si>
  <si>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</si>
  <si>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</si>
  <si>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</si>
  <si>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</si>
  <si>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</si>
  <si>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</si>
  <si>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</si>
  <si>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</si>
  <si>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</si>
  <si>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</si>
  <si>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</si>
  <si>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</si>
  <si>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</si>
  <si>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</si>
  <si>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</si>
  <si>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</si>
  <si>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</si>
  <si>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</si>
  <si>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</si>
  <si>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</si>
  <si>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</si>
  <si>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</si>
  <si>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</si>
  <si>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</si>
  <si>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</si>
  <si>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</si>
  <si>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</si>
  <si>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</si>
  <si>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</si>
  <si>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</si>
  <si>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</si>
  <si>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</si>
  <si>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</si>
  <si>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</si>
  <si>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</si>
  <si>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</si>
  <si>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</si>
  <si>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</si>
  <si>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</si>
  <si>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</si>
  <si>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</si>
  <si>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</si>
  <si>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</si>
  <si>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</si>
  <si>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</si>
  <si>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</si>
  <si>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</si>
  <si>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</si>
  <si>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</si>
  <si>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</si>
  <si>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</si>
  <si>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</si>
  <si>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</si>
  <si>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</si>
  <si>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</si>
  <si>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</si>
  <si>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</si>
  <si>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</si>
  <si>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</si>
  <si>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</si>
  <si>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</si>
  <si>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</si>
  <si>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</si>
  <si>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</si>
  <si>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</si>
  <si>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</si>
  <si>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</si>
  <si>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</si>
  <si>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</si>
  <si>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</si>
  <si>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</si>
  <si>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</si>
  <si>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</si>
  <si>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</si>
  <si>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</si>
  <si>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</si>
  <si>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</si>
  <si>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</si>
  <si>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</si>
  <si>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</si>
  <si>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</si>
  <si>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</si>
  <si>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</si>
  <si>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</si>
  <si>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</si>
  <si>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</si>
  <si>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</si>
  <si>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</si>
  <si>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</si>
  <si>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</si>
  <si>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</si>
  <si>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</si>
  <si>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</si>
  <si>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</si>
  <si>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</si>
  <si>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</si>
  <si>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</si>
  <si>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</si>
  <si>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</si>
  <si>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</si>
  <si>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</si>
  <si>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</si>
  <si>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</si>
  <si>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</si>
  <si>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</si>
  <si>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</si>
  <si>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</si>
  <si>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</si>
  <si>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</si>
  <si>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</si>
  <si>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</si>
  <si>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</si>
  <si>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</si>
  <si>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</si>
  <si>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</si>
  <si>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</si>
  <si>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</si>
  <si>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</si>
  <si>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</si>
  <si>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</si>
  <si>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</si>
  <si>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</si>
  <si>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</si>
  <si>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</si>
  <si>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</si>
  <si>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</si>
  <si>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</si>
  <si>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</si>
  <si>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</si>
  <si>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</si>
  <si>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</si>
  <si>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</si>
  <si>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</si>
  <si>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</si>
  <si>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</si>
  <si>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</si>
  <si>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</si>
  <si>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</si>
  <si>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</si>
  <si>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</si>
  <si>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</si>
  <si>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</si>
  <si>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</si>
  <si>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</si>
  <si>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</si>
  <si>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</si>
  <si>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</si>
  <si>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</si>
  <si>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</si>
  <si>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</si>
  <si>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</si>
  <si>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</si>
  <si>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</si>
  <si>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</si>
  <si>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</si>
  <si>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</si>
  <si>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</si>
  <si>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</si>
  <si>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</si>
  <si>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</si>
  <si>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</si>
  <si>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</si>
  <si>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</si>
  <si>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</si>
  <si>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</si>
  <si>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</si>
  <si>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</si>
  <si>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</si>
  <si>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</si>
  <si>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</si>
  <si>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</si>
  <si>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</si>
  <si>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</si>
  <si>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</si>
  <si>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</si>
  <si>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</si>
  <si>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</si>
  <si>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</si>
  <si>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</si>
  <si>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</si>
  <si>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</si>
  <si>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</si>
  <si>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</si>
  <si>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</si>
  <si>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</si>
  <si>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</si>
  <si>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</si>
  <si>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</si>
  <si>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</si>
  <si>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</si>
  <si>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</si>
  <si>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</si>
  <si>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</si>
  <si>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</si>
  <si>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</si>
  <si>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</si>
  <si>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</si>
  <si>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</si>
  <si>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</si>
  <si>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</si>
  <si>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</si>
  <si>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</si>
  <si>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</si>
  <si>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</si>
  <si>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</si>
  <si>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</si>
  <si>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</si>
  <si>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</si>
  <si>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</si>
  <si>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</si>
  <si>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</si>
  <si>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</si>
  <si>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</si>
  <si>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</si>
  <si>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</si>
  <si>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</si>
  <si>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</si>
  <si>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</si>
  <si>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</si>
  <si>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</si>
  <si>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</si>
  <si>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</si>
  <si>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</si>
  <si>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</si>
  <si>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</si>
  <si>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</si>
  <si>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</si>
  <si>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</si>
  <si>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</si>
  <si>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</si>
  <si>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</si>
  <si>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</si>
  <si>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</si>
  <si>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</si>
  <si>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</si>
  <si>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</si>
  <si>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</si>
  <si>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</si>
  <si>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</si>
  <si>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</si>
  <si>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</si>
  <si>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</si>
  <si>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</si>
  <si>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</si>
  <si>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</si>
  <si>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</si>
  <si>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</si>
  <si>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</si>
  <si>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</si>
  <si>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</si>
  <si>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</si>
  <si>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</si>
  <si>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</si>
  <si>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</si>
  <si>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</si>
  <si>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</si>
  <si>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</si>
  <si>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</si>
  <si>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</si>
  <si>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</si>
  <si>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</si>
  <si>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</si>
  <si>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</si>
  <si>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</si>
  <si>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</si>
  <si>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</si>
  <si>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</si>
  <si>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Parivar Homes</t>
  </si>
  <si>
    <t>Parivar Complex Building No 2</t>
  </si>
  <si>
    <t>Building No 2 Wing A, B &amp; C</t>
  </si>
  <si>
    <t>P99000076862</t>
  </si>
  <si>
    <t>2.4 KM from Saphale Railway Station</t>
  </si>
  <si>
    <t>Gut No</t>
  </si>
  <si>
    <t>134 pt</t>
  </si>
  <si>
    <t>Sartodi</t>
  </si>
  <si>
    <t>Saphale</t>
  </si>
  <si>
    <t>Saphale Road</t>
  </si>
  <si>
    <t>Open Plot</t>
  </si>
  <si>
    <t>19.577369, 72.841131</t>
  </si>
  <si>
    <t>https://maps.app.goo.gl/bMWiu7DMQ87Rvmkz6</t>
  </si>
  <si>
    <t xml:space="preserve">Road </t>
  </si>
  <si>
    <t>G No. 133</t>
  </si>
  <si>
    <t xml:space="preserve">12 Mt Wide Road </t>
  </si>
  <si>
    <t>G No. 131</t>
  </si>
  <si>
    <t>3 Wings</t>
  </si>
  <si>
    <t>Palghar Zilha Parishad</t>
  </si>
  <si>
    <t>PZP/GP/Pradhikaran/VS/482</t>
  </si>
  <si>
    <t xml:space="preserve">NA order No
Valid Up to: </t>
  </si>
  <si>
    <t>Gut No.134 pt</t>
  </si>
  <si>
    <t>MhasulKS.1/T.1/42B/SR-10/2022</t>
  </si>
  <si>
    <t>Shivalay House</t>
  </si>
  <si>
    <r>
      <t xml:space="preserve">Proposed Amenities :                                                                                                                                                                                                                         </t>
    </r>
    <r>
      <rPr>
        <b/>
        <sz val="12"/>
        <rFont val="Times New Roman"/>
        <family val="1"/>
      </rPr>
      <t xml:space="preserve">                                               </t>
    </r>
  </si>
  <si>
    <r>
      <t xml:space="preserve">Shop No.
</t>
    </r>
    <r>
      <rPr>
        <b/>
        <sz val="11"/>
        <rFont val="Times New Roman"/>
        <family val="1"/>
      </rPr>
      <t>(Approved Plan)</t>
    </r>
  </si>
  <si>
    <t>Shop</t>
  </si>
  <si>
    <t>Wing A</t>
  </si>
  <si>
    <t>Wing C</t>
  </si>
  <si>
    <t>Ground Floor For  Residential &amp; Commercial</t>
  </si>
  <si>
    <t>Wing B</t>
  </si>
  <si>
    <t>Ground Floor For Society Office, Drivers Room, Residential &amp; Commercial</t>
  </si>
  <si>
    <t>2BHK</t>
  </si>
  <si>
    <t>1BHK</t>
  </si>
  <si>
    <t>1st Floor</t>
  </si>
  <si>
    <t>RERA Carpet area</t>
  </si>
  <si>
    <t>2nd to 7th Floor</t>
  </si>
  <si>
    <t>We considered Gross carpet area = Net carpet + balcony.</t>
  </si>
  <si>
    <t xml:space="preserve">A Wing </t>
  </si>
  <si>
    <t xml:space="preserve">B Wing </t>
  </si>
  <si>
    <t xml:space="preserve">C Wing </t>
  </si>
  <si>
    <t>This Project comes under EWS/LIG Group Housing Scheme.</t>
  </si>
  <si>
    <t>Flats - 124, Shops - 32</t>
  </si>
  <si>
    <t>As per RERA - 31/12/2028</t>
  </si>
  <si>
    <t>1. Vitrified tiles flooring 2. Granite Kitchen Platform 3. Decorative Enternace etc.</t>
  </si>
  <si>
    <t>Building No. 2 A Wing = G + 1st to 7th Floor
Building No. 2 B Wing = G + 1st to 7th Floor
Building No. 2 C Wing = G + 1st to 7thFloor</t>
  </si>
  <si>
    <t>Building No. 2 A Wing = G + 1st to 7th Floor</t>
  </si>
  <si>
    <t>Building No. 2 B Wing = G + 1st to 7th Floor</t>
  </si>
  <si>
    <t>Building No. 2 C Wing = G + 1st to 7th Floor</t>
  </si>
  <si>
    <t>Building No. 2 A, B &amp; C Wing = G + 1st to 7th Floor</t>
  </si>
  <si>
    <t>charges addation 30/11/2024 shailesh sir cost sheet</t>
  </si>
  <si>
    <t xml:space="preserve">Recommended Rates / Other charges of the Property have been revised on 30/11/2024.
</t>
  </si>
  <si>
    <t>Ruhi : 9169703636</t>
  </si>
  <si>
    <t>Building No.2 (Wing B &amp; C) = Construction work is in process at the time of Visit.
Building No.2 (Wing A) = Work not yet Started.</t>
  </si>
  <si>
    <t>Since Bldg No.2 (Wing A) have received CC on 13/12/2023, but as of construction work is not started.</t>
  </si>
  <si>
    <t>Yadnyesh Patil</t>
  </si>
  <si>
    <t>Pooja Kawale</t>
  </si>
  <si>
    <t>Mr. Deep Shah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</si>
</sst>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2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1" fillId="0" borderId="1" xfId="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5" fillId="0" borderId="0" xfId="1" applyFont="1" applyAlignment="1" applyProtection="1">
      <alignment vertical="top" wrapText="1"/>
      <protection locked="0"/>
    </xf>
    <xf numFmtId="0" fontId="24" fillId="2" borderId="15" xfId="0" applyFont="1" applyFill="1" applyBorder="1"/>
    <xf numFmtId="0" fontId="25" fillId="0" borderId="9" xfId="0" applyFont="1" applyBorder="1"/>
    <xf numFmtId="1" fontId="6"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9" fontId="6" fillId="0" borderId="1" xfId="8" applyFont="1" applyFill="1" applyBorder="1" applyAlignment="1" applyProtection="1">
      <alignment horizontal="center" vertical="center"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3"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vertical="top" wrapText="1"/>
      <protection locked="0"/>
    </xf>
    <xf numFmtId="0" fontId="7" fillId="0" borderId="1"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5" fillId="0" borderId="21"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16"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219957</xdr:colOff>
      <xdr:row>308</xdr:row>
      <xdr:rowOff>152400</xdr:rowOff>
    </xdr:from>
    <xdr:to>
      <xdr:col>6</xdr:col>
      <xdr:colOff>470537</xdr:colOff>
      <xdr:row>326</xdr:row>
      <xdr:rowOff>151951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rot="10800000">
          <a:off x="981957" y="63151871"/>
          <a:ext cx="4340727" cy="3630256"/>
        </a:xfrm>
        <a:prstGeom prst="rect">
          <a:avLst/>
        </a:prstGeom>
        <a:ln>
          <a:solidFill>
            <a:schemeClr val="tx1"/>
          </a:solidFill>
        </a:ln>
      </xdr:spPr>
    </xdr:pic>
    <xdr:clientData/>
  </xdr:twoCellAnchor>
  <xdr:twoCellAnchor editAs="oneCell">
    <xdr:from>
      <xdr:col>1</xdr:col>
      <xdr:colOff>175372</xdr:colOff>
      <xdr:row>327</xdr:row>
      <xdr:rowOff>114971</xdr:rowOff>
    </xdr:from>
    <xdr:to>
      <xdr:col>6</xdr:col>
      <xdr:colOff>542015</xdr:colOff>
      <xdr:row>345</xdr:row>
      <xdr:rowOff>114521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rot="10800000">
          <a:off x="937372" y="66946853"/>
          <a:ext cx="4456790" cy="3630256"/>
        </a:xfrm>
        <a:prstGeom prst="rect">
          <a:avLst/>
        </a:prstGeom>
        <a:ln>
          <a:solidFill>
            <a:schemeClr val="tx1"/>
          </a:solidFill>
        </a:ln>
      </xdr:spPr>
    </xdr:pic>
    <xdr:clientData/>
  </xdr:twoCellAnchor>
  <xdr:twoCellAnchor editAs="oneCell">
    <xdr:from>
      <xdr:col>0</xdr:col>
      <xdr:colOff>104775</xdr:colOff>
      <xdr:row>350</xdr:row>
      <xdr:rowOff>66675</xdr:rowOff>
    </xdr:from>
    <xdr:to>
      <xdr:col>7</xdr:col>
      <xdr:colOff>626945</xdr:colOff>
      <xdr:row>365</xdr:row>
      <xdr:rowOff>90299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04775" y="62950725"/>
          <a:ext cx="6103820" cy="3024000"/>
        </a:xfrm>
        <a:prstGeom prst="rect">
          <a:avLst/>
        </a:prstGeom>
        <a:ln>
          <a:solidFill>
            <a:schemeClr val="tx1"/>
          </a:solidFill>
        </a:ln>
      </xdr:spPr>
    </xdr:pic>
    <xdr:clientData/>
  </xdr:twoCellAnchor>
  <xdr:twoCellAnchor editAs="oneCell">
    <xdr:from>
      <xdr:col>0</xdr:col>
      <xdr:colOff>334200</xdr:colOff>
      <xdr:row>366</xdr:row>
      <xdr:rowOff>34475</xdr:rowOff>
    </xdr:from>
    <xdr:to>
      <xdr:col>7</xdr:col>
      <xdr:colOff>397521</xdr:colOff>
      <xdr:row>384</xdr:row>
      <xdr:rowOff>34025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334200" y="66118925"/>
          <a:ext cx="5644971" cy="3600000"/>
        </a:xfrm>
        <a:prstGeom prst="rect">
          <a:avLst/>
        </a:prstGeom>
        <a:ln>
          <a:solidFill>
            <a:schemeClr val="tx1"/>
          </a:solidFill>
        </a:ln>
      </xdr:spPr>
    </xdr:pic>
    <xdr:clientData/>
  </xdr:twoCellAnchor>
  <xdr:twoCellAnchor>
    <xdr:from>
      <xdr:col>3</xdr:col>
      <xdr:colOff>546306</xdr:colOff>
      <xdr:row>374</xdr:row>
      <xdr:rowOff>192224</xdr:rowOff>
    </xdr:from>
    <xdr:to>
      <xdr:col>4</xdr:col>
      <xdr:colOff>683185</xdr:colOff>
      <xdr:row>378</xdr:row>
      <xdr:rowOff>154165</xdr:rowOff>
    </xdr:to>
    <xdr:sp macro="" textlink="">
      <xdr:nvSpPr>
        <xdr:cNvPr id="6" name="Freeform 5">
          <a:extLst>
            <a:ext uri="{FF2B5EF4-FFF2-40B4-BE49-F238E27FC236}">
              <a16:creationId xmlns:a16="http://schemas.microsoft.com/office/drawing/2014/main" id="{00000000-0008-0000-0000-000006000000}"/>
            </a:ext>
          </a:extLst>
        </xdr:cNvPr>
        <xdr:cNvSpPr/>
      </xdr:nvSpPr>
      <xdr:spPr>
        <a:xfrm rot="14995534">
          <a:off x="3099069" y="76965902"/>
          <a:ext cx="768765" cy="1055761"/>
        </a:xfrm>
        <a:custGeom>
          <a:avLst/>
          <a:gdLst>
            <a:gd name="connsiteX0" fmla="*/ 501650 w 1403350"/>
            <a:gd name="connsiteY0" fmla="*/ 1993900 h 2006600"/>
            <a:gd name="connsiteX1" fmla="*/ 1403350 w 1403350"/>
            <a:gd name="connsiteY1" fmla="*/ 2006600 h 2006600"/>
            <a:gd name="connsiteX2" fmla="*/ 1397000 w 1403350"/>
            <a:gd name="connsiteY2" fmla="*/ 1841500 h 2006600"/>
            <a:gd name="connsiteX3" fmla="*/ 1289050 w 1403350"/>
            <a:gd name="connsiteY3" fmla="*/ 1714500 h 2006600"/>
            <a:gd name="connsiteX4" fmla="*/ 1327150 w 1403350"/>
            <a:gd name="connsiteY4" fmla="*/ 1365250 h 2006600"/>
            <a:gd name="connsiteX5" fmla="*/ 742950 w 1403350"/>
            <a:gd name="connsiteY5" fmla="*/ 685800 h 2006600"/>
            <a:gd name="connsiteX6" fmla="*/ 762000 w 1403350"/>
            <a:gd name="connsiteY6" fmla="*/ 165100 h 2006600"/>
            <a:gd name="connsiteX7" fmla="*/ 596900 w 1403350"/>
            <a:gd name="connsiteY7" fmla="*/ 114300 h 2006600"/>
            <a:gd name="connsiteX8" fmla="*/ 546100 w 1403350"/>
            <a:gd name="connsiteY8" fmla="*/ 19050 h 2006600"/>
            <a:gd name="connsiteX9" fmla="*/ 0 w 1403350"/>
            <a:gd name="connsiteY9" fmla="*/ 0 h 2006600"/>
            <a:gd name="connsiteX10" fmla="*/ 12700 w 1403350"/>
            <a:gd name="connsiteY10" fmla="*/ 1009650 h 2006600"/>
            <a:gd name="connsiteX11" fmla="*/ 520700 w 1403350"/>
            <a:gd name="connsiteY11" fmla="*/ 1543050 h 2006600"/>
            <a:gd name="connsiteX12" fmla="*/ 501650 w 1403350"/>
            <a:gd name="connsiteY12" fmla="*/ 1993900 h 2006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403350" h="2006600">
              <a:moveTo>
                <a:pt x="501650" y="1993900"/>
              </a:moveTo>
              <a:lnTo>
                <a:pt x="1403350" y="2006600"/>
              </a:lnTo>
              <a:lnTo>
                <a:pt x="1397000" y="1841500"/>
              </a:lnTo>
              <a:lnTo>
                <a:pt x="1289050" y="1714500"/>
              </a:lnTo>
              <a:lnTo>
                <a:pt x="1327150" y="1365250"/>
              </a:lnTo>
              <a:lnTo>
                <a:pt x="742950" y="685800"/>
              </a:lnTo>
              <a:lnTo>
                <a:pt x="762000" y="165100"/>
              </a:lnTo>
              <a:lnTo>
                <a:pt x="596900" y="114300"/>
              </a:lnTo>
              <a:lnTo>
                <a:pt x="546100" y="19050"/>
              </a:lnTo>
              <a:lnTo>
                <a:pt x="0" y="0"/>
              </a:lnTo>
              <a:lnTo>
                <a:pt x="12700" y="1009650"/>
              </a:lnTo>
              <a:lnTo>
                <a:pt x="520700" y="1543050"/>
              </a:lnTo>
              <a:cubicBezTo>
                <a:pt x="518583" y="1695450"/>
                <a:pt x="516467" y="1847850"/>
                <a:pt x="501650" y="1993900"/>
              </a:cubicBezTo>
              <a:close/>
            </a:path>
          </a:pathLst>
        </a:cu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9</xdr:col>
      <xdr:colOff>1</xdr:colOff>
      <xdr:row>265</xdr:row>
      <xdr:rowOff>0</xdr:rowOff>
    </xdr:from>
    <xdr:to>
      <xdr:col>10</xdr:col>
      <xdr:colOff>266701</xdr:colOff>
      <xdr:row>266</xdr:row>
      <xdr:rowOff>114646</xdr:rowOff>
    </xdr:to>
    <xdr:sp macro="" textlink="">
      <xdr:nvSpPr>
        <xdr:cNvPr id="21" name="TextBox 126">
          <a:extLst>
            <a:ext uri="{FF2B5EF4-FFF2-40B4-BE49-F238E27FC236}">
              <a16:creationId xmlns:a16="http://schemas.microsoft.com/office/drawing/2014/main" id="{979042FD-3003-45B7-A073-1EA09C524AE3}"/>
            </a:ext>
          </a:extLst>
        </xdr:cNvPr>
        <xdr:cNvSpPr txBox="1"/>
      </xdr:nvSpPr>
      <xdr:spPr>
        <a:xfrm>
          <a:off x="7950201" y="53733700"/>
          <a:ext cx="10668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Bldg No. 2C</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9</xdr:col>
      <xdr:colOff>384810</xdr:colOff>
      <xdr:row>263</xdr:row>
      <xdr:rowOff>113030</xdr:rowOff>
    </xdr:from>
    <xdr:to>
      <xdr:col>17</xdr:col>
      <xdr:colOff>391522</xdr:colOff>
      <xdr:row>303</xdr:row>
      <xdr:rowOff>119639</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354060" y="53840380"/>
          <a:ext cx="6528162" cy="7874259"/>
          <a:chOff x="57150" y="54013100"/>
          <a:chExt cx="6501492" cy="7874259"/>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360951" y="60447359"/>
            <a:ext cx="3197691" cy="144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a:stretch>
            <a:fillRect/>
          </a:stretch>
        </xdr:blipFill>
        <xdr:spPr>
          <a:xfrm>
            <a:off x="856573" y="56637853"/>
            <a:ext cx="4796536"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18025" y="54013100"/>
            <a:ext cx="1306462"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948379" y="54013100"/>
            <a:ext cx="1306462"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355748" y="54013100"/>
            <a:ext cx="1306462"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57150" y="60447359"/>
            <a:ext cx="3190472" cy="144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7150" y="58902606"/>
            <a:ext cx="3197691" cy="144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763117" y="54013100"/>
            <a:ext cx="1306462" cy="252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55748" y="58902606"/>
            <a:ext cx="3197691" cy="1440000"/>
          </a:xfrm>
          <a:prstGeom prst="rect">
            <a:avLst/>
          </a:prstGeom>
          <a:ln>
            <a:solidFill>
              <a:schemeClr val="tx1"/>
            </a:solidFill>
          </a:ln>
        </xdr:spPr>
      </xdr:pic>
      <xdr:sp macro="" textlink="">
        <xdr:nvSpPr>
          <xdr:cNvPr id="38" name="TextBox 126">
            <a:extLst>
              <a:ext uri="{FF2B5EF4-FFF2-40B4-BE49-F238E27FC236}">
                <a16:creationId xmlns:a16="http://schemas.microsoft.com/office/drawing/2014/main" id="{979042FD-3003-45B7-A073-1EA09C524AE3}"/>
              </a:ext>
            </a:extLst>
          </xdr:cNvPr>
          <xdr:cNvSpPr txBox="1"/>
        </xdr:nvSpPr>
        <xdr:spPr>
          <a:xfrm>
            <a:off x="518025" y="54013100"/>
            <a:ext cx="10668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Bldg No. 2C</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39" name="TextBox 126">
            <a:extLst>
              <a:ext uri="{FF2B5EF4-FFF2-40B4-BE49-F238E27FC236}">
                <a16:creationId xmlns:a16="http://schemas.microsoft.com/office/drawing/2014/main" id="{979042FD-3003-45B7-A073-1EA09C524AE3}"/>
              </a:ext>
            </a:extLst>
          </xdr:cNvPr>
          <xdr:cNvSpPr txBox="1"/>
        </xdr:nvSpPr>
        <xdr:spPr>
          <a:xfrm>
            <a:off x="1948379" y="54013100"/>
            <a:ext cx="10668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Bldg No. 2C</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40" name="TextBox 126">
            <a:extLst>
              <a:ext uri="{FF2B5EF4-FFF2-40B4-BE49-F238E27FC236}">
                <a16:creationId xmlns:a16="http://schemas.microsoft.com/office/drawing/2014/main" id="{979042FD-3003-45B7-A073-1EA09C524AE3}"/>
              </a:ext>
            </a:extLst>
          </xdr:cNvPr>
          <xdr:cNvSpPr txBox="1"/>
        </xdr:nvSpPr>
        <xdr:spPr>
          <a:xfrm>
            <a:off x="3628798" y="54051200"/>
            <a:ext cx="10668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Bldg No. 2C</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41" name="TextBox 126">
            <a:extLst>
              <a:ext uri="{FF2B5EF4-FFF2-40B4-BE49-F238E27FC236}">
                <a16:creationId xmlns:a16="http://schemas.microsoft.com/office/drawing/2014/main" id="{979042FD-3003-45B7-A073-1EA09C524AE3}"/>
              </a:ext>
            </a:extLst>
          </xdr:cNvPr>
          <xdr:cNvSpPr txBox="1"/>
        </xdr:nvSpPr>
        <xdr:spPr>
          <a:xfrm>
            <a:off x="4725017" y="54216300"/>
            <a:ext cx="10668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Bldg No. 2C</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42" name="TextBox 126">
            <a:extLst>
              <a:ext uri="{FF2B5EF4-FFF2-40B4-BE49-F238E27FC236}">
                <a16:creationId xmlns:a16="http://schemas.microsoft.com/office/drawing/2014/main" id="{979042FD-3003-45B7-A073-1EA09C524AE3}"/>
              </a:ext>
            </a:extLst>
          </xdr:cNvPr>
          <xdr:cNvSpPr txBox="1"/>
        </xdr:nvSpPr>
        <xdr:spPr>
          <a:xfrm>
            <a:off x="3079073" y="56656903"/>
            <a:ext cx="10668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Bldg No. 2B</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43" name="TextBox 126">
            <a:extLst>
              <a:ext uri="{FF2B5EF4-FFF2-40B4-BE49-F238E27FC236}">
                <a16:creationId xmlns:a16="http://schemas.microsoft.com/office/drawing/2014/main" id="{979042FD-3003-45B7-A073-1EA09C524AE3}"/>
              </a:ext>
            </a:extLst>
          </xdr:cNvPr>
          <xdr:cNvSpPr txBox="1"/>
        </xdr:nvSpPr>
        <xdr:spPr>
          <a:xfrm>
            <a:off x="1130300" y="59804306"/>
            <a:ext cx="10668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cap="none" spc="0">
                <a:ln w="0"/>
                <a:solidFill>
                  <a:sysClr val="windowText" lastClr="000000"/>
                </a:solidFill>
                <a:effectLst>
                  <a:outerShdw blurRad="38100" dist="25400" dir="5400000" algn="ctr" rotWithShape="0">
                    <a:srgbClr val="6E747A">
                      <a:alpha val="43000"/>
                    </a:srgbClr>
                  </a:outerShdw>
                </a:effectLst>
              </a:rPr>
              <a:t>Bldg No. 2A</a:t>
            </a:r>
            <a:endParaRPr lang="en-IN" sz="1400" b="0" cap="none" spc="0">
              <a:ln w="0"/>
              <a:solidFill>
                <a:sysClr val="windowText" lastClr="000000"/>
              </a:solidFill>
              <a:effectLst>
                <a:outerShdw blurRad="38100" dist="25400" dir="5400000" algn="ctr" rotWithShape="0">
                  <a:srgbClr val="6E747A">
                    <a:alpha val="43000"/>
                  </a:srgbClr>
                </a:outerShdw>
              </a:effectLst>
            </a:endParaRPr>
          </a:p>
        </xdr:txBody>
      </xdr:sp>
    </xdr:grpSp>
    <xdr:clientData/>
  </xdr:twoCellAnchor>
  <xdr:twoCellAnchor>
    <xdr:from>
      <xdr:col>0</xdr:col>
      <xdr:colOff>114300</xdr:colOff>
      <xdr:row>266</xdr:row>
      <xdr:rowOff>63500</xdr:rowOff>
    </xdr:from>
    <xdr:to>
      <xdr:col>7</xdr:col>
      <xdr:colOff>621433</xdr:colOff>
      <xdr:row>307</xdr:row>
      <xdr:rowOff>57150</xdr:rowOff>
    </xdr:to>
    <xdr:grpSp>
      <xdr:nvGrpSpPr>
        <xdr:cNvPr id="8" name="Group 7"/>
        <xdr:cNvGrpSpPr/>
      </xdr:nvGrpSpPr>
      <xdr:grpSpPr>
        <a:xfrm>
          <a:off x="114300" y="54381400"/>
          <a:ext cx="6380883" cy="8058150"/>
          <a:chOff x="114300" y="54381400"/>
          <a:chExt cx="6380883" cy="8058150"/>
        </a:xfrm>
      </xdr:grpSpPr>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585828" y="61161499"/>
            <a:ext cx="1348594" cy="1278051"/>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14300" y="56641433"/>
            <a:ext cx="2877677"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865903" y="58901466"/>
            <a:ext cx="1618313"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617506" y="58901466"/>
            <a:ext cx="2877677" cy="21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14300" y="54381400"/>
            <a:ext cx="2877677"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125266" y="56641433"/>
            <a:ext cx="1618313" cy="216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125267" y="54381400"/>
            <a:ext cx="1618313" cy="216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876870" y="56641433"/>
            <a:ext cx="1618313" cy="21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14300" y="58901466"/>
            <a:ext cx="1618313" cy="216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876870" y="54381400"/>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MWiu7DMQ87Rvmkz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50"/>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9" customWidth="1"/>
    <col min="2" max="2" width="12" style="39" customWidth="1"/>
    <col min="3" max="3" width="12.81640625" style="39" customWidth="1"/>
    <col min="4" max="4" width="13.81640625" style="39" customWidth="1"/>
    <col min="5" max="5" width="11.81640625" style="39" customWidth="1"/>
    <col min="6" max="6" width="11.1796875" style="39" customWidth="1"/>
    <col min="7" max="8" width="11" style="39" customWidth="1"/>
    <col min="9" max="9" width="19"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81640625" style="20" customWidth="1"/>
    <col min="17" max="18" width="9.1796875" style="20"/>
    <col min="19" max="19" width="10.81640625" style="20" bestFit="1" customWidth="1"/>
    <col min="20" max="20" width="10.81640625" style="20" customWidth="1"/>
    <col min="21" max="247" width="9.1796875" style="20"/>
    <col min="248" max="248" width="8.81640625" style="20" customWidth="1"/>
    <col min="249" max="249" width="9.81640625" style="20" customWidth="1"/>
    <col min="250" max="250" width="14.453125" style="20" customWidth="1"/>
    <col min="251" max="251" width="7.179687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81640625" style="20" customWidth="1"/>
    <col min="505" max="505" width="9.81640625" style="20" customWidth="1"/>
    <col min="506" max="506" width="14.453125" style="20" customWidth="1"/>
    <col min="507" max="507" width="7.179687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81640625" style="20" customWidth="1"/>
    <col min="761" max="761" width="9.81640625" style="20" customWidth="1"/>
    <col min="762" max="762" width="14.453125" style="20" customWidth="1"/>
    <col min="763" max="763" width="7.179687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81640625" style="20" customWidth="1"/>
    <col min="1017" max="1017" width="9.81640625" style="20" customWidth="1"/>
    <col min="1018" max="1018" width="14.453125" style="20" customWidth="1"/>
    <col min="1019" max="1019" width="7.179687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81640625" style="20" customWidth="1"/>
    <col min="1273" max="1273" width="9.81640625" style="20" customWidth="1"/>
    <col min="1274" max="1274" width="14.453125" style="20" customWidth="1"/>
    <col min="1275" max="1275" width="7.179687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81640625" style="20" customWidth="1"/>
    <col min="1529" max="1529" width="9.81640625" style="20" customWidth="1"/>
    <col min="1530" max="1530" width="14.453125" style="20" customWidth="1"/>
    <col min="1531" max="1531" width="7.179687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81640625" style="20" customWidth="1"/>
    <col min="1785" max="1785" width="9.81640625" style="20" customWidth="1"/>
    <col min="1786" max="1786" width="14.453125" style="20" customWidth="1"/>
    <col min="1787" max="1787" width="7.179687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81640625" style="20" customWidth="1"/>
    <col min="2041" max="2041" width="9.81640625" style="20" customWidth="1"/>
    <col min="2042" max="2042" width="14.453125" style="20" customWidth="1"/>
    <col min="2043" max="2043" width="7.179687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81640625" style="20" customWidth="1"/>
    <col min="2297" max="2297" width="9.81640625" style="20" customWidth="1"/>
    <col min="2298" max="2298" width="14.453125" style="20" customWidth="1"/>
    <col min="2299" max="2299" width="7.179687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81640625" style="20" customWidth="1"/>
    <col min="2553" max="2553" width="9.81640625" style="20" customWidth="1"/>
    <col min="2554" max="2554" width="14.453125" style="20" customWidth="1"/>
    <col min="2555" max="2555" width="7.179687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81640625" style="20" customWidth="1"/>
    <col min="2809" max="2809" width="9.81640625" style="20" customWidth="1"/>
    <col min="2810" max="2810" width="14.453125" style="20" customWidth="1"/>
    <col min="2811" max="2811" width="7.179687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81640625" style="20" customWidth="1"/>
    <col min="3065" max="3065" width="9.81640625" style="20" customWidth="1"/>
    <col min="3066" max="3066" width="14.453125" style="20" customWidth="1"/>
    <col min="3067" max="3067" width="7.179687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81640625" style="20" customWidth="1"/>
    <col min="3321" max="3321" width="9.81640625" style="20" customWidth="1"/>
    <col min="3322" max="3322" width="14.453125" style="20" customWidth="1"/>
    <col min="3323" max="3323" width="7.179687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81640625" style="20" customWidth="1"/>
    <col min="3577" max="3577" width="9.81640625" style="20" customWidth="1"/>
    <col min="3578" max="3578" width="14.453125" style="20" customWidth="1"/>
    <col min="3579" max="3579" width="7.179687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81640625" style="20" customWidth="1"/>
    <col min="3833" max="3833" width="9.81640625" style="20" customWidth="1"/>
    <col min="3834" max="3834" width="14.453125" style="20" customWidth="1"/>
    <col min="3835" max="3835" width="7.179687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81640625" style="20" customWidth="1"/>
    <col min="4089" max="4089" width="9.81640625" style="20" customWidth="1"/>
    <col min="4090" max="4090" width="14.453125" style="20" customWidth="1"/>
    <col min="4091" max="4091" width="7.179687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81640625" style="20" customWidth="1"/>
    <col min="4345" max="4345" width="9.81640625" style="20" customWidth="1"/>
    <col min="4346" max="4346" width="14.453125" style="20" customWidth="1"/>
    <col min="4347" max="4347" width="7.179687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81640625" style="20" customWidth="1"/>
    <col min="4601" max="4601" width="9.81640625" style="20" customWidth="1"/>
    <col min="4602" max="4602" width="14.453125" style="20" customWidth="1"/>
    <col min="4603" max="4603" width="7.179687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81640625" style="20" customWidth="1"/>
    <col min="4857" max="4857" width="9.81640625" style="20" customWidth="1"/>
    <col min="4858" max="4858" width="14.453125" style="20" customWidth="1"/>
    <col min="4859" max="4859" width="7.179687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81640625" style="20" customWidth="1"/>
    <col min="5113" max="5113" width="9.81640625" style="20" customWidth="1"/>
    <col min="5114" max="5114" width="14.453125" style="20" customWidth="1"/>
    <col min="5115" max="5115" width="7.179687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81640625" style="20" customWidth="1"/>
    <col min="5369" max="5369" width="9.81640625" style="20" customWidth="1"/>
    <col min="5370" max="5370" width="14.453125" style="20" customWidth="1"/>
    <col min="5371" max="5371" width="7.179687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81640625" style="20" customWidth="1"/>
    <col min="5625" max="5625" width="9.81640625" style="20" customWidth="1"/>
    <col min="5626" max="5626" width="14.453125" style="20" customWidth="1"/>
    <col min="5627" max="5627" width="7.179687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81640625" style="20" customWidth="1"/>
    <col min="5881" max="5881" width="9.81640625" style="20" customWidth="1"/>
    <col min="5882" max="5882" width="14.453125" style="20" customWidth="1"/>
    <col min="5883" max="5883" width="7.179687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81640625" style="20" customWidth="1"/>
    <col min="6137" max="6137" width="9.81640625" style="20" customWidth="1"/>
    <col min="6138" max="6138" width="14.453125" style="20" customWidth="1"/>
    <col min="6139" max="6139" width="7.179687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81640625" style="20" customWidth="1"/>
    <col min="6393" max="6393" width="9.81640625" style="20" customWidth="1"/>
    <col min="6394" max="6394" width="14.453125" style="20" customWidth="1"/>
    <col min="6395" max="6395" width="7.179687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81640625" style="20" customWidth="1"/>
    <col min="6649" max="6649" width="9.81640625" style="20" customWidth="1"/>
    <col min="6650" max="6650" width="14.453125" style="20" customWidth="1"/>
    <col min="6651" max="6651" width="7.179687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81640625" style="20" customWidth="1"/>
    <col min="6905" max="6905" width="9.81640625" style="20" customWidth="1"/>
    <col min="6906" max="6906" width="14.453125" style="20" customWidth="1"/>
    <col min="6907" max="6907" width="7.179687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81640625" style="20" customWidth="1"/>
    <col min="7161" max="7161" width="9.81640625" style="20" customWidth="1"/>
    <col min="7162" max="7162" width="14.453125" style="20" customWidth="1"/>
    <col min="7163" max="7163" width="7.179687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81640625" style="20" customWidth="1"/>
    <col min="7417" max="7417" width="9.81640625" style="20" customWidth="1"/>
    <col min="7418" max="7418" width="14.453125" style="20" customWidth="1"/>
    <col min="7419" max="7419" width="7.179687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81640625" style="20" customWidth="1"/>
    <col min="7673" max="7673" width="9.81640625" style="20" customWidth="1"/>
    <col min="7674" max="7674" width="14.453125" style="20" customWidth="1"/>
    <col min="7675" max="7675" width="7.179687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81640625" style="20" customWidth="1"/>
    <col min="7929" max="7929" width="9.81640625" style="20" customWidth="1"/>
    <col min="7930" max="7930" width="14.453125" style="20" customWidth="1"/>
    <col min="7931" max="7931" width="7.179687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81640625" style="20" customWidth="1"/>
    <col min="8185" max="8185" width="9.81640625" style="20" customWidth="1"/>
    <col min="8186" max="8186" width="14.453125" style="20" customWidth="1"/>
    <col min="8187" max="8187" width="7.179687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81640625" style="20" customWidth="1"/>
    <col min="8441" max="8441" width="9.81640625" style="20" customWidth="1"/>
    <col min="8442" max="8442" width="14.453125" style="20" customWidth="1"/>
    <col min="8443" max="8443" width="7.179687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81640625" style="20" customWidth="1"/>
    <col min="8697" max="8697" width="9.81640625" style="20" customWidth="1"/>
    <col min="8698" max="8698" width="14.453125" style="20" customWidth="1"/>
    <col min="8699" max="8699" width="7.179687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81640625" style="20" customWidth="1"/>
    <col min="8953" max="8953" width="9.81640625" style="20" customWidth="1"/>
    <col min="8954" max="8954" width="14.453125" style="20" customWidth="1"/>
    <col min="8955" max="8955" width="7.179687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81640625" style="20" customWidth="1"/>
    <col min="9209" max="9209" width="9.81640625" style="20" customWidth="1"/>
    <col min="9210" max="9210" width="14.453125" style="20" customWidth="1"/>
    <col min="9211" max="9211" width="7.179687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81640625" style="20" customWidth="1"/>
    <col min="9465" max="9465" width="9.81640625" style="20" customWidth="1"/>
    <col min="9466" max="9466" width="14.453125" style="20" customWidth="1"/>
    <col min="9467" max="9467" width="7.179687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81640625" style="20" customWidth="1"/>
    <col min="9721" max="9721" width="9.81640625" style="20" customWidth="1"/>
    <col min="9722" max="9722" width="14.453125" style="20" customWidth="1"/>
    <col min="9723" max="9723" width="7.179687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81640625" style="20" customWidth="1"/>
    <col min="9977" max="9977" width="9.81640625" style="20" customWidth="1"/>
    <col min="9978" max="9978" width="14.453125" style="20" customWidth="1"/>
    <col min="9979" max="9979" width="7.179687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81640625" style="20" customWidth="1"/>
    <col min="10233" max="10233" width="9.81640625" style="20" customWidth="1"/>
    <col min="10234" max="10234" width="14.453125" style="20" customWidth="1"/>
    <col min="10235" max="10235" width="7.179687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81640625" style="20" customWidth="1"/>
    <col min="10489" max="10489" width="9.81640625" style="20" customWidth="1"/>
    <col min="10490" max="10490" width="14.453125" style="20" customWidth="1"/>
    <col min="10491" max="10491" width="7.179687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81640625" style="20" customWidth="1"/>
    <col min="10745" max="10745" width="9.81640625" style="20" customWidth="1"/>
    <col min="10746" max="10746" width="14.453125" style="20" customWidth="1"/>
    <col min="10747" max="10747" width="7.179687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81640625" style="20" customWidth="1"/>
    <col min="11001" max="11001" width="9.81640625" style="20" customWidth="1"/>
    <col min="11002" max="11002" width="14.453125" style="20" customWidth="1"/>
    <col min="11003" max="11003" width="7.179687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81640625" style="20" customWidth="1"/>
    <col min="11257" max="11257" width="9.81640625" style="20" customWidth="1"/>
    <col min="11258" max="11258" width="14.453125" style="20" customWidth="1"/>
    <col min="11259" max="11259" width="7.179687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81640625" style="20" customWidth="1"/>
    <col min="11513" max="11513" width="9.81640625" style="20" customWidth="1"/>
    <col min="11514" max="11514" width="14.453125" style="20" customWidth="1"/>
    <col min="11515" max="11515" width="7.179687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81640625" style="20" customWidth="1"/>
    <col min="11769" max="11769" width="9.81640625" style="20" customWidth="1"/>
    <col min="11770" max="11770" width="14.453125" style="20" customWidth="1"/>
    <col min="11771" max="11771" width="7.179687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81640625" style="20" customWidth="1"/>
    <col min="12025" max="12025" width="9.81640625" style="20" customWidth="1"/>
    <col min="12026" max="12026" width="14.453125" style="20" customWidth="1"/>
    <col min="12027" max="12027" width="7.179687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81640625" style="20" customWidth="1"/>
    <col min="12281" max="12281" width="9.81640625" style="20" customWidth="1"/>
    <col min="12282" max="12282" width="14.453125" style="20" customWidth="1"/>
    <col min="12283" max="12283" width="7.179687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81640625" style="20" customWidth="1"/>
    <col min="12537" max="12537" width="9.81640625" style="20" customWidth="1"/>
    <col min="12538" max="12538" width="14.453125" style="20" customWidth="1"/>
    <col min="12539" max="12539" width="7.179687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81640625" style="20" customWidth="1"/>
    <col min="12793" max="12793" width="9.81640625" style="20" customWidth="1"/>
    <col min="12794" max="12794" width="14.453125" style="20" customWidth="1"/>
    <col min="12795" max="12795" width="7.179687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81640625" style="20" customWidth="1"/>
    <col min="13049" max="13049" width="9.81640625" style="20" customWidth="1"/>
    <col min="13050" max="13050" width="14.453125" style="20" customWidth="1"/>
    <col min="13051" max="13051" width="7.179687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81640625" style="20" customWidth="1"/>
    <col min="13305" max="13305" width="9.81640625" style="20" customWidth="1"/>
    <col min="13306" max="13306" width="14.453125" style="20" customWidth="1"/>
    <col min="13307" max="13307" width="7.179687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81640625" style="20" customWidth="1"/>
    <col min="13561" max="13561" width="9.81640625" style="20" customWidth="1"/>
    <col min="13562" max="13562" width="14.453125" style="20" customWidth="1"/>
    <col min="13563" max="13563" width="7.179687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81640625" style="20" customWidth="1"/>
    <col min="13817" max="13817" width="9.81640625" style="20" customWidth="1"/>
    <col min="13818" max="13818" width="14.453125" style="20" customWidth="1"/>
    <col min="13819" max="13819" width="7.179687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81640625" style="20" customWidth="1"/>
    <col min="14073" max="14073" width="9.81640625" style="20" customWidth="1"/>
    <col min="14074" max="14074" width="14.453125" style="20" customWidth="1"/>
    <col min="14075" max="14075" width="7.179687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81640625" style="20" customWidth="1"/>
    <col min="14329" max="14329" width="9.81640625" style="20" customWidth="1"/>
    <col min="14330" max="14330" width="14.453125" style="20" customWidth="1"/>
    <col min="14331" max="14331" width="7.179687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81640625" style="20" customWidth="1"/>
    <col min="14585" max="14585" width="9.81640625" style="20" customWidth="1"/>
    <col min="14586" max="14586" width="14.453125" style="20" customWidth="1"/>
    <col min="14587" max="14587" width="7.179687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81640625" style="20" customWidth="1"/>
    <col min="14841" max="14841" width="9.81640625" style="20" customWidth="1"/>
    <col min="14842" max="14842" width="14.453125" style="20" customWidth="1"/>
    <col min="14843" max="14843" width="7.179687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81640625" style="20" customWidth="1"/>
    <col min="15097" max="15097" width="9.81640625" style="20" customWidth="1"/>
    <col min="15098" max="15098" width="14.453125" style="20" customWidth="1"/>
    <col min="15099" max="15099" width="7.179687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81640625" style="20" customWidth="1"/>
    <col min="15353" max="15353" width="9.81640625" style="20" customWidth="1"/>
    <col min="15354" max="15354" width="14.453125" style="20" customWidth="1"/>
    <col min="15355" max="15355" width="7.179687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81640625" style="20" customWidth="1"/>
    <col min="15609" max="15609" width="9.81640625" style="20" customWidth="1"/>
    <col min="15610" max="15610" width="14.453125" style="20" customWidth="1"/>
    <col min="15611" max="15611" width="7.179687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81640625" style="20" customWidth="1"/>
    <col min="15865" max="15865" width="9.81640625" style="20" customWidth="1"/>
    <col min="15866" max="15866" width="14.453125" style="20" customWidth="1"/>
    <col min="15867" max="15867" width="7.179687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81640625" style="20" customWidth="1"/>
    <col min="16121" max="16121" width="9.81640625" style="20" customWidth="1"/>
    <col min="16122" max="16122" width="14.453125" style="20" customWidth="1"/>
    <col min="16123" max="16123" width="7.179687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72" t="s">
        <v>161</v>
      </c>
      <c r="B1" s="172"/>
      <c r="C1" s="172"/>
      <c r="D1" s="172"/>
      <c r="E1" s="172"/>
      <c r="F1" s="172"/>
      <c r="G1" s="172"/>
      <c r="H1" s="172"/>
    </row>
    <row r="2" spans="1:26" ht="16.5" customHeight="1" x14ac:dyDescent="0.35">
      <c r="A2" s="173" t="s">
        <v>0</v>
      </c>
      <c r="B2" s="173"/>
      <c r="C2" s="173"/>
      <c r="D2" s="173"/>
      <c r="E2" s="173"/>
      <c r="F2" s="173"/>
      <c r="G2" s="173"/>
      <c r="H2" s="173"/>
    </row>
    <row r="3" spans="1:26" x14ac:dyDescent="0.35">
      <c r="A3" s="163" t="s">
        <v>1</v>
      </c>
      <c r="B3" s="163"/>
      <c r="C3" s="163"/>
      <c r="D3" s="163"/>
      <c r="E3" s="163" t="str">
        <f ca="1">TEXT(TODAY(),"DD/MM/YYYY")</f>
        <v>18/09/2025</v>
      </c>
      <c r="F3" s="163"/>
      <c r="G3" s="163"/>
      <c r="H3" s="163"/>
      <c r="K3" s="53" t="s">
        <v>235</v>
      </c>
      <c r="L3" s="52" t="s">
        <v>233</v>
      </c>
      <c r="M3" s="52" t="s">
        <v>238</v>
      </c>
      <c r="N3" s="52" t="s">
        <v>236</v>
      </c>
      <c r="O3" s="52" t="s">
        <v>340</v>
      </c>
      <c r="P3" s="52" t="s">
        <v>239</v>
      </c>
    </row>
    <row r="4" spans="1:26" ht="15" customHeight="1" x14ac:dyDescent="0.35">
      <c r="A4" s="163" t="s">
        <v>232</v>
      </c>
      <c r="B4" s="163"/>
      <c r="C4" s="163"/>
      <c r="D4" s="163"/>
      <c r="E4" s="163" t="s">
        <v>233</v>
      </c>
      <c r="F4" s="163"/>
      <c r="G4" s="163"/>
      <c r="H4" s="163"/>
      <c r="K4" s="51" t="s">
        <v>234</v>
      </c>
      <c r="L4" s="52" t="s">
        <v>167</v>
      </c>
      <c r="M4" s="52" t="s">
        <v>243</v>
      </c>
      <c r="N4" s="52" t="s">
        <v>245</v>
      </c>
      <c r="O4" s="52" t="s">
        <v>341</v>
      </c>
      <c r="P4" s="52"/>
    </row>
    <row r="5" spans="1:26" ht="15" customHeight="1" x14ac:dyDescent="0.35">
      <c r="A5" s="163" t="s">
        <v>2</v>
      </c>
      <c r="B5" s="163"/>
      <c r="C5" s="163"/>
      <c r="D5" s="163"/>
      <c r="E5" s="163" t="s">
        <v>167</v>
      </c>
      <c r="F5" s="163"/>
      <c r="G5" s="163"/>
      <c r="H5" s="163"/>
      <c r="K5" s="51"/>
      <c r="L5" s="52" t="s">
        <v>240</v>
      </c>
      <c r="M5" s="52" t="s">
        <v>244</v>
      </c>
      <c r="N5" s="52" t="s">
        <v>246</v>
      </c>
      <c r="O5" s="52" t="s">
        <v>342</v>
      </c>
      <c r="P5" s="52"/>
    </row>
    <row r="6" spans="1:26" x14ac:dyDescent="0.35">
      <c r="A6" s="163" t="s">
        <v>3</v>
      </c>
      <c r="B6" s="163"/>
      <c r="C6" s="163"/>
      <c r="D6" s="163"/>
      <c r="E6" s="174">
        <v>45918</v>
      </c>
      <c r="F6" s="163"/>
      <c r="G6" s="163"/>
      <c r="H6" s="163"/>
      <c r="K6" s="51"/>
      <c r="L6" s="52" t="s">
        <v>241</v>
      </c>
      <c r="M6" s="52"/>
      <c r="N6" s="52"/>
      <c r="O6" s="52" t="s">
        <v>343</v>
      </c>
      <c r="P6" s="52"/>
    </row>
    <row r="7" spans="1:26" ht="16.5" customHeight="1" x14ac:dyDescent="0.35">
      <c r="A7" s="163" t="s">
        <v>4</v>
      </c>
      <c r="B7" s="163"/>
      <c r="C7" s="163"/>
      <c r="D7" s="163"/>
      <c r="E7" s="163" t="s">
        <v>348</v>
      </c>
      <c r="F7" s="163"/>
      <c r="G7" s="163"/>
      <c r="H7" s="163"/>
      <c r="K7" s="51"/>
      <c r="L7" s="52" t="s">
        <v>242</v>
      </c>
      <c r="M7" s="52"/>
      <c r="N7" s="52"/>
      <c r="O7" s="52" t="s">
        <v>343</v>
      </c>
      <c r="P7" s="52"/>
    </row>
    <row r="8" spans="1:26" ht="15" customHeight="1" x14ac:dyDescent="0.35">
      <c r="A8" s="163" t="s">
        <v>5</v>
      </c>
      <c r="B8" s="163"/>
      <c r="C8" s="163"/>
      <c r="D8" s="163"/>
      <c r="E8" s="163" t="str">
        <f>E7</f>
        <v>Parivar Homes</v>
      </c>
      <c r="F8" s="163"/>
      <c r="G8" s="163"/>
      <c r="H8" s="163"/>
      <c r="K8" s="51"/>
      <c r="L8" s="52"/>
      <c r="M8" s="52"/>
      <c r="N8" s="52"/>
      <c r="O8" s="52" t="s">
        <v>344</v>
      </c>
      <c r="P8" s="52"/>
    </row>
    <row r="9" spans="1:26" x14ac:dyDescent="0.35">
      <c r="A9" s="163" t="s">
        <v>6</v>
      </c>
      <c r="B9" s="163"/>
      <c r="C9" s="163"/>
      <c r="D9" s="163"/>
      <c r="E9" s="126" t="s">
        <v>349</v>
      </c>
      <c r="F9" s="126"/>
      <c r="G9" s="126"/>
      <c r="H9" s="126"/>
      <c r="K9" s="51"/>
      <c r="L9" s="52"/>
      <c r="M9" s="52"/>
      <c r="N9" s="52"/>
      <c r="O9" s="52" t="s">
        <v>345</v>
      </c>
      <c r="P9" s="52"/>
    </row>
    <row r="10" spans="1:26" x14ac:dyDescent="0.35">
      <c r="A10" s="163" t="s">
        <v>164</v>
      </c>
      <c r="B10" s="163"/>
      <c r="C10" s="163"/>
      <c r="D10" s="163"/>
      <c r="E10" s="163">
        <v>8169703636</v>
      </c>
      <c r="F10" s="163"/>
      <c r="G10" s="163"/>
      <c r="H10" s="163"/>
      <c r="K10" s="51"/>
      <c r="L10" s="52"/>
      <c r="M10" s="52"/>
      <c r="N10" s="52"/>
      <c r="O10" s="52" t="s">
        <v>346</v>
      </c>
      <c r="P10" s="52"/>
    </row>
    <row r="11" spans="1:26" x14ac:dyDescent="0.35">
      <c r="A11" s="163" t="s">
        <v>165</v>
      </c>
      <c r="B11" s="163"/>
      <c r="C11" s="163"/>
      <c r="D11" s="163"/>
      <c r="E11" s="163" t="s">
        <v>405</v>
      </c>
      <c r="F11" s="163"/>
      <c r="G11" s="163"/>
      <c r="H11" s="163"/>
      <c r="I11" s="163" t="s">
        <v>400</v>
      </c>
      <c r="J11" s="163"/>
      <c r="K11" s="163"/>
      <c r="L11" s="163"/>
      <c r="O11" s="52" t="s">
        <v>347</v>
      </c>
    </row>
    <row r="12" spans="1:26" x14ac:dyDescent="0.35">
      <c r="A12" s="163" t="s">
        <v>7</v>
      </c>
      <c r="B12" s="163"/>
      <c r="C12" s="163"/>
      <c r="D12" s="163"/>
      <c r="E12" s="163" t="s">
        <v>350</v>
      </c>
      <c r="F12" s="163"/>
      <c r="G12" s="163"/>
      <c r="H12" s="163"/>
    </row>
    <row r="13" spans="1:26" x14ac:dyDescent="0.35">
      <c r="A13" s="163" t="s">
        <v>168</v>
      </c>
      <c r="B13" s="163"/>
      <c r="C13" s="163"/>
      <c r="D13" s="163"/>
      <c r="E13" s="163" t="s">
        <v>28</v>
      </c>
      <c r="F13" s="163"/>
      <c r="G13" s="163"/>
      <c r="H13" s="163"/>
      <c r="S13" s="52" t="s">
        <v>177</v>
      </c>
      <c r="T13" s="52" t="s">
        <v>186</v>
      </c>
      <c r="U13" s="52" t="s">
        <v>169</v>
      </c>
      <c r="V13" s="52" t="s">
        <v>191</v>
      </c>
      <c r="W13" s="52" t="s">
        <v>209</v>
      </c>
      <c r="X13"/>
      <c r="Y13" t="s">
        <v>191</v>
      </c>
      <c r="Z13" t="e">
        <f ca="1">OFFSET($S$13,1,MATCH($G20,$S$13:$W$13,0)-1,15,1)</f>
        <v>#VALUE!</v>
      </c>
    </row>
    <row r="14" spans="1:26" x14ac:dyDescent="0.35">
      <c r="A14" s="97" t="s">
        <v>278</v>
      </c>
      <c r="B14" s="97"/>
      <c r="C14" s="97"/>
      <c r="D14" s="97"/>
      <c r="E14" s="117" t="s">
        <v>225</v>
      </c>
      <c r="F14" s="117"/>
      <c r="G14" s="117"/>
      <c r="H14" s="117"/>
      <c r="S14" s="52" t="s">
        <v>177</v>
      </c>
      <c r="T14" s="52" t="s">
        <v>184</v>
      </c>
      <c r="U14" s="52" t="s">
        <v>206</v>
      </c>
      <c r="V14" s="52" t="s">
        <v>192</v>
      </c>
      <c r="W14" s="52" t="s">
        <v>210</v>
      </c>
      <c r="X14"/>
      <c r="Y14"/>
      <c r="Z14"/>
    </row>
    <row r="15" spans="1:26" x14ac:dyDescent="0.35">
      <c r="A15" s="97" t="s">
        <v>8</v>
      </c>
      <c r="B15" s="97"/>
      <c r="C15" s="97"/>
      <c r="D15" s="97"/>
      <c r="E15" s="117" t="s">
        <v>351</v>
      </c>
      <c r="F15" s="163"/>
      <c r="G15" s="163"/>
      <c r="H15" s="163"/>
      <c r="I15" s="204" t="e">
        <f ca="1">OFFSET($D$5,1,MATCH($J13,$D$5:$H$5,0)-1,15,1)</f>
        <v>#N/A</v>
      </c>
      <c r="J15" s="205"/>
      <c r="K15" s="205"/>
      <c r="L15" s="205"/>
      <c r="M15" s="205"/>
      <c r="N15" s="205"/>
      <c r="O15" s="205"/>
      <c r="P15" s="205"/>
      <c r="S15" s="52" t="s">
        <v>178</v>
      </c>
      <c r="T15" s="52" t="s">
        <v>185</v>
      </c>
      <c r="U15" s="52" t="s">
        <v>207</v>
      </c>
      <c r="V15" s="52" t="s">
        <v>193</v>
      </c>
      <c r="W15" s="52" t="s">
        <v>223</v>
      </c>
      <c r="X15"/>
      <c r="Y15"/>
      <c r="Z15"/>
    </row>
    <row r="16" spans="1:26" ht="36" customHeight="1" x14ac:dyDescent="0.35">
      <c r="A16" s="164" t="s">
        <v>9</v>
      </c>
      <c r="B16" s="164"/>
      <c r="C16" s="164" t="str">
        <f>CONCATENATE((IF(OR(E9="",E9="NA"),"",E9)),", ",(IF(OR(A17="",A17="NA"),"",A17)),".",(IF(OR(C17="",C17="NA"),"",C17)),", near ",(IF(OR(C22="",C22="NA"),"",C22)),", ",(IF(OR(C19="",C19="NA"),"",C19)),", ",(IF(OR(C18="",C18="NA"),"",C18)),", ",(IF(OR(G19="",G19="NA"),"",G19)),", ",(IF(OR(C20="",C20="NA"),"",C20)),", ",(IF(OR(C21="",C21="NA"),"",C21)),", ",(IF(OR(G20="",G20="NA"),"",G20))," - ",(IF(OR(G21="",G21="NA"),"",G21)),".")</f>
        <v>Parivar Complex Building No 2, Gut No.134 pt, near Shivalay House, Saphale Road, , Sartodi, Saphale, Palghar, Palghar - 401102.</v>
      </c>
      <c r="D16" s="164"/>
      <c r="E16" s="164"/>
      <c r="F16" s="164"/>
      <c r="G16" s="164"/>
      <c r="H16" s="164"/>
      <c r="S16" s="52" t="s">
        <v>179</v>
      </c>
      <c r="T16" s="52" t="s">
        <v>187</v>
      </c>
      <c r="U16" s="52" t="s">
        <v>208</v>
      </c>
      <c r="V16" s="52" t="s">
        <v>194</v>
      </c>
      <c r="W16" s="52" t="s">
        <v>211</v>
      </c>
      <c r="X16"/>
      <c r="Y16"/>
      <c r="Z16"/>
    </row>
    <row r="17" spans="1:26" x14ac:dyDescent="0.35">
      <c r="A17" s="117" t="s">
        <v>353</v>
      </c>
      <c r="B17" s="117"/>
      <c r="C17" s="117" t="s">
        <v>354</v>
      </c>
      <c r="D17" s="117"/>
      <c r="E17" s="117"/>
      <c r="F17" s="117"/>
      <c r="G17" s="117"/>
      <c r="H17" s="117"/>
      <c r="S17" s="52" t="s">
        <v>180</v>
      </c>
      <c r="T17" s="52" t="s">
        <v>188</v>
      </c>
      <c r="U17" s="52" t="s">
        <v>169</v>
      </c>
      <c r="V17" s="52" t="s">
        <v>195</v>
      </c>
      <c r="W17" s="52" t="s">
        <v>212</v>
      </c>
      <c r="X17"/>
      <c r="Y17"/>
      <c r="Z17"/>
    </row>
    <row r="18" spans="1:26" ht="15.75" customHeight="1" x14ac:dyDescent="0.35">
      <c r="A18" s="117" t="s">
        <v>159</v>
      </c>
      <c r="B18" s="117"/>
      <c r="C18" s="117" t="s">
        <v>28</v>
      </c>
      <c r="D18" s="117"/>
      <c r="E18" s="117"/>
      <c r="F18" s="117"/>
      <c r="G18" s="117"/>
      <c r="H18" s="117"/>
      <c r="S18" s="52" t="s">
        <v>181</v>
      </c>
      <c r="T18" s="52" t="s">
        <v>186</v>
      </c>
      <c r="U18" s="52"/>
      <c r="V18" s="52" t="s">
        <v>196</v>
      </c>
      <c r="W18" s="52" t="s">
        <v>213</v>
      </c>
      <c r="X18"/>
      <c r="Y18"/>
      <c r="Z18"/>
    </row>
    <row r="19" spans="1:26" ht="15.75" customHeight="1" x14ac:dyDescent="0.35">
      <c r="A19" s="164" t="s">
        <v>10</v>
      </c>
      <c r="B19" s="164"/>
      <c r="C19" s="163" t="s">
        <v>357</v>
      </c>
      <c r="D19" s="163"/>
      <c r="E19" s="164" t="s">
        <v>70</v>
      </c>
      <c r="F19" s="164"/>
      <c r="G19" s="117" t="s">
        <v>355</v>
      </c>
      <c r="H19" s="117"/>
      <c r="S19" s="52" t="s">
        <v>182</v>
      </c>
      <c r="T19" s="52" t="s">
        <v>189</v>
      </c>
      <c r="U19" s="52"/>
      <c r="V19" s="52" t="s">
        <v>197</v>
      </c>
      <c r="W19" s="52" t="s">
        <v>214</v>
      </c>
      <c r="X19"/>
      <c r="Y19"/>
      <c r="Z19"/>
    </row>
    <row r="20" spans="1:26" x14ac:dyDescent="0.35">
      <c r="A20" s="97" t="s">
        <v>12</v>
      </c>
      <c r="B20" s="97"/>
      <c r="C20" s="117" t="s">
        <v>356</v>
      </c>
      <c r="D20" s="117"/>
      <c r="E20" s="164" t="s">
        <v>11</v>
      </c>
      <c r="F20" s="164"/>
      <c r="G20" s="171" t="s">
        <v>186</v>
      </c>
      <c r="H20" s="171"/>
      <c r="S20" s="52" t="s">
        <v>183</v>
      </c>
      <c r="T20" s="52" t="s">
        <v>190</v>
      </c>
      <c r="U20" s="52"/>
      <c r="V20" s="52" t="s">
        <v>198</v>
      </c>
      <c r="W20" s="52" t="s">
        <v>215</v>
      </c>
      <c r="X20"/>
      <c r="Y20"/>
      <c r="Z20"/>
    </row>
    <row r="21" spans="1:26" x14ac:dyDescent="0.35">
      <c r="A21" s="97" t="s">
        <v>71</v>
      </c>
      <c r="B21" s="97"/>
      <c r="C21" s="117" t="s">
        <v>186</v>
      </c>
      <c r="D21" s="117"/>
      <c r="E21" s="164" t="s">
        <v>13</v>
      </c>
      <c r="F21" s="164"/>
      <c r="G21" s="117">
        <v>401102</v>
      </c>
      <c r="H21" s="117"/>
      <c r="S21" s="52"/>
      <c r="T21" s="52"/>
      <c r="U21" s="52"/>
      <c r="V21" s="52" t="s">
        <v>199</v>
      </c>
      <c r="W21" s="52" t="s">
        <v>216</v>
      </c>
      <c r="X21"/>
      <c r="Y21"/>
      <c r="Z21"/>
    </row>
    <row r="22" spans="1:26" ht="32.25" customHeight="1" x14ac:dyDescent="0.35">
      <c r="A22" s="97" t="s">
        <v>118</v>
      </c>
      <c r="B22" s="97"/>
      <c r="C22" s="117" t="s">
        <v>371</v>
      </c>
      <c r="D22" s="117"/>
      <c r="E22" s="164" t="s">
        <v>14</v>
      </c>
      <c r="F22" s="164"/>
      <c r="G22" s="117" t="s">
        <v>352</v>
      </c>
      <c r="H22" s="117"/>
      <c r="S22" s="52"/>
      <c r="T22" s="52"/>
      <c r="U22" s="52"/>
      <c r="V22" s="52" t="s">
        <v>200</v>
      </c>
      <c r="W22" s="52" t="s">
        <v>217</v>
      </c>
      <c r="X22"/>
      <c r="Y22"/>
      <c r="Z22"/>
    </row>
    <row r="23" spans="1:26" ht="15" customHeight="1" x14ac:dyDescent="0.35">
      <c r="A23" s="164" t="s">
        <v>73</v>
      </c>
      <c r="B23" s="164"/>
      <c r="C23" s="164"/>
      <c r="D23" s="164"/>
      <c r="E23" s="163" t="s">
        <v>15</v>
      </c>
      <c r="F23" s="163"/>
      <c r="G23" s="163"/>
      <c r="H23" s="163"/>
      <c r="S23" s="52"/>
      <c r="T23" s="52"/>
      <c r="U23" s="52"/>
      <c r="V23" s="52" t="s">
        <v>201</v>
      </c>
      <c r="W23" s="52" t="s">
        <v>218</v>
      </c>
      <c r="X23"/>
      <c r="Y23"/>
      <c r="Z23"/>
    </row>
    <row r="24" spans="1:26" ht="18.75" customHeight="1" x14ac:dyDescent="0.35">
      <c r="A24" s="164"/>
      <c r="B24" s="164"/>
      <c r="C24" s="164"/>
      <c r="D24" s="164"/>
      <c r="E24" s="163"/>
      <c r="F24" s="163"/>
      <c r="G24" s="163"/>
      <c r="H24" s="163"/>
      <c r="S24" s="52"/>
      <c r="T24" s="52"/>
      <c r="U24" s="52"/>
      <c r="V24" s="52" t="s">
        <v>202</v>
      </c>
      <c r="W24" s="52" t="s">
        <v>219</v>
      </c>
      <c r="X24"/>
      <c r="Y24"/>
      <c r="Z24"/>
    </row>
    <row r="25" spans="1:26" ht="15" customHeight="1" x14ac:dyDescent="0.35">
      <c r="A25" s="164" t="s">
        <v>16</v>
      </c>
      <c r="B25" s="164"/>
      <c r="C25" s="164"/>
      <c r="D25" s="164"/>
      <c r="E25" s="117" t="s">
        <v>17</v>
      </c>
      <c r="F25" s="117"/>
      <c r="G25" s="117"/>
      <c r="H25" s="117"/>
      <c r="S25" s="52"/>
      <c r="T25" s="52"/>
      <c r="U25" s="52"/>
      <c r="V25" s="52" t="s">
        <v>203</v>
      </c>
      <c r="W25" s="52" t="s">
        <v>220</v>
      </c>
      <c r="X25"/>
      <c r="Y25"/>
      <c r="Z25"/>
    </row>
    <row r="26" spans="1:26" ht="15" customHeight="1" x14ac:dyDescent="0.35">
      <c r="A26" s="97" t="s">
        <v>18</v>
      </c>
      <c r="B26" s="97"/>
      <c r="C26" s="97"/>
      <c r="D26" s="97"/>
      <c r="E26" s="117" t="str">
        <f>IF(AND(G20="Mumbai"),"Upper Class","Middle Class")</f>
        <v>Middle Class</v>
      </c>
      <c r="F26" s="117"/>
      <c r="G26" s="117"/>
      <c r="H26" s="117"/>
      <c r="S26" s="52"/>
      <c r="T26" s="52"/>
      <c r="U26" s="52"/>
      <c r="V26" s="52" t="s">
        <v>204</v>
      </c>
      <c r="W26" s="52" t="s">
        <v>221</v>
      </c>
      <c r="X26"/>
      <c r="Y26"/>
      <c r="Z26"/>
    </row>
    <row r="27" spans="1:26" x14ac:dyDescent="0.35">
      <c r="A27" s="97" t="s">
        <v>19</v>
      </c>
      <c r="B27" s="97"/>
      <c r="C27" s="97"/>
      <c r="D27" s="97"/>
      <c r="E27" s="117" t="s">
        <v>20</v>
      </c>
      <c r="F27" s="117"/>
      <c r="G27" s="117"/>
      <c r="H27" s="117"/>
      <c r="S27" s="52"/>
      <c r="T27" s="52"/>
      <c r="U27" s="52"/>
      <c r="V27" s="52" t="s">
        <v>205</v>
      </c>
      <c r="W27" s="52" t="s">
        <v>222</v>
      </c>
      <c r="X27"/>
      <c r="Y27"/>
      <c r="Z27"/>
    </row>
    <row r="28" spans="1:26" ht="15.75" customHeight="1" x14ac:dyDescent="0.35">
      <c r="A28" s="97" t="s">
        <v>21</v>
      </c>
      <c r="B28" s="97"/>
      <c r="C28" s="97"/>
      <c r="D28" s="97"/>
      <c r="E28" s="117" t="str">
        <f>IF(AND(G20="Mumbai"),"Developed","Developing")</f>
        <v>Developing</v>
      </c>
      <c r="F28" s="117"/>
      <c r="G28" s="117"/>
      <c r="H28" s="117"/>
    </row>
    <row r="29" spans="1:26" x14ac:dyDescent="0.35">
      <c r="A29" s="97" t="s">
        <v>22</v>
      </c>
      <c r="B29" s="97"/>
      <c r="C29" s="97"/>
      <c r="D29" s="97"/>
      <c r="E29" s="117" t="s">
        <v>23</v>
      </c>
      <c r="F29" s="117"/>
      <c r="G29" s="117"/>
      <c r="H29" s="117"/>
    </row>
    <row r="30" spans="1:26" ht="15.75" customHeight="1" x14ac:dyDescent="0.35">
      <c r="A30" s="97" t="s">
        <v>78</v>
      </c>
      <c r="B30" s="97"/>
      <c r="C30" s="97"/>
      <c r="D30" s="97"/>
      <c r="E30" s="117" t="s">
        <v>79</v>
      </c>
      <c r="F30" s="117"/>
      <c r="G30" s="117"/>
      <c r="H30" s="117"/>
    </row>
    <row r="31" spans="1:26" ht="15" customHeight="1" x14ac:dyDescent="0.35">
      <c r="A31" s="97" t="s">
        <v>30</v>
      </c>
      <c r="B31" s="97"/>
      <c r="C31" s="97"/>
      <c r="D31" s="97"/>
      <c r="E31" s="11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7"/>
      <c r="G31" s="117"/>
      <c r="H31" s="117"/>
    </row>
    <row r="32" spans="1:26" ht="15.75" customHeight="1" x14ac:dyDescent="0.35">
      <c r="A32" s="97" t="s">
        <v>90</v>
      </c>
      <c r="B32" s="97"/>
      <c r="C32" s="97"/>
      <c r="D32" s="97"/>
      <c r="E32" s="117" t="s">
        <v>31</v>
      </c>
      <c r="F32" s="117"/>
      <c r="G32" s="117"/>
      <c r="H32" s="117"/>
    </row>
    <row r="33" spans="1:19" s="21" customFormat="1" x14ac:dyDescent="0.35">
      <c r="A33" s="170" t="s">
        <v>91</v>
      </c>
      <c r="B33" s="170"/>
      <c r="C33" s="169" t="s">
        <v>170</v>
      </c>
      <c r="D33" s="169"/>
      <c r="E33" s="169"/>
      <c r="F33" s="169" t="s">
        <v>29</v>
      </c>
      <c r="G33" s="169"/>
      <c r="H33" s="169"/>
      <c r="S33" s="21" t="e">
        <f ca="1">OFFSET($S$13,1,MATCH($G20,$S$13:$W$13,0)-1,15,1)</f>
        <v>#VALUE!</v>
      </c>
    </row>
    <row r="34" spans="1:19" s="21" customFormat="1" x14ac:dyDescent="0.35">
      <c r="A34" s="150" t="s">
        <v>24</v>
      </c>
      <c r="B34" s="150" t="s">
        <v>28</v>
      </c>
      <c r="C34" s="128" t="s">
        <v>363</v>
      </c>
      <c r="D34" s="128"/>
      <c r="E34" s="128"/>
      <c r="F34" s="128" t="s">
        <v>358</v>
      </c>
      <c r="G34" s="128"/>
      <c r="H34" s="128"/>
    </row>
    <row r="35" spans="1:19" x14ac:dyDescent="0.35">
      <c r="A35" s="150" t="s">
        <v>25</v>
      </c>
      <c r="B35" s="150" t="s">
        <v>28</v>
      </c>
      <c r="C35" s="128" t="s">
        <v>362</v>
      </c>
      <c r="D35" s="128"/>
      <c r="E35" s="128"/>
      <c r="F35" s="128" t="s">
        <v>358</v>
      </c>
      <c r="G35" s="128"/>
      <c r="H35" s="128"/>
    </row>
    <row r="36" spans="1:19" s="21" customFormat="1" x14ac:dyDescent="0.35">
      <c r="A36" s="150" t="s">
        <v>27</v>
      </c>
      <c r="B36" s="150" t="s">
        <v>28</v>
      </c>
      <c r="C36" s="128" t="s">
        <v>361</v>
      </c>
      <c r="D36" s="128"/>
      <c r="E36" s="128"/>
      <c r="F36" s="128" t="s">
        <v>10</v>
      </c>
      <c r="G36" s="128"/>
      <c r="H36" s="128"/>
    </row>
    <row r="37" spans="1:19" x14ac:dyDescent="0.35">
      <c r="A37" s="150" t="s">
        <v>26</v>
      </c>
      <c r="B37" s="150" t="s">
        <v>28</v>
      </c>
      <c r="C37" s="128" t="s">
        <v>364</v>
      </c>
      <c r="D37" s="128"/>
      <c r="E37" s="128"/>
      <c r="F37" s="128" t="s">
        <v>358</v>
      </c>
      <c r="G37" s="128"/>
      <c r="H37" s="128"/>
    </row>
    <row r="38" spans="1:19" x14ac:dyDescent="0.35">
      <c r="A38" s="97" t="s">
        <v>279</v>
      </c>
      <c r="B38" s="97"/>
      <c r="C38" s="97"/>
      <c r="D38" s="97"/>
      <c r="E38" s="97"/>
      <c r="F38" s="97"/>
      <c r="G38" s="97"/>
      <c r="H38" s="97"/>
    </row>
    <row r="39" spans="1:19" ht="15.75" customHeight="1" x14ac:dyDescent="0.35">
      <c r="A39" s="97" t="s">
        <v>162</v>
      </c>
      <c r="B39" s="97"/>
      <c r="C39" s="152" t="s">
        <v>359</v>
      </c>
      <c r="D39" s="152"/>
      <c r="E39" s="152"/>
      <c r="F39" s="152"/>
      <c r="G39" s="152"/>
      <c r="H39" s="152"/>
    </row>
    <row r="40" spans="1:19" x14ac:dyDescent="0.35">
      <c r="A40" s="97" t="s">
        <v>158</v>
      </c>
      <c r="B40" s="97"/>
      <c r="C40" s="116" t="s">
        <v>360</v>
      </c>
      <c r="D40" s="117"/>
      <c r="E40" s="117"/>
      <c r="F40" s="117"/>
      <c r="G40" s="117"/>
      <c r="H40" s="117"/>
    </row>
    <row r="41" spans="1:19" x14ac:dyDescent="0.35">
      <c r="A41" s="152" t="s">
        <v>32</v>
      </c>
      <c r="B41" s="152"/>
      <c r="C41" s="152"/>
      <c r="D41" s="152"/>
      <c r="E41" s="152"/>
      <c r="F41" s="152"/>
      <c r="G41" s="152"/>
      <c r="H41" s="152"/>
    </row>
    <row r="42" spans="1:19" x14ac:dyDescent="0.35">
      <c r="A42" s="97" t="s">
        <v>33</v>
      </c>
      <c r="B42" s="97"/>
      <c r="C42" s="97"/>
      <c r="D42" s="97"/>
      <c r="E42" s="151">
        <v>8486.6</v>
      </c>
      <c r="F42" s="151"/>
      <c r="G42" s="151"/>
      <c r="H42" s="151"/>
    </row>
    <row r="43" spans="1:19" x14ac:dyDescent="0.35">
      <c r="A43" s="97" t="s">
        <v>34</v>
      </c>
      <c r="B43" s="97"/>
      <c r="C43" s="97"/>
      <c r="D43" s="97"/>
      <c r="E43" s="143">
        <v>1</v>
      </c>
      <c r="F43" s="143"/>
      <c r="G43" s="143"/>
      <c r="H43" s="143"/>
    </row>
    <row r="44" spans="1:19" x14ac:dyDescent="0.35">
      <c r="A44" s="97" t="s">
        <v>35</v>
      </c>
      <c r="B44" s="97"/>
      <c r="C44" s="97"/>
      <c r="D44" s="97"/>
      <c r="E44" s="143">
        <f>E46/E42-E43</f>
        <v>0.76377583484552103</v>
      </c>
      <c r="F44" s="143"/>
      <c r="G44" s="143"/>
      <c r="H44" s="143"/>
    </row>
    <row r="45" spans="1:19" x14ac:dyDescent="0.35">
      <c r="A45" s="97" t="s">
        <v>36</v>
      </c>
      <c r="B45" s="97"/>
      <c r="C45" s="97"/>
      <c r="D45" s="97"/>
      <c r="E45" s="143">
        <f>E43+E44</f>
        <v>1.763775834845521</v>
      </c>
      <c r="F45" s="143"/>
      <c r="G45" s="143"/>
      <c r="H45" s="143"/>
    </row>
    <row r="46" spans="1:19" x14ac:dyDescent="0.35">
      <c r="A46" s="97" t="s">
        <v>89</v>
      </c>
      <c r="B46" s="97"/>
      <c r="C46" s="97"/>
      <c r="D46" s="97"/>
      <c r="E46" s="168">
        <v>14968.46</v>
      </c>
      <c r="F46" s="168"/>
      <c r="G46" s="168"/>
      <c r="H46" s="168"/>
    </row>
    <row r="47" spans="1:19" x14ac:dyDescent="0.35">
      <c r="A47" s="163" t="s">
        <v>37</v>
      </c>
      <c r="B47" s="163"/>
      <c r="C47" s="163"/>
      <c r="D47" s="163"/>
      <c r="E47" s="163" t="s">
        <v>365</v>
      </c>
      <c r="F47" s="163"/>
      <c r="G47" s="163"/>
      <c r="H47" s="163"/>
    </row>
    <row r="48" spans="1:19" x14ac:dyDescent="0.35">
      <c r="A48" s="152" t="s">
        <v>38</v>
      </c>
      <c r="B48" s="152"/>
      <c r="C48" s="152"/>
      <c r="D48" s="152"/>
      <c r="E48" s="152"/>
      <c r="F48" s="152"/>
      <c r="G48" s="152"/>
      <c r="H48" s="152"/>
    </row>
    <row r="49" spans="1:24" ht="33.75" customHeight="1" x14ac:dyDescent="0.35">
      <c r="A49" s="129" t="s">
        <v>147</v>
      </c>
      <c r="B49" s="131"/>
      <c r="C49" s="147" t="s">
        <v>366</v>
      </c>
      <c r="D49" s="148"/>
      <c r="E49" s="148"/>
      <c r="F49" s="148"/>
      <c r="G49" s="148"/>
      <c r="H49" s="149"/>
      <c r="R49" t="s">
        <v>252</v>
      </c>
      <c r="S49" s="54" t="s">
        <v>169</v>
      </c>
      <c r="T49" s="54" t="s">
        <v>177</v>
      </c>
      <c r="U49" s="54" t="s">
        <v>191</v>
      </c>
      <c r="V49" s="54" t="s">
        <v>186</v>
      </c>
    </row>
    <row r="50" spans="1:24" ht="15.75" customHeight="1" x14ac:dyDescent="0.35">
      <c r="A50" s="129" t="s">
        <v>39</v>
      </c>
      <c r="B50" s="131"/>
      <c r="C50" s="129" t="s">
        <v>367</v>
      </c>
      <c r="D50" s="130"/>
      <c r="E50" s="131"/>
      <c r="F50" s="17" t="s">
        <v>40</v>
      </c>
      <c r="G50" s="132">
        <v>45273</v>
      </c>
      <c r="H50" s="131"/>
      <c r="R50"/>
      <c r="S50" s="54" t="s">
        <v>253</v>
      </c>
      <c r="T50" s="54" t="s">
        <v>258</v>
      </c>
      <c r="U50" s="54" t="s">
        <v>269</v>
      </c>
      <c r="V50" s="54" t="s">
        <v>274</v>
      </c>
    </row>
    <row r="51" spans="1:24" x14ac:dyDescent="0.35">
      <c r="A51" s="129" t="s">
        <v>41</v>
      </c>
      <c r="B51" s="131"/>
      <c r="C51" s="129" t="str">
        <f>C50</f>
        <v>PZP/GP/Pradhikaran/VS/482</v>
      </c>
      <c r="D51" s="130"/>
      <c r="E51" s="131"/>
      <c r="F51" s="17" t="s">
        <v>40</v>
      </c>
      <c r="G51" s="132">
        <f>G50</f>
        <v>45273</v>
      </c>
      <c r="H51" s="137"/>
      <c r="R51"/>
      <c r="S51" s="54" t="s">
        <v>254</v>
      </c>
      <c r="T51" s="54" t="s">
        <v>259</v>
      </c>
      <c r="U51" s="54" t="s">
        <v>267</v>
      </c>
      <c r="V51" s="54" t="s">
        <v>275</v>
      </c>
    </row>
    <row r="52" spans="1:24" s="22" customFormat="1" ht="15.75" customHeight="1" x14ac:dyDescent="0.35">
      <c r="A52" s="138" t="s">
        <v>151</v>
      </c>
      <c r="B52" s="139"/>
      <c r="C52" s="129" t="s">
        <v>367</v>
      </c>
      <c r="D52" s="130"/>
      <c r="E52" s="131"/>
      <c r="F52" s="17" t="s">
        <v>40</v>
      </c>
      <c r="G52" s="132">
        <f>G51</f>
        <v>45273</v>
      </c>
      <c r="H52" s="137"/>
      <c r="R52"/>
      <c r="S52" s="54" t="s">
        <v>255</v>
      </c>
      <c r="T52" s="54" t="s">
        <v>260</v>
      </c>
      <c r="U52" s="54" t="s">
        <v>257</v>
      </c>
      <c r="V52" s="54" t="s">
        <v>276</v>
      </c>
    </row>
    <row r="53" spans="1:24" s="22" customFormat="1" ht="17.25" customHeight="1" x14ac:dyDescent="0.35">
      <c r="A53" s="140"/>
      <c r="B53" s="141"/>
      <c r="C53" s="129" t="s">
        <v>397</v>
      </c>
      <c r="D53" s="130"/>
      <c r="E53" s="130"/>
      <c r="F53" s="130"/>
      <c r="G53" s="130"/>
      <c r="H53" s="131"/>
      <c r="R53"/>
      <c r="S53" s="54" t="s">
        <v>256</v>
      </c>
      <c r="T53" s="54" t="s">
        <v>263</v>
      </c>
      <c r="U53" s="54" t="s">
        <v>270</v>
      </c>
      <c r="V53" s="69"/>
    </row>
    <row r="54" spans="1:24" s="22" customFormat="1" hidden="1" x14ac:dyDescent="0.35">
      <c r="A54" s="191" t="s">
        <v>280</v>
      </c>
      <c r="B54" s="192"/>
      <c r="C54" s="129" t="e">
        <f>#REF!</f>
        <v>#REF!</v>
      </c>
      <c r="D54" s="130"/>
      <c r="E54" s="131"/>
      <c r="F54" s="17" t="s">
        <v>40</v>
      </c>
      <c r="G54" s="129"/>
      <c r="H54" s="131"/>
      <c r="R54"/>
      <c r="S54" s="54" t="s">
        <v>255</v>
      </c>
      <c r="T54" s="54" t="s">
        <v>260</v>
      </c>
      <c r="U54" s="54" t="s">
        <v>257</v>
      </c>
      <c r="V54" s="54" t="s">
        <v>276</v>
      </c>
    </row>
    <row r="55" spans="1:24" s="22" customFormat="1" ht="32.25" hidden="1" customHeight="1" x14ac:dyDescent="0.35">
      <c r="A55" s="193"/>
      <c r="B55" s="194"/>
      <c r="C55" s="122"/>
      <c r="D55" s="123"/>
      <c r="E55" s="123"/>
      <c r="F55" s="123"/>
      <c r="G55" s="123"/>
      <c r="H55" s="124"/>
      <c r="R55"/>
      <c r="S55" s="54" t="s">
        <v>257</v>
      </c>
      <c r="T55" s="54" t="s">
        <v>261</v>
      </c>
      <c r="U55" s="54" t="s">
        <v>271</v>
      </c>
      <c r="V55" s="70"/>
      <c r="W55" s="20"/>
      <c r="X55" s="20"/>
    </row>
    <row r="56" spans="1:24" s="22" customFormat="1" ht="34.5" hidden="1" customHeight="1" x14ac:dyDescent="0.35">
      <c r="A56" s="191" t="s">
        <v>281</v>
      </c>
      <c r="B56" s="192"/>
      <c r="C56" s="129">
        <f>C55</f>
        <v>0</v>
      </c>
      <c r="D56" s="130"/>
      <c r="E56" s="131"/>
      <c r="F56" s="17" t="s">
        <v>40</v>
      </c>
      <c r="G56" s="129">
        <f>G55</f>
        <v>0</v>
      </c>
      <c r="H56" s="131"/>
      <c r="R56"/>
      <c r="S56" s="70"/>
      <c r="T56" s="54" t="s">
        <v>262</v>
      </c>
      <c r="U56" s="54" t="s">
        <v>272</v>
      </c>
      <c r="V56" s="70" t="s">
        <v>366</v>
      </c>
      <c r="W56" s="20"/>
      <c r="X56" s="20"/>
    </row>
    <row r="57" spans="1:24" s="22" customFormat="1" ht="41.25" hidden="1" customHeight="1" x14ac:dyDescent="0.35">
      <c r="A57" s="193"/>
      <c r="B57" s="194"/>
      <c r="C57" s="129"/>
      <c r="D57" s="130"/>
      <c r="E57" s="130"/>
      <c r="F57" s="130"/>
      <c r="G57" s="130"/>
      <c r="H57" s="131"/>
      <c r="R57"/>
      <c r="S57" s="70"/>
      <c r="T57" s="54" t="s">
        <v>264</v>
      </c>
      <c r="U57" s="54" t="s">
        <v>273</v>
      </c>
      <c r="V57" s="70"/>
      <c r="W57" s="20"/>
      <c r="X57" s="20"/>
    </row>
    <row r="58" spans="1:24" s="22" customFormat="1" ht="15.75" customHeight="1" x14ac:dyDescent="0.35">
      <c r="A58" s="133" t="s">
        <v>368</v>
      </c>
      <c r="B58" s="134"/>
      <c r="C58" s="129" t="s">
        <v>370</v>
      </c>
      <c r="D58" s="130"/>
      <c r="E58" s="131"/>
      <c r="F58" s="17" t="s">
        <v>40</v>
      </c>
      <c r="G58" s="132">
        <v>44825</v>
      </c>
      <c r="H58" s="131"/>
      <c r="R58"/>
      <c r="S58" s="70"/>
      <c r="T58" s="54" t="s">
        <v>265</v>
      </c>
      <c r="U58" s="70" t="s">
        <v>295</v>
      </c>
      <c r="V58" s="70"/>
      <c r="W58" s="20"/>
      <c r="X58" s="20"/>
    </row>
    <row r="59" spans="1:24" s="22" customFormat="1" ht="18" customHeight="1" x14ac:dyDescent="0.35">
      <c r="A59" s="135"/>
      <c r="B59" s="136"/>
      <c r="C59" s="129" t="s">
        <v>369</v>
      </c>
      <c r="D59" s="130"/>
      <c r="E59" s="130"/>
      <c r="F59" s="130"/>
      <c r="G59" s="130"/>
      <c r="H59" s="131"/>
      <c r="R59"/>
      <c r="S59" s="70"/>
      <c r="T59" s="54" t="s">
        <v>266</v>
      </c>
      <c r="U59" s="70"/>
      <c r="V59" s="70"/>
      <c r="W59" s="20"/>
      <c r="X59" s="20"/>
    </row>
    <row r="60" spans="1:24" ht="33" customHeight="1" x14ac:dyDescent="0.35">
      <c r="A60" s="206" t="s">
        <v>42</v>
      </c>
      <c r="B60" s="207"/>
      <c r="C60" s="206" t="s">
        <v>103</v>
      </c>
      <c r="D60" s="208"/>
      <c r="E60" s="207"/>
      <c r="F60" s="44" t="s">
        <v>40</v>
      </c>
      <c r="G60" s="189" t="s">
        <v>28</v>
      </c>
      <c r="H60" s="190"/>
      <c r="R60"/>
      <c r="S60" s="70"/>
      <c r="T60" s="54" t="s">
        <v>268</v>
      </c>
      <c r="U60" s="70"/>
      <c r="V60" s="70"/>
    </row>
    <row r="61" spans="1:24" x14ac:dyDescent="0.35">
      <c r="A61" s="162" t="s">
        <v>44</v>
      </c>
      <c r="B61" s="162"/>
      <c r="C61" s="162"/>
      <c r="D61" s="162"/>
      <c r="E61" s="162"/>
      <c r="F61" s="162"/>
      <c r="G61" s="162"/>
      <c r="H61" s="162"/>
      <c r="S61" s="70"/>
      <c r="T61" s="54" t="s">
        <v>277</v>
      </c>
      <c r="U61" s="70"/>
      <c r="V61" s="70"/>
    </row>
    <row r="62" spans="1:24" x14ac:dyDescent="0.35">
      <c r="A62" s="164" t="s">
        <v>88</v>
      </c>
      <c r="B62" s="164"/>
      <c r="C62" s="164"/>
      <c r="D62" s="97">
        <v>7291.85</v>
      </c>
      <c r="E62" s="97"/>
      <c r="F62" s="97"/>
      <c r="G62" s="97"/>
      <c r="H62" s="97"/>
      <c r="R62"/>
    </row>
    <row r="63" spans="1:24" x14ac:dyDescent="0.35">
      <c r="A63" s="117" t="s">
        <v>45</v>
      </c>
      <c r="B63" s="163"/>
      <c r="C63" s="163"/>
      <c r="D63" s="163" t="s">
        <v>390</v>
      </c>
      <c r="E63" s="163"/>
      <c r="F63" s="163"/>
      <c r="G63" s="163"/>
      <c r="H63" s="163"/>
      <c r="I63" s="23"/>
      <c r="R63"/>
    </row>
    <row r="64" spans="1:24" ht="48.75" customHeight="1" x14ac:dyDescent="0.35">
      <c r="A64" s="133" t="s">
        <v>46</v>
      </c>
      <c r="B64" s="146"/>
      <c r="C64" s="134"/>
      <c r="D64" s="144" t="s">
        <v>393</v>
      </c>
      <c r="E64" s="145"/>
      <c r="F64" s="145"/>
      <c r="G64" s="145"/>
      <c r="H64" s="145"/>
      <c r="R64"/>
    </row>
    <row r="65" spans="1:19" ht="15.75" customHeight="1" x14ac:dyDescent="0.35">
      <c r="A65" s="133" t="s">
        <v>86</v>
      </c>
      <c r="B65" s="146"/>
      <c r="C65" s="146"/>
      <c r="D65" s="156" t="s">
        <v>394</v>
      </c>
      <c r="E65" s="157"/>
      <c r="F65" s="157"/>
      <c r="G65" s="157"/>
      <c r="H65" s="158"/>
      <c r="R65"/>
    </row>
    <row r="66" spans="1:19" ht="15.75" customHeight="1" x14ac:dyDescent="0.35">
      <c r="A66" s="153"/>
      <c r="B66" s="154"/>
      <c r="C66" s="154"/>
      <c r="D66" s="159" t="s">
        <v>395</v>
      </c>
      <c r="E66" s="160"/>
      <c r="F66" s="160"/>
      <c r="G66" s="160"/>
      <c r="H66" s="161"/>
      <c r="R66"/>
    </row>
    <row r="67" spans="1:19" ht="15.75" customHeight="1" x14ac:dyDescent="0.35">
      <c r="A67" s="135"/>
      <c r="B67" s="155"/>
      <c r="C67" s="155"/>
      <c r="D67" s="165" t="s">
        <v>396</v>
      </c>
      <c r="E67" s="166"/>
      <c r="F67" s="166"/>
      <c r="G67" s="166"/>
      <c r="H67" s="167"/>
      <c r="S67"/>
    </row>
    <row r="68" spans="1:19" ht="15.75" customHeight="1" x14ac:dyDescent="0.35">
      <c r="A68" s="97" t="s">
        <v>43</v>
      </c>
      <c r="B68" s="97"/>
      <c r="C68" s="97"/>
      <c r="D68" s="127" t="s">
        <v>391</v>
      </c>
      <c r="E68" s="127"/>
      <c r="F68" s="127"/>
      <c r="G68" s="127"/>
      <c r="H68" s="127"/>
      <c r="J68" s="24"/>
      <c r="K68" s="23"/>
      <c r="N68" s="23"/>
      <c r="S68"/>
    </row>
    <row r="69" spans="1:19" ht="15.75" customHeight="1" x14ac:dyDescent="0.35">
      <c r="A69" s="97" t="s">
        <v>84</v>
      </c>
      <c r="B69" s="97"/>
      <c r="C69" s="97"/>
      <c r="D69" s="142" t="str">
        <f>(IF(G60="NA","60 Years After Completion",IF(G60&lt;&gt;"NA",""&amp;60-ROUNDDOWN((E3-G60)/360,0)&amp;" Years"," ")))</f>
        <v>60 Years After Completion</v>
      </c>
      <c r="E69" s="142"/>
      <c r="F69" s="142"/>
      <c r="G69" s="142"/>
      <c r="H69" s="142"/>
      <c r="N69" s="23"/>
      <c r="S69"/>
    </row>
    <row r="70" spans="1:19" ht="15.75" customHeight="1" x14ac:dyDescent="0.35">
      <c r="A70" s="97" t="s">
        <v>85</v>
      </c>
      <c r="B70" s="97"/>
      <c r="C70" s="97"/>
      <c r="D70" s="164" t="s">
        <v>23</v>
      </c>
      <c r="E70" s="164"/>
      <c r="F70" s="164"/>
      <c r="G70" s="164"/>
      <c r="H70" s="164"/>
      <c r="J70" s="25"/>
      <c r="K70" s="25"/>
      <c r="S70"/>
    </row>
    <row r="71" spans="1:19" ht="32.25" customHeight="1" x14ac:dyDescent="0.35">
      <c r="A71" s="163" t="s">
        <v>372</v>
      </c>
      <c r="B71" s="163"/>
      <c r="C71" s="163"/>
      <c r="D71" s="117" t="s">
        <v>392</v>
      </c>
      <c r="E71" s="164"/>
      <c r="F71" s="164"/>
      <c r="G71" s="164"/>
      <c r="H71" s="164"/>
      <c r="S71"/>
    </row>
    <row r="72" spans="1:19" x14ac:dyDescent="0.35">
      <c r="A72" s="164" t="s">
        <v>144</v>
      </c>
      <c r="B72" s="164"/>
      <c r="C72" s="164"/>
      <c r="D72" s="164" t="s">
        <v>28</v>
      </c>
      <c r="E72" s="164"/>
      <c r="F72" s="164"/>
      <c r="G72" s="164"/>
      <c r="H72" s="164"/>
      <c r="I72" s="26"/>
      <c r="J72" s="26"/>
      <c r="K72" s="26"/>
      <c r="L72" s="26"/>
      <c r="M72" s="26"/>
      <c r="N72" s="26"/>
    </row>
    <row r="73" spans="1:19" ht="15.75" customHeight="1" x14ac:dyDescent="0.35">
      <c r="A73" s="97" t="s">
        <v>83</v>
      </c>
      <c r="B73" s="97"/>
      <c r="C73" s="97"/>
      <c r="D73" s="117" t="str">
        <f ca="1">(IF(G107&gt;95%,"Nothing",IF(G107&gt;0%,"Cement, Aggregate, Steel, etc",IF(G107=0%,"Work not yet Started"))))</f>
        <v>Cement, Aggregate, Steel, etc</v>
      </c>
      <c r="E73" s="117"/>
      <c r="F73" s="117"/>
      <c r="G73" s="117"/>
      <c r="H73" s="117"/>
      <c r="J73" s="25"/>
      <c r="S73"/>
    </row>
    <row r="74" spans="1:19" ht="33.75" customHeight="1" thickBot="1" x14ac:dyDescent="0.4">
      <c r="A74" s="164" t="s">
        <v>116</v>
      </c>
      <c r="B74" s="164"/>
      <c r="C74" s="164"/>
      <c r="D74" s="117" t="str">
        <f ca="1">(IF(D73="Nothing","Yes",IF(D73="Cement, Aggregate, Steel, etc","Under Construction",IF(D73="Work not yet Started","Work not yet Started"))))</f>
        <v>Under Construction</v>
      </c>
      <c r="E74" s="117"/>
      <c r="F74" s="117" t="str">
        <f ca="1">(IF(D73="Nothing","Yes",IF(D73="Cement, Aggregate, Steel, etc","Under Construction",IF(D73="Work not yet Started","Work not yet Started"))))</f>
        <v>Under Construction</v>
      </c>
      <c r="G74" s="117"/>
      <c r="H74" s="117"/>
      <c r="S74"/>
    </row>
    <row r="75" spans="1:19" ht="15.75" customHeight="1" x14ac:dyDescent="0.35">
      <c r="A75" s="203" t="s">
        <v>136</v>
      </c>
      <c r="B75" s="203"/>
      <c r="C75" s="203" t="str">
        <f>D65</f>
        <v>Building No. 2 A Wing = G + 1st to 7th Floor</v>
      </c>
      <c r="D75" s="203"/>
      <c r="E75" s="203"/>
      <c r="F75" s="203"/>
      <c r="G75" s="203"/>
      <c r="H75" s="203"/>
      <c r="I75" s="77" t="str">
        <f ca="1">IF(D88=100%,"All work Completed. Possession granted to the Building.",IF(D87=100%,"All work Completed, Waiting for OC",I76&amp;""&amp;I77&amp;""&amp;J76&amp;""&amp;J75&amp;" "&amp;J77))</f>
        <v xml:space="preserve">Work not yet Started. </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35">
      <c r="A76" s="50" t="s">
        <v>138</v>
      </c>
      <c r="B76" s="50">
        <v>0</v>
      </c>
      <c r="C76" s="50" t="s">
        <v>69</v>
      </c>
      <c r="D76" s="50">
        <v>1</v>
      </c>
      <c r="E76" s="50" t="s">
        <v>68</v>
      </c>
      <c r="F76" s="50">
        <v>0</v>
      </c>
      <c r="G76" s="45" t="s">
        <v>77</v>
      </c>
      <c r="H76" s="50">
        <f ca="1">--TRIM(RIGHT(SUBSTITUTE(LEFT(C75,_xlfn.AGGREGATE(16,6,FIND({0,1,2,3,4,5,6,7,8,9},C75,ROW(INDIRECT("1:"&amp;LEN(C75)))),1))," ",REPT(" ",LEN(C75))),LEN(C75)))</f>
        <v>7</v>
      </c>
      <c r="I76" s="78" t="str">
        <f ca="1">IF(D79=100%,"Excavation","")&amp;IF(D80=100%,", Plinth","")&amp;IF(D81=100%,", RCC Slab","")&amp;IF(D82=100%,", Brickwork","")&amp;IF(D83=100%,", Internal Plaster","")&amp;IF(D84=100%,", External Plaster","")&amp;IF(D85=100%,", Flooring","")&amp;IF(D86=100%,", Painting","")&amp;IF(D87=100%,", Building common Amenities","")</f>
        <v/>
      </c>
      <c r="J76" s="49" t="str">
        <f>(IF(C79=0,"Work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Work not yet Started.</v>
      </c>
      <c r="S76"/>
    </row>
    <row r="77" spans="1:19" x14ac:dyDescent="0.35">
      <c r="A77" s="126" t="s">
        <v>87</v>
      </c>
      <c r="B77" s="126"/>
      <c r="C77" s="185" t="str">
        <f ca="1">I75</f>
        <v xml:space="preserve">Work not yet Started. </v>
      </c>
      <c r="D77" s="185"/>
      <c r="E77" s="185"/>
      <c r="F77" s="185"/>
      <c r="G77" s="185"/>
      <c r="H77" s="185"/>
      <c r="I77" s="78" t="str">
        <f ca="1">IF(I76&lt;&gt;""," Completed","")</f>
        <v/>
      </c>
      <c r="J77" s="49" t="str">
        <f ca="1">IF(J75&lt;&gt;"","Completed","")</f>
        <v/>
      </c>
      <c r="S77"/>
    </row>
    <row r="78" spans="1:19" ht="15.75" customHeight="1" x14ac:dyDescent="0.35">
      <c r="A78" s="112" t="s">
        <v>47</v>
      </c>
      <c r="B78" s="85"/>
      <c r="C78" s="42" t="s">
        <v>135</v>
      </c>
      <c r="D78" s="42" t="s">
        <v>80</v>
      </c>
      <c r="E78" s="85" t="s">
        <v>82</v>
      </c>
      <c r="F78" s="85"/>
      <c r="G78" s="85" t="s">
        <v>81</v>
      </c>
      <c r="H78" s="187"/>
      <c r="I78" s="13" t="s">
        <v>137</v>
      </c>
      <c r="J78" s="27">
        <f ca="1">H76*25%</f>
        <v>1.75</v>
      </c>
      <c r="S78"/>
    </row>
    <row r="79" spans="1:19" x14ac:dyDescent="0.35">
      <c r="A79" s="112" t="s">
        <v>124</v>
      </c>
      <c r="B79" s="85"/>
      <c r="C79" s="73">
        <v>0</v>
      </c>
      <c r="D79" s="18">
        <f ca="1">((100/H76)*C79)/100</f>
        <v>0</v>
      </c>
      <c r="E79" s="91">
        <f ca="1">(((C80/H76*10)+(40/(D76+F76+H76)*C81)+(7.5/(H76)*C82)+(7.5/(H76)*C83)+(10/H76*C84)+(10/H76*C85)+(5/H76*C86)+(5/H76*C87)+(5/H76*C88))/100)</f>
        <v>0</v>
      </c>
      <c r="F79" s="177"/>
      <c r="G79" s="91">
        <f ca="1">((((C79/H76)*20)+((C80/H76)*25)+(30/(H76+F76+D76)*C81)+(5/H76*C82)+(5/H76*C83)+(5/H76*C84)+(5/H76*C85)+(0/H76*C86)+(0/H76*C87)+(5/H76*C88))/100)</f>
        <v>0</v>
      </c>
      <c r="H79" s="92"/>
      <c r="I79" s="13" t="s">
        <v>98</v>
      </c>
      <c r="J79" s="28">
        <f ca="1">H76*50%</f>
        <v>3.5</v>
      </c>
    </row>
    <row r="80" spans="1:19" x14ac:dyDescent="0.35">
      <c r="A80" s="112" t="s">
        <v>48</v>
      </c>
      <c r="B80" s="85"/>
      <c r="C80" s="42">
        <v>0</v>
      </c>
      <c r="D80" s="18">
        <f ca="1">((100/H76)*C80)/100</f>
        <v>0</v>
      </c>
      <c r="E80" s="93"/>
      <c r="F80" s="178"/>
      <c r="G80" s="93"/>
      <c r="H80" s="94"/>
      <c r="I80" s="13" t="s">
        <v>99</v>
      </c>
      <c r="J80" s="28">
        <f ca="1">H76</f>
        <v>7</v>
      </c>
      <c r="S80"/>
    </row>
    <row r="81" spans="1:19" ht="15.75" customHeight="1" x14ac:dyDescent="0.35">
      <c r="A81" s="112" t="s">
        <v>125</v>
      </c>
      <c r="B81" s="85"/>
      <c r="C81" s="42">
        <v>0</v>
      </c>
      <c r="D81" s="18">
        <f ca="1">((100/(D76+F76+H76))*C81)/100</f>
        <v>0</v>
      </c>
      <c r="E81" s="93"/>
      <c r="F81" s="178"/>
      <c r="G81" s="93"/>
      <c r="H81" s="94"/>
      <c r="I81" s="13" t="s">
        <v>100</v>
      </c>
      <c r="J81" s="29">
        <f ca="1">(IF(B76&gt;1,(H76/(B76+2)),H76/4))</f>
        <v>1.75</v>
      </c>
      <c r="S81"/>
    </row>
    <row r="82" spans="1:19" ht="15.75" customHeight="1" x14ac:dyDescent="0.35">
      <c r="A82" s="112" t="s">
        <v>132</v>
      </c>
      <c r="B82" s="85" t="s">
        <v>126</v>
      </c>
      <c r="C82" s="42">
        <v>0</v>
      </c>
      <c r="D82" s="18">
        <f ca="1">((100/H76)*C82)/100</f>
        <v>0</v>
      </c>
      <c r="E82" s="93"/>
      <c r="F82" s="178"/>
      <c r="G82" s="93"/>
      <c r="H82" s="94"/>
      <c r="I82" s="13" t="s">
        <v>101</v>
      </c>
      <c r="J82" s="29">
        <f ca="1">(IF(B76&gt;1,(H76/(B76+2)+J81),H76/4+J81))</f>
        <v>3.5</v>
      </c>
    </row>
    <row r="83" spans="1:19" ht="15.75" customHeight="1" x14ac:dyDescent="0.35">
      <c r="A83" s="112" t="s">
        <v>133</v>
      </c>
      <c r="B83" s="85" t="s">
        <v>126</v>
      </c>
      <c r="C83" s="42">
        <v>0</v>
      </c>
      <c r="D83" s="18">
        <f ca="1">((100/H76)*C83)/100</f>
        <v>0</v>
      </c>
      <c r="E83" s="93"/>
      <c r="F83" s="178"/>
      <c r="G83" s="93"/>
      <c r="H83" s="94"/>
      <c r="I83" s="13" t="s">
        <v>142</v>
      </c>
      <c r="J83" s="29">
        <f>(IF(B76&gt;1,(H76/(B76+2)+J82),0))</f>
        <v>0</v>
      </c>
    </row>
    <row r="84" spans="1:19" ht="15" customHeight="1" x14ac:dyDescent="0.35">
      <c r="A84" s="112" t="s">
        <v>131</v>
      </c>
      <c r="B84" s="85" t="s">
        <v>128</v>
      </c>
      <c r="C84" s="42">
        <v>0</v>
      </c>
      <c r="D84" s="18">
        <f ca="1">((100/(H76))*C84)/100</f>
        <v>0</v>
      </c>
      <c r="E84" s="93"/>
      <c r="F84" s="178"/>
      <c r="G84" s="93"/>
      <c r="H84" s="94"/>
      <c r="I84" s="13" t="s">
        <v>139</v>
      </c>
      <c r="J84" s="29">
        <f>(IF(B76&gt;2,(H76/(B76+2)+J83),0))</f>
        <v>0</v>
      </c>
    </row>
    <row r="85" spans="1:19" ht="15.75" customHeight="1" x14ac:dyDescent="0.35">
      <c r="A85" s="112" t="s">
        <v>127</v>
      </c>
      <c r="B85" s="85" t="s">
        <v>127</v>
      </c>
      <c r="C85" s="42">
        <v>0</v>
      </c>
      <c r="D85" s="18">
        <f ca="1">((100/H76)*C85)/100</f>
        <v>0</v>
      </c>
      <c r="E85" s="93"/>
      <c r="F85" s="178"/>
      <c r="G85" s="93"/>
      <c r="H85" s="94"/>
      <c r="I85" s="13" t="s">
        <v>140</v>
      </c>
      <c r="J85" s="30">
        <f>(IF(B76&gt;3,(H76/(B76+2)+J84),0))</f>
        <v>0</v>
      </c>
    </row>
    <row r="86" spans="1:19" ht="15.75" customHeight="1" x14ac:dyDescent="0.35">
      <c r="A86" s="112" t="s">
        <v>134</v>
      </c>
      <c r="B86" s="85"/>
      <c r="C86" s="42">
        <v>0</v>
      </c>
      <c r="D86" s="18">
        <f ca="1">((100/H76)*C86)/100</f>
        <v>0</v>
      </c>
      <c r="E86" s="93"/>
      <c r="F86" s="178"/>
      <c r="G86" s="93"/>
      <c r="H86" s="94"/>
      <c r="I86" s="13" t="s">
        <v>141</v>
      </c>
      <c r="J86" s="29">
        <f>(IF(B76&gt;4,(H76/(B76+2)+J85),0))</f>
        <v>0</v>
      </c>
    </row>
    <row r="87" spans="1:19" ht="15.75" customHeight="1" x14ac:dyDescent="0.35">
      <c r="A87" s="112" t="s">
        <v>129</v>
      </c>
      <c r="B87" s="85" t="s">
        <v>129</v>
      </c>
      <c r="C87" s="42">
        <v>0</v>
      </c>
      <c r="D87" s="18">
        <f ca="1">((100/(H76))*C87)/100</f>
        <v>0</v>
      </c>
      <c r="E87" s="93"/>
      <c r="F87" s="178"/>
      <c r="G87" s="93"/>
      <c r="H87" s="94"/>
      <c r="I87" s="13" t="s">
        <v>143</v>
      </c>
      <c r="J87" s="29">
        <f ca="1">(IF(B76=1,(H76/(B76+3)+J82),IF(B76=0,(H76/4+J82),IF(B76&gt;1,0))))</f>
        <v>5.25</v>
      </c>
    </row>
    <row r="88" spans="1:19" ht="16" thickBot="1" x14ac:dyDescent="0.4">
      <c r="A88" s="196" t="s">
        <v>130</v>
      </c>
      <c r="B88" s="197"/>
      <c r="C88" s="43">
        <v>0</v>
      </c>
      <c r="D88" s="19">
        <f ca="1">((100/(H76))*C88)/100</f>
        <v>0</v>
      </c>
      <c r="E88" s="95"/>
      <c r="F88" s="179"/>
      <c r="G88" s="95"/>
      <c r="H88" s="96"/>
      <c r="I88" s="14" t="s">
        <v>102</v>
      </c>
      <c r="J88" s="31">
        <f ca="1">(IF(B76&gt;1.5,(H76/(B76+2)+J82+MAX(0,J83-J82)+MAX(0,J84-J83)+MAX(0,J85-J84)+MAX(0,J86-J85)+MAX(0,J87-J86)),IF(B76=1,(H76/(B76+3)+J87),IF(B76=0,H76/4+J87))))</f>
        <v>7</v>
      </c>
    </row>
    <row r="89" spans="1:19" ht="15.75" customHeight="1" x14ac:dyDescent="0.35">
      <c r="A89" s="180" t="s">
        <v>136</v>
      </c>
      <c r="B89" s="181"/>
      <c r="C89" s="182" t="str">
        <f>D66</f>
        <v>Building No. 2 B Wing = G + 1st to 7th Floor</v>
      </c>
      <c r="D89" s="183"/>
      <c r="E89" s="183"/>
      <c r="F89" s="183"/>
      <c r="G89" s="183"/>
      <c r="H89" s="184"/>
      <c r="I89" s="46" t="str">
        <f ca="1">IF(D102=100%,"All work Completed. Possession granted to the Building.",IF(D101=100%,"All work Completed, Waiting for OC",I90&amp;""&amp;I91&amp;""&amp;J90&amp;""&amp;J89&amp;" "&amp;J91))</f>
        <v>Excavation, Plinth Completed, RCC upto 4 Slab Completed</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4 Slab</v>
      </c>
      <c r="S89"/>
    </row>
    <row r="90" spans="1:19" x14ac:dyDescent="0.35">
      <c r="A90" s="15" t="s">
        <v>138</v>
      </c>
      <c r="B90" s="50">
        <v>0</v>
      </c>
      <c r="C90" s="50" t="s">
        <v>69</v>
      </c>
      <c r="D90" s="50">
        <v>1</v>
      </c>
      <c r="E90" s="50" t="s">
        <v>68</v>
      </c>
      <c r="F90" s="50">
        <v>0</v>
      </c>
      <c r="G90" s="45" t="s">
        <v>77</v>
      </c>
      <c r="H90" s="16">
        <f ca="1">--TRIM(RIGHT(SUBSTITUTE(LEFT(C89,_xlfn.AGGREGATE(16,6,FIND({0,1,2,3,4,5,6,7,8,9},C89,ROW(INDIRECT("1:"&amp;LEN(C89)))),1))," ",REPT(" ",LEN(C89))),LEN(C89)))</f>
        <v>7</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x14ac:dyDescent="0.35">
      <c r="A91" s="125" t="s">
        <v>87</v>
      </c>
      <c r="B91" s="126"/>
      <c r="C91" s="185" t="str">
        <f ca="1">I89</f>
        <v>Excavation, Plinth Completed, RCC upto 4 Slab Completed</v>
      </c>
      <c r="D91" s="185"/>
      <c r="E91" s="185"/>
      <c r="F91" s="185"/>
      <c r="G91" s="185"/>
      <c r="H91" s="186"/>
      <c r="I91" s="48" t="str">
        <f ca="1">IF(I90&lt;&gt;""," Completed","")</f>
        <v xml:space="preserve"> Completed</v>
      </c>
      <c r="J91" s="49" t="str">
        <f ca="1">IF(J89&lt;&gt;"","Completed","")</f>
        <v>Completed</v>
      </c>
      <c r="S91"/>
    </row>
    <row r="92" spans="1:19" ht="15.75" customHeight="1" x14ac:dyDescent="0.35">
      <c r="A92" s="112" t="s">
        <v>47</v>
      </c>
      <c r="B92" s="85"/>
      <c r="C92" s="42" t="s">
        <v>135</v>
      </c>
      <c r="D92" s="42" t="s">
        <v>80</v>
      </c>
      <c r="E92" s="85" t="s">
        <v>82</v>
      </c>
      <c r="F92" s="85"/>
      <c r="G92" s="85" t="s">
        <v>81</v>
      </c>
      <c r="H92" s="187"/>
      <c r="I92" s="13" t="s">
        <v>137</v>
      </c>
      <c r="J92" s="27">
        <f ca="1">H90*25%</f>
        <v>1.75</v>
      </c>
      <c r="S92"/>
    </row>
    <row r="93" spans="1:19" x14ac:dyDescent="0.35">
      <c r="A93" s="112" t="s">
        <v>124</v>
      </c>
      <c r="B93" s="85"/>
      <c r="C93" s="73">
        <f ca="1">J94</f>
        <v>7</v>
      </c>
      <c r="D93" s="18">
        <f ca="1">((100/H90)*C93)/100</f>
        <v>1</v>
      </c>
      <c r="E93" s="91">
        <f ca="1">(((C94/H90*10)+(40/(D90+F90+H90)*C95)+(7.5/(H90)*C96)+(7.5/(H90)*C97)+(10/H90*C98)+(10/H90*C99)+(5/H90*C100)+(5/H90*C101)+(5/H90*C102))/100)</f>
        <v>0.3</v>
      </c>
      <c r="F93" s="177"/>
      <c r="G93" s="91">
        <f ca="1">((((C93/H90)*20)+((C94/H90)*25)+(30/(H90+F90+D90)*C95)+(5/H90*C96)+(5/H90*C97)+(5/H90*C98)+(5/H90*C99)+(0/H90*C100)+(0/H90*C101)+(5/H90*C102))/100)</f>
        <v>0.6</v>
      </c>
      <c r="H93" s="92"/>
      <c r="I93" s="13" t="s">
        <v>98</v>
      </c>
      <c r="J93" s="28">
        <f ca="1">H90*50%</f>
        <v>3.5</v>
      </c>
    </row>
    <row r="94" spans="1:19" x14ac:dyDescent="0.35">
      <c r="A94" s="112" t="s">
        <v>48</v>
      </c>
      <c r="B94" s="85"/>
      <c r="C94" s="79">
        <f ca="1">J102</f>
        <v>7</v>
      </c>
      <c r="D94" s="18">
        <f ca="1">((100/H90)*C94)/100</f>
        <v>1</v>
      </c>
      <c r="E94" s="93"/>
      <c r="F94" s="178"/>
      <c r="G94" s="93"/>
      <c r="H94" s="94"/>
      <c r="I94" s="13" t="s">
        <v>99</v>
      </c>
      <c r="J94" s="28">
        <f ca="1">H90</f>
        <v>7</v>
      </c>
      <c r="S94"/>
    </row>
    <row r="95" spans="1:19" ht="15.75" customHeight="1" x14ac:dyDescent="0.35">
      <c r="A95" s="112" t="s">
        <v>125</v>
      </c>
      <c r="B95" s="85"/>
      <c r="C95" s="42">
        <v>4</v>
      </c>
      <c r="D95" s="18">
        <f ca="1">((100/(D90+F90+H90))*C95)/100</f>
        <v>0.5</v>
      </c>
      <c r="E95" s="93"/>
      <c r="F95" s="178"/>
      <c r="G95" s="93"/>
      <c r="H95" s="94"/>
      <c r="I95" s="13" t="s">
        <v>100</v>
      </c>
      <c r="J95" s="29">
        <f ca="1">(IF(B90&gt;1,(H90/(B90+2)),H90/4))</f>
        <v>1.75</v>
      </c>
      <c r="S95"/>
    </row>
    <row r="96" spans="1:19" ht="15.75" customHeight="1" x14ac:dyDescent="0.35">
      <c r="A96" s="112" t="s">
        <v>132</v>
      </c>
      <c r="B96" s="85" t="s">
        <v>126</v>
      </c>
      <c r="C96" s="42">
        <v>0</v>
      </c>
      <c r="D96" s="18">
        <f ca="1">((100/H90)*C96)/100</f>
        <v>0</v>
      </c>
      <c r="E96" s="93"/>
      <c r="F96" s="178"/>
      <c r="G96" s="93"/>
      <c r="H96" s="94"/>
      <c r="I96" s="13" t="s">
        <v>101</v>
      </c>
      <c r="J96" s="29">
        <f ca="1">(IF(B90&gt;1,(H90/(B90+2)+J95),H90/4+J95))</f>
        <v>3.5</v>
      </c>
    </row>
    <row r="97" spans="1:19" ht="15.75" customHeight="1" x14ac:dyDescent="0.35">
      <c r="A97" s="112" t="s">
        <v>133</v>
      </c>
      <c r="B97" s="85" t="s">
        <v>126</v>
      </c>
      <c r="C97" s="42">
        <v>0</v>
      </c>
      <c r="D97" s="18">
        <f ca="1">((100/H90)*C97)/100</f>
        <v>0</v>
      </c>
      <c r="E97" s="93"/>
      <c r="F97" s="178"/>
      <c r="G97" s="93"/>
      <c r="H97" s="94"/>
      <c r="I97" s="13" t="s">
        <v>142</v>
      </c>
      <c r="J97" s="29">
        <f>(IF(B90&gt;1,(H90/(B90+2)+J96),0))</f>
        <v>0</v>
      </c>
    </row>
    <row r="98" spans="1:19" ht="15" customHeight="1" x14ac:dyDescent="0.35">
      <c r="A98" s="112" t="s">
        <v>131</v>
      </c>
      <c r="B98" s="85" t="s">
        <v>128</v>
      </c>
      <c r="C98" s="42">
        <v>0</v>
      </c>
      <c r="D98" s="18">
        <f ca="1">((100/(H90))*C98)/100</f>
        <v>0</v>
      </c>
      <c r="E98" s="93"/>
      <c r="F98" s="178"/>
      <c r="G98" s="93"/>
      <c r="H98" s="94"/>
      <c r="I98" s="13" t="s">
        <v>139</v>
      </c>
      <c r="J98" s="29">
        <f>(IF(B90&gt;2,(H90/(B90+2)+J97),0))</f>
        <v>0</v>
      </c>
    </row>
    <row r="99" spans="1:19" ht="15.75" customHeight="1" x14ac:dyDescent="0.35">
      <c r="A99" s="112" t="s">
        <v>127</v>
      </c>
      <c r="B99" s="85" t="s">
        <v>127</v>
      </c>
      <c r="C99" s="42">
        <v>0</v>
      </c>
      <c r="D99" s="18">
        <f ca="1">((100/H90)*C99)/100</f>
        <v>0</v>
      </c>
      <c r="E99" s="93"/>
      <c r="F99" s="178"/>
      <c r="G99" s="93"/>
      <c r="H99" s="94"/>
      <c r="I99" s="13" t="s">
        <v>140</v>
      </c>
      <c r="J99" s="30">
        <f>(IF(B90&gt;3,(H90/(B90+2)+J98),0))</f>
        <v>0</v>
      </c>
    </row>
    <row r="100" spans="1:19" ht="15.75" customHeight="1" x14ac:dyDescent="0.35">
      <c r="A100" s="112" t="s">
        <v>134</v>
      </c>
      <c r="B100" s="85"/>
      <c r="C100" s="42">
        <v>0</v>
      </c>
      <c r="D100" s="18">
        <f ca="1">((100/H90)*C100)/100</f>
        <v>0</v>
      </c>
      <c r="E100" s="93"/>
      <c r="F100" s="178"/>
      <c r="G100" s="93"/>
      <c r="H100" s="94"/>
      <c r="I100" s="13" t="s">
        <v>141</v>
      </c>
      <c r="J100" s="29">
        <f>(IF(B90&gt;4,(H90/(B90+2)+J99),0))</f>
        <v>0</v>
      </c>
    </row>
    <row r="101" spans="1:19" ht="15.75" customHeight="1" x14ac:dyDescent="0.35">
      <c r="A101" s="112" t="s">
        <v>129</v>
      </c>
      <c r="B101" s="85" t="s">
        <v>129</v>
      </c>
      <c r="C101" s="42">
        <v>0</v>
      </c>
      <c r="D101" s="18">
        <f ca="1">((100/(H90))*C101)/100</f>
        <v>0</v>
      </c>
      <c r="E101" s="93"/>
      <c r="F101" s="178"/>
      <c r="G101" s="93"/>
      <c r="H101" s="94"/>
      <c r="I101" s="13" t="s">
        <v>143</v>
      </c>
      <c r="J101" s="29">
        <f ca="1">(IF(B90=1,(H90/(B90+3)+J96),IF(B90=0,(H90/4+J96),IF(B90&gt;1,0))))</f>
        <v>5.25</v>
      </c>
    </row>
    <row r="102" spans="1:19" ht="16" thickBot="1" x14ac:dyDescent="0.4">
      <c r="A102" s="196" t="s">
        <v>130</v>
      </c>
      <c r="B102" s="197"/>
      <c r="C102" s="43">
        <v>0</v>
      </c>
      <c r="D102" s="19">
        <f ca="1">((100/(H90))*C102)/100</f>
        <v>0</v>
      </c>
      <c r="E102" s="95"/>
      <c r="F102" s="179"/>
      <c r="G102" s="95"/>
      <c r="H102" s="96"/>
      <c r="I102" s="14" t="s">
        <v>102</v>
      </c>
      <c r="J102" s="31">
        <f ca="1">(IF(B90&gt;1.5,(H90/(B90+2)+J96+MAX(0,J97-J96)+MAX(0,J98-J97)+MAX(0,J99-J98)+MAX(0,J100-J99)+MAX(0,J101-J100)),IF(B90=1,(H90/(B90+3)+J101),IF(B90=0,H90/4+J101))))</f>
        <v>7</v>
      </c>
    </row>
    <row r="103" spans="1:19" ht="15.75" customHeight="1" x14ac:dyDescent="0.35">
      <c r="A103" s="180" t="s">
        <v>136</v>
      </c>
      <c r="B103" s="181"/>
      <c r="C103" s="182" t="str">
        <f>D67</f>
        <v>Building No. 2 C Wing = G + 1st to 7th Floor</v>
      </c>
      <c r="D103" s="183"/>
      <c r="E103" s="183"/>
      <c r="F103" s="183"/>
      <c r="G103" s="183"/>
      <c r="H103" s="184"/>
      <c r="I103" s="46" t="str">
        <f ca="1">IF(D116=100%,"All work Completed. Possession granted to the Building.",IF(D115=100%,"All work Completed, Waiting for OC",I104&amp;""&amp;I105&amp;""&amp;J104&amp;""&amp;J103&amp;" "&amp;J105))</f>
        <v>Excavation, Plinth, RCC Slab, Brickwork Completed, Internal Plaster upto 6 Floor Completed</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Internal Plaster upto 6 Floor</v>
      </c>
      <c r="S103"/>
    </row>
    <row r="104" spans="1:19" x14ac:dyDescent="0.35">
      <c r="A104" s="15" t="s">
        <v>138</v>
      </c>
      <c r="B104" s="50">
        <v>0</v>
      </c>
      <c r="C104" s="50" t="s">
        <v>69</v>
      </c>
      <c r="D104" s="50">
        <v>1</v>
      </c>
      <c r="E104" s="50" t="s">
        <v>68</v>
      </c>
      <c r="F104" s="50">
        <v>0</v>
      </c>
      <c r="G104" s="45" t="s">
        <v>77</v>
      </c>
      <c r="H104" s="16">
        <f ca="1">--TRIM(RIGHT(SUBSTITUTE(LEFT(C103,_xlfn.AGGREGATE(16,6,FIND({0,1,2,3,4,5,6,7,8,9},C103,ROW(INDIRECT("1:"&amp;LEN(C103)))),1))," ",REPT(" ",LEN(C103))),LEN(C103)))</f>
        <v>7</v>
      </c>
      <c r="I104" s="48" t="str">
        <f ca="1">IF(D107=100%,"Excavation","")&amp;IF(D108=100%,", Plinth","")&amp;IF(D109=100%,", RCC Slab","")&amp;IF(D110=100%,", Brickwork","")&amp;IF(D111=100%,", Internal Plaster","")&amp;IF(D112=100%,", External Plaster","")&amp;IF(D113=100%,", Flooring","")&amp;IF(D114=100%,", Painting","")&amp;IF(D115=100%,", Building common Amenities","")</f>
        <v>Excavation, Plinth, RCC Slab, Brickwork</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2.5" customHeight="1" x14ac:dyDescent="0.35">
      <c r="A105" s="126" t="s">
        <v>87</v>
      </c>
      <c r="B105" s="126"/>
      <c r="C105" s="185" t="str">
        <f ca="1">I103</f>
        <v>Excavation, Plinth, RCC Slab, Brickwork Completed, Internal Plaster upto 6 Floor Completed</v>
      </c>
      <c r="D105" s="185"/>
      <c r="E105" s="185"/>
      <c r="F105" s="185"/>
      <c r="G105" s="185"/>
      <c r="H105" s="185"/>
      <c r="I105" s="78" t="str">
        <f ca="1">IF(I104&lt;&gt;""," Completed","")</f>
        <v xml:space="preserve"> Completed</v>
      </c>
      <c r="J105" s="49" t="str">
        <f ca="1">IF(J103&lt;&gt;"","Completed","")</f>
        <v>Completed</v>
      </c>
      <c r="S105"/>
    </row>
    <row r="106" spans="1:19" ht="15.75" customHeight="1" x14ac:dyDescent="0.35">
      <c r="A106" s="85" t="s">
        <v>47</v>
      </c>
      <c r="B106" s="85"/>
      <c r="C106" s="80" t="s">
        <v>135</v>
      </c>
      <c r="D106" s="80" t="s">
        <v>80</v>
      </c>
      <c r="E106" s="85" t="s">
        <v>82</v>
      </c>
      <c r="F106" s="85"/>
      <c r="G106" s="85" t="s">
        <v>81</v>
      </c>
      <c r="H106" s="85"/>
      <c r="I106" s="13" t="s">
        <v>137</v>
      </c>
      <c r="J106" s="27">
        <f ca="1">H104*25%</f>
        <v>1.75</v>
      </c>
      <c r="S106"/>
    </row>
    <row r="107" spans="1:19" x14ac:dyDescent="0.35">
      <c r="A107" s="85" t="s">
        <v>124</v>
      </c>
      <c r="B107" s="85"/>
      <c r="C107" s="73">
        <f ca="1">J108</f>
        <v>7</v>
      </c>
      <c r="D107" s="18">
        <f ca="1">((100/H104)*C107)/100</f>
        <v>1</v>
      </c>
      <c r="E107" s="188">
        <f ca="1">(((C108/H104*10)+(40/(D104+F104+H104)*C109)+(7.5/(H104)*C110)+(7.5/(H104)*C111)+(10/H104*C112)+(10/H104*C113)+(5/H104*C114)+(5/H104*C115)+(5/H104*C116))/100)</f>
        <v>0.63928571428571435</v>
      </c>
      <c r="F107" s="188"/>
      <c r="G107" s="188">
        <f ca="1">((((C107/H104)*20)+((C108/H104)*25)+(30/(H104+F104+D104)*C109)+(5/H104*C110)+(5/H104*C111)+(5/H104*C112)+(5/H104*C113)+(0/H104*C114)+(0/H104*C115)+(5/H104*C116))/100)</f>
        <v>0.84285714285714297</v>
      </c>
      <c r="H107" s="188"/>
      <c r="I107" s="13" t="s">
        <v>98</v>
      </c>
      <c r="J107" s="28">
        <f ca="1">H104*50%</f>
        <v>3.5</v>
      </c>
    </row>
    <row r="108" spans="1:19" x14ac:dyDescent="0.35">
      <c r="A108" s="85" t="s">
        <v>48</v>
      </c>
      <c r="B108" s="85"/>
      <c r="C108" s="73">
        <f ca="1">J116</f>
        <v>7</v>
      </c>
      <c r="D108" s="18">
        <f ca="1">((100/H104)*C108)/100</f>
        <v>1</v>
      </c>
      <c r="E108" s="188"/>
      <c r="F108" s="188"/>
      <c r="G108" s="188"/>
      <c r="H108" s="188"/>
      <c r="I108" s="13" t="s">
        <v>99</v>
      </c>
      <c r="J108" s="28">
        <f ca="1">H104</f>
        <v>7</v>
      </c>
      <c r="S108"/>
    </row>
    <row r="109" spans="1:19" ht="15.75" customHeight="1" x14ac:dyDescent="0.35">
      <c r="A109" s="85" t="s">
        <v>125</v>
      </c>
      <c r="B109" s="85"/>
      <c r="C109" s="80">
        <v>8</v>
      </c>
      <c r="D109" s="18">
        <f ca="1">((100/(D104+F104+H104))*C109)/100</f>
        <v>1</v>
      </c>
      <c r="E109" s="188"/>
      <c r="F109" s="188"/>
      <c r="G109" s="188"/>
      <c r="H109" s="188"/>
      <c r="I109" s="13" t="s">
        <v>100</v>
      </c>
      <c r="J109" s="29">
        <f ca="1">(IF(B104&gt;1,(H104/(B104+2)),H104/4))</f>
        <v>1.75</v>
      </c>
      <c r="S109"/>
    </row>
    <row r="110" spans="1:19" ht="15.75" customHeight="1" x14ac:dyDescent="0.35">
      <c r="A110" s="85" t="s">
        <v>132</v>
      </c>
      <c r="B110" s="85" t="s">
        <v>126</v>
      </c>
      <c r="C110" s="80">
        <v>7</v>
      </c>
      <c r="D110" s="18">
        <f ca="1">((100/H104)*C110)/100</f>
        <v>1</v>
      </c>
      <c r="E110" s="188"/>
      <c r="F110" s="188"/>
      <c r="G110" s="188"/>
      <c r="H110" s="188"/>
      <c r="I110" s="13" t="s">
        <v>101</v>
      </c>
      <c r="J110" s="29">
        <f ca="1">(IF(B104&gt;1,(H104/(B104+2)+J109),H104/4+J109))</f>
        <v>3.5</v>
      </c>
    </row>
    <row r="111" spans="1:19" ht="15.75" customHeight="1" x14ac:dyDescent="0.35">
      <c r="A111" s="85" t="s">
        <v>133</v>
      </c>
      <c r="B111" s="85" t="s">
        <v>126</v>
      </c>
      <c r="C111" s="80">
        <v>6</v>
      </c>
      <c r="D111" s="18">
        <f ca="1">((100/H104)*C111)/100</f>
        <v>0.85714285714285721</v>
      </c>
      <c r="E111" s="188"/>
      <c r="F111" s="188"/>
      <c r="G111" s="188"/>
      <c r="H111" s="188"/>
      <c r="I111" s="13" t="s">
        <v>142</v>
      </c>
      <c r="J111" s="29">
        <f>(IF(B104&gt;1,(H104/(B104+2)+J110),0))</f>
        <v>0</v>
      </c>
    </row>
    <row r="112" spans="1:19" ht="15" customHeight="1" x14ac:dyDescent="0.35">
      <c r="A112" s="85" t="s">
        <v>131</v>
      </c>
      <c r="B112" s="85" t="s">
        <v>128</v>
      </c>
      <c r="C112" s="80">
        <v>0</v>
      </c>
      <c r="D112" s="18">
        <f ca="1">((100/(H104))*C112)/100</f>
        <v>0</v>
      </c>
      <c r="E112" s="188"/>
      <c r="F112" s="188"/>
      <c r="G112" s="188"/>
      <c r="H112" s="188"/>
      <c r="I112" s="13" t="s">
        <v>139</v>
      </c>
      <c r="J112" s="29">
        <f>(IF(B104&gt;2,(H104/(B104+2)+J111),0))</f>
        <v>0</v>
      </c>
    </row>
    <row r="113" spans="1:22" ht="15.75" customHeight="1" x14ac:dyDescent="0.35">
      <c r="A113" s="85" t="s">
        <v>127</v>
      </c>
      <c r="B113" s="85" t="s">
        <v>127</v>
      </c>
      <c r="C113" s="80">
        <v>0</v>
      </c>
      <c r="D113" s="18">
        <f ca="1">((100/H104)*C113)/100</f>
        <v>0</v>
      </c>
      <c r="E113" s="188"/>
      <c r="F113" s="188"/>
      <c r="G113" s="188"/>
      <c r="H113" s="188"/>
      <c r="I113" s="13" t="s">
        <v>140</v>
      </c>
      <c r="J113" s="30">
        <f>(IF(B104&gt;3,(H104/(B104+2)+J112),0))</f>
        <v>0</v>
      </c>
    </row>
    <row r="114" spans="1:22" ht="15.75" customHeight="1" x14ac:dyDescent="0.35">
      <c r="A114" s="85" t="s">
        <v>134</v>
      </c>
      <c r="B114" s="85"/>
      <c r="C114" s="80">
        <v>0</v>
      </c>
      <c r="D114" s="18">
        <f ca="1">((100/H104)*C114)/100</f>
        <v>0</v>
      </c>
      <c r="E114" s="188"/>
      <c r="F114" s="188"/>
      <c r="G114" s="188"/>
      <c r="H114" s="188"/>
      <c r="I114" s="13" t="s">
        <v>141</v>
      </c>
      <c r="J114" s="29">
        <f>(IF(B104&gt;4,(H104/(B104+2)+J113),0))</f>
        <v>0</v>
      </c>
    </row>
    <row r="115" spans="1:22" ht="15.75" customHeight="1" x14ac:dyDescent="0.35">
      <c r="A115" s="85" t="s">
        <v>129</v>
      </c>
      <c r="B115" s="85" t="s">
        <v>129</v>
      </c>
      <c r="C115" s="80">
        <v>0</v>
      </c>
      <c r="D115" s="18">
        <f ca="1">((100/(H104))*C115)/100</f>
        <v>0</v>
      </c>
      <c r="E115" s="188"/>
      <c r="F115" s="188"/>
      <c r="G115" s="188"/>
      <c r="H115" s="188"/>
      <c r="I115" s="13" t="s">
        <v>143</v>
      </c>
      <c r="J115" s="29">
        <f ca="1">(IF(B104=1,(H104/(B104+3)+J110),IF(B104=0,(H104/4+J110),IF(B104&gt;1,0))))</f>
        <v>5.25</v>
      </c>
    </row>
    <row r="116" spans="1:22" ht="16" thickBot="1" x14ac:dyDescent="0.4">
      <c r="A116" s="85" t="s">
        <v>130</v>
      </c>
      <c r="B116" s="85"/>
      <c r="C116" s="80">
        <v>0</v>
      </c>
      <c r="D116" s="18">
        <f ca="1">((100/(H104))*C116)/100</f>
        <v>0</v>
      </c>
      <c r="E116" s="188"/>
      <c r="F116" s="188"/>
      <c r="G116" s="188"/>
      <c r="H116" s="188"/>
      <c r="I116" s="14" t="s">
        <v>102</v>
      </c>
      <c r="J116" s="31">
        <f ca="1">(IF(B104&gt;1.5,(H104/(B104+2)+J110+MAX(0,J111-J110)+MAX(0,J112-J111)+MAX(0,J113-J112)+MAX(0,J114-J113)+MAX(0,J115-J114)),IF(B104=1,(H104/(B104+3)+J115),IF(B104=0,H104/4+J115))))</f>
        <v>7</v>
      </c>
    </row>
    <row r="117" spans="1:22" x14ac:dyDescent="0.35">
      <c r="A117" s="152" t="s">
        <v>153</v>
      </c>
      <c r="B117" s="152"/>
      <c r="C117" s="152"/>
      <c r="D117" s="152"/>
      <c r="E117" s="152"/>
      <c r="F117" s="173" t="s">
        <v>157</v>
      </c>
      <c r="G117" s="173"/>
      <c r="H117" s="173"/>
      <c r="R117" t="s">
        <v>252</v>
      </c>
      <c r="S117" t="s">
        <v>169</v>
      </c>
      <c r="T117" t="s">
        <v>177</v>
      </c>
      <c r="U117" t="s">
        <v>191</v>
      </c>
      <c r="V117" t="s">
        <v>186</v>
      </c>
    </row>
    <row r="118" spans="1:22" x14ac:dyDescent="0.35">
      <c r="A118" s="97" t="s">
        <v>155</v>
      </c>
      <c r="B118" s="97"/>
      <c r="C118" s="97"/>
      <c r="D118" s="97"/>
      <c r="E118" s="97"/>
      <c r="F118" s="113">
        <v>3500</v>
      </c>
      <c r="G118" s="113"/>
      <c r="H118" s="113"/>
      <c r="R118"/>
      <c r="S118">
        <v>800000</v>
      </c>
      <c r="T118">
        <v>150000</v>
      </c>
      <c r="U118">
        <v>100000</v>
      </c>
      <c r="V118">
        <v>100000</v>
      </c>
    </row>
    <row r="119" spans="1:22" x14ac:dyDescent="0.35">
      <c r="A119" s="97" t="s">
        <v>154</v>
      </c>
      <c r="B119" s="97"/>
      <c r="C119" s="97"/>
      <c r="D119" s="97"/>
      <c r="E119" s="97"/>
      <c r="F119" s="113">
        <v>7000</v>
      </c>
      <c r="G119" s="113"/>
      <c r="H119" s="113"/>
      <c r="R119"/>
      <c r="S119">
        <v>900000</v>
      </c>
      <c r="T119">
        <v>200000</v>
      </c>
      <c r="U119">
        <v>150000</v>
      </c>
      <c r="V119">
        <v>150000</v>
      </c>
    </row>
    <row r="120" spans="1:22" hidden="1" x14ac:dyDescent="0.35">
      <c r="A120" s="97" t="s">
        <v>156</v>
      </c>
      <c r="B120" s="97"/>
      <c r="C120" s="97"/>
      <c r="D120" s="97"/>
      <c r="E120" s="97"/>
      <c r="F120" s="113"/>
      <c r="G120" s="113"/>
      <c r="H120" s="113"/>
      <c r="R120"/>
      <c r="S120">
        <v>1000000</v>
      </c>
      <c r="T120">
        <v>250000</v>
      </c>
      <c r="U120">
        <v>200000</v>
      </c>
      <c r="V120">
        <v>200000</v>
      </c>
    </row>
    <row r="121" spans="1:22" s="32" customFormat="1" hidden="1" x14ac:dyDescent="0.35">
      <c r="A121" s="97" t="s">
        <v>172</v>
      </c>
      <c r="B121" s="97"/>
      <c r="C121" s="97"/>
      <c r="D121" s="97"/>
      <c r="E121" s="97"/>
      <c r="F121" s="113"/>
      <c r="G121" s="113"/>
      <c r="H121" s="113"/>
      <c r="R121"/>
      <c r="S121">
        <v>1100000</v>
      </c>
      <c r="T121">
        <v>300000</v>
      </c>
      <c r="U121">
        <v>250000</v>
      </c>
      <c r="V121" s="22">
        <v>250000</v>
      </c>
    </row>
    <row r="122" spans="1:22" s="32" customFormat="1" x14ac:dyDescent="0.35">
      <c r="A122" s="97" t="s">
        <v>92</v>
      </c>
      <c r="B122" s="97"/>
      <c r="C122" s="97"/>
      <c r="D122" s="97"/>
      <c r="E122" s="97"/>
      <c r="F122" s="113">
        <v>150000</v>
      </c>
      <c r="G122" s="113"/>
      <c r="H122" s="113"/>
      <c r="J122" s="32" t="s">
        <v>398</v>
      </c>
      <c r="R122"/>
      <c r="S122">
        <v>1200000</v>
      </c>
      <c r="T122">
        <v>350000</v>
      </c>
      <c r="U122">
        <v>300000</v>
      </c>
      <c r="V122">
        <v>300000</v>
      </c>
    </row>
    <row r="123" spans="1:22" s="32" customFormat="1" hidden="1" x14ac:dyDescent="0.35">
      <c r="A123" s="97" t="s">
        <v>93</v>
      </c>
      <c r="B123" s="97"/>
      <c r="C123" s="97"/>
      <c r="D123" s="97"/>
      <c r="E123" s="97"/>
      <c r="F123" s="113"/>
      <c r="G123" s="113"/>
      <c r="H123" s="113"/>
      <c r="R123"/>
      <c r="S123">
        <v>1300000</v>
      </c>
      <c r="T123">
        <v>400000</v>
      </c>
      <c r="U123">
        <v>350000</v>
      </c>
      <c r="V123" s="22">
        <v>400000</v>
      </c>
    </row>
    <row r="124" spans="1:22" s="32" customFormat="1" hidden="1" x14ac:dyDescent="0.35">
      <c r="A124" s="97" t="s">
        <v>94</v>
      </c>
      <c r="B124" s="97"/>
      <c r="C124" s="97"/>
      <c r="D124" s="97"/>
      <c r="E124" s="97"/>
      <c r="F124" s="113"/>
      <c r="G124" s="113"/>
      <c r="H124" s="113"/>
      <c r="R124"/>
      <c r="S124">
        <v>1400000</v>
      </c>
      <c r="T124">
        <v>500000</v>
      </c>
      <c r="U124">
        <v>400000</v>
      </c>
      <c r="V124"/>
    </row>
    <row r="125" spans="1:22" s="32" customFormat="1" hidden="1" x14ac:dyDescent="0.35">
      <c r="A125" s="97" t="s">
        <v>95</v>
      </c>
      <c r="B125" s="97"/>
      <c r="C125" s="97"/>
      <c r="D125" s="97"/>
      <c r="E125" s="97"/>
      <c r="F125" s="113"/>
      <c r="G125" s="113"/>
      <c r="H125" s="113"/>
      <c r="R125"/>
      <c r="S125">
        <v>1500000</v>
      </c>
      <c r="T125">
        <v>600000</v>
      </c>
      <c r="U125">
        <v>500000</v>
      </c>
      <c r="V125" s="22"/>
    </row>
    <row r="126" spans="1:22" s="32" customFormat="1" x14ac:dyDescent="0.35">
      <c r="A126" s="97" t="s">
        <v>96</v>
      </c>
      <c r="B126" s="97"/>
      <c r="C126" s="97"/>
      <c r="D126" s="97"/>
      <c r="E126" s="97"/>
      <c r="F126" s="113">
        <v>50000</v>
      </c>
      <c r="G126" s="113"/>
      <c r="H126" s="113"/>
      <c r="R126"/>
      <c r="S126">
        <v>1600000</v>
      </c>
      <c r="T126">
        <v>700000</v>
      </c>
      <c r="U126">
        <v>600000</v>
      </c>
      <c r="V126"/>
    </row>
    <row r="127" spans="1:22" s="32" customFormat="1" x14ac:dyDescent="0.35">
      <c r="A127" s="97" t="s">
        <v>97</v>
      </c>
      <c r="B127" s="97"/>
      <c r="C127" s="97"/>
      <c r="D127" s="97"/>
      <c r="E127" s="97"/>
      <c r="F127" s="113">
        <v>50000</v>
      </c>
      <c r="G127" s="113"/>
      <c r="H127" s="113"/>
      <c r="R127"/>
      <c r="S127">
        <v>1700000</v>
      </c>
      <c r="T127">
        <v>800000</v>
      </c>
      <c r="U127"/>
      <c r="V127" s="22"/>
    </row>
    <row r="128" spans="1:22" x14ac:dyDescent="0.35">
      <c r="A128" s="97" t="s">
        <v>49</v>
      </c>
      <c r="B128" s="97"/>
      <c r="C128" s="97"/>
      <c r="D128" s="97"/>
      <c r="E128" s="97"/>
      <c r="F128" s="113">
        <v>100000</v>
      </c>
      <c r="G128" s="113"/>
      <c r="H128" s="113"/>
      <c r="R128"/>
      <c r="S128">
        <v>1800000</v>
      </c>
      <c r="T128">
        <v>900000</v>
      </c>
      <c r="U128"/>
    </row>
    <row r="129" spans="1:22" s="33" customFormat="1" x14ac:dyDescent="0.35">
      <c r="A129" s="152" t="s">
        <v>50</v>
      </c>
      <c r="B129" s="152"/>
      <c r="C129" s="152"/>
      <c r="D129" s="152"/>
      <c r="E129" s="152"/>
      <c r="F129" s="113">
        <f>F118*0.8</f>
        <v>2800</v>
      </c>
      <c r="G129" s="113"/>
      <c r="H129" s="113"/>
      <c r="R129" s="20"/>
      <c r="S129" s="20"/>
      <c r="T129">
        <v>1000000</v>
      </c>
      <c r="U129"/>
      <c r="V129" s="20"/>
    </row>
    <row r="130" spans="1:22" s="34" customFormat="1" ht="15.75" customHeight="1" x14ac:dyDescent="0.35">
      <c r="A130" s="101" t="s">
        <v>72</v>
      </c>
      <c r="B130" s="101"/>
      <c r="C130" s="101"/>
      <c r="D130" s="101"/>
      <c r="E130" s="101"/>
      <c r="F130" s="101"/>
      <c r="G130" s="101"/>
      <c r="H130" s="101"/>
      <c r="R130"/>
      <c r="S130" s="20"/>
      <c r="T130"/>
      <c r="U130"/>
      <c r="V130" s="20"/>
    </row>
    <row r="131" spans="1:22" s="34" customFormat="1" ht="15.75" customHeight="1" x14ac:dyDescent="0.35">
      <c r="A131" s="106" t="s">
        <v>51</v>
      </c>
      <c r="B131" s="106"/>
      <c r="C131" s="103" t="s">
        <v>75</v>
      </c>
      <c r="D131" s="103"/>
      <c r="E131" s="105" t="s">
        <v>52</v>
      </c>
      <c r="F131" s="105"/>
      <c r="G131" s="106" t="s">
        <v>53</v>
      </c>
      <c r="H131" s="106"/>
      <c r="R131"/>
      <c r="S131" s="20"/>
      <c r="T131"/>
      <c r="U131" s="20"/>
      <c r="V131" s="20"/>
    </row>
    <row r="132" spans="1:22" s="34" customFormat="1" x14ac:dyDescent="0.35">
      <c r="A132" s="86" t="s">
        <v>386</v>
      </c>
      <c r="B132" s="86"/>
      <c r="C132" s="87">
        <f>COUNT(F149:F161)</f>
        <v>13</v>
      </c>
      <c r="D132" s="88"/>
      <c r="E132" s="89">
        <f t="shared" ref="E132" si="0">SUM(F149:F161)</f>
        <v>2051.9413199999999</v>
      </c>
      <c r="F132" s="90"/>
      <c r="G132" s="89">
        <f>SUM(H149:H161)</f>
        <v>3077.9119799999999</v>
      </c>
      <c r="H132" s="90"/>
      <c r="R132"/>
      <c r="S132" s="20"/>
      <c r="T132"/>
      <c r="U132" s="20"/>
      <c r="V132" s="20"/>
    </row>
    <row r="133" spans="1:22" s="34" customFormat="1" x14ac:dyDescent="0.35">
      <c r="A133" s="86" t="s">
        <v>387</v>
      </c>
      <c r="B133" s="86"/>
      <c r="C133" s="87">
        <f>COUNT(F164:F171)</f>
        <v>8</v>
      </c>
      <c r="D133" s="88"/>
      <c r="E133" s="89">
        <f>SUM(F164:F171)</f>
        <v>1458.4143599999998</v>
      </c>
      <c r="F133" s="90"/>
      <c r="G133" s="89">
        <f>SUM(H164:H171)</f>
        <v>2187.6215400000001</v>
      </c>
      <c r="H133" s="90"/>
      <c r="R133"/>
      <c r="S133" s="20"/>
      <c r="T133"/>
      <c r="U133" s="20"/>
      <c r="V133" s="20"/>
    </row>
    <row r="134" spans="1:22" s="34" customFormat="1" x14ac:dyDescent="0.35">
      <c r="A134" s="86" t="s">
        <v>388</v>
      </c>
      <c r="B134" s="86"/>
      <c r="C134" s="87">
        <f>COUNT(F174:F184)</f>
        <v>11</v>
      </c>
      <c r="D134" s="88"/>
      <c r="E134" s="89">
        <f t="shared" ref="E134" si="1">SUM(F174:F184)</f>
        <v>1656.5796</v>
      </c>
      <c r="F134" s="90"/>
      <c r="G134" s="89">
        <f>SUM(H174:H184)</f>
        <v>2484.8693999999996</v>
      </c>
      <c r="H134" s="90"/>
      <c r="R134"/>
      <c r="S134" s="20"/>
      <c r="T134"/>
      <c r="U134" s="20"/>
      <c r="V134" s="20"/>
    </row>
    <row r="135" spans="1:22" s="34" customFormat="1" x14ac:dyDescent="0.35">
      <c r="A135" s="101" t="s">
        <v>146</v>
      </c>
      <c r="B135" s="101"/>
      <c r="C135" s="102">
        <f>SUM(C132:D134)</f>
        <v>32</v>
      </c>
      <c r="D135" s="103"/>
      <c r="E135" s="104">
        <f>SUM(E132:F134)</f>
        <v>5166.9352799999997</v>
      </c>
      <c r="F135" s="105"/>
      <c r="G135" s="106">
        <f>SUM(G132:H134)</f>
        <v>7750.4029199999995</v>
      </c>
      <c r="H135" s="106"/>
      <c r="R135"/>
      <c r="S135" s="20"/>
      <c r="T135"/>
      <c r="U135" s="20"/>
      <c r="V135" s="20"/>
    </row>
    <row r="136" spans="1:22" s="34" customFormat="1" x14ac:dyDescent="0.35">
      <c r="A136" s="101" t="s">
        <v>67</v>
      </c>
      <c r="B136" s="101"/>
      <c r="C136" s="101"/>
      <c r="D136" s="101"/>
      <c r="E136" s="101"/>
      <c r="F136" s="101"/>
      <c r="G136" s="101"/>
      <c r="H136" s="101"/>
      <c r="T136"/>
    </row>
    <row r="137" spans="1:22" s="34" customFormat="1" ht="15.75" customHeight="1" x14ac:dyDescent="0.35">
      <c r="A137" s="106" t="s">
        <v>51</v>
      </c>
      <c r="B137" s="106"/>
      <c r="C137" s="103" t="s">
        <v>75</v>
      </c>
      <c r="D137" s="103"/>
      <c r="E137" s="105" t="s">
        <v>52</v>
      </c>
      <c r="F137" s="105"/>
      <c r="G137" s="106" t="s">
        <v>53</v>
      </c>
      <c r="H137" s="106"/>
      <c r="T137"/>
    </row>
    <row r="138" spans="1:22" s="34" customFormat="1" x14ac:dyDescent="0.35">
      <c r="A138" s="86" t="s">
        <v>386</v>
      </c>
      <c r="B138" s="86"/>
      <c r="C138" s="88">
        <f>COUNT(F190:F191)+COUNT(F193:F198)+COUNT(F200:F205)*6</f>
        <v>44</v>
      </c>
      <c r="D138" s="88"/>
      <c r="E138" s="89">
        <f t="shared" ref="E138" si="2">SUM(F190:F191)+SUM(F193:F198)+SUM(F200:F205)*6</f>
        <v>20212.854479999998</v>
      </c>
      <c r="F138" s="89"/>
      <c r="G138" s="89">
        <f>SUM(H190:H191)+SUM(H193:H198)+SUM(H200:H205)*6</f>
        <v>29618.247515999999</v>
      </c>
      <c r="H138" s="89"/>
      <c r="T138"/>
    </row>
    <row r="139" spans="1:22" s="34" customFormat="1" x14ac:dyDescent="0.35">
      <c r="A139" s="86" t="s">
        <v>387</v>
      </c>
      <c r="B139" s="86"/>
      <c r="C139" s="88">
        <f>COUNT(F208)+COUNT(F210:F214)+COUNT(F216:F220)*6</f>
        <v>36</v>
      </c>
      <c r="D139" s="88"/>
      <c r="E139" s="89">
        <f t="shared" ref="E139" si="3">SUM(F208)+SUM(F210:F214)+SUM(F216:F220)*6</f>
        <v>14169.514319999998</v>
      </c>
      <c r="F139" s="89"/>
      <c r="G139" s="89">
        <f>SUM(H208)+SUM(H210:H214)+SUM(H216:H220)*6</f>
        <v>20765.112263999996</v>
      </c>
      <c r="H139" s="89"/>
      <c r="T139"/>
    </row>
    <row r="140" spans="1:22" s="34" customFormat="1" x14ac:dyDescent="0.35">
      <c r="A140" s="86" t="s">
        <v>388</v>
      </c>
      <c r="B140" s="86"/>
      <c r="C140" s="88">
        <f>COUNT(F223:F224)+COUNT(F226:F231)+COUNT(F233:F238)*6</f>
        <v>44</v>
      </c>
      <c r="D140" s="88"/>
      <c r="E140" s="89">
        <f t="shared" ref="E140" si="4">SUM(F223:F224)+SUM(F226:F231)+SUM(F233:F238)*6</f>
        <v>18130.343399999998</v>
      </c>
      <c r="F140" s="89"/>
      <c r="G140" s="89">
        <f>SUM(H223:H224)+SUM(H226:H231)+SUM(H233:H238)*6</f>
        <v>26508.744989999999</v>
      </c>
      <c r="H140" s="89"/>
      <c r="R140"/>
      <c r="S140" s="20"/>
      <c r="T140"/>
      <c r="U140" s="20"/>
      <c r="V140" s="20"/>
    </row>
    <row r="141" spans="1:22" s="34" customFormat="1" ht="16" thickBot="1" x14ac:dyDescent="0.4">
      <c r="A141" s="98" t="s">
        <v>146</v>
      </c>
      <c r="B141" s="98"/>
      <c r="C141" s="198">
        <f>SUM(C138:D140)</f>
        <v>124</v>
      </c>
      <c r="D141" s="198"/>
      <c r="E141" s="99">
        <f>SUM(E138:F140)</f>
        <v>52512.712199999994</v>
      </c>
      <c r="F141" s="100"/>
      <c r="G141" s="99">
        <f>SUM(G138:H140)</f>
        <v>76892.104770000005</v>
      </c>
      <c r="H141" s="100"/>
      <c r="T141"/>
    </row>
    <row r="142" spans="1:22" s="34" customFormat="1" ht="16" thickBot="1" x14ac:dyDescent="0.4">
      <c r="A142" s="210" t="s">
        <v>163</v>
      </c>
      <c r="B142" s="211"/>
      <c r="C142" s="212">
        <f>C135+C141</f>
        <v>156</v>
      </c>
      <c r="D142" s="212"/>
      <c r="E142" s="213">
        <f>E135+E141</f>
        <v>57679.647479999992</v>
      </c>
      <c r="F142" s="213"/>
      <c r="G142" s="120">
        <f>G135+G141</f>
        <v>84642.507689999999</v>
      </c>
      <c r="H142" s="121"/>
      <c r="T142"/>
    </row>
    <row r="143" spans="1:22" s="33" customFormat="1" x14ac:dyDescent="0.35">
      <c r="A143" s="214" t="s">
        <v>54</v>
      </c>
      <c r="B143" s="214"/>
      <c r="C143" s="214"/>
      <c r="D143" s="214"/>
      <c r="E143" s="214"/>
      <c r="F143" s="214"/>
      <c r="G143" s="214"/>
      <c r="H143" s="214"/>
      <c r="T143" s="34"/>
    </row>
    <row r="144" spans="1:22" x14ac:dyDescent="0.35">
      <c r="A144" s="169" t="s">
        <v>171</v>
      </c>
      <c r="B144" s="169"/>
      <c r="C144" s="169"/>
      <c r="D144" s="169"/>
      <c r="E144" s="169"/>
      <c r="F144" s="169"/>
      <c r="G144" s="169"/>
      <c r="H144" s="169"/>
      <c r="T144" s="34"/>
    </row>
    <row r="145" spans="1:20" ht="47.25" customHeight="1" x14ac:dyDescent="0.35">
      <c r="A145" s="107" t="s">
        <v>373</v>
      </c>
      <c r="B145" s="107" t="s">
        <v>173</v>
      </c>
      <c r="C145" s="107" t="s">
        <v>55</v>
      </c>
      <c r="D145" s="107" t="s">
        <v>230</v>
      </c>
      <c r="E145" s="118" t="s">
        <v>152</v>
      </c>
      <c r="F145" s="107" t="s">
        <v>56</v>
      </c>
      <c r="G145" s="118" t="s">
        <v>57</v>
      </c>
      <c r="H145" s="74" t="s">
        <v>145</v>
      </c>
      <c r="T145" s="34"/>
    </row>
    <row r="146" spans="1:20" s="36" customFormat="1" x14ac:dyDescent="0.35">
      <c r="A146" s="108"/>
      <c r="B146" s="108"/>
      <c r="C146" s="108"/>
      <c r="D146" s="108"/>
      <c r="E146" s="119"/>
      <c r="F146" s="108"/>
      <c r="G146" s="119"/>
      <c r="H146" s="75">
        <v>0.5</v>
      </c>
      <c r="T146" s="34"/>
    </row>
    <row r="147" spans="1:20" s="36" customFormat="1" x14ac:dyDescent="0.35">
      <c r="A147" s="199" t="s">
        <v>375</v>
      </c>
      <c r="B147" s="200"/>
      <c r="C147" s="200"/>
      <c r="D147" s="200"/>
      <c r="E147" s="200"/>
      <c r="F147" s="200"/>
      <c r="G147" s="200"/>
      <c r="H147" s="201"/>
      <c r="J147" s="35"/>
      <c r="T147" s="34"/>
    </row>
    <row r="148" spans="1:20" s="36" customFormat="1" x14ac:dyDescent="0.35">
      <c r="A148" s="199" t="s">
        <v>377</v>
      </c>
      <c r="B148" s="200"/>
      <c r="C148" s="200"/>
      <c r="D148" s="200"/>
      <c r="E148" s="200"/>
      <c r="F148" s="200"/>
      <c r="G148" s="200"/>
      <c r="H148" s="201"/>
      <c r="J148" s="35"/>
      <c r="T148" s="34"/>
    </row>
    <row r="149" spans="1:20" s="36" customFormat="1" ht="15.75" customHeight="1" x14ac:dyDescent="0.35">
      <c r="A149" s="82">
        <v>1</v>
      </c>
      <c r="B149" s="83"/>
      <c r="C149" s="41" t="s">
        <v>374</v>
      </c>
      <c r="D149" s="41">
        <f>15.21*10.764</f>
        <v>163.72044</v>
      </c>
      <c r="E149" s="41">
        <v>0</v>
      </c>
      <c r="F149" s="41">
        <f>D149+(IF(E149&lt;201,E149,IF(E149&lt;301,E149/2,E149/3)))</f>
        <v>163.72044</v>
      </c>
      <c r="G149" s="41">
        <v>0</v>
      </c>
      <c r="H149" s="41">
        <f>(F149+(IF(G149&lt;101,G149,IF(G149&lt;201,G149/2,IF(G149&lt;=301,G149/3,G149/4)))))*(($H$146)+1)</f>
        <v>245.58065999999999</v>
      </c>
      <c r="I149" s="35"/>
      <c r="J149" s="36">
        <f>2.75*5.4</f>
        <v>14.850000000000001</v>
      </c>
      <c r="L149" s="114"/>
      <c r="M149" s="114"/>
      <c r="N149" s="35"/>
      <c r="T149" s="34"/>
    </row>
    <row r="150" spans="1:20" s="36" customFormat="1" ht="15.75" customHeight="1" x14ac:dyDescent="0.35">
      <c r="A150" s="82">
        <f t="shared" ref="A150:A161" si="5">A149+1</f>
        <v>2</v>
      </c>
      <c r="B150" s="83"/>
      <c r="C150" s="41" t="s">
        <v>374</v>
      </c>
      <c r="D150" s="41">
        <f>14.94*10.764</f>
        <v>160.81415999999999</v>
      </c>
      <c r="E150" s="41">
        <v>0</v>
      </c>
      <c r="F150" s="41">
        <f t="shared" ref="F150:F152" si="6">D150+(IF(E150&lt;201,E150,IF(E150&lt;301,E150/2,E150/3)))</f>
        <v>160.81415999999999</v>
      </c>
      <c r="G150" s="41">
        <v>0</v>
      </c>
      <c r="H150" s="41">
        <f t="shared" ref="H150:H152" si="7">(F150+(IF(G150&lt;101,G150,IF(G150&lt;201,G150/2,IF(G150&lt;=301,G150/3,G150/4)))))*(($H$146)+1)</f>
        <v>241.22123999999997</v>
      </c>
      <c r="I150" s="35"/>
      <c r="L150" s="114"/>
      <c r="M150" s="114"/>
      <c r="N150" s="35"/>
      <c r="T150" s="33"/>
    </row>
    <row r="151" spans="1:20" s="36" customFormat="1" ht="15.75" customHeight="1" x14ac:dyDescent="0.35">
      <c r="A151" s="82">
        <f t="shared" si="5"/>
        <v>3</v>
      </c>
      <c r="B151" s="83"/>
      <c r="C151" s="41" t="s">
        <v>374</v>
      </c>
      <c r="D151" s="41">
        <f>10.22*10.764</f>
        <v>110.00808000000001</v>
      </c>
      <c r="E151" s="41">
        <v>0</v>
      </c>
      <c r="F151" s="41">
        <f t="shared" si="6"/>
        <v>110.00808000000001</v>
      </c>
      <c r="G151" s="41">
        <v>0</v>
      </c>
      <c r="H151" s="41">
        <f t="shared" si="7"/>
        <v>165.01212000000001</v>
      </c>
      <c r="I151" s="35"/>
      <c r="L151" s="114"/>
      <c r="M151" s="114"/>
      <c r="N151" s="35"/>
      <c r="T151" s="20"/>
    </row>
    <row r="152" spans="1:20" s="36" customFormat="1" ht="15.75" customHeight="1" x14ac:dyDescent="0.35">
      <c r="A152" s="82">
        <f t="shared" si="5"/>
        <v>4</v>
      </c>
      <c r="B152" s="83"/>
      <c r="C152" s="41" t="s">
        <v>374</v>
      </c>
      <c r="D152" s="41">
        <f>17.03*10.764</f>
        <v>183.31092000000001</v>
      </c>
      <c r="E152" s="41">
        <v>0</v>
      </c>
      <c r="F152" s="41">
        <f t="shared" si="6"/>
        <v>183.31092000000001</v>
      </c>
      <c r="G152" s="41">
        <v>0</v>
      </c>
      <c r="H152" s="41">
        <f t="shared" si="7"/>
        <v>274.96638000000002</v>
      </c>
      <c r="I152" s="35"/>
      <c r="L152" s="114"/>
      <c r="M152" s="114"/>
      <c r="N152" s="35"/>
      <c r="T152" s="20"/>
    </row>
    <row r="153" spans="1:20" s="36" customFormat="1" ht="15.75" customHeight="1" x14ac:dyDescent="0.35">
      <c r="A153" s="82">
        <f t="shared" si="5"/>
        <v>5</v>
      </c>
      <c r="B153" s="83"/>
      <c r="C153" s="41" t="s">
        <v>374</v>
      </c>
      <c r="D153" s="41">
        <f>19.39*10.764</f>
        <v>208.71395999999999</v>
      </c>
      <c r="E153" s="41">
        <v>0</v>
      </c>
      <c r="F153" s="41">
        <f t="shared" ref="F153:F158" si="8">D153+(IF(E153&lt;201,E153,IF(E153&lt;301,E153/2,E153/3)))</f>
        <v>208.71395999999999</v>
      </c>
      <c r="G153" s="41">
        <v>0</v>
      </c>
      <c r="H153" s="41">
        <f t="shared" ref="H153:H158" si="9">(F153+(IF(G153&lt;101,G153,IF(G153&lt;201,G153/2,IF(G153&lt;=301,G153/3,G153/4)))))*(($H$146)+1)</f>
        <v>313.07093999999995</v>
      </c>
      <c r="I153" s="35"/>
      <c r="L153" s="114"/>
      <c r="M153" s="114"/>
      <c r="N153" s="35"/>
      <c r="T153" s="33"/>
    </row>
    <row r="154" spans="1:20" s="36" customFormat="1" ht="15.75" customHeight="1" x14ac:dyDescent="0.35">
      <c r="A154" s="82">
        <f t="shared" si="5"/>
        <v>6</v>
      </c>
      <c r="B154" s="83"/>
      <c r="C154" s="41" t="s">
        <v>374</v>
      </c>
      <c r="D154" s="41">
        <f>19.04*10.764</f>
        <v>204.94655999999998</v>
      </c>
      <c r="E154" s="41">
        <v>0</v>
      </c>
      <c r="F154" s="41">
        <f t="shared" si="8"/>
        <v>204.94655999999998</v>
      </c>
      <c r="G154" s="41">
        <v>0</v>
      </c>
      <c r="H154" s="41">
        <f t="shared" si="9"/>
        <v>307.41983999999997</v>
      </c>
      <c r="I154" s="35"/>
      <c r="L154" s="114"/>
      <c r="M154" s="114"/>
      <c r="N154" s="35"/>
      <c r="T154" s="20"/>
    </row>
    <row r="155" spans="1:20" s="36" customFormat="1" ht="15.75" customHeight="1" x14ac:dyDescent="0.35">
      <c r="A155" s="82">
        <f t="shared" si="5"/>
        <v>7</v>
      </c>
      <c r="B155" s="83"/>
      <c r="C155" s="41" t="s">
        <v>374</v>
      </c>
      <c r="D155" s="41">
        <f>13.38*10.764</f>
        <v>144.02232000000001</v>
      </c>
      <c r="E155" s="41">
        <v>0</v>
      </c>
      <c r="F155" s="41">
        <f t="shared" si="8"/>
        <v>144.02232000000001</v>
      </c>
      <c r="G155" s="41">
        <v>0</v>
      </c>
      <c r="H155" s="41">
        <f t="shared" si="9"/>
        <v>216.03348</v>
      </c>
      <c r="I155" s="35"/>
      <c r="L155" s="114"/>
      <c r="M155" s="114"/>
      <c r="N155" s="35"/>
      <c r="T155" s="20"/>
    </row>
    <row r="156" spans="1:20" s="36" customFormat="1" ht="15.75" customHeight="1" x14ac:dyDescent="0.35">
      <c r="A156" s="82">
        <f t="shared" si="5"/>
        <v>8</v>
      </c>
      <c r="B156" s="83"/>
      <c r="C156" s="41" t="s">
        <v>374</v>
      </c>
      <c r="D156" s="41">
        <f>11.5*10.764</f>
        <v>123.78599999999999</v>
      </c>
      <c r="E156" s="41">
        <v>0</v>
      </c>
      <c r="F156" s="41">
        <f t="shared" si="8"/>
        <v>123.78599999999999</v>
      </c>
      <c r="G156" s="41">
        <v>0</v>
      </c>
      <c r="H156" s="41">
        <f t="shared" si="9"/>
        <v>185.67899999999997</v>
      </c>
      <c r="I156" s="35"/>
      <c r="L156" s="114"/>
      <c r="M156" s="114"/>
      <c r="N156" s="35"/>
      <c r="T156" s="33"/>
    </row>
    <row r="157" spans="1:20" s="36" customFormat="1" ht="15.75" customHeight="1" x14ac:dyDescent="0.35">
      <c r="A157" s="82">
        <f t="shared" si="5"/>
        <v>9</v>
      </c>
      <c r="B157" s="83"/>
      <c r="C157" s="41" t="s">
        <v>374</v>
      </c>
      <c r="D157" s="41">
        <f>15.8*10.764</f>
        <v>170.0712</v>
      </c>
      <c r="E157" s="41">
        <v>0</v>
      </c>
      <c r="F157" s="41">
        <f t="shared" si="8"/>
        <v>170.0712</v>
      </c>
      <c r="G157" s="41">
        <v>0</v>
      </c>
      <c r="H157" s="41">
        <f t="shared" si="9"/>
        <v>255.10680000000002</v>
      </c>
      <c r="I157" s="35"/>
      <c r="L157" s="114"/>
      <c r="M157" s="114"/>
      <c r="N157" s="35"/>
      <c r="T157" s="20"/>
    </row>
    <row r="158" spans="1:20" s="36" customFormat="1" ht="15.75" customHeight="1" x14ac:dyDescent="0.35">
      <c r="A158" s="82">
        <f t="shared" si="5"/>
        <v>10</v>
      </c>
      <c r="B158" s="83"/>
      <c r="C158" s="41" t="s">
        <v>374</v>
      </c>
      <c r="D158" s="41">
        <f>18.96*10.764</f>
        <v>204.08544000000001</v>
      </c>
      <c r="E158" s="41">
        <v>0</v>
      </c>
      <c r="F158" s="41">
        <f t="shared" si="8"/>
        <v>204.08544000000001</v>
      </c>
      <c r="G158" s="41">
        <v>0</v>
      </c>
      <c r="H158" s="41">
        <f t="shared" si="9"/>
        <v>306.12815999999998</v>
      </c>
      <c r="I158" s="35"/>
      <c r="L158" s="114"/>
      <c r="M158" s="114"/>
      <c r="N158" s="35"/>
      <c r="T158" s="20"/>
    </row>
    <row r="159" spans="1:20" s="36" customFormat="1" ht="15.75" customHeight="1" x14ac:dyDescent="0.35">
      <c r="A159" s="82">
        <f t="shared" si="5"/>
        <v>11</v>
      </c>
      <c r="B159" s="83"/>
      <c r="C159" s="41" t="s">
        <v>374</v>
      </c>
      <c r="D159" s="41">
        <f>15.21*10.764</f>
        <v>163.72044</v>
      </c>
      <c r="E159" s="41">
        <v>0</v>
      </c>
      <c r="F159" s="41">
        <f t="shared" ref="F159:F161" si="10">D159+(IF(E159&lt;201,E159,IF(E159&lt;301,E159/2,E159/3)))</f>
        <v>163.72044</v>
      </c>
      <c r="G159" s="41">
        <v>0</v>
      </c>
      <c r="H159" s="41">
        <f t="shared" ref="H159:H161" si="11">(F159+(IF(G159&lt;101,G159,IF(G159&lt;201,G159/2,IF(G159&lt;=301,G159/3,G159/4)))))*(($H$146)+1)</f>
        <v>245.58065999999999</v>
      </c>
      <c r="I159" s="35"/>
      <c r="L159" s="114"/>
      <c r="M159" s="114"/>
      <c r="N159" s="35"/>
      <c r="T159" s="33"/>
    </row>
    <row r="160" spans="1:20" s="36" customFormat="1" ht="15.75" customHeight="1" x14ac:dyDescent="0.35">
      <c r="A160" s="82">
        <f t="shared" si="5"/>
        <v>12</v>
      </c>
      <c r="B160" s="83"/>
      <c r="C160" s="41" t="s">
        <v>374</v>
      </c>
      <c r="D160" s="41">
        <f>8.66*10.764</f>
        <v>93.216239999999999</v>
      </c>
      <c r="E160" s="41">
        <v>0</v>
      </c>
      <c r="F160" s="41">
        <f t="shared" si="10"/>
        <v>93.216239999999999</v>
      </c>
      <c r="G160" s="41">
        <v>0</v>
      </c>
      <c r="H160" s="41">
        <f t="shared" si="11"/>
        <v>139.82436000000001</v>
      </c>
      <c r="I160" s="35"/>
      <c r="L160" s="114"/>
      <c r="M160" s="114"/>
      <c r="N160" s="35"/>
      <c r="T160" s="20"/>
    </row>
    <row r="161" spans="1:20" s="36" customFormat="1" ht="15.75" customHeight="1" x14ac:dyDescent="0.35">
      <c r="A161" s="115">
        <f t="shared" si="5"/>
        <v>13</v>
      </c>
      <c r="B161" s="115"/>
      <c r="C161" s="41" t="s">
        <v>374</v>
      </c>
      <c r="D161" s="41">
        <f>11.29*10.764</f>
        <v>121.52555999999998</v>
      </c>
      <c r="E161" s="41">
        <v>0</v>
      </c>
      <c r="F161" s="41">
        <f t="shared" si="10"/>
        <v>121.52555999999998</v>
      </c>
      <c r="G161" s="41">
        <v>0</v>
      </c>
      <c r="H161" s="41">
        <f t="shared" si="11"/>
        <v>182.28833999999998</v>
      </c>
      <c r="I161" s="35"/>
      <c r="L161" s="114"/>
      <c r="M161" s="114"/>
      <c r="N161" s="35"/>
      <c r="T161" s="20"/>
    </row>
    <row r="162" spans="1:20" s="36" customFormat="1" x14ac:dyDescent="0.35">
      <c r="A162" s="84" t="s">
        <v>378</v>
      </c>
      <c r="B162" s="84"/>
      <c r="C162" s="84"/>
      <c r="D162" s="84"/>
      <c r="E162" s="84"/>
      <c r="F162" s="84"/>
      <c r="G162" s="84"/>
      <c r="H162" s="84"/>
      <c r="J162" s="35"/>
      <c r="T162" s="34"/>
    </row>
    <row r="163" spans="1:20" s="36" customFormat="1" x14ac:dyDescent="0.35">
      <c r="A163" s="84" t="s">
        <v>379</v>
      </c>
      <c r="B163" s="84"/>
      <c r="C163" s="84"/>
      <c r="D163" s="84"/>
      <c r="E163" s="84"/>
      <c r="F163" s="84"/>
      <c r="G163" s="84"/>
      <c r="H163" s="84"/>
      <c r="J163" s="35"/>
      <c r="T163" s="34"/>
    </row>
    <row r="164" spans="1:20" s="36" customFormat="1" ht="15.75" customHeight="1" x14ac:dyDescent="0.35">
      <c r="A164" s="115">
        <v>14</v>
      </c>
      <c r="B164" s="115"/>
      <c r="C164" s="41" t="s">
        <v>374</v>
      </c>
      <c r="D164" s="41">
        <f>29.92*10.764</f>
        <v>322.05887999999999</v>
      </c>
      <c r="E164" s="41">
        <v>0</v>
      </c>
      <c r="F164" s="41">
        <f>D164+(IF(E164&lt;201,E164,IF(E164&lt;301,E164/2,E164/3)))</f>
        <v>322.05887999999999</v>
      </c>
      <c r="G164" s="41">
        <v>0</v>
      </c>
      <c r="H164" s="41">
        <f>(F164+(IF(G164&lt;101,G164,IF(G164&lt;201,G164/2,IF(G164&lt;=301,G164/3,G164/4)))))*(($H$146)+1)</f>
        <v>483.08831999999995</v>
      </c>
      <c r="I164" s="35"/>
      <c r="J164" s="36">
        <f>2.75*5.4</f>
        <v>14.850000000000001</v>
      </c>
      <c r="L164" s="114"/>
      <c r="M164" s="114"/>
      <c r="N164" s="35"/>
      <c r="T164" s="34"/>
    </row>
    <row r="165" spans="1:20" s="36" customFormat="1" ht="15.75" customHeight="1" x14ac:dyDescent="0.35">
      <c r="A165" s="115">
        <f t="shared" ref="A165:A171" si="12">A164+1</f>
        <v>15</v>
      </c>
      <c r="B165" s="115"/>
      <c r="C165" s="41" t="s">
        <v>374</v>
      </c>
      <c r="D165" s="41">
        <f>9.63*10.764</f>
        <v>103.65732</v>
      </c>
      <c r="E165" s="41">
        <v>0</v>
      </c>
      <c r="F165" s="41">
        <f t="shared" ref="F165:F171" si="13">D165+(IF(E165&lt;201,E165,IF(E165&lt;301,E165/2,E165/3)))</f>
        <v>103.65732</v>
      </c>
      <c r="G165" s="41">
        <v>0</v>
      </c>
      <c r="H165" s="41">
        <f t="shared" ref="H165:H171" si="14">(F165+(IF(G165&lt;101,G165,IF(G165&lt;201,G165/2,IF(G165&lt;=301,G165/3,G165/4)))))*(($H$146)+1)</f>
        <v>155.48597999999998</v>
      </c>
      <c r="I165" s="35"/>
      <c r="L165" s="114"/>
      <c r="M165" s="114"/>
      <c r="N165" s="35"/>
      <c r="T165" s="33"/>
    </row>
    <row r="166" spans="1:20" s="36" customFormat="1" ht="15.75" customHeight="1" x14ac:dyDescent="0.35">
      <c r="A166" s="115">
        <f t="shared" si="12"/>
        <v>16</v>
      </c>
      <c r="B166" s="115"/>
      <c r="C166" s="41" t="s">
        <v>374</v>
      </c>
      <c r="D166" s="41">
        <f>10.98*10.764</f>
        <v>118.18872</v>
      </c>
      <c r="E166" s="41">
        <v>0</v>
      </c>
      <c r="F166" s="41">
        <f t="shared" si="13"/>
        <v>118.18872</v>
      </c>
      <c r="G166" s="41">
        <v>0</v>
      </c>
      <c r="H166" s="41">
        <f t="shared" si="14"/>
        <v>177.28308000000001</v>
      </c>
      <c r="I166" s="35"/>
      <c r="L166" s="114"/>
      <c r="M166" s="114"/>
      <c r="N166" s="35"/>
      <c r="T166" s="20"/>
    </row>
    <row r="167" spans="1:20" s="36" customFormat="1" ht="15.75" customHeight="1" x14ac:dyDescent="0.35">
      <c r="A167" s="82">
        <f t="shared" si="12"/>
        <v>17</v>
      </c>
      <c r="B167" s="83"/>
      <c r="C167" s="41" t="s">
        <v>374</v>
      </c>
      <c r="D167" s="41">
        <f>10.98*10.764</f>
        <v>118.18872</v>
      </c>
      <c r="E167" s="41">
        <v>0</v>
      </c>
      <c r="F167" s="41">
        <f t="shared" si="13"/>
        <v>118.18872</v>
      </c>
      <c r="G167" s="41">
        <v>0</v>
      </c>
      <c r="H167" s="41">
        <f t="shared" si="14"/>
        <v>177.28308000000001</v>
      </c>
      <c r="I167" s="35"/>
      <c r="L167" s="114"/>
      <c r="M167" s="114"/>
      <c r="N167" s="35"/>
      <c r="T167" s="20"/>
    </row>
    <row r="168" spans="1:20" s="36" customFormat="1" ht="15.75" customHeight="1" x14ac:dyDescent="0.35">
      <c r="A168" s="82">
        <f t="shared" si="12"/>
        <v>18</v>
      </c>
      <c r="B168" s="83"/>
      <c r="C168" s="41" t="s">
        <v>374</v>
      </c>
      <c r="D168" s="41">
        <f>9.63*10.764</f>
        <v>103.65732</v>
      </c>
      <c r="E168" s="41">
        <v>0</v>
      </c>
      <c r="F168" s="41">
        <f t="shared" si="13"/>
        <v>103.65732</v>
      </c>
      <c r="G168" s="41">
        <v>0</v>
      </c>
      <c r="H168" s="41">
        <f t="shared" si="14"/>
        <v>155.48597999999998</v>
      </c>
      <c r="I168" s="35"/>
      <c r="L168" s="114"/>
      <c r="M168" s="114"/>
      <c r="N168" s="35"/>
      <c r="T168" s="33"/>
    </row>
    <row r="169" spans="1:20" s="36" customFormat="1" ht="15.75" customHeight="1" x14ac:dyDescent="0.35">
      <c r="A169" s="82">
        <f t="shared" si="12"/>
        <v>19</v>
      </c>
      <c r="B169" s="83"/>
      <c r="C169" s="41" t="s">
        <v>374</v>
      </c>
      <c r="D169" s="41">
        <f>19.53*10.764</f>
        <v>210.22092000000001</v>
      </c>
      <c r="E169" s="41">
        <v>0</v>
      </c>
      <c r="F169" s="41">
        <f t="shared" si="13"/>
        <v>210.22092000000001</v>
      </c>
      <c r="G169" s="41">
        <v>0</v>
      </c>
      <c r="H169" s="41">
        <f t="shared" si="14"/>
        <v>315.33138000000002</v>
      </c>
      <c r="I169" s="35"/>
      <c r="L169" s="114"/>
      <c r="M169" s="114"/>
      <c r="N169" s="35"/>
      <c r="T169" s="20"/>
    </row>
    <row r="170" spans="1:20" s="36" customFormat="1" ht="15.75" customHeight="1" x14ac:dyDescent="0.35">
      <c r="A170" s="82">
        <f t="shared" si="12"/>
        <v>20</v>
      </c>
      <c r="B170" s="83"/>
      <c r="C170" s="41" t="s">
        <v>374</v>
      </c>
      <c r="D170" s="41">
        <f>17.17*10.764</f>
        <v>184.81788</v>
      </c>
      <c r="E170" s="41">
        <v>0</v>
      </c>
      <c r="F170" s="41">
        <f t="shared" si="13"/>
        <v>184.81788</v>
      </c>
      <c r="G170" s="41">
        <v>0</v>
      </c>
      <c r="H170" s="41">
        <f t="shared" si="14"/>
        <v>277.22681999999998</v>
      </c>
      <c r="I170" s="35"/>
      <c r="L170" s="114"/>
      <c r="M170" s="114"/>
      <c r="N170" s="35"/>
      <c r="T170" s="20"/>
    </row>
    <row r="171" spans="1:20" s="36" customFormat="1" ht="15.75" customHeight="1" x14ac:dyDescent="0.35">
      <c r="A171" s="82">
        <f t="shared" si="12"/>
        <v>21</v>
      </c>
      <c r="B171" s="83"/>
      <c r="C171" s="41" t="s">
        <v>374</v>
      </c>
      <c r="D171" s="41">
        <f>27.65*10.764</f>
        <v>297.62459999999999</v>
      </c>
      <c r="E171" s="41">
        <v>0</v>
      </c>
      <c r="F171" s="41">
        <f t="shared" si="13"/>
        <v>297.62459999999999</v>
      </c>
      <c r="G171" s="41">
        <v>0</v>
      </c>
      <c r="H171" s="41">
        <f t="shared" si="14"/>
        <v>446.43689999999998</v>
      </c>
      <c r="I171" s="35"/>
      <c r="L171" s="114"/>
      <c r="M171" s="114"/>
      <c r="N171" s="35"/>
      <c r="T171" s="33"/>
    </row>
    <row r="172" spans="1:20" s="36" customFormat="1" x14ac:dyDescent="0.35">
      <c r="A172" s="199" t="s">
        <v>376</v>
      </c>
      <c r="B172" s="200"/>
      <c r="C172" s="200"/>
      <c r="D172" s="200"/>
      <c r="E172" s="200"/>
      <c r="F172" s="200"/>
      <c r="G172" s="200"/>
      <c r="H172" s="201"/>
      <c r="J172" s="35"/>
      <c r="T172" s="34"/>
    </row>
    <row r="173" spans="1:20" s="36" customFormat="1" x14ac:dyDescent="0.35">
      <c r="A173" s="199" t="s">
        <v>377</v>
      </c>
      <c r="B173" s="200"/>
      <c r="C173" s="200"/>
      <c r="D173" s="200"/>
      <c r="E173" s="200"/>
      <c r="F173" s="200"/>
      <c r="G173" s="200"/>
      <c r="H173" s="201"/>
      <c r="J173" s="35"/>
      <c r="T173" s="34"/>
    </row>
    <row r="174" spans="1:20" s="36" customFormat="1" ht="15.75" customHeight="1" x14ac:dyDescent="0.35">
      <c r="A174" s="82">
        <v>22</v>
      </c>
      <c r="B174" s="83"/>
      <c r="C174" s="41" t="s">
        <v>374</v>
      </c>
      <c r="D174" s="41">
        <f>20.73*10.764</f>
        <v>223.13772</v>
      </c>
      <c r="E174" s="41">
        <v>0</v>
      </c>
      <c r="F174" s="41">
        <f>D174+(IF(E174&lt;201,E174,IF(E174&lt;301,E174/2,E174/3)))</f>
        <v>223.13772</v>
      </c>
      <c r="G174" s="41">
        <v>0</v>
      </c>
      <c r="H174" s="41">
        <f>(F174+(IF(G174&lt;101,G174,IF(G174&lt;201,G174/2,IF(G174&lt;=301,G174/3,G174/4)))))*(($H$146)+1)</f>
        <v>334.70658000000003</v>
      </c>
      <c r="I174" s="35"/>
      <c r="J174" s="36">
        <f>2.75*5.4</f>
        <v>14.850000000000001</v>
      </c>
      <c r="L174" s="114"/>
      <c r="M174" s="114"/>
      <c r="N174" s="35"/>
      <c r="T174" s="34"/>
    </row>
    <row r="175" spans="1:20" s="36" customFormat="1" ht="15.75" customHeight="1" x14ac:dyDescent="0.35">
      <c r="A175" s="82">
        <f t="shared" ref="A175:A184" si="15">A174+1</f>
        <v>23</v>
      </c>
      <c r="B175" s="83"/>
      <c r="C175" s="41" t="s">
        <v>374</v>
      </c>
      <c r="D175" s="41">
        <f>10.04*10.764</f>
        <v>108.07055999999999</v>
      </c>
      <c r="E175" s="41">
        <v>0</v>
      </c>
      <c r="F175" s="41">
        <f t="shared" ref="F175:F184" si="16">D175+(IF(E175&lt;201,E175,IF(E175&lt;301,E175/2,E175/3)))</f>
        <v>108.07055999999999</v>
      </c>
      <c r="G175" s="41">
        <v>0</v>
      </c>
      <c r="H175" s="41">
        <f t="shared" ref="H175:H184" si="17">(F175+(IF(G175&lt;101,G175,IF(G175&lt;201,G175/2,IF(G175&lt;=301,G175/3,G175/4)))))*(($H$146)+1)</f>
        <v>162.10583999999997</v>
      </c>
      <c r="I175" s="35"/>
      <c r="L175" s="114"/>
      <c r="M175" s="114"/>
      <c r="N175" s="35"/>
      <c r="T175" s="33"/>
    </row>
    <row r="176" spans="1:20" s="36" customFormat="1" ht="15.75" customHeight="1" x14ac:dyDescent="0.35">
      <c r="A176" s="82">
        <f t="shared" si="15"/>
        <v>24</v>
      </c>
      <c r="B176" s="83"/>
      <c r="C176" s="41" t="s">
        <v>374</v>
      </c>
      <c r="D176" s="41">
        <f>17.17*10.764</f>
        <v>184.81788</v>
      </c>
      <c r="E176" s="41">
        <v>0</v>
      </c>
      <c r="F176" s="41">
        <f t="shared" si="16"/>
        <v>184.81788</v>
      </c>
      <c r="G176" s="41">
        <v>0</v>
      </c>
      <c r="H176" s="41">
        <f t="shared" si="17"/>
        <v>277.22681999999998</v>
      </c>
      <c r="I176" s="35"/>
      <c r="L176" s="114"/>
      <c r="M176" s="114"/>
      <c r="N176" s="35"/>
      <c r="T176" s="20"/>
    </row>
    <row r="177" spans="1:20" s="36" customFormat="1" ht="15.75" customHeight="1" x14ac:dyDescent="0.35">
      <c r="A177" s="82">
        <f t="shared" si="15"/>
        <v>25</v>
      </c>
      <c r="B177" s="83"/>
      <c r="C177" s="41" t="s">
        <v>374</v>
      </c>
      <c r="D177" s="41">
        <f>9.63*10.764</f>
        <v>103.65732</v>
      </c>
      <c r="E177" s="41">
        <v>0</v>
      </c>
      <c r="F177" s="41">
        <f t="shared" si="16"/>
        <v>103.65732</v>
      </c>
      <c r="G177" s="41">
        <v>0</v>
      </c>
      <c r="H177" s="41">
        <f t="shared" si="17"/>
        <v>155.48597999999998</v>
      </c>
      <c r="I177" s="35"/>
      <c r="L177" s="114"/>
      <c r="M177" s="114"/>
      <c r="N177" s="35"/>
      <c r="T177" s="20"/>
    </row>
    <row r="178" spans="1:20" s="36" customFormat="1" ht="15.75" customHeight="1" x14ac:dyDescent="0.35">
      <c r="A178" s="82">
        <f t="shared" si="15"/>
        <v>26</v>
      </c>
      <c r="B178" s="83"/>
      <c r="C178" s="41" t="s">
        <v>374</v>
      </c>
      <c r="D178" s="41">
        <f>10.97*10.764</f>
        <v>118.08108</v>
      </c>
      <c r="E178" s="41">
        <v>0</v>
      </c>
      <c r="F178" s="41">
        <f t="shared" si="16"/>
        <v>118.08108</v>
      </c>
      <c r="G178" s="41">
        <v>0</v>
      </c>
      <c r="H178" s="41">
        <f t="shared" si="17"/>
        <v>177.12162000000001</v>
      </c>
      <c r="I178" s="35"/>
      <c r="L178" s="114"/>
      <c r="M178" s="114"/>
      <c r="N178" s="35"/>
      <c r="T178" s="33"/>
    </row>
    <row r="179" spans="1:20" s="36" customFormat="1" ht="15.75" customHeight="1" x14ac:dyDescent="0.35">
      <c r="A179" s="82">
        <f t="shared" si="15"/>
        <v>27</v>
      </c>
      <c r="B179" s="83"/>
      <c r="C179" s="41" t="s">
        <v>374</v>
      </c>
      <c r="D179" s="41">
        <f>10.97*10.764</f>
        <v>118.08108</v>
      </c>
      <c r="E179" s="41">
        <v>0</v>
      </c>
      <c r="F179" s="41">
        <f t="shared" si="16"/>
        <v>118.08108</v>
      </c>
      <c r="G179" s="41">
        <v>0</v>
      </c>
      <c r="H179" s="41">
        <f t="shared" si="17"/>
        <v>177.12162000000001</v>
      </c>
      <c r="I179" s="35"/>
      <c r="L179" s="114"/>
      <c r="M179" s="114"/>
      <c r="N179" s="35"/>
      <c r="T179" s="20"/>
    </row>
    <row r="180" spans="1:20" s="36" customFormat="1" ht="15.75" customHeight="1" x14ac:dyDescent="0.35">
      <c r="A180" s="82">
        <f t="shared" si="15"/>
        <v>28</v>
      </c>
      <c r="B180" s="83"/>
      <c r="C180" s="41" t="s">
        <v>374</v>
      </c>
      <c r="D180" s="41">
        <f>9.63*10.764</f>
        <v>103.65732</v>
      </c>
      <c r="E180" s="41">
        <v>0</v>
      </c>
      <c r="F180" s="41">
        <f t="shared" si="16"/>
        <v>103.65732</v>
      </c>
      <c r="G180" s="41">
        <v>0</v>
      </c>
      <c r="H180" s="41">
        <f t="shared" si="17"/>
        <v>155.48597999999998</v>
      </c>
      <c r="I180" s="35"/>
      <c r="L180" s="114"/>
      <c r="M180" s="114"/>
      <c r="N180" s="35"/>
      <c r="T180" s="20"/>
    </row>
    <row r="181" spans="1:20" s="36" customFormat="1" ht="15.75" customHeight="1" x14ac:dyDescent="0.35">
      <c r="A181" s="82">
        <f t="shared" si="15"/>
        <v>29</v>
      </c>
      <c r="B181" s="83"/>
      <c r="C181" s="41" t="s">
        <v>374</v>
      </c>
      <c r="D181" s="41">
        <f>18.54*10.764</f>
        <v>199.56455999999997</v>
      </c>
      <c r="E181" s="41">
        <v>0</v>
      </c>
      <c r="F181" s="41">
        <f t="shared" si="16"/>
        <v>199.56455999999997</v>
      </c>
      <c r="G181" s="41">
        <v>0</v>
      </c>
      <c r="H181" s="41">
        <f t="shared" si="17"/>
        <v>299.34683999999993</v>
      </c>
      <c r="I181" s="35"/>
      <c r="L181" s="114"/>
      <c r="M181" s="114"/>
      <c r="N181" s="35"/>
      <c r="T181" s="33"/>
    </row>
    <row r="182" spans="1:20" s="36" customFormat="1" ht="15.75" customHeight="1" x14ac:dyDescent="0.35">
      <c r="A182" s="82">
        <f t="shared" si="15"/>
        <v>30</v>
      </c>
      <c r="B182" s="83"/>
      <c r="C182" s="41" t="s">
        <v>374</v>
      </c>
      <c r="D182" s="41">
        <f>18.06*10.764</f>
        <v>194.39783999999997</v>
      </c>
      <c r="E182" s="41">
        <v>0</v>
      </c>
      <c r="F182" s="41">
        <f t="shared" si="16"/>
        <v>194.39783999999997</v>
      </c>
      <c r="G182" s="41">
        <v>0</v>
      </c>
      <c r="H182" s="41">
        <f t="shared" si="17"/>
        <v>291.59675999999996</v>
      </c>
      <c r="I182" s="35"/>
      <c r="L182" s="114"/>
      <c r="M182" s="114"/>
      <c r="N182" s="35"/>
      <c r="T182" s="20"/>
    </row>
    <row r="183" spans="1:20" s="36" customFormat="1" ht="15.75" customHeight="1" x14ac:dyDescent="0.35">
      <c r="A183" s="82">
        <f t="shared" si="15"/>
        <v>31</v>
      </c>
      <c r="B183" s="83"/>
      <c r="C183" s="41" t="s">
        <v>374</v>
      </c>
      <c r="D183" s="41">
        <f>11.99*10.764</f>
        <v>129.06036</v>
      </c>
      <c r="E183" s="41">
        <v>0</v>
      </c>
      <c r="F183" s="41">
        <f t="shared" si="16"/>
        <v>129.06036</v>
      </c>
      <c r="G183" s="41">
        <v>0</v>
      </c>
      <c r="H183" s="41">
        <f t="shared" si="17"/>
        <v>193.59054</v>
      </c>
      <c r="I183" s="35"/>
      <c r="L183" s="114"/>
      <c r="M183" s="114"/>
      <c r="N183" s="35"/>
      <c r="T183" s="20"/>
    </row>
    <row r="184" spans="1:20" s="36" customFormat="1" ht="15.75" customHeight="1" x14ac:dyDescent="0.35">
      <c r="A184" s="82">
        <f t="shared" si="15"/>
        <v>32</v>
      </c>
      <c r="B184" s="83"/>
      <c r="C184" s="41" t="s">
        <v>374</v>
      </c>
      <c r="D184" s="41">
        <f>16.17*10.764</f>
        <v>174.05388000000002</v>
      </c>
      <c r="E184" s="41">
        <v>0</v>
      </c>
      <c r="F184" s="41">
        <f t="shared" si="16"/>
        <v>174.05388000000002</v>
      </c>
      <c r="G184" s="41">
        <v>0</v>
      </c>
      <c r="H184" s="41">
        <f t="shared" si="17"/>
        <v>261.08082000000002</v>
      </c>
      <c r="I184" s="35"/>
      <c r="L184" s="114"/>
      <c r="M184" s="114"/>
      <c r="N184" s="35"/>
      <c r="T184" s="33"/>
    </row>
    <row r="185" spans="1:20" s="36" customFormat="1" x14ac:dyDescent="0.35">
      <c r="A185" s="82"/>
      <c r="B185" s="215"/>
      <c r="C185" s="215"/>
      <c r="D185" s="215"/>
      <c r="E185" s="215"/>
      <c r="F185" s="215"/>
      <c r="G185" s="215"/>
      <c r="H185" s="83"/>
      <c r="I185" s="35"/>
      <c r="N185" s="35"/>
    </row>
    <row r="186" spans="1:20" ht="47.25" customHeight="1" x14ac:dyDescent="0.35">
      <c r="A186" s="216" t="s">
        <v>117</v>
      </c>
      <c r="B186" s="109" t="s">
        <v>174</v>
      </c>
      <c r="C186" s="109" t="s">
        <v>55</v>
      </c>
      <c r="D186" s="107" t="s">
        <v>383</v>
      </c>
      <c r="E186" s="107" t="s">
        <v>229</v>
      </c>
      <c r="F186" s="107" t="s">
        <v>56</v>
      </c>
      <c r="G186" s="118" t="s">
        <v>57</v>
      </c>
      <c r="H186" s="74" t="s">
        <v>145</v>
      </c>
      <c r="I186" s="35"/>
      <c r="T186" s="36"/>
    </row>
    <row r="187" spans="1:20" s="36" customFormat="1" x14ac:dyDescent="0.35">
      <c r="A187" s="217"/>
      <c r="B187" s="110"/>
      <c r="C187" s="110"/>
      <c r="D187" s="108"/>
      <c r="E187" s="108"/>
      <c r="F187" s="108"/>
      <c r="G187" s="119"/>
      <c r="H187" s="75">
        <v>0.45</v>
      </c>
      <c r="I187" s="35"/>
    </row>
    <row r="188" spans="1:20" s="36" customFormat="1" x14ac:dyDescent="0.35">
      <c r="A188" s="199" t="s">
        <v>375</v>
      </c>
      <c r="B188" s="200"/>
      <c r="C188" s="200"/>
      <c r="D188" s="200"/>
      <c r="E188" s="200"/>
      <c r="F188" s="200"/>
      <c r="G188" s="200"/>
      <c r="H188" s="201"/>
      <c r="J188" s="35"/>
      <c r="T188" s="34"/>
    </row>
    <row r="189" spans="1:20" s="36" customFormat="1" x14ac:dyDescent="0.35">
      <c r="A189" s="199" t="s">
        <v>377</v>
      </c>
      <c r="B189" s="200"/>
      <c r="C189" s="200"/>
      <c r="D189" s="200"/>
      <c r="E189" s="200"/>
      <c r="F189" s="200"/>
      <c r="G189" s="200"/>
      <c r="H189" s="201"/>
      <c r="J189" s="35"/>
    </row>
    <row r="190" spans="1:20" s="36" customFormat="1" ht="15.75" customHeight="1" x14ac:dyDescent="0.35">
      <c r="A190" s="82">
        <v>1</v>
      </c>
      <c r="B190" s="83"/>
      <c r="C190" s="41" t="s">
        <v>380</v>
      </c>
      <c r="D190" s="41">
        <f>42.89*10.764</f>
        <v>461.66795999999999</v>
      </c>
      <c r="E190" s="41">
        <v>0</v>
      </c>
      <c r="F190" s="41">
        <f>D190+E190</f>
        <v>461.66795999999999</v>
      </c>
      <c r="G190" s="41">
        <v>0</v>
      </c>
      <c r="H190" s="41">
        <f>F190*(($H$187)+1)+(IF(G190&lt;101,G190,IF(G190&lt;201,G190/2,IF(G190&lt;=301,G190/3,G190/4))))</f>
        <v>669.418542</v>
      </c>
      <c r="I190" s="35"/>
      <c r="J190" s="36">
        <f>1*2.75 +2.75*4.4+1.85*2+2.7*3+2.75*3+1.85*1.2+1.85*1.2+0.85*2.25+0.9*2.75+1.2*0.9</f>
        <v>44.807500000000005</v>
      </c>
      <c r="L190" s="114"/>
      <c r="M190" s="114"/>
      <c r="N190" s="35"/>
    </row>
    <row r="191" spans="1:20" s="36" customFormat="1" ht="15.75" customHeight="1" x14ac:dyDescent="0.35">
      <c r="A191" s="82">
        <f>A190+1</f>
        <v>2</v>
      </c>
      <c r="B191" s="83"/>
      <c r="C191" s="41" t="s">
        <v>381</v>
      </c>
      <c r="D191" s="41">
        <f>29.9*10.764</f>
        <v>321.84359999999998</v>
      </c>
      <c r="E191" s="41">
        <v>0</v>
      </c>
      <c r="F191" s="41">
        <f>D191+E191</f>
        <v>321.84359999999998</v>
      </c>
      <c r="G191" s="41">
        <v>0</v>
      </c>
      <c r="H191" s="41">
        <f>F191*(($H$187)+1)+(IF(G191&lt;101,G191,IF(G191&lt;201,G191/2,IF(G191&lt;=301,G191/3,G191/4))))</f>
        <v>466.67321999999996</v>
      </c>
      <c r="I191" s="35"/>
      <c r="J191" s="36">
        <f>3500*H191</f>
        <v>1633356.2699999998</v>
      </c>
      <c r="L191" s="114"/>
      <c r="M191" s="114"/>
      <c r="N191" s="35"/>
    </row>
    <row r="192" spans="1:20" s="36" customFormat="1" x14ac:dyDescent="0.35">
      <c r="A192" s="84" t="s">
        <v>382</v>
      </c>
      <c r="B192" s="84"/>
      <c r="C192" s="84"/>
      <c r="D192" s="84"/>
      <c r="E192" s="84"/>
      <c r="F192" s="84"/>
      <c r="G192" s="84"/>
      <c r="H192" s="84"/>
      <c r="I192" s="35"/>
      <c r="J192" s="36">
        <f t="shared" ref="J192:J201" si="18">3500*H192</f>
        <v>0</v>
      </c>
      <c r="L192" s="114"/>
      <c r="M192" s="114"/>
    </row>
    <row r="193" spans="1:20" s="36" customFormat="1" x14ac:dyDescent="0.35">
      <c r="A193" s="115">
        <f>LEFT(A192,SUM(LEN(A192)-LEN(SUBSTITUTE(A192,{"0","1","2","3","4","5","6","7","8","9"},""))))*100+1</f>
        <v>101</v>
      </c>
      <c r="B193" s="115"/>
      <c r="C193" s="41" t="s">
        <v>380</v>
      </c>
      <c r="D193" s="41">
        <f>45.64*10.764</f>
        <v>491.26895999999999</v>
      </c>
      <c r="E193" s="41">
        <v>0</v>
      </c>
      <c r="F193" s="41">
        <f t="shared" ref="F193:F198" si="19">D193+E193</f>
        <v>491.26895999999999</v>
      </c>
      <c r="G193" s="41">
        <v>0</v>
      </c>
      <c r="H193" s="41">
        <f t="shared" ref="H193:H198" si="20">F193*(($H$187)+1)+(IF(G193&lt;101,G193,IF(G193&lt;201,G193/2,IF(G193&lt;=301,G193/3,G193/4))))</f>
        <v>712.33999199999994</v>
      </c>
      <c r="I193" s="35"/>
      <c r="J193" s="36">
        <f t="shared" si="18"/>
        <v>2493189.9719999996</v>
      </c>
      <c r="N193" s="35"/>
    </row>
    <row r="194" spans="1:20" s="36" customFormat="1" x14ac:dyDescent="0.35">
      <c r="A194" s="115">
        <f>A193+1</f>
        <v>102</v>
      </c>
      <c r="B194" s="115"/>
      <c r="C194" s="41" t="s">
        <v>380</v>
      </c>
      <c r="D194" s="41">
        <f>42.89*10.764</f>
        <v>461.66795999999999</v>
      </c>
      <c r="E194" s="41">
        <v>0</v>
      </c>
      <c r="F194" s="41">
        <f t="shared" si="19"/>
        <v>461.66795999999999</v>
      </c>
      <c r="G194" s="41">
        <f>16.56*10.764</f>
        <v>178.25183999999999</v>
      </c>
      <c r="H194" s="41">
        <f t="shared" si="20"/>
        <v>758.54446199999995</v>
      </c>
      <c r="I194" s="35"/>
      <c r="J194" s="36">
        <f t="shared" si="18"/>
        <v>2654905.6169999996</v>
      </c>
      <c r="N194" s="35"/>
    </row>
    <row r="195" spans="1:20" s="36" customFormat="1" x14ac:dyDescent="0.35">
      <c r="A195" s="115">
        <f>A194+1</f>
        <v>103</v>
      </c>
      <c r="B195" s="115"/>
      <c r="C195" s="41" t="s">
        <v>380</v>
      </c>
      <c r="D195" s="41">
        <f>48.86*10.764</f>
        <v>525.92903999999999</v>
      </c>
      <c r="E195" s="41">
        <v>0</v>
      </c>
      <c r="F195" s="41">
        <f t="shared" si="19"/>
        <v>525.92903999999999</v>
      </c>
      <c r="G195" s="41">
        <f>14.82*10.764</f>
        <v>159.52248</v>
      </c>
      <c r="H195" s="41">
        <f t="shared" si="20"/>
        <v>842.35834799999998</v>
      </c>
      <c r="I195" s="35"/>
      <c r="J195" s="36">
        <f t="shared" si="18"/>
        <v>2948254.2179999999</v>
      </c>
      <c r="N195" s="35"/>
    </row>
    <row r="196" spans="1:20" s="36" customFormat="1" x14ac:dyDescent="0.35">
      <c r="A196" s="115">
        <f>A195+1</f>
        <v>104</v>
      </c>
      <c r="B196" s="115"/>
      <c r="C196" s="41" t="s">
        <v>380</v>
      </c>
      <c r="D196" s="41">
        <f>41.39*10.764</f>
        <v>445.52195999999998</v>
      </c>
      <c r="E196" s="41">
        <v>0</v>
      </c>
      <c r="F196" s="41">
        <f t="shared" si="19"/>
        <v>445.52195999999998</v>
      </c>
      <c r="G196" s="41">
        <f>19.86*10.764</f>
        <v>213.77303999999998</v>
      </c>
      <c r="H196" s="41">
        <f t="shared" si="20"/>
        <v>717.26452199999994</v>
      </c>
      <c r="I196" s="35"/>
      <c r="J196" s="36">
        <f t="shared" si="18"/>
        <v>2510425.8269999996</v>
      </c>
      <c r="N196" s="35"/>
    </row>
    <row r="197" spans="1:20" s="36" customFormat="1" x14ac:dyDescent="0.35">
      <c r="A197" s="115">
        <f>A196+1</f>
        <v>105</v>
      </c>
      <c r="B197" s="115"/>
      <c r="C197" s="41" t="s">
        <v>380</v>
      </c>
      <c r="D197" s="41">
        <f>42.89*10.764</f>
        <v>461.66795999999999</v>
      </c>
      <c r="E197" s="41">
        <v>0</v>
      </c>
      <c r="F197" s="41">
        <f t="shared" si="19"/>
        <v>461.66795999999999</v>
      </c>
      <c r="G197" s="41">
        <f>19.36*10.764</f>
        <v>208.39103999999998</v>
      </c>
      <c r="H197" s="41">
        <f t="shared" si="20"/>
        <v>738.88222199999996</v>
      </c>
      <c r="I197" s="35"/>
      <c r="J197" s="36">
        <f t="shared" si="18"/>
        <v>2586087.7769999998</v>
      </c>
      <c r="N197" s="35"/>
    </row>
    <row r="198" spans="1:20" s="36" customFormat="1" x14ac:dyDescent="0.35">
      <c r="A198" s="115">
        <f>A197+1</f>
        <v>106</v>
      </c>
      <c r="B198" s="115"/>
      <c r="C198" s="41" t="s">
        <v>381</v>
      </c>
      <c r="D198" s="41">
        <f>29.9*10.764</f>
        <v>321.84359999999998</v>
      </c>
      <c r="E198" s="41">
        <v>0</v>
      </c>
      <c r="F198" s="41">
        <f t="shared" si="19"/>
        <v>321.84359999999998</v>
      </c>
      <c r="G198" s="41">
        <v>0</v>
      </c>
      <c r="H198" s="41">
        <f t="shared" si="20"/>
        <v>466.67321999999996</v>
      </c>
      <c r="I198" s="35"/>
      <c r="J198" s="36">
        <f t="shared" si="18"/>
        <v>1633356.2699999998</v>
      </c>
      <c r="N198" s="35"/>
    </row>
    <row r="199" spans="1:20" s="36" customFormat="1" x14ac:dyDescent="0.35">
      <c r="A199" s="84" t="s">
        <v>384</v>
      </c>
      <c r="B199" s="84"/>
      <c r="C199" s="84"/>
      <c r="D199" s="84"/>
      <c r="E199" s="84"/>
      <c r="F199" s="84"/>
      <c r="G199" s="84"/>
      <c r="H199" s="84"/>
      <c r="I199" s="35"/>
      <c r="J199" s="36">
        <f t="shared" si="18"/>
        <v>0</v>
      </c>
    </row>
    <row r="200" spans="1:20" s="36" customFormat="1" ht="15.75" customHeight="1" x14ac:dyDescent="0.35">
      <c r="A200" s="115"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10^ROW(INDIRECT("1:"&amp;LEN((LEFT(A199,SUM(LEN(A199)-LEN(SUBSTITUTE(A199,{"0","1","2"},""))))))))/10))*100+1&amp;""&amp;"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",LEN(A199))),LEN(A199)))))))/10))*100+1</f>
        <v>201 to 701</v>
      </c>
      <c r="B200" s="115"/>
      <c r="C200" s="41" t="s">
        <v>380</v>
      </c>
      <c r="D200" s="41">
        <f>45.64*10.764</f>
        <v>491.26895999999999</v>
      </c>
      <c r="E200" s="41">
        <v>0</v>
      </c>
      <c r="F200" s="41">
        <f t="shared" ref="F200:F205" si="21">D200+E200</f>
        <v>491.26895999999999</v>
      </c>
      <c r="G200" s="41">
        <v>0</v>
      </c>
      <c r="H200" s="41">
        <f t="shared" ref="H200:H205" si="22">F200*(($H$187)+1)+(IF(G200&lt;101,G200,IF(G200&lt;201,G200/2,IF(G200&lt;=301,G200/3,G200/4))))</f>
        <v>712.33999199999994</v>
      </c>
      <c r="I200" s="35"/>
      <c r="J200" s="36">
        <f t="shared" si="18"/>
        <v>2493189.9719999996</v>
      </c>
    </row>
    <row r="201" spans="1:20" s="36" customFormat="1" ht="15.75" customHeight="1" x14ac:dyDescent="0.35">
      <c r="A201" s="115"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202 to 702</v>
      </c>
      <c r="B201" s="115"/>
      <c r="C201" s="41" t="s">
        <v>380</v>
      </c>
      <c r="D201" s="41">
        <f>45.64*10.764</f>
        <v>491.26895999999999</v>
      </c>
      <c r="E201" s="41">
        <v>0</v>
      </c>
      <c r="F201" s="41">
        <f t="shared" si="21"/>
        <v>491.26895999999999</v>
      </c>
      <c r="G201" s="41">
        <v>0</v>
      </c>
      <c r="H201" s="41">
        <f t="shared" si="22"/>
        <v>712.33999199999994</v>
      </c>
      <c r="I201" s="35"/>
      <c r="J201" s="36">
        <f t="shared" si="18"/>
        <v>2493189.9719999996</v>
      </c>
    </row>
    <row r="202" spans="1:20" s="36" customFormat="1" ht="15.75" customHeight="1" x14ac:dyDescent="0.35">
      <c r="A202" s="115"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to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203 to 703</v>
      </c>
      <c r="B202" s="115"/>
      <c r="C202" s="41" t="s">
        <v>380</v>
      </c>
      <c r="D202" s="41">
        <f>47.93*10.764</f>
        <v>515.91851999999994</v>
      </c>
      <c r="E202" s="41">
        <v>0</v>
      </c>
      <c r="F202" s="41">
        <f t="shared" si="21"/>
        <v>515.91851999999994</v>
      </c>
      <c r="G202" s="41">
        <v>0</v>
      </c>
      <c r="H202" s="41">
        <f t="shared" si="22"/>
        <v>748.08185399999991</v>
      </c>
      <c r="I202" s="35"/>
    </row>
    <row r="203" spans="1:20" s="36" customFormat="1" ht="15.75" customHeight="1" x14ac:dyDescent="0.35">
      <c r="A203" s="115"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to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204 to 704</v>
      </c>
      <c r="B203" s="115"/>
      <c r="C203" s="41" t="s">
        <v>380</v>
      </c>
      <c r="D203" s="41">
        <f>44.16*10.764</f>
        <v>475.33823999999993</v>
      </c>
      <c r="E203" s="41">
        <v>0</v>
      </c>
      <c r="F203" s="41">
        <f t="shared" si="21"/>
        <v>475.33823999999993</v>
      </c>
      <c r="G203" s="41">
        <v>0</v>
      </c>
      <c r="H203" s="41">
        <f t="shared" si="22"/>
        <v>689.2404479999999</v>
      </c>
      <c r="I203" s="35"/>
    </row>
    <row r="204" spans="1:20" s="36" customFormat="1" ht="15.75" customHeight="1" x14ac:dyDescent="0.35">
      <c r="A204" s="115"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205 to 705</v>
      </c>
      <c r="B204" s="115"/>
      <c r="C204" s="41" t="s">
        <v>380</v>
      </c>
      <c r="D204" s="41">
        <f t="shared" ref="D204" si="23">45.64*10.764</f>
        <v>491.26895999999999</v>
      </c>
      <c r="E204" s="41">
        <v>0</v>
      </c>
      <c r="F204" s="41">
        <f t="shared" si="21"/>
        <v>491.26895999999999</v>
      </c>
      <c r="G204" s="41">
        <v>0</v>
      </c>
      <c r="H204" s="41">
        <f t="shared" si="22"/>
        <v>712.33999199999994</v>
      </c>
      <c r="I204" s="35"/>
    </row>
    <row r="205" spans="1:20" s="36" customFormat="1" ht="15.75" customHeight="1" x14ac:dyDescent="0.35">
      <c r="A205" s="115"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206 to 706</v>
      </c>
      <c r="B205" s="115"/>
      <c r="C205" s="41" t="s">
        <v>381</v>
      </c>
      <c r="D205" s="41">
        <f>29.9*10.764</f>
        <v>321.84359999999998</v>
      </c>
      <c r="E205" s="41">
        <v>0</v>
      </c>
      <c r="F205" s="41">
        <f t="shared" si="21"/>
        <v>321.84359999999998</v>
      </c>
      <c r="G205" s="41">
        <v>0</v>
      </c>
      <c r="H205" s="41">
        <f t="shared" si="22"/>
        <v>466.67321999999996</v>
      </c>
      <c r="I205" s="35"/>
    </row>
    <row r="206" spans="1:20" s="36" customFormat="1" x14ac:dyDescent="0.35">
      <c r="A206" s="84" t="s">
        <v>378</v>
      </c>
      <c r="B206" s="84"/>
      <c r="C206" s="84"/>
      <c r="D206" s="84"/>
      <c r="E206" s="84"/>
      <c r="F206" s="84"/>
      <c r="G206" s="84"/>
      <c r="H206" s="84"/>
      <c r="J206" s="35"/>
      <c r="T206" s="34"/>
    </row>
    <row r="207" spans="1:20" s="36" customFormat="1" x14ac:dyDescent="0.35">
      <c r="A207" s="84" t="s">
        <v>377</v>
      </c>
      <c r="B207" s="84"/>
      <c r="C207" s="84"/>
      <c r="D207" s="84"/>
      <c r="E207" s="84"/>
      <c r="F207" s="84"/>
      <c r="G207" s="84"/>
      <c r="H207" s="84"/>
      <c r="J207" s="35"/>
    </row>
    <row r="208" spans="1:20" s="36" customFormat="1" ht="15.75" customHeight="1" x14ac:dyDescent="0.35">
      <c r="A208" s="115">
        <v>1</v>
      </c>
      <c r="B208" s="115"/>
      <c r="C208" s="41" t="s">
        <v>380</v>
      </c>
      <c r="D208" s="41">
        <f>45.64*10.764</f>
        <v>491.26895999999999</v>
      </c>
      <c r="E208" s="41">
        <v>0</v>
      </c>
      <c r="F208" s="41">
        <f>D208+E208</f>
        <v>491.26895999999999</v>
      </c>
      <c r="G208" s="41">
        <v>0</v>
      </c>
      <c r="H208" s="41">
        <f>F208*(($H$187)+1)+(IF(G208&lt;101,G208,IF(G208&lt;201,G208/2,IF(G208&lt;=301,G208/3,G208/4))))</f>
        <v>712.33999199999994</v>
      </c>
      <c r="I208" s="35"/>
      <c r="J208" s="36">
        <f>2.75*4.4+1.85*2+2.7*3+2.75*3+1.85*1.2+1.85*1.2</f>
        <v>36.590000000000003</v>
      </c>
      <c r="L208" s="114"/>
      <c r="M208" s="114"/>
      <c r="N208" s="35"/>
    </row>
    <row r="209" spans="1:20" s="36" customFormat="1" x14ac:dyDescent="0.35">
      <c r="A209" s="84" t="s">
        <v>382</v>
      </c>
      <c r="B209" s="84"/>
      <c r="C209" s="84"/>
      <c r="D209" s="84"/>
      <c r="E209" s="84"/>
      <c r="F209" s="84"/>
      <c r="G209" s="84"/>
      <c r="H209" s="84"/>
      <c r="I209" s="35"/>
      <c r="L209" s="114"/>
      <c r="M209" s="114"/>
    </row>
    <row r="210" spans="1:20" s="36" customFormat="1" x14ac:dyDescent="0.35">
      <c r="A210" s="115">
        <f>LEFT(A209,SUM(LEN(A209)-LEN(SUBSTITUTE(A209,{"0","1","2","3","4","5","6","7","8","9"},""))))*100+1</f>
        <v>101</v>
      </c>
      <c r="B210" s="115"/>
      <c r="C210" s="41" t="s">
        <v>380</v>
      </c>
      <c r="D210" s="41">
        <f>45.64*10.764</f>
        <v>491.26895999999999</v>
      </c>
      <c r="E210" s="41">
        <v>0</v>
      </c>
      <c r="F210" s="41">
        <f>D210+E210</f>
        <v>491.26895999999999</v>
      </c>
      <c r="G210" s="41">
        <v>0</v>
      </c>
      <c r="H210" s="41">
        <f>F210*(($H$187)+1)+(IF(G210&lt;101,G210,IF(G210&lt;201,G210/2,IF(G210&lt;=301,G210/3,G210/4))))</f>
        <v>712.33999199999994</v>
      </c>
      <c r="I210" s="35"/>
      <c r="N210" s="35"/>
    </row>
    <row r="211" spans="1:20" s="36" customFormat="1" x14ac:dyDescent="0.35">
      <c r="A211" s="115">
        <f>A210+1</f>
        <v>102</v>
      </c>
      <c r="B211" s="115"/>
      <c r="C211" s="41" t="s">
        <v>381</v>
      </c>
      <c r="D211" s="41">
        <f>31.84*10.764</f>
        <v>342.72575999999998</v>
      </c>
      <c r="E211" s="41">
        <v>0</v>
      </c>
      <c r="F211" s="41">
        <f>D211+E211</f>
        <v>342.72575999999998</v>
      </c>
      <c r="G211" s="41">
        <f>22.57*10.764</f>
        <v>242.94347999999999</v>
      </c>
      <c r="H211" s="41">
        <f>F211*(($H$187)+1)+(IF(G211&lt;101,G211,IF(G211&lt;201,G211/2,IF(G211&lt;=301,G211/3,G211/4))))</f>
        <v>577.93351199999995</v>
      </c>
      <c r="I211" s="35"/>
      <c r="N211" s="35"/>
    </row>
    <row r="212" spans="1:20" s="36" customFormat="1" x14ac:dyDescent="0.35">
      <c r="A212" s="115">
        <f>A211+1</f>
        <v>103</v>
      </c>
      <c r="B212" s="115"/>
      <c r="C212" s="41" t="s">
        <v>381</v>
      </c>
      <c r="D212" s="41">
        <f>31.84*10.764</f>
        <v>342.72575999999998</v>
      </c>
      <c r="E212" s="41">
        <v>0</v>
      </c>
      <c r="F212" s="41">
        <f>D212+E212</f>
        <v>342.72575999999998</v>
      </c>
      <c r="G212" s="41">
        <f>9.63*10.764</f>
        <v>103.65732</v>
      </c>
      <c r="H212" s="41">
        <f>F212*(($H$187)+1)+(IF(G212&lt;101,G212,IF(G212&lt;201,G212/2,IF(G212&lt;=301,G212/3,G212/4))))</f>
        <v>548.78101199999992</v>
      </c>
      <c r="I212" s="35"/>
      <c r="N212" s="35"/>
    </row>
    <row r="213" spans="1:20" s="36" customFormat="1" x14ac:dyDescent="0.35">
      <c r="A213" s="115">
        <f>A212+1</f>
        <v>104</v>
      </c>
      <c r="B213" s="115"/>
      <c r="C213" s="41" t="s">
        <v>381</v>
      </c>
      <c r="D213" s="41">
        <f>29.9*10.764</f>
        <v>321.84359999999998</v>
      </c>
      <c r="E213" s="41">
        <v>0</v>
      </c>
      <c r="F213" s="41">
        <f>D213+E213</f>
        <v>321.84359999999998</v>
      </c>
      <c r="G213" s="41">
        <f>(24.11)*10.764</f>
        <v>259.52003999999999</v>
      </c>
      <c r="H213" s="41">
        <f>F213*(($H$187)+1)+(IF(G213&lt;101,G213,IF(G213&lt;201,G213/2,IF(G213&lt;=301,G213/3,G213/4))))</f>
        <v>553.17989999999998</v>
      </c>
      <c r="I213" s="35"/>
      <c r="N213" s="35"/>
    </row>
    <row r="214" spans="1:20" s="36" customFormat="1" x14ac:dyDescent="0.35">
      <c r="A214" s="115">
        <f>A213+1</f>
        <v>105</v>
      </c>
      <c r="B214" s="115"/>
      <c r="C214" s="41" t="s">
        <v>380</v>
      </c>
      <c r="D214" s="41">
        <f>45.64*10.764</f>
        <v>491.26895999999999</v>
      </c>
      <c r="E214" s="41">
        <v>0</v>
      </c>
      <c r="F214" s="41">
        <f>D214+E214</f>
        <v>491.26895999999999</v>
      </c>
      <c r="G214" s="41">
        <v>0</v>
      </c>
      <c r="H214" s="41">
        <f>F214*(($H$187)+1)+(IF(G214&lt;101,G214,IF(G214&lt;201,G214/2,IF(G214&lt;=301,G214/3,G214/4))))</f>
        <v>712.33999199999994</v>
      </c>
      <c r="I214" s="35"/>
      <c r="N214" s="35"/>
    </row>
    <row r="215" spans="1:20" s="36" customFormat="1" x14ac:dyDescent="0.35">
      <c r="A215" s="199" t="s">
        <v>384</v>
      </c>
      <c r="B215" s="200"/>
      <c r="C215" s="200"/>
      <c r="D215" s="200"/>
      <c r="E215" s="200"/>
      <c r="F215" s="200"/>
      <c r="G215" s="200"/>
      <c r="H215" s="201"/>
      <c r="I215" s="35"/>
    </row>
    <row r="216" spans="1:20" s="36" customFormat="1" ht="15.75" customHeight="1" x14ac:dyDescent="0.35">
      <c r="A216" s="82"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10^ROW(INDIRECT("1:"&amp;LEN((LEFT(A215,SUM(LEN(A215)-LEN(SUBSTITUTE(A215,{"0","1","2"},""))))))))/10))*100+1&amp;""&amp;" to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",LEN(A215))),LEN(A215)))))))/10))*100+1</f>
        <v>201 to 701</v>
      </c>
      <c r="B216" s="83"/>
      <c r="C216" s="41" t="s">
        <v>380</v>
      </c>
      <c r="D216" s="41">
        <f>45.64*10.764</f>
        <v>491.26895999999999</v>
      </c>
      <c r="E216" s="41">
        <v>0</v>
      </c>
      <c r="F216" s="41">
        <f>D216+E216</f>
        <v>491.26895999999999</v>
      </c>
      <c r="G216" s="41">
        <v>0</v>
      </c>
      <c r="H216" s="41">
        <f>F216*(($H$187)+1)+(IF(G216&lt;101,G216,IF(G216&lt;201,G216/2,IF(G216&lt;=301,G216/3,G216/4))))</f>
        <v>712.33999199999994</v>
      </c>
      <c r="I216" s="35"/>
    </row>
    <row r="217" spans="1:20" s="36" customFormat="1" ht="15.75" customHeight="1" x14ac:dyDescent="0.35">
      <c r="A217" s="82"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to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202 to 702</v>
      </c>
      <c r="B217" s="83"/>
      <c r="C217" s="41" t="s">
        <v>381</v>
      </c>
      <c r="D217" s="41">
        <f>29.9*10.764</f>
        <v>321.84359999999998</v>
      </c>
      <c r="E217" s="41">
        <v>0</v>
      </c>
      <c r="F217" s="41">
        <f>D217+E217</f>
        <v>321.84359999999998</v>
      </c>
      <c r="G217" s="41">
        <v>0</v>
      </c>
      <c r="H217" s="41">
        <f>F217*(($H$187)+1)+(IF(G217&lt;101,G217,IF(G217&lt;201,G217/2,IF(G217&lt;=301,G217/3,G217/4))))</f>
        <v>466.67321999999996</v>
      </c>
      <c r="I217" s="35"/>
    </row>
    <row r="218" spans="1:20" s="36" customFormat="1" ht="15.75" customHeight="1" x14ac:dyDescent="0.35">
      <c r="A218" s="82"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to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203 to 703</v>
      </c>
      <c r="B218" s="83"/>
      <c r="C218" s="41" t="s">
        <v>381</v>
      </c>
      <c r="D218" s="41">
        <f t="shared" ref="D218:D219" si="24">29.9*10.764</f>
        <v>321.84359999999998</v>
      </c>
      <c r="E218" s="41">
        <v>0</v>
      </c>
      <c r="F218" s="41">
        <f>D218+E218</f>
        <v>321.84359999999998</v>
      </c>
      <c r="G218" s="41">
        <v>0</v>
      </c>
      <c r="H218" s="41">
        <f>F218*(($H$187)+1)+(IF(G218&lt;101,G218,IF(G218&lt;201,G218/2,IF(G218&lt;=301,G218/3,G218/4))))</f>
        <v>466.67321999999996</v>
      </c>
      <c r="I218" s="35"/>
    </row>
    <row r="219" spans="1:20" s="36" customFormat="1" ht="15.75" customHeight="1" x14ac:dyDescent="0.35">
      <c r="A219" s="82"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to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204 to 704</v>
      </c>
      <c r="B219" s="83"/>
      <c r="C219" s="41" t="s">
        <v>381</v>
      </c>
      <c r="D219" s="41">
        <f t="shared" si="24"/>
        <v>321.84359999999998</v>
      </c>
      <c r="E219" s="41">
        <v>0</v>
      </c>
      <c r="F219" s="41">
        <f>D219+E219</f>
        <v>321.84359999999998</v>
      </c>
      <c r="G219" s="41">
        <v>0</v>
      </c>
      <c r="H219" s="41">
        <f>F219*(($H$187)+1)+(IF(G219&lt;101,G219,IF(G219&lt;201,G219/2,IF(G219&lt;=301,G219/3,G219/4))))</f>
        <v>466.67321999999996</v>
      </c>
      <c r="I219" s="35"/>
    </row>
    <row r="220" spans="1:20" s="36" customFormat="1" ht="15.75" customHeight="1" x14ac:dyDescent="0.35">
      <c r="A220" s="82"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to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205 to 705</v>
      </c>
      <c r="B220" s="83"/>
      <c r="C220" s="41" t="s">
        <v>380</v>
      </c>
      <c r="D220" s="41">
        <f t="shared" ref="D220" si="25">45.64*10.764</f>
        <v>491.26895999999999</v>
      </c>
      <c r="E220" s="41">
        <v>0</v>
      </c>
      <c r="F220" s="41">
        <f>D220+E220</f>
        <v>491.26895999999999</v>
      </c>
      <c r="G220" s="41">
        <v>0</v>
      </c>
      <c r="H220" s="41">
        <f>F220*(($H$187)+1)+(IF(G220&lt;101,G220,IF(G220&lt;201,G220/2,IF(G220&lt;=301,G220/3,G220/4))))</f>
        <v>712.33999199999994</v>
      </c>
      <c r="I220" s="35"/>
    </row>
    <row r="221" spans="1:20" s="36" customFormat="1" x14ac:dyDescent="0.35">
      <c r="A221" s="199" t="s">
        <v>376</v>
      </c>
      <c r="B221" s="200"/>
      <c r="C221" s="200"/>
      <c r="D221" s="200"/>
      <c r="E221" s="200"/>
      <c r="F221" s="200"/>
      <c r="G221" s="200"/>
      <c r="H221" s="201"/>
      <c r="J221" s="35"/>
      <c r="T221" s="34"/>
    </row>
    <row r="222" spans="1:20" s="36" customFormat="1" x14ac:dyDescent="0.35">
      <c r="A222" s="199" t="s">
        <v>377</v>
      </c>
      <c r="B222" s="200"/>
      <c r="C222" s="200"/>
      <c r="D222" s="200"/>
      <c r="E222" s="200"/>
      <c r="F222" s="200"/>
      <c r="G222" s="200"/>
      <c r="H222" s="201"/>
      <c r="J222" s="35"/>
    </row>
    <row r="223" spans="1:20" s="36" customFormat="1" ht="15.75" customHeight="1" x14ac:dyDescent="0.35">
      <c r="A223" s="82">
        <v>1</v>
      </c>
      <c r="B223" s="83"/>
      <c r="C223" s="41" t="s">
        <v>380</v>
      </c>
      <c r="D223" s="41">
        <f>45.64*10.764</f>
        <v>491.26895999999999</v>
      </c>
      <c r="E223" s="41">
        <v>0</v>
      </c>
      <c r="F223" s="41">
        <f>D223+E223</f>
        <v>491.26895999999999</v>
      </c>
      <c r="G223" s="41">
        <v>0</v>
      </c>
      <c r="H223" s="41">
        <f>F223*(($H$187)+1)+(IF(G223&lt;101,G223,IF(G223&lt;201,G223/2,IF(G223&lt;=301,G223/3,G223/4))))</f>
        <v>712.33999199999994</v>
      </c>
      <c r="I223" s="35"/>
      <c r="J223" s="36">
        <f>2.75*4.4+1.85*2+2.7*3+2.75*3+1.85*1.2+1.85*1.2</f>
        <v>36.590000000000003</v>
      </c>
      <c r="L223" s="114"/>
      <c r="M223" s="114"/>
      <c r="N223" s="35"/>
    </row>
    <row r="224" spans="1:20" s="36" customFormat="1" ht="15.75" customHeight="1" x14ac:dyDescent="0.35">
      <c r="A224" s="82">
        <v>2</v>
      </c>
      <c r="B224" s="83"/>
      <c r="C224" s="41" t="s">
        <v>380</v>
      </c>
      <c r="D224" s="41">
        <f>45.64*10.764</f>
        <v>491.26895999999999</v>
      </c>
      <c r="E224" s="41">
        <v>0</v>
      </c>
      <c r="F224" s="41">
        <f>D224+E224</f>
        <v>491.26895999999999</v>
      </c>
      <c r="G224" s="41">
        <v>0</v>
      </c>
      <c r="H224" s="41">
        <f>F224*(($H$187)+1)+(IF(G224&lt;101,G224,IF(G224&lt;201,G224/2,IF(G224&lt;=301,G224/3,G224/4))))</f>
        <v>712.33999199999994</v>
      </c>
      <c r="I224" s="35"/>
      <c r="J224" s="36">
        <f>2.75*4.4+1.85*2+2.7*3+2.75*3+1.85*1.2+1.85*1.2</f>
        <v>36.590000000000003</v>
      </c>
      <c r="L224" s="114"/>
      <c r="M224" s="114"/>
      <c r="N224" s="35"/>
    </row>
    <row r="225" spans="1:20" s="36" customFormat="1" x14ac:dyDescent="0.35">
      <c r="A225" s="84" t="s">
        <v>382</v>
      </c>
      <c r="B225" s="84"/>
      <c r="C225" s="84"/>
      <c r="D225" s="84"/>
      <c r="E225" s="84"/>
      <c r="F225" s="84"/>
      <c r="G225" s="84"/>
      <c r="H225" s="84"/>
      <c r="I225" s="35"/>
      <c r="L225" s="114"/>
      <c r="M225" s="114"/>
    </row>
    <row r="226" spans="1:20" s="36" customFormat="1" x14ac:dyDescent="0.35">
      <c r="A226" s="115">
        <f>LEFT(A225,SUM(LEN(A225)-LEN(SUBSTITUTE(A225,{"0","1","2","3","4","5","6","7","8","9"},""))))*100+1</f>
        <v>101</v>
      </c>
      <c r="B226" s="115"/>
      <c r="C226" s="41" t="s">
        <v>380</v>
      </c>
      <c r="D226" s="41">
        <f>45.64*10.764</f>
        <v>491.26895999999999</v>
      </c>
      <c r="E226" s="41">
        <v>0</v>
      </c>
      <c r="F226" s="41">
        <f t="shared" ref="F226:F231" si="26">D226+E226</f>
        <v>491.26895999999999</v>
      </c>
      <c r="G226" s="41">
        <v>0</v>
      </c>
      <c r="H226" s="41">
        <f t="shared" ref="H226:H231" si="27">F226*(($H$187)+1)+(IF(G226&lt;101,G226,IF(G226&lt;201,G226/2,IF(G226&lt;=301,G226/3,G226/4))))</f>
        <v>712.33999199999994</v>
      </c>
      <c r="I226" s="35"/>
      <c r="N226" s="35"/>
    </row>
    <row r="227" spans="1:20" s="36" customFormat="1" x14ac:dyDescent="0.35">
      <c r="A227" s="115">
        <f>A226+1</f>
        <v>102</v>
      </c>
      <c r="B227" s="115"/>
      <c r="C227" s="41" t="s">
        <v>381</v>
      </c>
      <c r="D227" s="41">
        <f>29.9*10.764</f>
        <v>321.84359999999998</v>
      </c>
      <c r="E227" s="41">
        <v>0</v>
      </c>
      <c r="F227" s="41">
        <f t="shared" si="26"/>
        <v>321.84359999999998</v>
      </c>
      <c r="G227" s="41">
        <f>9.63*10.764</f>
        <v>103.65732</v>
      </c>
      <c r="H227" s="41">
        <f t="shared" si="27"/>
        <v>518.50187999999991</v>
      </c>
      <c r="I227" s="35"/>
      <c r="N227" s="35"/>
    </row>
    <row r="228" spans="1:20" s="36" customFormat="1" x14ac:dyDescent="0.35">
      <c r="A228" s="115">
        <f>A227+1</f>
        <v>103</v>
      </c>
      <c r="B228" s="115"/>
      <c r="C228" s="41" t="s">
        <v>381</v>
      </c>
      <c r="D228" s="41">
        <f>31.84*10.764</f>
        <v>342.72575999999998</v>
      </c>
      <c r="E228" s="41">
        <v>0</v>
      </c>
      <c r="F228" s="41">
        <f t="shared" si="26"/>
        <v>342.72575999999998</v>
      </c>
      <c r="G228" s="41">
        <f>9.63*10.764</f>
        <v>103.65732</v>
      </c>
      <c r="H228" s="41">
        <f t="shared" si="27"/>
        <v>548.78101199999992</v>
      </c>
      <c r="I228" s="35"/>
      <c r="N228" s="35"/>
    </row>
    <row r="229" spans="1:20" s="36" customFormat="1" x14ac:dyDescent="0.35">
      <c r="A229" s="115">
        <f>A228+1</f>
        <v>104</v>
      </c>
      <c r="B229" s="115"/>
      <c r="C229" s="41" t="s">
        <v>381</v>
      </c>
      <c r="D229" s="41">
        <f>31.84*10.764</f>
        <v>342.72575999999998</v>
      </c>
      <c r="E229" s="41">
        <v>0</v>
      </c>
      <c r="F229" s="41">
        <f t="shared" si="26"/>
        <v>342.72575999999998</v>
      </c>
      <c r="G229" s="41">
        <f>9.63*10.764</f>
        <v>103.65732</v>
      </c>
      <c r="H229" s="41">
        <f t="shared" si="27"/>
        <v>548.78101199999992</v>
      </c>
      <c r="I229" s="35"/>
      <c r="N229" s="35"/>
    </row>
    <row r="230" spans="1:20" s="36" customFormat="1" x14ac:dyDescent="0.35">
      <c r="A230" s="115">
        <f>A229+1</f>
        <v>105</v>
      </c>
      <c r="B230" s="115"/>
      <c r="C230" s="41" t="s">
        <v>380</v>
      </c>
      <c r="D230" s="41">
        <f>43.69*10.764</f>
        <v>470.27915999999993</v>
      </c>
      <c r="E230" s="41">
        <v>0</v>
      </c>
      <c r="F230" s="41">
        <f t="shared" si="26"/>
        <v>470.27915999999993</v>
      </c>
      <c r="G230" s="41">
        <f>11.94*10.764</f>
        <v>128.52215999999999</v>
      </c>
      <c r="H230" s="41">
        <f t="shared" si="27"/>
        <v>746.16586199999983</v>
      </c>
      <c r="I230" s="35"/>
      <c r="N230" s="35"/>
    </row>
    <row r="231" spans="1:20" s="36" customFormat="1" x14ac:dyDescent="0.35">
      <c r="A231" s="115">
        <v>106</v>
      </c>
      <c r="B231" s="115"/>
      <c r="C231" s="41" t="s">
        <v>380</v>
      </c>
      <c r="D231" s="41">
        <f>45.64*10.764</f>
        <v>491.26895999999999</v>
      </c>
      <c r="E231" s="41">
        <v>0</v>
      </c>
      <c r="F231" s="41">
        <f t="shared" si="26"/>
        <v>491.26895999999999</v>
      </c>
      <c r="G231" s="41">
        <v>0</v>
      </c>
      <c r="H231" s="41">
        <f t="shared" si="27"/>
        <v>712.33999199999994</v>
      </c>
      <c r="I231" s="35"/>
      <c r="N231" s="35"/>
    </row>
    <row r="232" spans="1:20" s="36" customFormat="1" x14ac:dyDescent="0.35">
      <c r="A232" s="199" t="s">
        <v>384</v>
      </c>
      <c r="B232" s="200"/>
      <c r="C232" s="200"/>
      <c r="D232" s="200"/>
      <c r="E232" s="200"/>
      <c r="F232" s="200"/>
      <c r="G232" s="200"/>
      <c r="H232" s="201"/>
      <c r="I232" s="35"/>
    </row>
    <row r="233" spans="1:20" s="36" customFormat="1" ht="15.75" customHeight="1" x14ac:dyDescent="0.35">
      <c r="A233" s="82"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10^ROW(INDIRECT("1:"&amp;LEN((LEFT(A232,SUM(LEN(A232)-LEN(SUBSTITUTE(A232,{"0","1","2"},""))))))))/10))*100+1&amp;""&amp;" to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",LEN(A232))),LEN(A232)))))))/10))*100+1</f>
        <v>201 to 701</v>
      </c>
      <c r="B233" s="83"/>
      <c r="C233" s="41" t="s">
        <v>380</v>
      </c>
      <c r="D233" s="41">
        <f>45.64*10.764</f>
        <v>491.26895999999999</v>
      </c>
      <c r="E233" s="41">
        <v>0</v>
      </c>
      <c r="F233" s="41">
        <f t="shared" ref="F233:F238" si="28">D233+E233</f>
        <v>491.26895999999999</v>
      </c>
      <c r="G233" s="41">
        <v>0</v>
      </c>
      <c r="H233" s="41">
        <f t="shared" ref="H233:H238" si="29">F233*(($H$187)+1)+(IF(G233&lt;101,G233,IF(G233&lt;201,G233/2,IF(G233&lt;=301,G233/3,G233/4))))</f>
        <v>712.33999199999994</v>
      </c>
      <c r="I233" s="35"/>
    </row>
    <row r="234" spans="1:20" s="36" customFormat="1" ht="15.75" customHeight="1" x14ac:dyDescent="0.35">
      <c r="A234" s="82"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202 to 702</v>
      </c>
      <c r="B234" s="83"/>
      <c r="C234" s="41" t="s">
        <v>381</v>
      </c>
      <c r="D234" s="41">
        <f>29.9*10.764</f>
        <v>321.84359999999998</v>
      </c>
      <c r="E234" s="41">
        <v>0</v>
      </c>
      <c r="F234" s="41">
        <f t="shared" si="28"/>
        <v>321.84359999999998</v>
      </c>
      <c r="G234" s="41">
        <v>0</v>
      </c>
      <c r="H234" s="41">
        <f t="shared" si="29"/>
        <v>466.67321999999996</v>
      </c>
      <c r="I234" s="35"/>
      <c r="J234" s="36">
        <f>16900000/H234</f>
        <v>36213.777169386325</v>
      </c>
    </row>
    <row r="235" spans="1:20" s="36" customFormat="1" ht="15.75" customHeight="1" x14ac:dyDescent="0.35">
      <c r="A235" s="82"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203 to 703</v>
      </c>
      <c r="B235" s="83"/>
      <c r="C235" s="41" t="s">
        <v>381</v>
      </c>
      <c r="D235" s="41">
        <f t="shared" ref="D235:D236" si="30">29.9*10.764</f>
        <v>321.84359999999998</v>
      </c>
      <c r="E235" s="41">
        <v>0</v>
      </c>
      <c r="F235" s="41">
        <f t="shared" si="28"/>
        <v>321.84359999999998</v>
      </c>
      <c r="G235" s="41">
        <v>0</v>
      </c>
      <c r="H235" s="41">
        <f t="shared" si="29"/>
        <v>466.67321999999996</v>
      </c>
      <c r="I235" s="35"/>
    </row>
    <row r="236" spans="1:20" s="36" customFormat="1" ht="15.75" customHeight="1" x14ac:dyDescent="0.35">
      <c r="A236" s="82"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to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204 to 704</v>
      </c>
      <c r="B236" s="83"/>
      <c r="C236" s="41" t="s">
        <v>381</v>
      </c>
      <c r="D236" s="41">
        <f t="shared" si="30"/>
        <v>321.84359999999998</v>
      </c>
      <c r="E236" s="41">
        <v>0</v>
      </c>
      <c r="F236" s="41">
        <f t="shared" si="28"/>
        <v>321.84359999999998</v>
      </c>
      <c r="G236" s="41">
        <v>0</v>
      </c>
      <c r="H236" s="41">
        <f t="shared" si="29"/>
        <v>466.67321999999996</v>
      </c>
      <c r="I236" s="35"/>
    </row>
    <row r="237" spans="1:20" s="36" customFormat="1" ht="15.75" customHeight="1" x14ac:dyDescent="0.35">
      <c r="A237" s="82"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to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205 to 705</v>
      </c>
      <c r="B237" s="83"/>
      <c r="C237" s="41" t="s">
        <v>380</v>
      </c>
      <c r="D237" s="41">
        <f>46.44*10.764</f>
        <v>499.88015999999993</v>
      </c>
      <c r="E237" s="41">
        <v>0</v>
      </c>
      <c r="F237" s="41">
        <f t="shared" si="28"/>
        <v>499.88015999999993</v>
      </c>
      <c r="G237" s="41">
        <v>0</v>
      </c>
      <c r="H237" s="41">
        <f t="shared" si="29"/>
        <v>724.82623199999989</v>
      </c>
      <c r="I237" s="35"/>
    </row>
    <row r="238" spans="1:20" s="36" customFormat="1" ht="15.75" customHeight="1" x14ac:dyDescent="0.35">
      <c r="A238" s="82"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10^ROW(INDIRECT("1:"&amp;LEN((LEFT(A237,SUM(LEN(A237)-LEN(SUBSTITUTE(A237,{"0","1","2"},""))))))))/10))*1+1&amp;""&amp;" to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",LEN(A237))),LEN(A237)))))))/10))*1+1</f>
        <v>206 to 706</v>
      </c>
      <c r="B238" s="83"/>
      <c r="C238" s="41" t="s">
        <v>380</v>
      </c>
      <c r="D238" s="41">
        <f>45.64*10.764</f>
        <v>491.26895999999999</v>
      </c>
      <c r="E238" s="41">
        <v>0</v>
      </c>
      <c r="F238" s="41">
        <f t="shared" si="28"/>
        <v>491.26895999999999</v>
      </c>
      <c r="G238" s="41">
        <v>0</v>
      </c>
      <c r="H238" s="41">
        <f t="shared" si="29"/>
        <v>712.33999199999994</v>
      </c>
      <c r="I238" s="35"/>
    </row>
    <row r="239" spans="1:20" s="34" customFormat="1" x14ac:dyDescent="0.35">
      <c r="A239" s="209" t="s">
        <v>65</v>
      </c>
      <c r="B239" s="209"/>
      <c r="C239" s="209"/>
      <c r="D239" s="209"/>
      <c r="E239" s="209"/>
      <c r="F239" s="209"/>
      <c r="G239" s="209"/>
      <c r="H239" s="209"/>
      <c r="T239" s="36"/>
    </row>
    <row r="240" spans="1:20" s="34" customFormat="1" ht="30" customHeight="1" x14ac:dyDescent="0.35">
      <c r="A240" s="81" t="s">
        <v>149</v>
      </c>
      <c r="B240" s="111" t="s">
        <v>401</v>
      </c>
      <c r="C240" s="111"/>
      <c r="D240" s="111"/>
      <c r="E240" s="111"/>
      <c r="F240" s="111"/>
      <c r="G240" s="111"/>
      <c r="H240" s="111"/>
      <c r="T240" s="36"/>
    </row>
    <row r="241" spans="1:20" s="34" customFormat="1" x14ac:dyDescent="0.35">
      <c r="A241" s="81" t="s">
        <v>149</v>
      </c>
      <c r="B241" s="111" t="str">
        <f>(IF(H186="Saleable area Loading :","We have considered Saleable area of Flats as per our Calculation.","We considered Saleable area of Flat as per Builder area Sheet."))</f>
        <v>We have considered Saleable area of Flats as per our Calculation.</v>
      </c>
      <c r="C241" s="111"/>
      <c r="D241" s="111"/>
      <c r="E241" s="111"/>
      <c r="F241" s="111"/>
      <c r="G241" s="111"/>
      <c r="H241" s="111"/>
      <c r="T241" s="36"/>
    </row>
    <row r="242" spans="1:20" s="34" customFormat="1" x14ac:dyDescent="0.35">
      <c r="A242" s="81" t="s">
        <v>149</v>
      </c>
      <c r="B242" s="111" t="str">
        <f>(IF(H145="Saleable area Loading :","We have considered Saleable area of Commercial as per our Calculation.","We considered Saleable area of Commercial as per Builder area Sheet."))</f>
        <v>We have considered Saleable area of Commercial as per our Calculation.</v>
      </c>
      <c r="C242" s="111"/>
      <c r="D242" s="111"/>
      <c r="E242" s="111"/>
      <c r="F242" s="111"/>
      <c r="G242" s="111"/>
      <c r="H242" s="111"/>
      <c r="T242" s="36"/>
    </row>
    <row r="243" spans="1:20" s="34" customFormat="1" x14ac:dyDescent="0.35">
      <c r="A243" s="81" t="s">
        <v>149</v>
      </c>
      <c r="B243" s="202" t="s">
        <v>119</v>
      </c>
      <c r="C243" s="202"/>
      <c r="D243" s="202"/>
      <c r="E243" s="202"/>
      <c r="F243" s="202"/>
      <c r="G243" s="202"/>
      <c r="H243" s="202"/>
      <c r="T243" s="36"/>
    </row>
    <row r="244" spans="1:20" s="34" customFormat="1" x14ac:dyDescent="0.35">
      <c r="A244" s="81" t="s">
        <v>149</v>
      </c>
      <c r="B244" s="202" t="s">
        <v>385</v>
      </c>
      <c r="C244" s="202"/>
      <c r="D244" s="202"/>
      <c r="E244" s="202"/>
      <c r="F244" s="202"/>
      <c r="G244" s="202"/>
      <c r="H244" s="202"/>
      <c r="T244" s="36"/>
    </row>
    <row r="245" spans="1:20" s="34" customFormat="1" x14ac:dyDescent="0.35">
      <c r="A245" s="81" t="s">
        <v>149</v>
      </c>
      <c r="B245" s="202" t="s">
        <v>148</v>
      </c>
      <c r="C245" s="202"/>
      <c r="D245" s="202"/>
      <c r="E245" s="202"/>
      <c r="F245" s="202"/>
      <c r="G245" s="202"/>
      <c r="H245" s="202"/>
    </row>
    <row r="246" spans="1:20" s="34" customFormat="1" x14ac:dyDescent="0.35">
      <c r="A246" s="81" t="s">
        <v>149</v>
      </c>
      <c r="B246" s="202" t="s">
        <v>120</v>
      </c>
      <c r="C246" s="202"/>
      <c r="D246" s="202"/>
      <c r="E246" s="202"/>
      <c r="F246" s="202"/>
      <c r="G246" s="202"/>
      <c r="H246" s="202"/>
    </row>
    <row r="247" spans="1:20" s="34" customFormat="1" ht="34.5" customHeight="1" x14ac:dyDescent="0.35">
      <c r="A247" s="81" t="s">
        <v>149</v>
      </c>
      <c r="B247" s="202" t="s">
        <v>150</v>
      </c>
      <c r="C247" s="202"/>
      <c r="D247" s="202"/>
      <c r="E247" s="202"/>
      <c r="F247" s="202"/>
      <c r="G247" s="202"/>
      <c r="H247" s="202"/>
    </row>
    <row r="248" spans="1:20" s="34" customFormat="1" x14ac:dyDescent="0.35">
      <c r="A248" s="81" t="s">
        <v>149</v>
      </c>
      <c r="B248" s="202" t="s">
        <v>121</v>
      </c>
      <c r="C248" s="202"/>
      <c r="D248" s="202"/>
      <c r="E248" s="202"/>
      <c r="F248" s="202"/>
      <c r="G248" s="202"/>
      <c r="H248" s="202"/>
    </row>
    <row r="249" spans="1:20" s="34" customFormat="1" ht="32.25" hidden="1" customHeight="1" x14ac:dyDescent="0.35">
      <c r="A249" s="81" t="s">
        <v>149</v>
      </c>
      <c r="B249" s="223" t="s">
        <v>175</v>
      </c>
      <c r="C249" s="223"/>
      <c r="D249" s="223"/>
      <c r="E249" s="223"/>
      <c r="F249" s="223"/>
      <c r="G249" s="223"/>
      <c r="H249" s="223"/>
    </row>
    <row r="250" spans="1:20" s="34" customFormat="1" hidden="1" x14ac:dyDescent="0.35">
      <c r="A250" s="81" t="s">
        <v>149</v>
      </c>
      <c r="B250" s="223" t="s">
        <v>231</v>
      </c>
      <c r="C250" s="223"/>
      <c r="D250" s="223"/>
      <c r="E250" s="223"/>
      <c r="F250" s="223"/>
      <c r="G250" s="223"/>
      <c r="H250" s="223"/>
    </row>
    <row r="251" spans="1:20" s="34" customFormat="1" x14ac:dyDescent="0.35">
      <c r="A251" s="81" t="s">
        <v>149</v>
      </c>
      <c r="B251" s="202" t="s">
        <v>389</v>
      </c>
      <c r="C251" s="202"/>
      <c r="D251" s="202"/>
      <c r="E251" s="202"/>
      <c r="F251" s="202"/>
      <c r="G251" s="202"/>
      <c r="H251" s="202"/>
    </row>
    <row r="252" spans="1:20" s="34" customFormat="1" x14ac:dyDescent="0.35">
      <c r="A252" s="81" t="s">
        <v>149</v>
      </c>
      <c r="B252" s="202" t="s">
        <v>399</v>
      </c>
      <c r="C252" s="202"/>
      <c r="D252" s="202"/>
      <c r="E252" s="202"/>
      <c r="F252" s="202"/>
      <c r="G252" s="202"/>
      <c r="H252" s="202"/>
    </row>
    <row r="253" spans="1:20" s="34" customFormat="1" ht="30.5" customHeight="1" x14ac:dyDescent="0.35">
      <c r="A253" s="81" t="s">
        <v>149</v>
      </c>
      <c r="B253" s="202" t="s">
        <v>402</v>
      </c>
      <c r="C253" s="202"/>
      <c r="D253" s="202"/>
      <c r="E253" s="202"/>
      <c r="F253" s="202"/>
      <c r="G253" s="202"/>
      <c r="H253" s="202"/>
    </row>
    <row r="254" spans="1:20" x14ac:dyDescent="0.35">
      <c r="A254" s="162" t="s">
        <v>58</v>
      </c>
      <c r="B254" s="162"/>
      <c r="C254" s="162"/>
      <c r="D254" s="162"/>
      <c r="E254" s="162"/>
      <c r="F254" s="162"/>
      <c r="G254" s="162"/>
      <c r="H254" s="162"/>
      <c r="T254" s="34"/>
    </row>
    <row r="255" spans="1:20" x14ac:dyDescent="0.35">
      <c r="A255" s="97" t="s">
        <v>59</v>
      </c>
      <c r="B255" s="97"/>
      <c r="C255" s="97"/>
      <c r="D255" s="97"/>
      <c r="E255" s="97"/>
      <c r="F255" s="97"/>
      <c r="G255" s="97"/>
      <c r="H255" s="97"/>
      <c r="T255" s="34"/>
    </row>
    <row r="256" spans="1:20" ht="15.75" customHeight="1" x14ac:dyDescent="0.35">
      <c r="A256" s="195" t="s">
        <v>60</v>
      </c>
      <c r="B256" s="195"/>
      <c r="C256" s="195"/>
      <c r="D256" s="195"/>
      <c r="E256" s="195"/>
      <c r="F256" s="195"/>
      <c r="G256" s="195"/>
      <c r="H256" s="195"/>
      <c r="T256" s="34"/>
    </row>
    <row r="257" spans="1:20" x14ac:dyDescent="0.35">
      <c r="A257" s="97" t="s">
        <v>61</v>
      </c>
      <c r="B257" s="97"/>
      <c r="C257" s="97"/>
      <c r="D257" s="97"/>
      <c r="E257" s="97"/>
      <c r="F257" s="97"/>
      <c r="G257" s="97"/>
      <c r="H257" s="97"/>
      <c r="T257" s="34"/>
    </row>
    <row r="258" spans="1:20" x14ac:dyDescent="0.35">
      <c r="A258" s="97" t="s">
        <v>62</v>
      </c>
      <c r="B258" s="97"/>
      <c r="C258" s="97"/>
      <c r="D258" s="97"/>
      <c r="E258" s="97"/>
      <c r="F258" s="97"/>
      <c r="G258" s="97"/>
      <c r="H258" s="97"/>
      <c r="T258" s="34"/>
    </row>
    <row r="259" spans="1:20" x14ac:dyDescent="0.35">
      <c r="A259" s="97" t="s">
        <v>122</v>
      </c>
      <c r="B259" s="97"/>
      <c r="C259" s="97"/>
      <c r="D259" s="97"/>
      <c r="E259" s="97"/>
      <c r="F259" s="97"/>
      <c r="G259" s="97"/>
      <c r="H259" s="97"/>
      <c r="T259" s="34"/>
    </row>
    <row r="260" spans="1:20" ht="34" customHeight="1" x14ac:dyDescent="0.35">
      <c r="A260" s="164" t="s">
        <v>123</v>
      </c>
      <c r="B260" s="164"/>
      <c r="C260" s="164"/>
      <c r="D260" s="164"/>
      <c r="E260" s="164"/>
      <c r="F260" s="164"/>
      <c r="G260" s="164"/>
      <c r="H260" s="164"/>
    </row>
    <row r="261" spans="1:20" x14ac:dyDescent="0.35">
      <c r="A261" s="176" t="s">
        <v>74</v>
      </c>
      <c r="B261" s="176"/>
      <c r="C261" s="176" t="s">
        <v>403</v>
      </c>
      <c r="D261" s="176"/>
      <c r="E261" s="176" t="s">
        <v>104</v>
      </c>
      <c r="F261" s="176"/>
      <c r="G261" s="176" t="s">
        <v>404</v>
      </c>
      <c r="H261" s="176"/>
    </row>
    <row r="262" spans="1:20" x14ac:dyDescent="0.35">
      <c r="A262" s="175" t="s">
        <v>76</v>
      </c>
      <c r="B262" s="175"/>
      <c r="C262" s="175"/>
      <c r="D262" s="175"/>
      <c r="E262" s="175"/>
      <c r="F262" s="175"/>
      <c r="G262" s="175"/>
      <c r="H262" s="175"/>
    </row>
    <row r="263" spans="1:20" x14ac:dyDescent="0.35">
      <c r="A263" s="175"/>
      <c r="B263" s="175"/>
      <c r="C263" s="175"/>
      <c r="D263" s="175"/>
      <c r="E263" s="175"/>
      <c r="F263" s="175"/>
      <c r="G263" s="175"/>
      <c r="H263" s="175"/>
    </row>
    <row r="264" spans="1:20" x14ac:dyDescent="0.35">
      <c r="A264" s="175"/>
      <c r="B264" s="175"/>
      <c r="C264" s="175"/>
      <c r="D264" s="175"/>
      <c r="E264" s="175"/>
      <c r="F264" s="175"/>
      <c r="G264" s="175"/>
      <c r="H264" s="175"/>
    </row>
    <row r="265" spans="1:20" x14ac:dyDescent="0.35">
      <c r="A265" s="175"/>
      <c r="B265" s="175"/>
      <c r="C265" s="175"/>
      <c r="D265" s="175"/>
      <c r="E265" s="175"/>
      <c r="F265" s="175"/>
      <c r="G265" s="175"/>
      <c r="H265" s="175"/>
    </row>
    <row r="266" spans="1:20" x14ac:dyDescent="0.35">
      <c r="A266" s="37" t="s">
        <v>63</v>
      </c>
      <c r="B266" s="38"/>
      <c r="C266" s="38"/>
      <c r="D266" s="37" t="str">
        <f>E9</f>
        <v>Parivar Complex Building No 2</v>
      </c>
      <c r="F266" s="38"/>
      <c r="G266" s="38"/>
      <c r="H266" s="38"/>
    </row>
    <row r="267" spans="1:20" x14ac:dyDescent="0.35">
      <c r="A267" s="38"/>
      <c r="B267" s="38"/>
      <c r="C267" s="38"/>
      <c r="D267" s="38"/>
      <c r="E267" s="38"/>
      <c r="F267" s="38"/>
      <c r="G267" s="38"/>
      <c r="H267" s="38"/>
    </row>
    <row r="268" spans="1:20" x14ac:dyDescent="0.35">
      <c r="A268" s="76"/>
      <c r="B268" s="38"/>
      <c r="C268" s="38"/>
      <c r="D268" s="38"/>
      <c r="E268" s="38"/>
      <c r="F268" s="38"/>
      <c r="G268" s="38"/>
      <c r="H268" s="38"/>
    </row>
    <row r="269" spans="1:20" ht="15" customHeight="1" x14ac:dyDescent="0.35"/>
    <row r="309" spans="1:1" x14ac:dyDescent="0.35">
      <c r="A309" s="40" t="s">
        <v>160</v>
      </c>
    </row>
    <row r="350" spans="1:1" x14ac:dyDescent="0.35">
      <c r="A350" s="40" t="s">
        <v>64</v>
      </c>
    </row>
  </sheetData>
  <mergeCells count="458">
    <mergeCell ref="I11:L11"/>
    <mergeCell ref="B253:H253"/>
    <mergeCell ref="A232:H232"/>
    <mergeCell ref="A233:B233"/>
    <mergeCell ref="A234:B234"/>
    <mergeCell ref="A235:B235"/>
    <mergeCell ref="A236:B236"/>
    <mergeCell ref="A237:B237"/>
    <mergeCell ref="A238:B238"/>
    <mergeCell ref="A226:B226"/>
    <mergeCell ref="A227:B227"/>
    <mergeCell ref="A228:B228"/>
    <mergeCell ref="A229:B229"/>
    <mergeCell ref="A230:B230"/>
    <mergeCell ref="A231:B231"/>
    <mergeCell ref="B240:H240"/>
    <mergeCell ref="B241:H241"/>
    <mergeCell ref="B243:H243"/>
    <mergeCell ref="B245:H245"/>
    <mergeCell ref="B247:H247"/>
    <mergeCell ref="B252:H252"/>
    <mergeCell ref="B251:H251"/>
    <mergeCell ref="B249:H249"/>
    <mergeCell ref="B248:H248"/>
    <mergeCell ref="B246:H246"/>
    <mergeCell ref="A205:B205"/>
    <mergeCell ref="A198:B198"/>
    <mergeCell ref="A215:H215"/>
    <mergeCell ref="A216:B216"/>
    <mergeCell ref="A217:B217"/>
    <mergeCell ref="A218:B218"/>
    <mergeCell ref="A220:B220"/>
    <mergeCell ref="A224:B224"/>
    <mergeCell ref="L224:M224"/>
    <mergeCell ref="A209:H209"/>
    <mergeCell ref="A210:B210"/>
    <mergeCell ref="A211:B211"/>
    <mergeCell ref="A212:B212"/>
    <mergeCell ref="A213:B213"/>
    <mergeCell ref="A214:B214"/>
    <mergeCell ref="A225:H225"/>
    <mergeCell ref="L225:M225"/>
    <mergeCell ref="A206:H206"/>
    <mergeCell ref="A207:H207"/>
    <mergeCell ref="A208:B208"/>
    <mergeCell ref="L208:M208"/>
    <mergeCell ref="A219:B219"/>
    <mergeCell ref="L209:M209"/>
    <mergeCell ref="A221:H221"/>
    <mergeCell ref="A222:H222"/>
    <mergeCell ref="A223:B223"/>
    <mergeCell ref="L223:M223"/>
    <mergeCell ref="A183:B183"/>
    <mergeCell ref="L183:M183"/>
    <mergeCell ref="A184:B184"/>
    <mergeCell ref="L184:M184"/>
    <mergeCell ref="A188:H188"/>
    <mergeCell ref="A178:B178"/>
    <mergeCell ref="L178:M178"/>
    <mergeCell ref="A179:B179"/>
    <mergeCell ref="L179:M179"/>
    <mergeCell ref="A180:B180"/>
    <mergeCell ref="L180:M180"/>
    <mergeCell ref="A181:B181"/>
    <mergeCell ref="L181:M181"/>
    <mergeCell ref="A182:B182"/>
    <mergeCell ref="L182:M182"/>
    <mergeCell ref="A185:H185"/>
    <mergeCell ref="A186:A187"/>
    <mergeCell ref="F186:F187"/>
    <mergeCell ref="A173:H173"/>
    <mergeCell ref="A174:B174"/>
    <mergeCell ref="L174:M174"/>
    <mergeCell ref="A175:B175"/>
    <mergeCell ref="L175:M175"/>
    <mergeCell ref="A176:B176"/>
    <mergeCell ref="L176:M176"/>
    <mergeCell ref="A177:B177"/>
    <mergeCell ref="L177:M177"/>
    <mergeCell ref="L167:M167"/>
    <mergeCell ref="A172:H172"/>
    <mergeCell ref="A168:B168"/>
    <mergeCell ref="L168:M168"/>
    <mergeCell ref="A169:B169"/>
    <mergeCell ref="L169:M169"/>
    <mergeCell ref="A170:B170"/>
    <mergeCell ref="L170:M170"/>
    <mergeCell ref="A171:B171"/>
    <mergeCell ref="L171:M171"/>
    <mergeCell ref="L160:M160"/>
    <mergeCell ref="A161:B161"/>
    <mergeCell ref="L161:M161"/>
    <mergeCell ref="A164:B164"/>
    <mergeCell ref="L164:M164"/>
    <mergeCell ref="A165:B165"/>
    <mergeCell ref="L165:M165"/>
    <mergeCell ref="A166:B166"/>
    <mergeCell ref="L166:M166"/>
    <mergeCell ref="A89:B89"/>
    <mergeCell ref="C89:H89"/>
    <mergeCell ref="C91:H91"/>
    <mergeCell ref="A81:B81"/>
    <mergeCell ref="L157:M157"/>
    <mergeCell ref="A158:B158"/>
    <mergeCell ref="L158:M158"/>
    <mergeCell ref="A159:B159"/>
    <mergeCell ref="L159:M159"/>
    <mergeCell ref="L153:M153"/>
    <mergeCell ref="A154:B154"/>
    <mergeCell ref="L154:M154"/>
    <mergeCell ref="A155:B155"/>
    <mergeCell ref="L155:M155"/>
    <mergeCell ref="A156:B156"/>
    <mergeCell ref="L156:M156"/>
    <mergeCell ref="F120:H120"/>
    <mergeCell ref="A124:E124"/>
    <mergeCell ref="E137:F137"/>
    <mergeCell ref="A143:H143"/>
    <mergeCell ref="A149:B149"/>
    <mergeCell ref="D145:D146"/>
    <mergeCell ref="L152:M152"/>
    <mergeCell ref="L151:M151"/>
    <mergeCell ref="A84:B84"/>
    <mergeCell ref="A74:C74"/>
    <mergeCell ref="D74:H74"/>
    <mergeCell ref="A73:C73"/>
    <mergeCell ref="E79:F88"/>
    <mergeCell ref="A78:B78"/>
    <mergeCell ref="A86:B86"/>
    <mergeCell ref="A72:C72"/>
    <mergeCell ref="D73:H73"/>
    <mergeCell ref="A79:B79"/>
    <mergeCell ref="G78:H78"/>
    <mergeCell ref="A87:B87"/>
    <mergeCell ref="A88:B88"/>
    <mergeCell ref="A83:B83"/>
    <mergeCell ref="A80:B80"/>
    <mergeCell ref="A82:B82"/>
    <mergeCell ref="E78:F78"/>
    <mergeCell ref="A85:B85"/>
    <mergeCell ref="L150:M150"/>
    <mergeCell ref="L149:M149"/>
    <mergeCell ref="C138:D138"/>
    <mergeCell ref="E138:F138"/>
    <mergeCell ref="G138:H138"/>
    <mergeCell ref="A148:H148"/>
    <mergeCell ref="E145:E146"/>
    <mergeCell ref="G145:G146"/>
    <mergeCell ref="A239:H239"/>
    <mergeCell ref="A203:B203"/>
    <mergeCell ref="A204:B204"/>
    <mergeCell ref="A199:H199"/>
    <mergeCell ref="A151:B151"/>
    <mergeCell ref="A202:B202"/>
    <mergeCell ref="A196:B196"/>
    <mergeCell ref="A201:B201"/>
    <mergeCell ref="A163:H163"/>
    <mergeCell ref="A140:B140"/>
    <mergeCell ref="C140:D140"/>
    <mergeCell ref="E140:F140"/>
    <mergeCell ref="G140:H140"/>
    <mergeCell ref="A142:B142"/>
    <mergeCell ref="C142:D142"/>
    <mergeCell ref="E142:F142"/>
    <mergeCell ref="G92:H92"/>
    <mergeCell ref="A77:B77"/>
    <mergeCell ref="A75:B75"/>
    <mergeCell ref="I15:P15"/>
    <mergeCell ref="F127:H127"/>
    <mergeCell ref="F125:H125"/>
    <mergeCell ref="A144:H144"/>
    <mergeCell ref="G131:H131"/>
    <mergeCell ref="A126:E126"/>
    <mergeCell ref="A60:B60"/>
    <mergeCell ref="C60:E60"/>
    <mergeCell ref="D62:H62"/>
    <mergeCell ref="F126:H126"/>
    <mergeCell ref="E131:F131"/>
    <mergeCell ref="A131:B131"/>
    <mergeCell ref="A133:B133"/>
    <mergeCell ref="C137:D137"/>
    <mergeCell ref="D72:H72"/>
    <mergeCell ref="C75:H75"/>
    <mergeCell ref="A70:C70"/>
    <mergeCell ref="D70:H70"/>
    <mergeCell ref="C77:H77"/>
    <mergeCell ref="A71:C71"/>
    <mergeCell ref="D71:H71"/>
    <mergeCell ref="A259:H259"/>
    <mergeCell ref="A256:H256"/>
    <mergeCell ref="A193:B193"/>
    <mergeCell ref="A137:B137"/>
    <mergeCell ref="D186:D187"/>
    <mergeCell ref="E186:E187"/>
    <mergeCell ref="A97:B97"/>
    <mergeCell ref="A99:B99"/>
    <mergeCell ref="F118:H118"/>
    <mergeCell ref="G132:H132"/>
    <mergeCell ref="A102:B102"/>
    <mergeCell ref="F124:H124"/>
    <mergeCell ref="C131:D131"/>
    <mergeCell ref="C141:D141"/>
    <mergeCell ref="A189:H189"/>
    <mergeCell ref="B244:H244"/>
    <mergeCell ref="F123:H123"/>
    <mergeCell ref="A125:E125"/>
    <mergeCell ref="A147:H147"/>
    <mergeCell ref="A100:B100"/>
    <mergeCell ref="A153:B153"/>
    <mergeCell ref="A150:B150"/>
    <mergeCell ref="A160:B160"/>
    <mergeCell ref="A167:B167"/>
    <mergeCell ref="A255:H255"/>
    <mergeCell ref="F117:H117"/>
    <mergeCell ref="F122:H122"/>
    <mergeCell ref="A190:B190"/>
    <mergeCell ref="A152:B152"/>
    <mergeCell ref="A101:B101"/>
    <mergeCell ref="A120:E120"/>
    <mergeCell ref="A117:E117"/>
    <mergeCell ref="F121:H121"/>
    <mergeCell ref="A121:E121"/>
    <mergeCell ref="E93:F102"/>
    <mergeCell ref="A103:B103"/>
    <mergeCell ref="C103:H103"/>
    <mergeCell ref="A105:B105"/>
    <mergeCell ref="C105:H105"/>
    <mergeCell ref="A106:B106"/>
    <mergeCell ref="E106:F106"/>
    <mergeCell ref="G106:H106"/>
    <mergeCell ref="A107:B107"/>
    <mergeCell ref="E107:F116"/>
    <mergeCell ref="G107:H116"/>
    <mergeCell ref="A108:B108"/>
    <mergeCell ref="A98:B98"/>
    <mergeCell ref="A118:E118"/>
    <mergeCell ref="A93:B93"/>
    <mergeCell ref="A94:B94"/>
    <mergeCell ref="A95:B95"/>
    <mergeCell ref="G93:H102"/>
    <mergeCell ref="A96:B96"/>
    <mergeCell ref="A262:H265"/>
    <mergeCell ref="A261:B261"/>
    <mergeCell ref="E261:F261"/>
    <mergeCell ref="C261:D261"/>
    <mergeCell ref="G261:H261"/>
    <mergeCell ref="A130:H130"/>
    <mergeCell ref="A128:E128"/>
    <mergeCell ref="F128:H128"/>
    <mergeCell ref="A129:E129"/>
    <mergeCell ref="F129:H129"/>
    <mergeCell ref="A192:H192"/>
    <mergeCell ref="A138:B138"/>
    <mergeCell ref="A132:B132"/>
    <mergeCell ref="A257:H257"/>
    <mergeCell ref="A136:H136"/>
    <mergeCell ref="A260:H260"/>
    <mergeCell ref="A258:H258"/>
    <mergeCell ref="A254:H254"/>
    <mergeCell ref="G137:H13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6:B36"/>
    <mergeCell ref="C36:E36"/>
    <mergeCell ref="E43:H43"/>
    <mergeCell ref="A43:D43"/>
    <mergeCell ref="C39:H39"/>
    <mergeCell ref="A47:D47"/>
    <mergeCell ref="A38:H38"/>
    <mergeCell ref="A50:B50"/>
    <mergeCell ref="D67:H67"/>
    <mergeCell ref="C52:E52"/>
    <mergeCell ref="C53:H53"/>
    <mergeCell ref="E45:H45"/>
    <mergeCell ref="E46:H46"/>
    <mergeCell ref="E47:H47"/>
    <mergeCell ref="C57:H57"/>
    <mergeCell ref="C59:H59"/>
    <mergeCell ref="A48:H48"/>
    <mergeCell ref="D63:H63"/>
    <mergeCell ref="G60:H60"/>
    <mergeCell ref="A54:B55"/>
    <mergeCell ref="C54:E54"/>
    <mergeCell ref="G54:H54"/>
    <mergeCell ref="A56:B57"/>
    <mergeCell ref="C56:E56"/>
    <mergeCell ref="D69:H69"/>
    <mergeCell ref="A44:D44"/>
    <mergeCell ref="E44:H44"/>
    <mergeCell ref="D64:H64"/>
    <mergeCell ref="A64:C64"/>
    <mergeCell ref="A45:D45"/>
    <mergeCell ref="A49:B49"/>
    <mergeCell ref="C49:H49"/>
    <mergeCell ref="A37:B37"/>
    <mergeCell ref="C37:E37"/>
    <mergeCell ref="A42:D42"/>
    <mergeCell ref="E42:H42"/>
    <mergeCell ref="A41:H41"/>
    <mergeCell ref="A65:C67"/>
    <mergeCell ref="D65:H65"/>
    <mergeCell ref="D66:H66"/>
    <mergeCell ref="G52:H52"/>
    <mergeCell ref="A61:H61"/>
    <mergeCell ref="A63:C63"/>
    <mergeCell ref="A62:C62"/>
    <mergeCell ref="D68:H68"/>
    <mergeCell ref="F37:H37"/>
    <mergeCell ref="C51:E51"/>
    <mergeCell ref="C50:E50"/>
    <mergeCell ref="G50:H50"/>
    <mergeCell ref="A51:B51"/>
    <mergeCell ref="G56:H56"/>
    <mergeCell ref="A58:B59"/>
    <mergeCell ref="C58:E58"/>
    <mergeCell ref="G58:H58"/>
    <mergeCell ref="G51:H51"/>
    <mergeCell ref="A52:B53"/>
    <mergeCell ref="A39:B39"/>
    <mergeCell ref="A46:D46"/>
    <mergeCell ref="E92:F92"/>
    <mergeCell ref="L192:M192"/>
    <mergeCell ref="A197:B197"/>
    <mergeCell ref="A194:B194"/>
    <mergeCell ref="A195:B195"/>
    <mergeCell ref="A200:B200"/>
    <mergeCell ref="A40:B40"/>
    <mergeCell ref="C40:H40"/>
    <mergeCell ref="F145:F146"/>
    <mergeCell ref="C132:D132"/>
    <mergeCell ref="E132:F132"/>
    <mergeCell ref="B145:B146"/>
    <mergeCell ref="A145:A146"/>
    <mergeCell ref="C186:C187"/>
    <mergeCell ref="G186:G187"/>
    <mergeCell ref="L190:M190"/>
    <mergeCell ref="A191:B191"/>
    <mergeCell ref="G142:H142"/>
    <mergeCell ref="L191:M191"/>
    <mergeCell ref="C55:H55"/>
    <mergeCell ref="A115:B115"/>
    <mergeCell ref="A91:B91"/>
    <mergeCell ref="A68:C68"/>
    <mergeCell ref="A69:C69"/>
    <mergeCell ref="G79:H88"/>
    <mergeCell ref="B250:H250"/>
    <mergeCell ref="A122:E122"/>
    <mergeCell ref="A141:B141"/>
    <mergeCell ref="E141:F141"/>
    <mergeCell ref="A127:E127"/>
    <mergeCell ref="G141:H141"/>
    <mergeCell ref="C133:D133"/>
    <mergeCell ref="E133:F133"/>
    <mergeCell ref="G133:H133"/>
    <mergeCell ref="A135:B135"/>
    <mergeCell ref="C135:D135"/>
    <mergeCell ref="E135:F135"/>
    <mergeCell ref="G135:H135"/>
    <mergeCell ref="A139:B139"/>
    <mergeCell ref="C139:D139"/>
    <mergeCell ref="E139:F139"/>
    <mergeCell ref="G139:H139"/>
    <mergeCell ref="A116:B116"/>
    <mergeCell ref="C145:C146"/>
    <mergeCell ref="B186:B187"/>
    <mergeCell ref="B242:H242"/>
    <mergeCell ref="A92:B92"/>
    <mergeCell ref="G134:H134"/>
    <mergeCell ref="A157:B157"/>
    <mergeCell ref="A162:H162"/>
    <mergeCell ref="A109:B109"/>
    <mergeCell ref="A110:B110"/>
    <mergeCell ref="A111:B111"/>
    <mergeCell ref="A112:B112"/>
    <mergeCell ref="A113:B113"/>
    <mergeCell ref="A114:B114"/>
    <mergeCell ref="A134:B134"/>
    <mergeCell ref="C134:D134"/>
    <mergeCell ref="E134:F134"/>
    <mergeCell ref="F119:H119"/>
    <mergeCell ref="A119:E119"/>
    <mergeCell ref="A123:E123"/>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261:H261">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5:B146">
      <formula1>"Shop No. (Sale Plan),Sale / Rehab,Sale / Mhada"</formula1>
    </dataValidation>
    <dataValidation type="list" allowBlank="1" showInputMessage="1" showErrorMessage="1" sqref="B186:B18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86:E187">
      <formula1>"Fungible area,Balcony Area,Chajja Area,Cornice Area,AP Area,WS Area"</formula1>
    </dataValidation>
    <dataValidation type="list" allowBlank="1" showInputMessage="1" showErrorMessage="1" sqref="H146 H18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5 H186">
      <formula1>"Saleable area Loading :,Builder Saleable Area"</formula1>
    </dataValidation>
    <dataValidation type="list" allowBlank="1" showInputMessage="1" showErrorMessage="1" sqref="D145:D146 D186:D18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4" max="16383" man="1"/>
    <brk id="265" max="16383" man="1"/>
    <brk id="308" max="16383" man="1"/>
    <brk id="34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81640625" defaultRowHeight="14.5" x14ac:dyDescent="0.35"/>
  <cols>
    <col min="1" max="1" width="8.81640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81640625" style="1"/>
  </cols>
  <sheetData>
    <row r="1" spans="1:9" ht="15" customHeight="1" x14ac:dyDescent="0.35"/>
    <row r="2" spans="1:9" ht="15" customHeight="1" x14ac:dyDescent="0.35">
      <c r="A2" s="2"/>
      <c r="B2" s="2"/>
      <c r="C2" s="2"/>
      <c r="D2" s="2"/>
      <c r="E2" s="2"/>
      <c r="F2" s="2"/>
      <c r="G2" s="2"/>
      <c r="H2" s="2"/>
    </row>
    <row r="3" spans="1:9" ht="15.75" customHeight="1" x14ac:dyDescent="0.35">
      <c r="A3" s="2"/>
      <c r="B3" s="218" t="s">
        <v>105</v>
      </c>
      <c r="C3" s="218"/>
      <c r="D3" s="218"/>
      <c r="E3" s="218"/>
      <c r="F3" s="218"/>
      <c r="G3" s="218"/>
      <c r="H3" s="218"/>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176</v>
      </c>
      <c r="E4" s="52" t="s">
        <v>186</v>
      </c>
      <c r="F4" s="52" t="s">
        <v>169</v>
      </c>
      <c r="G4" s="52" t="s">
        <v>191</v>
      </c>
      <c r="H4" s="52" t="s">
        <v>209</v>
      </c>
      <c r="J4" t="s">
        <v>191</v>
      </c>
      <c r="K4" t="s">
        <v>207</v>
      </c>
    </row>
    <row r="5" spans="2:11" x14ac:dyDescent="0.35">
      <c r="B5" s="51"/>
      <c r="C5" s="51"/>
      <c r="D5" s="52" t="s">
        <v>177</v>
      </c>
      <c r="E5" s="52" t="s">
        <v>184</v>
      </c>
      <c r="F5" s="52" t="s">
        <v>206</v>
      </c>
      <c r="G5" s="52" t="s">
        <v>192</v>
      </c>
      <c r="H5" s="52" t="s">
        <v>210</v>
      </c>
    </row>
    <row r="6" spans="2:11" x14ac:dyDescent="0.35">
      <c r="B6" s="51"/>
      <c r="C6" s="51"/>
      <c r="D6" s="52" t="s">
        <v>178</v>
      </c>
      <c r="E6" s="52" t="s">
        <v>185</v>
      </c>
      <c r="F6" s="52" t="s">
        <v>207</v>
      </c>
      <c r="G6" s="52" t="s">
        <v>193</v>
      </c>
      <c r="H6" s="52" t="s">
        <v>223</v>
      </c>
    </row>
    <row r="7" spans="2:11" x14ac:dyDescent="0.35">
      <c r="B7" s="51"/>
      <c r="C7" s="51"/>
      <c r="D7" s="52" t="s">
        <v>179</v>
      </c>
      <c r="E7" s="52" t="s">
        <v>187</v>
      </c>
      <c r="F7" s="52" t="s">
        <v>208</v>
      </c>
      <c r="G7" s="52" t="s">
        <v>194</v>
      </c>
      <c r="H7" s="52" t="s">
        <v>211</v>
      </c>
    </row>
    <row r="8" spans="2:11" x14ac:dyDescent="0.35">
      <c r="B8" s="51"/>
      <c r="C8" s="51"/>
      <c r="D8" s="52" t="s">
        <v>180</v>
      </c>
      <c r="E8" s="52" t="s">
        <v>188</v>
      </c>
      <c r="F8" s="52"/>
      <c r="G8" s="52" t="s">
        <v>195</v>
      </c>
      <c r="H8" s="52" t="s">
        <v>212</v>
      </c>
    </row>
    <row r="9" spans="2:11" x14ac:dyDescent="0.35">
      <c r="B9" s="51"/>
      <c r="C9" s="51"/>
      <c r="D9" s="52" t="s">
        <v>181</v>
      </c>
      <c r="E9" s="52" t="s">
        <v>186</v>
      </c>
      <c r="F9" s="52"/>
      <c r="G9" s="52" t="s">
        <v>196</v>
      </c>
      <c r="H9" s="52" t="s">
        <v>213</v>
      </c>
    </row>
    <row r="10" spans="2:11" x14ac:dyDescent="0.35">
      <c r="B10" s="51"/>
      <c r="C10" s="51"/>
      <c r="D10" s="52" t="s">
        <v>182</v>
      </c>
      <c r="E10" s="52" t="s">
        <v>189</v>
      </c>
      <c r="F10" s="52"/>
      <c r="G10" s="52" t="s">
        <v>197</v>
      </c>
      <c r="H10" s="52" t="s">
        <v>214</v>
      </c>
    </row>
    <row r="11" spans="2:11" x14ac:dyDescent="0.35">
      <c r="B11" s="51"/>
      <c r="C11" s="51"/>
      <c r="D11" s="52" t="s">
        <v>183</v>
      </c>
      <c r="E11" s="52" t="s">
        <v>190</v>
      </c>
      <c r="F11" s="52"/>
      <c r="G11" s="52" t="s">
        <v>198</v>
      </c>
      <c r="H11" s="52" t="s">
        <v>215</v>
      </c>
    </row>
    <row r="12" spans="2:11" x14ac:dyDescent="0.35">
      <c r="B12" s="51"/>
      <c r="C12" s="51"/>
      <c r="D12" s="52"/>
      <c r="E12" s="52"/>
      <c r="F12" s="52"/>
      <c r="G12" s="52" t="s">
        <v>199</v>
      </c>
      <c r="H12" s="52" t="s">
        <v>216</v>
      </c>
    </row>
    <row r="13" spans="2:11" x14ac:dyDescent="0.35">
      <c r="B13" s="51"/>
      <c r="C13" s="51"/>
      <c r="D13" s="52"/>
      <c r="E13" s="52"/>
      <c r="F13" s="52"/>
      <c r="G13" s="52" t="s">
        <v>200</v>
      </c>
      <c r="H13" s="52" t="s">
        <v>217</v>
      </c>
    </row>
    <row r="14" spans="2:11" x14ac:dyDescent="0.35">
      <c r="B14" s="51"/>
      <c r="C14" s="51"/>
      <c r="D14" s="52"/>
      <c r="E14" s="52"/>
      <c r="F14" s="52"/>
      <c r="G14" s="52" t="s">
        <v>201</v>
      </c>
      <c r="H14" s="52" t="s">
        <v>218</v>
      </c>
    </row>
    <row r="15" spans="2:11" x14ac:dyDescent="0.35">
      <c r="B15" s="51"/>
      <c r="C15" s="51"/>
      <c r="D15" s="52"/>
      <c r="E15" s="52"/>
      <c r="F15" s="52"/>
      <c r="G15" s="52" t="s">
        <v>202</v>
      </c>
      <c r="H15" s="52" t="s">
        <v>219</v>
      </c>
    </row>
    <row r="16" spans="2:11" x14ac:dyDescent="0.35">
      <c r="B16" s="51"/>
      <c r="C16" s="51"/>
      <c r="D16" s="52"/>
      <c r="E16" s="52"/>
      <c r="F16" s="52"/>
      <c r="G16" s="52" t="s">
        <v>203</v>
      </c>
      <c r="H16" s="52" t="s">
        <v>220</v>
      </c>
    </row>
    <row r="17" spans="2:8" x14ac:dyDescent="0.35">
      <c r="B17" s="51"/>
      <c r="C17" s="51"/>
      <c r="D17" s="52"/>
      <c r="E17" s="52"/>
      <c r="F17" s="52"/>
      <c r="G17" s="52" t="s">
        <v>204</v>
      </c>
      <c r="H17" s="52" t="s">
        <v>221</v>
      </c>
    </row>
    <row r="18" spans="2:8" x14ac:dyDescent="0.35">
      <c r="B18" s="51"/>
      <c r="C18" s="51"/>
      <c r="D18" s="52"/>
      <c r="E18" s="52"/>
      <c r="F18" s="52"/>
      <c r="G18" s="52" t="s">
        <v>205</v>
      </c>
      <c r="H18" s="52" t="s">
        <v>222</v>
      </c>
    </row>
    <row r="24" spans="2:8" x14ac:dyDescent="0.35">
      <c r="C24" t="s">
        <v>166</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166</v>
      </c>
    </row>
    <row r="33" spans="3:11" x14ac:dyDescent="0.35">
      <c r="J33">
        <v>1</v>
      </c>
      <c r="K33">
        <v>2</v>
      </c>
    </row>
    <row r="34" spans="3:11" x14ac:dyDescent="0.35">
      <c r="C34" s="53" t="s">
        <v>235</v>
      </c>
      <c r="D34" s="52" t="s">
        <v>233</v>
      </c>
      <c r="E34" s="52" t="s">
        <v>238</v>
      </c>
      <c r="F34" s="52" t="s">
        <v>236</v>
      </c>
      <c r="G34" s="52" t="s">
        <v>237</v>
      </c>
      <c r="H34" s="52" t="s">
        <v>239</v>
      </c>
      <c r="J34" t="s">
        <v>191</v>
      </c>
      <c r="K34" t="s">
        <v>207</v>
      </c>
    </row>
    <row r="35" spans="3:11" x14ac:dyDescent="0.35">
      <c r="C35" s="51" t="s">
        <v>234</v>
      </c>
      <c r="D35" s="52" t="s">
        <v>167</v>
      </c>
      <c r="E35" s="52" t="s">
        <v>243</v>
      </c>
      <c r="F35" s="52" t="s">
        <v>245</v>
      </c>
      <c r="G35" s="52" t="s">
        <v>247</v>
      </c>
      <c r="H35" s="52"/>
    </row>
    <row r="36" spans="3:11" x14ac:dyDescent="0.35">
      <c r="C36" s="51"/>
      <c r="D36" s="52" t="s">
        <v>240</v>
      </c>
      <c r="E36" s="52" t="s">
        <v>244</v>
      </c>
      <c r="F36" s="52" t="s">
        <v>246</v>
      </c>
      <c r="G36" s="52" t="s">
        <v>248</v>
      </c>
      <c r="H36" s="52"/>
    </row>
    <row r="37" spans="3:11" x14ac:dyDescent="0.35">
      <c r="C37" s="51"/>
      <c r="D37" s="52" t="s">
        <v>241</v>
      </c>
      <c r="E37" s="52"/>
      <c r="F37" s="52"/>
      <c r="G37" s="52" t="s">
        <v>249</v>
      </c>
      <c r="H37" s="52"/>
    </row>
    <row r="38" spans="3:11" x14ac:dyDescent="0.35">
      <c r="C38" s="51"/>
      <c r="D38" s="52" t="s">
        <v>242</v>
      </c>
      <c r="E38" s="52"/>
      <c r="F38" s="52"/>
      <c r="G38" s="52" t="s">
        <v>249</v>
      </c>
      <c r="H38" s="52"/>
    </row>
    <row r="39" spans="3:11" x14ac:dyDescent="0.35">
      <c r="C39" s="51"/>
      <c r="D39" s="52"/>
      <c r="E39" s="52"/>
      <c r="F39" s="52"/>
      <c r="G39" s="52" t="s">
        <v>250</v>
      </c>
      <c r="H39" s="52"/>
    </row>
    <row r="40" spans="3:11" x14ac:dyDescent="0.35">
      <c r="C40" s="51"/>
      <c r="D40" s="52"/>
      <c r="E40" s="52"/>
      <c r="F40" s="52"/>
      <c r="G40" s="52" t="s">
        <v>251</v>
      </c>
      <c r="H40" s="52"/>
    </row>
    <row r="41" spans="3:11" x14ac:dyDescent="0.35">
      <c r="C41" s="51"/>
      <c r="D41" s="52"/>
      <c r="E41" s="52"/>
      <c r="F41" s="52"/>
      <c r="G41" s="52"/>
      <c r="H41" s="52"/>
    </row>
    <row r="43" spans="3:11" x14ac:dyDescent="0.35">
      <c r="C43" t="s">
        <v>252</v>
      </c>
    </row>
    <row r="44" spans="3:11" x14ac:dyDescent="0.35">
      <c r="C44" t="s">
        <v>169</v>
      </c>
      <c r="D44" t="s">
        <v>253</v>
      </c>
    </row>
    <row r="45" spans="3:11" x14ac:dyDescent="0.35">
      <c r="D45" t="s">
        <v>254</v>
      </c>
    </row>
    <row r="46" spans="3:11" x14ac:dyDescent="0.35">
      <c r="D46" t="s">
        <v>255</v>
      </c>
    </row>
    <row r="47" spans="3:11" x14ac:dyDescent="0.35">
      <c r="D47" t="s">
        <v>256</v>
      </c>
    </row>
    <row r="48" spans="3:11" x14ac:dyDescent="0.35">
      <c r="D48" t="s">
        <v>257</v>
      </c>
    </row>
    <row r="49" spans="3:4" x14ac:dyDescent="0.35">
      <c r="C49" t="s">
        <v>176</v>
      </c>
      <c r="D49" t="s">
        <v>258</v>
      </c>
    </row>
    <row r="50" spans="3:4" x14ac:dyDescent="0.35">
      <c r="D50" t="s">
        <v>259</v>
      </c>
    </row>
    <row r="51" spans="3:4" x14ac:dyDescent="0.35">
      <c r="D51" t="s">
        <v>260</v>
      </c>
    </row>
    <row r="52" spans="3:4" x14ac:dyDescent="0.35">
      <c r="D52" t="s">
        <v>263</v>
      </c>
    </row>
    <row r="53" spans="3:4" x14ac:dyDescent="0.35">
      <c r="D53" t="s">
        <v>261</v>
      </c>
    </row>
    <row r="54" spans="3:4" x14ac:dyDescent="0.35">
      <c r="D54" t="s">
        <v>262</v>
      </c>
    </row>
    <row r="55" spans="3:4" x14ac:dyDescent="0.35">
      <c r="D55" t="s">
        <v>264</v>
      </c>
    </row>
    <row r="56" spans="3:4" x14ac:dyDescent="0.35">
      <c r="D56" t="s">
        <v>265</v>
      </c>
    </row>
    <row r="57" spans="3:4" x14ac:dyDescent="0.35">
      <c r="D57" t="s">
        <v>266</v>
      </c>
    </row>
    <row r="58" spans="3:4" x14ac:dyDescent="0.35">
      <c r="D58" t="s">
        <v>268</v>
      </c>
    </row>
    <row r="59" spans="3:4" x14ac:dyDescent="0.35">
      <c r="D59" t="s">
        <v>277</v>
      </c>
    </row>
    <row r="60" spans="3:4" x14ac:dyDescent="0.35">
      <c r="C60" t="s">
        <v>191</v>
      </c>
      <c r="D60" t="s">
        <v>269</v>
      </c>
    </row>
    <row r="61" spans="3:4" x14ac:dyDescent="0.35">
      <c r="D61" t="s">
        <v>267</v>
      </c>
    </row>
    <row r="62" spans="3:4" x14ac:dyDescent="0.35">
      <c r="D62" t="s">
        <v>257</v>
      </c>
    </row>
    <row r="63" spans="3:4" x14ac:dyDescent="0.35">
      <c r="D63" t="s">
        <v>270</v>
      </c>
    </row>
    <row r="64" spans="3:4" x14ac:dyDescent="0.35">
      <c r="D64" t="s">
        <v>271</v>
      </c>
    </row>
    <row r="65" spans="3:4" x14ac:dyDescent="0.35">
      <c r="D65" t="s">
        <v>272</v>
      </c>
    </row>
    <row r="66" spans="3:4" x14ac:dyDescent="0.35">
      <c r="D66" t="s">
        <v>273</v>
      </c>
    </row>
    <row r="67" spans="3:4" x14ac:dyDescent="0.35">
      <c r="C67" t="s">
        <v>186</v>
      </c>
      <c r="D67" t="s">
        <v>274</v>
      </c>
    </row>
    <row r="68" spans="3:4" x14ac:dyDescent="0.35">
      <c r="D68" t="s">
        <v>275</v>
      </c>
    </row>
    <row r="69" spans="3:4" x14ac:dyDescent="0.3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1796875" customWidth="1"/>
  </cols>
  <sheetData>
    <row r="2" spans="2:3" ht="15" customHeight="1" x14ac:dyDescent="0.35">
      <c r="B2" s="54">
        <v>1</v>
      </c>
      <c r="C2" s="56" t="s">
        <v>282</v>
      </c>
    </row>
    <row r="3" spans="2:3" x14ac:dyDescent="0.35">
      <c r="B3" s="54">
        <v>2</v>
      </c>
      <c r="C3" s="55" t="s">
        <v>283</v>
      </c>
    </row>
    <row r="4" spans="2:3" x14ac:dyDescent="0.35">
      <c r="B4" s="54">
        <v>3</v>
      </c>
      <c r="C4" s="54" t="s">
        <v>284</v>
      </c>
    </row>
    <row r="5" spans="2:3" x14ac:dyDescent="0.35">
      <c r="B5" s="54">
        <v>4</v>
      </c>
      <c r="C5" s="55" t="s">
        <v>285</v>
      </c>
    </row>
    <row r="6" spans="2:3" x14ac:dyDescent="0.35">
      <c r="B6" s="54">
        <v>5</v>
      </c>
      <c r="C6" s="54" t="s">
        <v>286</v>
      </c>
    </row>
    <row r="7" spans="2:3" ht="29" x14ac:dyDescent="0.35">
      <c r="B7" s="54">
        <v>6</v>
      </c>
      <c r="C7" s="55" t="s">
        <v>287</v>
      </c>
    </row>
    <row r="8" spans="2:3" ht="72.5" x14ac:dyDescent="0.35">
      <c r="B8" s="54">
        <v>7</v>
      </c>
      <c r="C8" s="55" t="s">
        <v>288</v>
      </c>
    </row>
    <row r="9" spans="2:3" x14ac:dyDescent="0.35">
      <c r="B9" s="54">
        <v>8</v>
      </c>
      <c r="C9" s="54" t="s">
        <v>289</v>
      </c>
    </row>
    <row r="10" spans="2:3" x14ac:dyDescent="0.35">
      <c r="B10" s="54">
        <v>9</v>
      </c>
      <c r="C10" s="54" t="s">
        <v>290</v>
      </c>
    </row>
    <row r="11" spans="2:3" x14ac:dyDescent="0.35">
      <c r="B11" s="54">
        <v>10</v>
      </c>
      <c r="C11" s="54" t="s">
        <v>291</v>
      </c>
    </row>
    <row r="12" spans="2:3" x14ac:dyDescent="0.35">
      <c r="B12" s="54">
        <v>11</v>
      </c>
      <c r="C12" s="54" t="s">
        <v>292</v>
      </c>
    </row>
    <row r="13" spans="2:3" x14ac:dyDescent="0.35">
      <c r="B13" s="54">
        <v>12</v>
      </c>
      <c r="C13" s="54" t="s">
        <v>293</v>
      </c>
    </row>
    <row r="14" spans="2:3" x14ac:dyDescent="0.35">
      <c r="B14" s="54">
        <v>13</v>
      </c>
      <c r="C14" s="54" t="s">
        <v>294</v>
      </c>
    </row>
    <row r="15" spans="2:3" x14ac:dyDescent="0.35">
      <c r="B15" s="54">
        <v>14</v>
      </c>
      <c r="C15" s="54" t="s">
        <v>284</v>
      </c>
    </row>
    <row r="16" spans="2:3" x14ac:dyDescent="0.35">
      <c r="B16" s="54">
        <v>15</v>
      </c>
      <c r="C16" s="54" t="s">
        <v>296</v>
      </c>
    </row>
    <row r="17" spans="2:3" x14ac:dyDescent="0.35">
      <c r="B17" s="72">
        <v>16</v>
      </c>
      <c r="C17" s="59" t="s">
        <v>297</v>
      </c>
    </row>
    <row r="18" spans="2:3" x14ac:dyDescent="0.35">
      <c r="B18" s="58">
        <v>17</v>
      </c>
      <c r="C18" s="59" t="s">
        <v>298</v>
      </c>
    </row>
    <row r="19" spans="2:3" x14ac:dyDescent="0.35">
      <c r="B19" s="57">
        <v>18</v>
      </c>
      <c r="C19" s="54" t="s">
        <v>299</v>
      </c>
    </row>
    <row r="20" spans="2:3" x14ac:dyDescent="0.35">
      <c r="B20" s="58">
        <v>19</v>
      </c>
      <c r="C20" s="54" t="s">
        <v>335</v>
      </c>
    </row>
    <row r="21" spans="2:3" x14ac:dyDescent="0.35">
      <c r="B21" s="54">
        <v>20</v>
      </c>
      <c r="C21" s="54" t="s">
        <v>300</v>
      </c>
    </row>
    <row r="22" spans="2:3" x14ac:dyDescent="0.35">
      <c r="B22" s="58">
        <v>21</v>
      </c>
      <c r="C22" s="54" t="s">
        <v>299</v>
      </c>
    </row>
    <row r="23" spans="2:3" s="67" customFormat="1" ht="29.25" customHeight="1" x14ac:dyDescent="0.35">
      <c r="B23" s="66">
        <v>22</v>
      </c>
      <c r="C23" s="56" t="s">
        <v>327</v>
      </c>
    </row>
    <row r="24" spans="2:3" s="67" customFormat="1" ht="30.75" customHeight="1" x14ac:dyDescent="0.35">
      <c r="B24" s="68">
        <v>23</v>
      </c>
      <c r="C24" s="56" t="s">
        <v>328</v>
      </c>
    </row>
    <row r="25" spans="2:3" x14ac:dyDescent="0.35">
      <c r="B25" s="54">
        <v>24</v>
      </c>
      <c r="C25" s="54" t="s">
        <v>331</v>
      </c>
    </row>
    <row r="26" spans="2:3" x14ac:dyDescent="0.35">
      <c r="B26" s="58">
        <v>25</v>
      </c>
      <c r="C26" s="54" t="s">
        <v>329</v>
      </c>
    </row>
    <row r="27" spans="2:3" x14ac:dyDescent="0.35">
      <c r="B27" s="68">
        <v>26</v>
      </c>
      <c r="C27" s="54" t="s">
        <v>330</v>
      </c>
    </row>
    <row r="28" spans="2:3" x14ac:dyDescent="0.35">
      <c r="B28" s="58">
        <v>27</v>
      </c>
      <c r="C28" s="54" t="s">
        <v>332</v>
      </c>
    </row>
    <row r="29" spans="2:3" ht="43.5" x14ac:dyDescent="0.35">
      <c r="B29" s="71">
        <v>28</v>
      </c>
      <c r="C29" s="55" t="s">
        <v>333</v>
      </c>
    </row>
    <row r="30" spans="2:3" x14ac:dyDescent="0.35">
      <c r="B30" s="68">
        <v>29</v>
      </c>
      <c r="C30" s="54" t="s">
        <v>334</v>
      </c>
    </row>
    <row r="31" spans="2:3" ht="29" x14ac:dyDescent="0.35">
      <c r="B31" s="68">
        <v>30</v>
      </c>
      <c r="C31" s="55" t="s">
        <v>336</v>
      </c>
    </row>
    <row r="32" spans="2:3" x14ac:dyDescent="0.35">
      <c r="B32" s="68">
        <v>31</v>
      </c>
      <c r="C32" s="54" t="s">
        <v>337</v>
      </c>
    </row>
    <row r="33" spans="2:3" x14ac:dyDescent="0.35">
      <c r="B33" s="68">
        <v>32</v>
      </c>
      <c r="C33" s="54" t="s">
        <v>338</v>
      </c>
    </row>
    <row r="34" spans="2:3" ht="36.75" customHeight="1" x14ac:dyDescent="0.35">
      <c r="B34" s="68">
        <v>33</v>
      </c>
      <c r="C34" s="59" t="s">
        <v>339</v>
      </c>
    </row>
    <row r="35" spans="2:3" x14ac:dyDescent="0.35">
      <c r="B35" s="68">
        <v>34</v>
      </c>
      <c r="C35"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1"/>
    <col min="2" max="2" width="12.1796875" style="51" customWidth="1"/>
    <col min="3" max="16384" width="9.1796875" style="51"/>
  </cols>
  <sheetData>
    <row r="2" spans="1:12" x14ac:dyDescent="0.35">
      <c r="B2" s="60" t="s">
        <v>301</v>
      </c>
      <c r="C2" s="219"/>
      <c r="D2" s="219"/>
    </row>
    <row r="3" spans="1:12" x14ac:dyDescent="0.35">
      <c r="D3" s="61"/>
      <c r="E3" s="61"/>
      <c r="F3" s="61"/>
      <c r="G3" s="61"/>
      <c r="H3" s="61"/>
      <c r="I3" s="61"/>
    </row>
    <row r="4" spans="1:12" x14ac:dyDescent="0.35">
      <c r="A4" s="60" t="s">
        <v>66</v>
      </c>
      <c r="B4" s="62" t="s">
        <v>302</v>
      </c>
      <c r="C4" s="220" t="s">
        <v>303</v>
      </c>
      <c r="D4" s="220"/>
      <c r="E4" s="220"/>
      <c r="F4" s="62"/>
      <c r="G4" s="221" t="s">
        <v>304</v>
      </c>
      <c r="H4" s="221"/>
      <c r="I4" s="221"/>
      <c r="J4" s="222" t="s">
        <v>305</v>
      </c>
      <c r="K4" s="222"/>
      <c r="L4" s="222"/>
    </row>
    <row r="5" spans="1:12" x14ac:dyDescent="0.35">
      <c r="A5" s="60"/>
      <c r="B5" s="62"/>
      <c r="C5" s="62" t="s">
        <v>306</v>
      </c>
      <c r="D5" s="62" t="s">
        <v>307</v>
      </c>
      <c r="E5" s="62" t="s">
        <v>308</v>
      </c>
      <c r="F5" s="62"/>
      <c r="G5" s="62" t="s">
        <v>306</v>
      </c>
      <c r="H5" s="62" t="s">
        <v>307</v>
      </c>
      <c r="I5" s="62" t="s">
        <v>308</v>
      </c>
      <c r="J5" s="62" t="s">
        <v>306</v>
      </c>
      <c r="K5" s="62" t="s">
        <v>307</v>
      </c>
      <c r="L5" s="62" t="s">
        <v>308</v>
      </c>
    </row>
    <row r="6" spans="1:12" x14ac:dyDescent="0.35">
      <c r="B6" s="52" t="s">
        <v>309</v>
      </c>
      <c r="C6" s="52"/>
      <c r="D6" s="52"/>
      <c r="E6" s="52">
        <f>C6*D6</f>
        <v>0</v>
      </c>
      <c r="F6" s="52" t="s">
        <v>326</v>
      </c>
      <c r="G6" s="52"/>
      <c r="H6" s="52"/>
      <c r="I6" s="52">
        <f>G6*H6</f>
        <v>0</v>
      </c>
      <c r="J6" s="52"/>
      <c r="K6" s="52"/>
      <c r="L6" s="52">
        <f>J6*K6</f>
        <v>0</v>
      </c>
    </row>
    <row r="7" spans="1:12" x14ac:dyDescent="0.35">
      <c r="B7" s="52"/>
      <c r="C7" s="52"/>
      <c r="D7" s="52"/>
      <c r="E7" s="52">
        <f t="shared" ref="E7:E41" si="0">C7*D7</f>
        <v>0</v>
      </c>
      <c r="F7" s="52" t="s">
        <v>326</v>
      </c>
      <c r="G7" s="52"/>
      <c r="H7" s="52"/>
      <c r="I7" s="52">
        <f t="shared" ref="I7:I35" si="1">G7*H7</f>
        <v>0</v>
      </c>
      <c r="J7" s="52"/>
      <c r="K7" s="52"/>
      <c r="L7" s="52">
        <f t="shared" ref="L7:L35" si="2">J7*K7</f>
        <v>0</v>
      </c>
    </row>
    <row r="8" spans="1:12" x14ac:dyDescent="0.35">
      <c r="B8" s="52"/>
      <c r="C8" s="52"/>
      <c r="D8" s="52"/>
      <c r="E8" s="52">
        <f t="shared" si="0"/>
        <v>0</v>
      </c>
      <c r="F8" s="52"/>
      <c r="G8" s="52"/>
      <c r="H8" s="52"/>
      <c r="I8" s="52">
        <f t="shared" si="1"/>
        <v>0</v>
      </c>
      <c r="J8" s="52"/>
      <c r="K8" s="52"/>
      <c r="L8" s="52">
        <f t="shared" si="2"/>
        <v>0</v>
      </c>
    </row>
    <row r="9" spans="1:12" x14ac:dyDescent="0.35">
      <c r="B9" s="52"/>
      <c r="C9" s="52"/>
      <c r="D9" s="52"/>
      <c r="E9" s="52">
        <f t="shared" si="0"/>
        <v>0</v>
      </c>
      <c r="F9" s="52" t="s">
        <v>310</v>
      </c>
      <c r="G9" s="52"/>
      <c r="H9" s="52"/>
      <c r="I9" s="52">
        <f t="shared" si="1"/>
        <v>0</v>
      </c>
      <c r="J9" s="52"/>
      <c r="K9" s="52"/>
      <c r="L9" s="52">
        <f t="shared" si="2"/>
        <v>0</v>
      </c>
    </row>
    <row r="10" spans="1:12" x14ac:dyDescent="0.35">
      <c r="B10" s="52" t="s">
        <v>311</v>
      </c>
      <c r="C10" s="52"/>
      <c r="D10" s="52"/>
      <c r="E10" s="52">
        <f t="shared" si="0"/>
        <v>0</v>
      </c>
      <c r="F10" s="52" t="s">
        <v>310</v>
      </c>
      <c r="G10" s="52"/>
      <c r="H10" s="52"/>
      <c r="I10" s="52">
        <f t="shared" si="1"/>
        <v>0</v>
      </c>
      <c r="J10" s="52"/>
      <c r="K10" s="52"/>
      <c r="L10" s="52">
        <f t="shared" si="2"/>
        <v>0</v>
      </c>
    </row>
    <row r="11" spans="1:12" x14ac:dyDescent="0.35">
      <c r="B11" s="52"/>
      <c r="C11" s="52"/>
      <c r="D11" s="52"/>
      <c r="E11" s="52">
        <f t="shared" si="0"/>
        <v>0</v>
      </c>
      <c r="F11" s="52" t="s">
        <v>312</v>
      </c>
      <c r="G11" s="52"/>
      <c r="H11" s="52"/>
      <c r="I11" s="52">
        <f t="shared" si="1"/>
        <v>0</v>
      </c>
      <c r="J11" s="52"/>
      <c r="K11" s="52"/>
      <c r="L11" s="52">
        <f t="shared" si="2"/>
        <v>0</v>
      </c>
    </row>
    <row r="12" spans="1:12" x14ac:dyDescent="0.35">
      <c r="B12" s="52"/>
      <c r="C12" s="52"/>
      <c r="D12" s="52"/>
      <c r="E12" s="52">
        <f t="shared" si="0"/>
        <v>0</v>
      </c>
      <c r="F12" s="52"/>
      <c r="G12" s="52"/>
      <c r="H12" s="52"/>
      <c r="I12" s="52">
        <f t="shared" si="1"/>
        <v>0</v>
      </c>
      <c r="J12" s="52"/>
      <c r="K12" s="52"/>
      <c r="L12" s="52">
        <f t="shared" si="2"/>
        <v>0</v>
      </c>
    </row>
    <row r="13" spans="1:12" x14ac:dyDescent="0.35">
      <c r="B13" s="52"/>
      <c r="C13" s="52"/>
      <c r="D13" s="52"/>
      <c r="E13" s="52">
        <f t="shared" si="0"/>
        <v>0</v>
      </c>
      <c r="F13" s="52"/>
      <c r="G13" s="52"/>
      <c r="H13" s="52"/>
      <c r="I13" s="52">
        <f t="shared" si="1"/>
        <v>0</v>
      </c>
      <c r="J13" s="52"/>
      <c r="K13" s="52"/>
      <c r="L13" s="52">
        <f t="shared" si="2"/>
        <v>0</v>
      </c>
    </row>
    <row r="14" spans="1:12" x14ac:dyDescent="0.35">
      <c r="B14" s="52" t="s">
        <v>313</v>
      </c>
      <c r="C14" s="52"/>
      <c r="D14" s="52"/>
      <c r="E14" s="52">
        <f t="shared" si="0"/>
        <v>0</v>
      </c>
      <c r="F14" s="52" t="s">
        <v>310</v>
      </c>
      <c r="G14" s="52"/>
      <c r="H14" s="52"/>
      <c r="I14" s="52">
        <f t="shared" si="1"/>
        <v>0</v>
      </c>
      <c r="J14" s="52"/>
      <c r="K14" s="52"/>
      <c r="L14" s="52">
        <f t="shared" si="2"/>
        <v>0</v>
      </c>
    </row>
    <row r="15" spans="1:12" x14ac:dyDescent="0.35">
      <c r="B15" s="52"/>
      <c r="C15" s="52"/>
      <c r="D15" s="52"/>
      <c r="E15" s="52">
        <f t="shared" si="0"/>
        <v>0</v>
      </c>
      <c r="F15" s="52" t="s">
        <v>312</v>
      </c>
      <c r="G15" s="52"/>
      <c r="H15" s="52"/>
      <c r="I15" s="52">
        <f t="shared" si="1"/>
        <v>0</v>
      </c>
      <c r="J15" s="52"/>
      <c r="K15" s="52"/>
      <c r="L15" s="52">
        <f t="shared" si="2"/>
        <v>0</v>
      </c>
    </row>
    <row r="16" spans="1:12" x14ac:dyDescent="0.35">
      <c r="B16" s="52"/>
      <c r="C16" s="52"/>
      <c r="D16" s="52"/>
      <c r="E16" s="52">
        <f t="shared" si="0"/>
        <v>0</v>
      </c>
      <c r="F16" s="52"/>
      <c r="G16" s="52"/>
      <c r="H16" s="52"/>
      <c r="I16" s="52">
        <f t="shared" si="1"/>
        <v>0</v>
      </c>
      <c r="J16" s="52"/>
      <c r="K16" s="52"/>
      <c r="L16" s="52">
        <f t="shared" si="2"/>
        <v>0</v>
      </c>
    </row>
    <row r="17" spans="2:12" x14ac:dyDescent="0.35">
      <c r="B17" s="52"/>
      <c r="C17" s="52"/>
      <c r="D17" s="52"/>
      <c r="E17" s="52">
        <f t="shared" si="0"/>
        <v>0</v>
      </c>
      <c r="F17" s="52"/>
      <c r="G17" s="52"/>
      <c r="H17" s="52"/>
      <c r="I17" s="52">
        <f t="shared" si="1"/>
        <v>0</v>
      </c>
      <c r="J17" s="52"/>
      <c r="K17" s="52"/>
      <c r="L17" s="52">
        <f t="shared" si="2"/>
        <v>0</v>
      </c>
    </row>
    <row r="18" spans="2:12" x14ac:dyDescent="0.35">
      <c r="B18" s="52" t="s">
        <v>314</v>
      </c>
      <c r="C18" s="52"/>
      <c r="D18" s="52"/>
      <c r="E18" s="52">
        <f t="shared" si="0"/>
        <v>0</v>
      </c>
      <c r="F18" s="52" t="s">
        <v>310</v>
      </c>
      <c r="G18" s="52"/>
      <c r="H18" s="52"/>
      <c r="I18" s="52">
        <f t="shared" si="1"/>
        <v>0</v>
      </c>
      <c r="J18" s="52"/>
      <c r="K18" s="52"/>
      <c r="L18" s="52">
        <f t="shared" si="2"/>
        <v>0</v>
      </c>
    </row>
    <row r="19" spans="2:12" x14ac:dyDescent="0.35">
      <c r="B19" s="52"/>
      <c r="C19" s="52"/>
      <c r="D19" s="52"/>
      <c r="E19" s="52">
        <f t="shared" si="0"/>
        <v>0</v>
      </c>
      <c r="F19" s="52" t="s">
        <v>312</v>
      </c>
      <c r="G19" s="52"/>
      <c r="H19" s="52"/>
      <c r="I19" s="52">
        <f t="shared" si="1"/>
        <v>0</v>
      </c>
      <c r="J19" s="52"/>
      <c r="K19" s="52"/>
      <c r="L19" s="52">
        <f t="shared" si="2"/>
        <v>0</v>
      </c>
    </row>
    <row r="20" spans="2:12" x14ac:dyDescent="0.35">
      <c r="B20" s="52"/>
      <c r="C20" s="52"/>
      <c r="D20" s="52"/>
      <c r="E20" s="52">
        <f t="shared" si="0"/>
        <v>0</v>
      </c>
      <c r="F20" s="52"/>
      <c r="G20" s="52"/>
      <c r="H20" s="52"/>
      <c r="I20" s="52">
        <f t="shared" si="1"/>
        <v>0</v>
      </c>
      <c r="J20" s="52"/>
      <c r="K20" s="52"/>
      <c r="L20" s="52">
        <f t="shared" si="2"/>
        <v>0</v>
      </c>
    </row>
    <row r="21" spans="2:12" x14ac:dyDescent="0.35">
      <c r="B21" s="52" t="s">
        <v>315</v>
      </c>
      <c r="C21" s="52"/>
      <c r="D21" s="52"/>
      <c r="E21" s="52">
        <f t="shared" si="0"/>
        <v>0</v>
      </c>
      <c r="F21" s="52" t="s">
        <v>310</v>
      </c>
      <c r="G21" s="52"/>
      <c r="H21" s="52"/>
      <c r="I21" s="52">
        <f t="shared" si="1"/>
        <v>0</v>
      </c>
      <c r="J21" s="52"/>
      <c r="K21" s="52"/>
      <c r="L21" s="52">
        <f t="shared" si="2"/>
        <v>0</v>
      </c>
    </row>
    <row r="22" spans="2:12" x14ac:dyDescent="0.35">
      <c r="B22" s="52"/>
      <c r="C22" s="52"/>
      <c r="D22" s="52"/>
      <c r="E22" s="52">
        <f t="shared" si="0"/>
        <v>0</v>
      </c>
      <c r="F22" s="52" t="s">
        <v>312</v>
      </c>
      <c r="G22" s="52"/>
      <c r="H22" s="52"/>
      <c r="I22" s="52">
        <f t="shared" si="1"/>
        <v>0</v>
      </c>
      <c r="J22" s="52"/>
      <c r="K22" s="52"/>
      <c r="L22" s="52">
        <f t="shared" si="2"/>
        <v>0</v>
      </c>
    </row>
    <row r="23" spans="2:12" x14ac:dyDescent="0.35">
      <c r="B23" s="52"/>
      <c r="C23" s="52"/>
      <c r="D23" s="52"/>
      <c r="E23" s="52">
        <f t="shared" si="0"/>
        <v>0</v>
      </c>
      <c r="F23" s="52"/>
      <c r="G23" s="52"/>
      <c r="H23" s="52"/>
      <c r="I23" s="52">
        <f t="shared" si="1"/>
        <v>0</v>
      </c>
      <c r="J23" s="52"/>
      <c r="K23" s="52"/>
      <c r="L23" s="52">
        <f t="shared" si="2"/>
        <v>0</v>
      </c>
    </row>
    <row r="24" spans="2:12" x14ac:dyDescent="0.35">
      <c r="B24" s="52" t="s">
        <v>316</v>
      </c>
      <c r="C24" s="52"/>
      <c r="D24" s="52"/>
      <c r="E24" s="52">
        <f t="shared" si="0"/>
        <v>0</v>
      </c>
      <c r="F24" s="52" t="s">
        <v>317</v>
      </c>
      <c r="G24" s="52"/>
      <c r="H24" s="52"/>
      <c r="I24" s="52">
        <f t="shared" si="1"/>
        <v>0</v>
      </c>
      <c r="J24" s="52"/>
      <c r="K24" s="52"/>
      <c r="L24" s="52">
        <f t="shared" si="2"/>
        <v>0</v>
      </c>
    </row>
    <row r="25" spans="2:12" x14ac:dyDescent="0.35">
      <c r="B25" s="52"/>
      <c r="C25" s="52"/>
      <c r="D25" s="52"/>
      <c r="E25" s="52">
        <f t="shared" ref="E25:E27" si="3">C25*D25</f>
        <v>0</v>
      </c>
      <c r="F25" s="52" t="s">
        <v>317</v>
      </c>
      <c r="G25" s="52"/>
      <c r="H25" s="52"/>
      <c r="I25" s="52">
        <f t="shared" ref="I25:I27" si="4">G25*H25</f>
        <v>0</v>
      </c>
      <c r="J25" s="52"/>
      <c r="K25" s="52"/>
      <c r="L25" s="52">
        <f t="shared" ref="L25:L27" si="5">J25*K25</f>
        <v>0</v>
      </c>
    </row>
    <row r="26" spans="2:12" x14ac:dyDescent="0.35">
      <c r="B26" s="52"/>
      <c r="C26" s="52"/>
      <c r="D26" s="52"/>
      <c r="E26" s="52">
        <f t="shared" si="3"/>
        <v>0</v>
      </c>
      <c r="F26" s="52" t="s">
        <v>317</v>
      </c>
      <c r="G26" s="52"/>
      <c r="H26" s="52"/>
      <c r="I26" s="52">
        <f t="shared" si="4"/>
        <v>0</v>
      </c>
      <c r="J26" s="52"/>
      <c r="K26" s="52"/>
      <c r="L26" s="52">
        <f t="shared" si="5"/>
        <v>0</v>
      </c>
    </row>
    <row r="27" spans="2:12" x14ac:dyDescent="0.35">
      <c r="B27" s="52"/>
      <c r="C27" s="52"/>
      <c r="D27" s="52"/>
      <c r="E27" s="52">
        <f t="shared" si="3"/>
        <v>0</v>
      </c>
      <c r="F27" s="52" t="s">
        <v>317</v>
      </c>
      <c r="G27" s="52"/>
      <c r="H27" s="52"/>
      <c r="I27" s="52">
        <f t="shared" si="4"/>
        <v>0</v>
      </c>
      <c r="J27" s="52"/>
      <c r="K27" s="52"/>
      <c r="L27" s="52">
        <f t="shared" si="5"/>
        <v>0</v>
      </c>
    </row>
    <row r="28" spans="2:12" x14ac:dyDescent="0.35">
      <c r="B28" s="52" t="s">
        <v>318</v>
      </c>
      <c r="C28" s="52"/>
      <c r="D28" s="52"/>
      <c r="E28" s="52">
        <f t="shared" si="0"/>
        <v>0</v>
      </c>
      <c r="F28" s="52" t="s">
        <v>317</v>
      </c>
      <c r="G28" s="52"/>
      <c r="H28" s="52"/>
      <c r="I28" s="52">
        <f t="shared" si="1"/>
        <v>0</v>
      </c>
      <c r="J28" s="52"/>
      <c r="K28" s="52"/>
      <c r="L28" s="52">
        <f t="shared" si="2"/>
        <v>0</v>
      </c>
    </row>
    <row r="29" spans="2:12" x14ac:dyDescent="0.35">
      <c r="B29" s="52" t="s">
        <v>319</v>
      </c>
      <c r="C29" s="52"/>
      <c r="D29" s="52"/>
      <c r="E29" s="52">
        <f t="shared" si="0"/>
        <v>0</v>
      </c>
      <c r="F29" s="52" t="s">
        <v>317</v>
      </c>
      <c r="G29" s="52"/>
      <c r="H29" s="52"/>
      <c r="I29" s="52">
        <f t="shared" si="1"/>
        <v>0</v>
      </c>
      <c r="J29" s="52"/>
      <c r="K29" s="52"/>
      <c r="L29" s="52">
        <f t="shared" si="2"/>
        <v>0</v>
      </c>
    </row>
    <row r="30" spans="2:12" x14ac:dyDescent="0.35">
      <c r="B30" s="52" t="s">
        <v>323</v>
      </c>
      <c r="C30" s="52"/>
      <c r="D30" s="52"/>
      <c r="E30" s="52">
        <f t="shared" si="0"/>
        <v>0</v>
      </c>
      <c r="F30" s="52"/>
      <c r="G30" s="52"/>
      <c r="H30" s="52"/>
      <c r="I30" s="52">
        <f t="shared" si="1"/>
        <v>0</v>
      </c>
      <c r="J30" s="52"/>
      <c r="K30" s="52"/>
      <c r="L30" s="52">
        <f t="shared" si="2"/>
        <v>0</v>
      </c>
    </row>
    <row r="31" spans="2:12" x14ac:dyDescent="0.35">
      <c r="B31" s="52"/>
      <c r="C31" s="52"/>
      <c r="D31" s="52"/>
      <c r="E31" s="52">
        <f t="shared" ref="E31:E32" si="6">C31*D31</f>
        <v>0</v>
      </c>
      <c r="F31" s="52"/>
      <c r="G31" s="52"/>
      <c r="H31" s="52"/>
      <c r="I31" s="52">
        <f t="shared" ref="I31:I32" si="7">G31*H31</f>
        <v>0</v>
      </c>
      <c r="J31" s="52"/>
      <c r="K31" s="52"/>
      <c r="L31" s="52">
        <f t="shared" ref="L31:L32" si="8">J31*K31</f>
        <v>0</v>
      </c>
    </row>
    <row r="32" spans="2:12" x14ac:dyDescent="0.35">
      <c r="B32" s="52"/>
      <c r="C32" s="52"/>
      <c r="D32" s="52"/>
      <c r="E32" s="52">
        <f t="shared" si="6"/>
        <v>0</v>
      </c>
      <c r="F32" s="52"/>
      <c r="G32" s="52"/>
      <c r="H32" s="52"/>
      <c r="I32" s="52">
        <f t="shared" si="7"/>
        <v>0</v>
      </c>
      <c r="J32" s="52"/>
      <c r="K32" s="52"/>
      <c r="L32" s="52">
        <f t="shared" si="8"/>
        <v>0</v>
      </c>
    </row>
    <row r="33" spans="2:12" x14ac:dyDescent="0.35">
      <c r="B33" s="52" t="s">
        <v>320</v>
      </c>
      <c r="C33" s="52"/>
      <c r="D33" s="52"/>
      <c r="E33" s="52">
        <f t="shared" si="0"/>
        <v>0</v>
      </c>
      <c r="F33" s="52"/>
      <c r="G33" s="52"/>
      <c r="H33" s="52"/>
      <c r="I33" s="52">
        <f t="shared" si="1"/>
        <v>0</v>
      </c>
      <c r="J33" s="52"/>
      <c r="K33" s="52"/>
      <c r="L33" s="52">
        <f t="shared" si="2"/>
        <v>0</v>
      </c>
    </row>
    <row r="34" spans="2:12" x14ac:dyDescent="0.35">
      <c r="B34" s="52" t="s">
        <v>324</v>
      </c>
      <c r="C34" s="52"/>
      <c r="D34" s="52"/>
      <c r="E34" s="52">
        <f t="shared" si="0"/>
        <v>0</v>
      </c>
      <c r="F34" s="52"/>
      <c r="G34" s="52"/>
      <c r="H34" s="52"/>
      <c r="I34" s="52">
        <f t="shared" si="1"/>
        <v>0</v>
      </c>
      <c r="J34" s="52"/>
      <c r="K34" s="52"/>
      <c r="L34" s="52">
        <f t="shared" si="2"/>
        <v>0</v>
      </c>
    </row>
    <row r="35" spans="2:12" x14ac:dyDescent="0.35">
      <c r="B35" s="52" t="s">
        <v>321</v>
      </c>
      <c r="C35" s="52"/>
      <c r="D35" s="52"/>
      <c r="E35" s="52">
        <f t="shared" si="0"/>
        <v>0</v>
      </c>
      <c r="F35" s="52"/>
      <c r="G35" s="52"/>
      <c r="H35" s="52"/>
      <c r="I35" s="52">
        <f t="shared" si="1"/>
        <v>0</v>
      </c>
      <c r="J35" s="52"/>
      <c r="K35" s="52"/>
      <c r="L35" s="52">
        <f t="shared" si="2"/>
        <v>0</v>
      </c>
    </row>
    <row r="36" spans="2:12" x14ac:dyDescent="0.35">
      <c r="B36" s="52" t="s">
        <v>322</v>
      </c>
      <c r="C36" s="52"/>
      <c r="D36" s="52"/>
      <c r="E36" s="52">
        <f t="shared" si="0"/>
        <v>0</v>
      </c>
      <c r="F36" s="52"/>
      <c r="G36" s="52"/>
      <c r="H36" s="52"/>
      <c r="I36" s="52">
        <f>G36*H36</f>
        <v>0</v>
      </c>
      <c r="J36" s="52"/>
      <c r="K36" s="52"/>
      <c r="L36" s="52">
        <f>J36*K36</f>
        <v>0</v>
      </c>
    </row>
    <row r="37" spans="2:12" x14ac:dyDescent="0.35">
      <c r="B37" s="52"/>
      <c r="C37" s="52"/>
      <c r="D37" s="52"/>
      <c r="E37" s="52">
        <f t="shared" ref="E37:E38" si="9">C37*D37</f>
        <v>0</v>
      </c>
      <c r="F37" s="52"/>
      <c r="G37" s="52"/>
      <c r="H37" s="52"/>
      <c r="I37" s="52">
        <f t="shared" ref="I37:I38" si="10">G37*H37</f>
        <v>0</v>
      </c>
      <c r="J37" s="52"/>
      <c r="K37" s="52"/>
      <c r="L37" s="52">
        <f t="shared" ref="L37:L38" si="11">J37*K37</f>
        <v>0</v>
      </c>
    </row>
    <row r="38" spans="2:12" x14ac:dyDescent="0.35">
      <c r="B38" s="52" t="s">
        <v>325</v>
      </c>
      <c r="C38" s="52"/>
      <c r="D38" s="52"/>
      <c r="E38" s="52">
        <f t="shared" si="9"/>
        <v>0</v>
      </c>
      <c r="F38" s="52"/>
      <c r="G38" s="52"/>
      <c r="H38" s="52"/>
      <c r="I38" s="52">
        <f t="shared" si="10"/>
        <v>0</v>
      </c>
      <c r="J38" s="52"/>
      <c r="K38" s="52"/>
      <c r="L38" s="52">
        <f t="shared" si="11"/>
        <v>0</v>
      </c>
    </row>
    <row r="39" spans="2:12" x14ac:dyDescent="0.35">
      <c r="B39" s="52"/>
      <c r="C39" s="52"/>
      <c r="D39" s="52"/>
      <c r="E39" s="52">
        <f t="shared" si="0"/>
        <v>0</v>
      </c>
      <c r="F39" s="52"/>
      <c r="G39" s="52"/>
      <c r="H39" s="52"/>
      <c r="I39" s="52">
        <f>G39*H39</f>
        <v>0</v>
      </c>
      <c r="J39" s="52"/>
      <c r="K39" s="52"/>
      <c r="L39" s="52">
        <f>J39*K39</f>
        <v>0</v>
      </c>
    </row>
    <row r="40" spans="2:12" x14ac:dyDescent="0.35">
      <c r="B40" s="52"/>
      <c r="C40" s="52"/>
      <c r="D40" s="52"/>
      <c r="E40" s="52">
        <f t="shared" si="0"/>
        <v>0</v>
      </c>
      <c r="F40" s="52"/>
      <c r="G40" s="52"/>
      <c r="H40" s="52"/>
      <c r="I40" s="52">
        <f>G40*H40</f>
        <v>0</v>
      </c>
      <c r="J40" s="52"/>
      <c r="K40" s="52"/>
      <c r="L40" s="52">
        <f>J40*K40</f>
        <v>0</v>
      </c>
    </row>
    <row r="41" spans="2:12" x14ac:dyDescent="0.35">
      <c r="B41" s="52"/>
      <c r="C41" s="52"/>
      <c r="D41" s="52"/>
      <c r="E41" s="52">
        <f t="shared" si="0"/>
        <v>0</v>
      </c>
      <c r="F41" s="52"/>
      <c r="G41" s="52"/>
      <c r="H41" s="52"/>
      <c r="I41" s="52">
        <f>G41*H41</f>
        <v>0</v>
      </c>
      <c r="J41" s="52"/>
      <c r="K41" s="52"/>
      <c r="L41" s="52">
        <f>J41*K41</f>
        <v>0</v>
      </c>
    </row>
    <row r="42" spans="2:12" x14ac:dyDescent="0.35">
      <c r="B42" s="52" t="s">
        <v>146</v>
      </c>
      <c r="C42" s="52"/>
      <c r="D42" s="52">
        <f>E42*10.764</f>
        <v>0</v>
      </c>
      <c r="E42" s="65">
        <f>SUM(E6:E41)</f>
        <v>0</v>
      </c>
      <c r="F42" s="52"/>
      <c r="G42" s="52"/>
      <c r="H42" s="52">
        <f>I42*10.764</f>
        <v>0</v>
      </c>
      <c r="I42" s="64">
        <f>SUM(I6:I41)</f>
        <v>0</v>
      </c>
      <c r="J42" s="52"/>
      <c r="K42" s="52">
        <f>L42*10.764</f>
        <v>0</v>
      </c>
      <c r="L42" s="63">
        <f>SUM(L6:L41)</f>
        <v>0</v>
      </c>
    </row>
    <row r="44" spans="2:12" x14ac:dyDescent="0.3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2025-07-09T12:41:10Z</cp:lastPrinted>
  <dcterms:created xsi:type="dcterms:W3CDTF">2019-07-16T09:29:46Z</dcterms:created>
  <dcterms:modified xsi:type="dcterms:W3CDTF">2025-09-18T10:28:16Z</dcterms:modified>
</cp:coreProperties>
</file>