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Update\21925 - Raheja Prime 1\"/>
    </mc:Choice>
  </mc:AlternateContent>
  <xr:revisionPtr revIDLastSave="0" documentId="13_ncr:1_{39807DC1-075D-42B2-8E66-EC876367728C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Report!$A$1:$H$970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2" i="1" l="1"/>
  <c r="F452" i="1" s="1"/>
  <c r="H452" i="1" s="1"/>
  <c r="D432" i="1"/>
  <c r="D829" i="1"/>
  <c r="F829" i="1" s="1"/>
  <c r="H829" i="1" s="1"/>
  <c r="D828" i="1"/>
  <c r="D827" i="1"/>
  <c r="D826" i="1"/>
  <c r="F826" i="1" s="1"/>
  <c r="H826" i="1" s="1"/>
  <c r="D825" i="1"/>
  <c r="F825" i="1" s="1"/>
  <c r="H825" i="1" s="1"/>
  <c r="D824" i="1"/>
  <c r="F824" i="1" s="1"/>
  <c r="H824" i="1" s="1"/>
  <c r="D823" i="1"/>
  <c r="F823" i="1" s="1"/>
  <c r="H823" i="1" s="1"/>
  <c r="D822" i="1"/>
  <c r="F822" i="1" s="1"/>
  <c r="H822" i="1" s="1"/>
  <c r="D821" i="1"/>
  <c r="D820" i="1"/>
  <c r="D819" i="1"/>
  <c r="F819" i="1" s="1"/>
  <c r="H819" i="1" s="1"/>
  <c r="D818" i="1"/>
  <c r="F818" i="1" s="1"/>
  <c r="H818" i="1" s="1"/>
  <c r="D817" i="1"/>
  <c r="F817" i="1" s="1"/>
  <c r="H817" i="1" s="1"/>
  <c r="E816" i="1"/>
  <c r="D816" i="1"/>
  <c r="D815" i="1"/>
  <c r="F815" i="1" s="1"/>
  <c r="H815" i="1" s="1"/>
  <c r="D814" i="1"/>
  <c r="D813" i="1"/>
  <c r="D812" i="1"/>
  <c r="F812" i="1" s="1"/>
  <c r="H812" i="1" s="1"/>
  <c r="D811" i="1"/>
  <c r="F811" i="1" s="1"/>
  <c r="H811" i="1" s="1"/>
  <c r="D810" i="1"/>
  <c r="F810" i="1" s="1"/>
  <c r="H810" i="1" s="1"/>
  <c r="D809" i="1"/>
  <c r="F809" i="1" s="1"/>
  <c r="H809" i="1" s="1"/>
  <c r="D808" i="1"/>
  <c r="F808" i="1" s="1"/>
  <c r="H808" i="1" s="1"/>
  <c r="D807" i="1"/>
  <c r="F807" i="1" s="1"/>
  <c r="H807" i="1" s="1"/>
  <c r="D805" i="1"/>
  <c r="F805" i="1" s="1"/>
  <c r="H805" i="1" s="1"/>
  <c r="D804" i="1"/>
  <c r="D803" i="1"/>
  <c r="F803" i="1" s="1"/>
  <c r="H803" i="1" s="1"/>
  <c r="D802" i="1"/>
  <c r="F802" i="1" s="1"/>
  <c r="H802" i="1" s="1"/>
  <c r="D801" i="1"/>
  <c r="F801" i="1" s="1"/>
  <c r="H801" i="1" s="1"/>
  <c r="D799" i="1"/>
  <c r="F799" i="1" s="1"/>
  <c r="H799" i="1" s="1"/>
  <c r="D798" i="1"/>
  <c r="F798" i="1" s="1"/>
  <c r="H798" i="1" s="1"/>
  <c r="D797" i="1"/>
  <c r="F797" i="1" s="1"/>
  <c r="H797" i="1" s="1"/>
  <c r="D796" i="1"/>
  <c r="F796" i="1" s="1"/>
  <c r="H796" i="1" s="1"/>
  <c r="D795" i="1"/>
  <c r="D794" i="1"/>
  <c r="F794" i="1" s="1"/>
  <c r="H794" i="1" s="1"/>
  <c r="D793" i="1"/>
  <c r="D792" i="1"/>
  <c r="D791" i="1"/>
  <c r="F791" i="1" s="1"/>
  <c r="H791" i="1" s="1"/>
  <c r="D790" i="1"/>
  <c r="F790" i="1" s="1"/>
  <c r="H790" i="1" s="1"/>
  <c r="D789" i="1"/>
  <c r="F789" i="1" s="1"/>
  <c r="H789" i="1" s="1"/>
  <c r="D788" i="1"/>
  <c r="F788" i="1" s="1"/>
  <c r="H788" i="1" s="1"/>
  <c r="D787" i="1"/>
  <c r="E786" i="1"/>
  <c r="D786" i="1"/>
  <c r="D785" i="1"/>
  <c r="F785" i="1" s="1"/>
  <c r="H785" i="1" s="1"/>
  <c r="D784" i="1"/>
  <c r="F784" i="1" s="1"/>
  <c r="H784" i="1" s="1"/>
  <c r="D783" i="1"/>
  <c r="F783" i="1" s="1"/>
  <c r="H783" i="1" s="1"/>
  <c r="D782" i="1"/>
  <c r="F782" i="1" s="1"/>
  <c r="H782" i="1" s="1"/>
  <c r="D781" i="1"/>
  <c r="F781" i="1" s="1"/>
  <c r="H781" i="1" s="1"/>
  <c r="D780" i="1"/>
  <c r="D779" i="1"/>
  <c r="D778" i="1"/>
  <c r="F778" i="1" s="1"/>
  <c r="H778" i="1" s="1"/>
  <c r="D777" i="1"/>
  <c r="F777" i="1" s="1"/>
  <c r="H777" i="1" s="1"/>
  <c r="D775" i="1"/>
  <c r="F775" i="1" s="1"/>
  <c r="H775" i="1" s="1"/>
  <c r="D774" i="1"/>
  <c r="F774" i="1" s="1"/>
  <c r="H774" i="1" s="1"/>
  <c r="D773" i="1"/>
  <c r="F773" i="1" s="1"/>
  <c r="H773" i="1" s="1"/>
  <c r="D772" i="1"/>
  <c r="D771" i="1"/>
  <c r="D768" i="1"/>
  <c r="F768" i="1" s="1"/>
  <c r="H768" i="1" s="1"/>
  <c r="D767" i="1"/>
  <c r="F767" i="1" s="1"/>
  <c r="H767" i="1" s="1"/>
  <c r="D766" i="1"/>
  <c r="F766" i="1" s="1"/>
  <c r="H766" i="1" s="1"/>
  <c r="D765" i="1"/>
  <c r="F765" i="1" s="1"/>
  <c r="H765" i="1" s="1"/>
  <c r="D764" i="1"/>
  <c r="F764" i="1" s="1"/>
  <c r="H764" i="1" s="1"/>
  <c r="D763" i="1"/>
  <c r="F763" i="1" s="1"/>
  <c r="H763" i="1" s="1"/>
  <c r="D762" i="1"/>
  <c r="D761" i="1"/>
  <c r="D760" i="1"/>
  <c r="D759" i="1"/>
  <c r="F759" i="1" s="1"/>
  <c r="H759" i="1" s="1"/>
  <c r="D758" i="1"/>
  <c r="F758" i="1" s="1"/>
  <c r="H758" i="1" s="1"/>
  <c r="D757" i="1"/>
  <c r="F757" i="1" s="1"/>
  <c r="H757" i="1" s="1"/>
  <c r="D756" i="1"/>
  <c r="F756" i="1" s="1"/>
  <c r="H756" i="1" s="1"/>
  <c r="D755" i="1"/>
  <c r="F755" i="1" s="1"/>
  <c r="H755" i="1" s="1"/>
  <c r="D754" i="1"/>
  <c r="F754" i="1" s="1"/>
  <c r="H754" i="1" s="1"/>
  <c r="D753" i="1"/>
  <c r="D752" i="1"/>
  <c r="F752" i="1" s="1"/>
  <c r="H752" i="1" s="1"/>
  <c r="D751" i="1"/>
  <c r="D750" i="1"/>
  <c r="D749" i="1"/>
  <c r="D748" i="1"/>
  <c r="F748" i="1" s="1"/>
  <c r="H748" i="1" s="1"/>
  <c r="D747" i="1"/>
  <c r="F747" i="1" s="1"/>
  <c r="H747" i="1" s="1"/>
  <c r="D745" i="1"/>
  <c r="F745" i="1" s="1"/>
  <c r="H745" i="1" s="1"/>
  <c r="D744" i="1"/>
  <c r="D743" i="1"/>
  <c r="F743" i="1" s="1"/>
  <c r="H743" i="1" s="1"/>
  <c r="D742" i="1"/>
  <c r="F742" i="1" s="1"/>
  <c r="H742" i="1" s="1"/>
  <c r="D741" i="1"/>
  <c r="F741" i="1" s="1"/>
  <c r="H741" i="1" s="1"/>
  <c r="D739" i="1"/>
  <c r="F739" i="1" s="1"/>
  <c r="H739" i="1" s="1"/>
  <c r="D738" i="1"/>
  <c r="F738" i="1" s="1"/>
  <c r="H738" i="1" s="1"/>
  <c r="D737" i="1"/>
  <c r="F737" i="1" s="1"/>
  <c r="H737" i="1" s="1"/>
  <c r="D736" i="1"/>
  <c r="F736" i="1" s="1"/>
  <c r="H736" i="1" s="1"/>
  <c r="D735" i="1"/>
  <c r="D734" i="1"/>
  <c r="F734" i="1" s="1"/>
  <c r="H734" i="1" s="1"/>
  <c r="D733" i="1"/>
  <c r="F733" i="1" s="1"/>
  <c r="H733" i="1" s="1"/>
  <c r="D732" i="1"/>
  <c r="F732" i="1" s="1"/>
  <c r="H732" i="1" s="1"/>
  <c r="D731" i="1"/>
  <c r="F731" i="1" s="1"/>
  <c r="H731" i="1" s="1"/>
  <c r="D730" i="1"/>
  <c r="F730" i="1" s="1"/>
  <c r="H730" i="1" s="1"/>
  <c r="D729" i="1"/>
  <c r="F729" i="1" s="1"/>
  <c r="H729" i="1" s="1"/>
  <c r="D728" i="1"/>
  <c r="F728" i="1" s="1"/>
  <c r="H728" i="1" s="1"/>
  <c r="D727" i="1"/>
  <c r="D726" i="1"/>
  <c r="F726" i="1" s="1"/>
  <c r="H726" i="1" s="1"/>
  <c r="D725" i="1"/>
  <c r="F725" i="1" s="1"/>
  <c r="H725" i="1" s="1"/>
  <c r="D724" i="1"/>
  <c r="F724" i="1" s="1"/>
  <c r="H724" i="1" s="1"/>
  <c r="D723" i="1"/>
  <c r="F723" i="1" s="1"/>
  <c r="H723" i="1" s="1"/>
  <c r="D722" i="1"/>
  <c r="F722" i="1" s="1"/>
  <c r="H722" i="1" s="1"/>
  <c r="D721" i="1"/>
  <c r="F721" i="1" s="1"/>
  <c r="H721" i="1" s="1"/>
  <c r="D720" i="1"/>
  <c r="F720" i="1" s="1"/>
  <c r="H720" i="1" s="1"/>
  <c r="D719" i="1"/>
  <c r="D718" i="1"/>
  <c r="F718" i="1" s="1"/>
  <c r="H718" i="1" s="1"/>
  <c r="D716" i="1"/>
  <c r="D715" i="1"/>
  <c r="D714" i="1"/>
  <c r="D713" i="1"/>
  <c r="F713" i="1" s="1"/>
  <c r="H713" i="1" s="1"/>
  <c r="D712" i="1"/>
  <c r="F712" i="1" s="1"/>
  <c r="H712" i="1" s="1"/>
  <c r="D710" i="1"/>
  <c r="F710" i="1" s="1"/>
  <c r="H710" i="1" s="1"/>
  <c r="D709" i="1"/>
  <c r="D708" i="1"/>
  <c r="F708" i="1" s="1"/>
  <c r="H708" i="1" s="1"/>
  <c r="D707" i="1"/>
  <c r="F707" i="1" s="1"/>
  <c r="H707" i="1" s="1"/>
  <c r="D706" i="1"/>
  <c r="F706" i="1" s="1"/>
  <c r="H706" i="1" s="1"/>
  <c r="D705" i="1"/>
  <c r="F705" i="1" s="1"/>
  <c r="H705" i="1" s="1"/>
  <c r="D704" i="1"/>
  <c r="F704" i="1" s="1"/>
  <c r="H704" i="1" s="1"/>
  <c r="D703" i="1"/>
  <c r="F703" i="1" s="1"/>
  <c r="H703" i="1" s="1"/>
  <c r="D702" i="1"/>
  <c r="F702" i="1" s="1"/>
  <c r="H702" i="1" s="1"/>
  <c r="D701" i="1"/>
  <c r="D700" i="1"/>
  <c r="F700" i="1" s="1"/>
  <c r="H700" i="1" s="1"/>
  <c r="D699" i="1"/>
  <c r="F699" i="1" s="1"/>
  <c r="H699" i="1" s="1"/>
  <c r="E698" i="1"/>
  <c r="D698" i="1"/>
  <c r="D697" i="1"/>
  <c r="F697" i="1" s="1"/>
  <c r="H697" i="1" s="1"/>
  <c r="D696" i="1"/>
  <c r="F696" i="1" s="1"/>
  <c r="H696" i="1" s="1"/>
  <c r="D695" i="1"/>
  <c r="D694" i="1"/>
  <c r="D693" i="1"/>
  <c r="F693" i="1" s="1"/>
  <c r="H693" i="1" s="1"/>
  <c r="D692" i="1"/>
  <c r="F692" i="1" s="1"/>
  <c r="H692" i="1" s="1"/>
  <c r="D691" i="1"/>
  <c r="F691" i="1" s="1"/>
  <c r="H691" i="1" s="1"/>
  <c r="D690" i="1"/>
  <c r="D689" i="1"/>
  <c r="F689" i="1" s="1"/>
  <c r="H689" i="1" s="1"/>
  <c r="D687" i="1"/>
  <c r="F687" i="1" s="1"/>
  <c r="H687" i="1" s="1"/>
  <c r="D686" i="1"/>
  <c r="D685" i="1"/>
  <c r="D684" i="1"/>
  <c r="F684" i="1" s="1"/>
  <c r="H684" i="1" s="1"/>
  <c r="D683" i="1"/>
  <c r="F683" i="1" s="1"/>
  <c r="H683" i="1" s="1"/>
  <c r="D681" i="1"/>
  <c r="F681" i="1" s="1"/>
  <c r="H681" i="1" s="1"/>
  <c r="D680" i="1"/>
  <c r="F680" i="1" s="1"/>
  <c r="H680" i="1" s="1"/>
  <c r="D679" i="1"/>
  <c r="F679" i="1" s="1"/>
  <c r="H679" i="1" s="1"/>
  <c r="D678" i="1"/>
  <c r="F678" i="1" s="1"/>
  <c r="H678" i="1" s="1"/>
  <c r="D677" i="1"/>
  <c r="D676" i="1"/>
  <c r="D675" i="1"/>
  <c r="F675" i="1" s="1"/>
  <c r="H675" i="1" s="1"/>
  <c r="D674" i="1"/>
  <c r="F674" i="1" s="1"/>
  <c r="H674" i="1" s="1"/>
  <c r="D673" i="1"/>
  <c r="F673" i="1" s="1"/>
  <c r="H673" i="1" s="1"/>
  <c r="D672" i="1"/>
  <c r="F672" i="1" s="1"/>
  <c r="H672" i="1" s="1"/>
  <c r="D671" i="1"/>
  <c r="F671" i="1" s="1"/>
  <c r="H671" i="1" s="1"/>
  <c r="D670" i="1"/>
  <c r="F670" i="1" s="1"/>
  <c r="H670" i="1" s="1"/>
  <c r="D669" i="1"/>
  <c r="F669" i="1" s="1"/>
  <c r="H669" i="1" s="1"/>
  <c r="D668" i="1"/>
  <c r="D667" i="1"/>
  <c r="F667" i="1" s="1"/>
  <c r="H667" i="1" s="1"/>
  <c r="D666" i="1"/>
  <c r="F666" i="1" s="1"/>
  <c r="H666" i="1" s="1"/>
  <c r="D665" i="1"/>
  <c r="F665" i="1" s="1"/>
  <c r="H665" i="1" s="1"/>
  <c r="D664" i="1"/>
  <c r="F664" i="1" s="1"/>
  <c r="H664" i="1" s="1"/>
  <c r="D663" i="1"/>
  <c r="F663" i="1" s="1"/>
  <c r="H663" i="1" s="1"/>
  <c r="D662" i="1"/>
  <c r="F662" i="1" s="1"/>
  <c r="H662" i="1" s="1"/>
  <c r="D661" i="1"/>
  <c r="F661" i="1" s="1"/>
  <c r="H661" i="1" s="1"/>
  <c r="D660" i="1"/>
  <c r="D659" i="1"/>
  <c r="F659" i="1" s="1"/>
  <c r="H659" i="1" s="1"/>
  <c r="D657" i="1"/>
  <c r="F657" i="1" s="1"/>
  <c r="H657" i="1" s="1"/>
  <c r="D656" i="1"/>
  <c r="F656" i="1" s="1"/>
  <c r="H656" i="1" s="1"/>
  <c r="D655" i="1"/>
  <c r="D654" i="1"/>
  <c r="F654" i="1" s="1"/>
  <c r="H654" i="1" s="1"/>
  <c r="D653" i="1"/>
  <c r="F653" i="1" s="1"/>
  <c r="H653" i="1" s="1"/>
  <c r="D651" i="1"/>
  <c r="D650" i="1"/>
  <c r="D649" i="1"/>
  <c r="F649" i="1" s="1"/>
  <c r="H649" i="1" s="1"/>
  <c r="D648" i="1"/>
  <c r="F648" i="1" s="1"/>
  <c r="H648" i="1" s="1"/>
  <c r="D647" i="1"/>
  <c r="F647" i="1" s="1"/>
  <c r="H647" i="1" s="1"/>
  <c r="D646" i="1"/>
  <c r="F646" i="1" s="1"/>
  <c r="H646" i="1" s="1"/>
  <c r="D645" i="1"/>
  <c r="F645" i="1" s="1"/>
  <c r="H645" i="1" s="1"/>
  <c r="D644" i="1"/>
  <c r="F644" i="1" s="1"/>
  <c r="H644" i="1" s="1"/>
  <c r="D643" i="1"/>
  <c r="F643" i="1" s="1"/>
  <c r="H643" i="1" s="1"/>
  <c r="D642" i="1"/>
  <c r="D641" i="1"/>
  <c r="F641" i="1" s="1"/>
  <c r="H641" i="1" s="1"/>
  <c r="D640" i="1"/>
  <c r="F640" i="1" s="1"/>
  <c r="H640" i="1" s="1"/>
  <c r="D639" i="1"/>
  <c r="F639" i="1" s="1"/>
  <c r="H639" i="1" s="1"/>
  <c r="D638" i="1"/>
  <c r="F638" i="1" s="1"/>
  <c r="H638" i="1" s="1"/>
  <c r="D637" i="1"/>
  <c r="F637" i="1" s="1"/>
  <c r="H637" i="1" s="1"/>
  <c r="D636" i="1"/>
  <c r="F636" i="1" s="1"/>
  <c r="H636" i="1" s="1"/>
  <c r="D635" i="1"/>
  <c r="F635" i="1" s="1"/>
  <c r="H635" i="1" s="1"/>
  <c r="D634" i="1"/>
  <c r="D633" i="1"/>
  <c r="F633" i="1" s="1"/>
  <c r="H633" i="1" s="1"/>
  <c r="D632" i="1"/>
  <c r="F632" i="1" s="1"/>
  <c r="H632" i="1" s="1"/>
  <c r="D631" i="1"/>
  <c r="F631" i="1" s="1"/>
  <c r="H631" i="1" s="1"/>
  <c r="D630" i="1"/>
  <c r="F630" i="1" s="1"/>
  <c r="H630" i="1" s="1"/>
  <c r="D629" i="1"/>
  <c r="F629" i="1" s="1"/>
  <c r="H629" i="1" s="1"/>
  <c r="D628" i="1"/>
  <c r="F628" i="1" s="1"/>
  <c r="H628" i="1" s="1"/>
  <c r="D627" i="1"/>
  <c r="F627" i="1" s="1"/>
  <c r="H627" i="1" s="1"/>
  <c r="D626" i="1"/>
  <c r="D625" i="1"/>
  <c r="F625" i="1" s="1"/>
  <c r="H625" i="1" s="1"/>
  <c r="D624" i="1"/>
  <c r="F624" i="1" s="1"/>
  <c r="H624" i="1" s="1"/>
  <c r="D623" i="1"/>
  <c r="D621" i="1"/>
  <c r="F621" i="1" s="1"/>
  <c r="H621" i="1" s="1"/>
  <c r="D620" i="1"/>
  <c r="F620" i="1" s="1"/>
  <c r="H620" i="1" s="1"/>
  <c r="D619" i="1"/>
  <c r="F619" i="1" s="1"/>
  <c r="H619" i="1" s="1"/>
  <c r="D618" i="1"/>
  <c r="F618" i="1" s="1"/>
  <c r="H618" i="1" s="1"/>
  <c r="D617" i="1"/>
  <c r="D616" i="1"/>
  <c r="F616" i="1" s="1"/>
  <c r="H616" i="1" s="1"/>
  <c r="D615" i="1"/>
  <c r="F615" i="1" s="1"/>
  <c r="H615" i="1" s="1"/>
  <c r="D614" i="1"/>
  <c r="F614" i="1" s="1"/>
  <c r="H614" i="1" s="1"/>
  <c r="D613" i="1"/>
  <c r="F613" i="1" s="1"/>
  <c r="H613" i="1" s="1"/>
  <c r="D612" i="1"/>
  <c r="D611" i="1"/>
  <c r="F611" i="1" s="1"/>
  <c r="H611" i="1" s="1"/>
  <c r="D610" i="1"/>
  <c r="F610" i="1" s="1"/>
  <c r="H610" i="1" s="1"/>
  <c r="D609" i="1"/>
  <c r="E608" i="1"/>
  <c r="D608" i="1"/>
  <c r="D607" i="1"/>
  <c r="F607" i="1" s="1"/>
  <c r="H607" i="1" s="1"/>
  <c r="D606" i="1"/>
  <c r="F606" i="1" s="1"/>
  <c r="H606" i="1" s="1"/>
  <c r="D605" i="1"/>
  <c r="F605" i="1" s="1"/>
  <c r="H605" i="1" s="1"/>
  <c r="D604" i="1"/>
  <c r="F604" i="1" s="1"/>
  <c r="H604" i="1" s="1"/>
  <c r="D603" i="1"/>
  <c r="F603" i="1" s="1"/>
  <c r="H603" i="1" s="1"/>
  <c r="D602" i="1"/>
  <c r="D601" i="1"/>
  <c r="F601" i="1" s="1"/>
  <c r="H601" i="1" s="1"/>
  <c r="D600" i="1"/>
  <c r="F600" i="1" s="1"/>
  <c r="H600" i="1" s="1"/>
  <c r="D599" i="1"/>
  <c r="F599" i="1" s="1"/>
  <c r="H599" i="1" s="1"/>
  <c r="D598" i="1"/>
  <c r="D597" i="1"/>
  <c r="F597" i="1" s="1"/>
  <c r="H597" i="1" s="1"/>
  <c r="D596" i="1"/>
  <c r="F596" i="1" s="1"/>
  <c r="H596" i="1" s="1"/>
  <c r="D595" i="1"/>
  <c r="F595" i="1" s="1"/>
  <c r="H595" i="1" s="1"/>
  <c r="D594" i="1"/>
  <c r="D593" i="1"/>
  <c r="D590" i="1"/>
  <c r="F590" i="1" s="1"/>
  <c r="H590" i="1" s="1"/>
  <c r="D589" i="1"/>
  <c r="F589" i="1" s="1"/>
  <c r="H589" i="1" s="1"/>
  <c r="D588" i="1"/>
  <c r="F588" i="1" s="1"/>
  <c r="H588" i="1" s="1"/>
  <c r="D587" i="1"/>
  <c r="F587" i="1" s="1"/>
  <c r="H587" i="1" s="1"/>
  <c r="D586" i="1"/>
  <c r="F586" i="1" s="1"/>
  <c r="H586" i="1" s="1"/>
  <c r="D585" i="1"/>
  <c r="F585" i="1" s="1"/>
  <c r="H585" i="1" s="1"/>
  <c r="D584" i="1"/>
  <c r="D583" i="1"/>
  <c r="F583" i="1" s="1"/>
  <c r="H583" i="1" s="1"/>
  <c r="D582" i="1"/>
  <c r="F582" i="1" s="1"/>
  <c r="H582" i="1" s="1"/>
  <c r="D581" i="1"/>
  <c r="F581" i="1" s="1"/>
  <c r="H581" i="1" s="1"/>
  <c r="D580" i="1"/>
  <c r="F580" i="1" s="1"/>
  <c r="H580" i="1" s="1"/>
  <c r="D579" i="1"/>
  <c r="F579" i="1" s="1"/>
  <c r="H579" i="1" s="1"/>
  <c r="D578" i="1"/>
  <c r="F578" i="1" s="1"/>
  <c r="H578" i="1" s="1"/>
  <c r="D577" i="1"/>
  <c r="F577" i="1" s="1"/>
  <c r="H577" i="1" s="1"/>
  <c r="D576" i="1"/>
  <c r="D575" i="1"/>
  <c r="D574" i="1"/>
  <c r="F574" i="1" s="1"/>
  <c r="H574" i="1" s="1"/>
  <c r="D573" i="1"/>
  <c r="F573" i="1" s="1"/>
  <c r="H573" i="1" s="1"/>
  <c r="D572" i="1"/>
  <c r="F572" i="1" s="1"/>
  <c r="H572" i="1" s="1"/>
  <c r="D571" i="1"/>
  <c r="F571" i="1" s="1"/>
  <c r="H571" i="1" s="1"/>
  <c r="D570" i="1"/>
  <c r="F570" i="1" s="1"/>
  <c r="H570" i="1" s="1"/>
  <c r="D568" i="1"/>
  <c r="D567" i="1"/>
  <c r="D566" i="1"/>
  <c r="F566" i="1" s="1"/>
  <c r="H566" i="1" s="1"/>
  <c r="D565" i="1"/>
  <c r="D564" i="1"/>
  <c r="F564" i="1" s="1"/>
  <c r="H564" i="1" s="1"/>
  <c r="D561" i="1"/>
  <c r="F561" i="1" s="1"/>
  <c r="H561" i="1" s="1"/>
  <c r="D560" i="1"/>
  <c r="F560" i="1" s="1"/>
  <c r="H560" i="1" s="1"/>
  <c r="D559" i="1"/>
  <c r="F559" i="1" s="1"/>
  <c r="H559" i="1" s="1"/>
  <c r="D558" i="1"/>
  <c r="F558" i="1" s="1"/>
  <c r="H558" i="1" s="1"/>
  <c r="D557" i="1"/>
  <c r="D556" i="1"/>
  <c r="F556" i="1" s="1"/>
  <c r="H556" i="1" s="1"/>
  <c r="D555" i="1"/>
  <c r="F555" i="1" s="1"/>
  <c r="H555" i="1" s="1"/>
  <c r="D554" i="1"/>
  <c r="F554" i="1" s="1"/>
  <c r="H554" i="1" s="1"/>
  <c r="D553" i="1"/>
  <c r="F553" i="1" s="1"/>
  <c r="H553" i="1" s="1"/>
  <c r="D552" i="1"/>
  <c r="F552" i="1" s="1"/>
  <c r="H552" i="1" s="1"/>
  <c r="D551" i="1"/>
  <c r="F551" i="1" s="1"/>
  <c r="H551" i="1" s="1"/>
  <c r="D550" i="1"/>
  <c r="F550" i="1" s="1"/>
  <c r="H550" i="1" s="1"/>
  <c r="D549" i="1"/>
  <c r="D548" i="1"/>
  <c r="D547" i="1"/>
  <c r="F547" i="1" s="1"/>
  <c r="H547" i="1" s="1"/>
  <c r="D546" i="1"/>
  <c r="F546" i="1" s="1"/>
  <c r="H546" i="1" s="1"/>
  <c r="D545" i="1"/>
  <c r="F545" i="1" s="1"/>
  <c r="H545" i="1" s="1"/>
  <c r="D544" i="1"/>
  <c r="F544" i="1" s="1"/>
  <c r="H544" i="1" s="1"/>
  <c r="D543" i="1"/>
  <c r="F543" i="1" s="1"/>
  <c r="H543" i="1" s="1"/>
  <c r="D542" i="1"/>
  <c r="F542" i="1" s="1"/>
  <c r="H542" i="1" s="1"/>
  <c r="D541" i="1"/>
  <c r="D539" i="1"/>
  <c r="F539" i="1" s="1"/>
  <c r="H539" i="1" s="1"/>
  <c r="D538" i="1"/>
  <c r="F538" i="1" s="1"/>
  <c r="H538" i="1" s="1"/>
  <c r="D537" i="1"/>
  <c r="F537" i="1" s="1"/>
  <c r="H537" i="1" s="1"/>
  <c r="D536" i="1"/>
  <c r="F536" i="1" s="1"/>
  <c r="H536" i="1" s="1"/>
  <c r="D535" i="1"/>
  <c r="F535" i="1" s="1"/>
  <c r="H535" i="1" s="1"/>
  <c r="D533" i="1"/>
  <c r="F533" i="1" s="1"/>
  <c r="H533" i="1" s="1"/>
  <c r="D532" i="1"/>
  <c r="F532" i="1" s="1"/>
  <c r="H532" i="1" s="1"/>
  <c r="D531" i="1"/>
  <c r="D530" i="1"/>
  <c r="D529" i="1"/>
  <c r="F529" i="1" s="1"/>
  <c r="H529" i="1" s="1"/>
  <c r="D528" i="1"/>
  <c r="F528" i="1" s="1"/>
  <c r="H528" i="1" s="1"/>
  <c r="D527" i="1"/>
  <c r="F527" i="1" s="1"/>
  <c r="H527" i="1" s="1"/>
  <c r="D526" i="1"/>
  <c r="F526" i="1" s="1"/>
  <c r="H526" i="1" s="1"/>
  <c r="D525" i="1"/>
  <c r="F525" i="1" s="1"/>
  <c r="H525" i="1" s="1"/>
  <c r="D524" i="1"/>
  <c r="F524" i="1" s="1"/>
  <c r="H524" i="1" s="1"/>
  <c r="D523" i="1"/>
  <c r="D522" i="1"/>
  <c r="F522" i="1" s="1"/>
  <c r="H522" i="1" s="1"/>
  <c r="D521" i="1"/>
  <c r="F521" i="1" s="1"/>
  <c r="H521" i="1" s="1"/>
  <c r="D520" i="1"/>
  <c r="F520" i="1" s="1"/>
  <c r="H520" i="1" s="1"/>
  <c r="D519" i="1"/>
  <c r="F519" i="1" s="1"/>
  <c r="H519" i="1" s="1"/>
  <c r="D518" i="1"/>
  <c r="F518" i="1" s="1"/>
  <c r="H518" i="1" s="1"/>
  <c r="D517" i="1"/>
  <c r="F517" i="1" s="1"/>
  <c r="H517" i="1" s="1"/>
  <c r="D516" i="1"/>
  <c r="D515" i="1"/>
  <c r="D514" i="1"/>
  <c r="F514" i="1" s="1"/>
  <c r="H514" i="1" s="1"/>
  <c r="D513" i="1"/>
  <c r="F513" i="1" s="1"/>
  <c r="H513" i="1" s="1"/>
  <c r="D511" i="1"/>
  <c r="F511" i="1" s="1"/>
  <c r="H511" i="1" s="1"/>
  <c r="D510" i="1"/>
  <c r="D509" i="1"/>
  <c r="F509" i="1" s="1"/>
  <c r="H509" i="1" s="1"/>
  <c r="D508" i="1"/>
  <c r="F508" i="1" s="1"/>
  <c r="H508" i="1" s="1"/>
  <c r="D507" i="1"/>
  <c r="F507" i="1" s="1"/>
  <c r="H507" i="1" s="1"/>
  <c r="D504" i="1"/>
  <c r="D503" i="1"/>
  <c r="F503" i="1" s="1"/>
  <c r="H503" i="1" s="1"/>
  <c r="D502" i="1"/>
  <c r="F502" i="1" s="1"/>
  <c r="H502" i="1" s="1"/>
  <c r="D501" i="1"/>
  <c r="F501" i="1" s="1"/>
  <c r="H501" i="1" s="1"/>
  <c r="D500" i="1"/>
  <c r="F500" i="1" s="1"/>
  <c r="H500" i="1" s="1"/>
  <c r="D499" i="1"/>
  <c r="F499" i="1" s="1"/>
  <c r="H499" i="1" s="1"/>
  <c r="D498" i="1"/>
  <c r="F498" i="1" s="1"/>
  <c r="H498" i="1" s="1"/>
  <c r="D497" i="1"/>
  <c r="D496" i="1"/>
  <c r="D495" i="1"/>
  <c r="F495" i="1" s="1"/>
  <c r="H495" i="1" s="1"/>
  <c r="D494" i="1"/>
  <c r="F494" i="1" s="1"/>
  <c r="H494" i="1" s="1"/>
  <c r="D493" i="1"/>
  <c r="F493" i="1" s="1"/>
  <c r="H493" i="1" s="1"/>
  <c r="D492" i="1"/>
  <c r="F492" i="1" s="1"/>
  <c r="H492" i="1" s="1"/>
  <c r="D491" i="1"/>
  <c r="F491" i="1" s="1"/>
  <c r="H491" i="1" s="1"/>
  <c r="D490" i="1"/>
  <c r="F490" i="1" s="1"/>
  <c r="H490" i="1" s="1"/>
  <c r="D489" i="1"/>
  <c r="F489" i="1" s="1"/>
  <c r="H489" i="1" s="1"/>
  <c r="D488" i="1"/>
  <c r="D487" i="1"/>
  <c r="F487" i="1" s="1"/>
  <c r="H487" i="1" s="1"/>
  <c r="D486" i="1"/>
  <c r="F486" i="1" s="1"/>
  <c r="H486" i="1" s="1"/>
  <c r="D485" i="1"/>
  <c r="F485" i="1" s="1"/>
  <c r="H485" i="1" s="1"/>
  <c r="D484" i="1"/>
  <c r="F484" i="1" s="1"/>
  <c r="H484" i="1" s="1"/>
  <c r="D483" i="1"/>
  <c r="F483" i="1" s="1"/>
  <c r="H483" i="1" s="1"/>
  <c r="D482" i="1"/>
  <c r="F482" i="1" s="1"/>
  <c r="H482" i="1" s="1"/>
  <c r="D481" i="1"/>
  <c r="F481" i="1" s="1"/>
  <c r="H481" i="1" s="1"/>
  <c r="D480" i="1"/>
  <c r="D479" i="1"/>
  <c r="F479" i="1" s="1"/>
  <c r="H479" i="1" s="1"/>
  <c r="D478" i="1"/>
  <c r="F478" i="1" s="1"/>
  <c r="H478" i="1" s="1"/>
  <c r="D477" i="1"/>
  <c r="F477" i="1" s="1"/>
  <c r="H477" i="1" s="1"/>
  <c r="D474" i="1"/>
  <c r="D473" i="1"/>
  <c r="F473" i="1" s="1"/>
  <c r="H473" i="1" s="1"/>
  <c r="D472" i="1"/>
  <c r="F472" i="1" s="1"/>
  <c r="H472" i="1" s="1"/>
  <c r="D471" i="1"/>
  <c r="F471" i="1" s="1"/>
  <c r="H471" i="1" s="1"/>
  <c r="D470" i="1"/>
  <c r="D469" i="1"/>
  <c r="F469" i="1" s="1"/>
  <c r="H469" i="1" s="1"/>
  <c r="D468" i="1"/>
  <c r="F468" i="1" s="1"/>
  <c r="H468" i="1" s="1"/>
  <c r="D467" i="1"/>
  <c r="D466" i="1"/>
  <c r="D465" i="1"/>
  <c r="F465" i="1" s="1"/>
  <c r="H465" i="1" s="1"/>
  <c r="D464" i="1"/>
  <c r="F464" i="1" s="1"/>
  <c r="H464" i="1" s="1"/>
  <c r="D463" i="1"/>
  <c r="F463" i="1" s="1"/>
  <c r="H463" i="1" s="1"/>
  <c r="E462" i="1"/>
  <c r="D462" i="1"/>
  <c r="D461" i="1"/>
  <c r="F461" i="1" s="1"/>
  <c r="H461" i="1" s="1"/>
  <c r="D460" i="1"/>
  <c r="F460" i="1" s="1"/>
  <c r="H460" i="1" s="1"/>
  <c r="D459" i="1"/>
  <c r="F459" i="1" s="1"/>
  <c r="H459" i="1" s="1"/>
  <c r="D458" i="1"/>
  <c r="F458" i="1" s="1"/>
  <c r="H458" i="1" s="1"/>
  <c r="D457" i="1"/>
  <c r="F457" i="1" s="1"/>
  <c r="H457" i="1" s="1"/>
  <c r="D456" i="1"/>
  <c r="F456" i="1" s="1"/>
  <c r="H456" i="1" s="1"/>
  <c r="D455" i="1"/>
  <c r="D454" i="1"/>
  <c r="F454" i="1" s="1"/>
  <c r="H454" i="1" s="1"/>
  <c r="D453" i="1"/>
  <c r="F453" i="1" s="1"/>
  <c r="H453" i="1" s="1"/>
  <c r="D451" i="1"/>
  <c r="F451" i="1" s="1"/>
  <c r="H451" i="1" s="1"/>
  <c r="D450" i="1"/>
  <c r="F450" i="1" s="1"/>
  <c r="H450" i="1" s="1"/>
  <c r="D449" i="1"/>
  <c r="F449" i="1" s="1"/>
  <c r="H449" i="1" s="1"/>
  <c r="D448" i="1"/>
  <c r="F448" i="1" s="1"/>
  <c r="H448" i="1" s="1"/>
  <c r="D447" i="1"/>
  <c r="D444" i="1"/>
  <c r="D443" i="1"/>
  <c r="F443" i="1" s="1"/>
  <c r="H443" i="1" s="1"/>
  <c r="D442" i="1"/>
  <c r="F442" i="1" s="1"/>
  <c r="H442" i="1" s="1"/>
  <c r="D441" i="1"/>
  <c r="F441" i="1" s="1"/>
  <c r="H441" i="1" s="1"/>
  <c r="D440" i="1"/>
  <c r="F440" i="1" s="1"/>
  <c r="H440" i="1" s="1"/>
  <c r="D439" i="1"/>
  <c r="F439" i="1" s="1"/>
  <c r="H439" i="1" s="1"/>
  <c r="D438" i="1"/>
  <c r="F438" i="1" s="1"/>
  <c r="H438" i="1" s="1"/>
  <c r="D437" i="1"/>
  <c r="D436" i="1"/>
  <c r="D435" i="1"/>
  <c r="F435" i="1" s="1"/>
  <c r="H435" i="1" s="1"/>
  <c r="D434" i="1"/>
  <c r="F434" i="1" s="1"/>
  <c r="H434" i="1" s="1"/>
  <c r="D433" i="1"/>
  <c r="F433" i="1" s="1"/>
  <c r="H433" i="1" s="1"/>
  <c r="D431" i="1"/>
  <c r="F431" i="1" s="1"/>
  <c r="H431" i="1" s="1"/>
  <c r="D430" i="1"/>
  <c r="F430" i="1" s="1"/>
  <c r="H430" i="1" s="1"/>
  <c r="D429" i="1"/>
  <c r="F429" i="1" s="1"/>
  <c r="H429" i="1" s="1"/>
  <c r="D428" i="1"/>
  <c r="D427" i="1"/>
  <c r="D426" i="1"/>
  <c r="F426" i="1" s="1"/>
  <c r="H426" i="1" s="1"/>
  <c r="D425" i="1"/>
  <c r="F425" i="1" s="1"/>
  <c r="H425" i="1" s="1"/>
  <c r="D424" i="1"/>
  <c r="F424" i="1" s="1"/>
  <c r="H424" i="1" s="1"/>
  <c r="D423" i="1"/>
  <c r="F423" i="1" s="1"/>
  <c r="H423" i="1" s="1"/>
  <c r="D422" i="1"/>
  <c r="F422" i="1" s="1"/>
  <c r="H422" i="1" s="1"/>
  <c r="D421" i="1"/>
  <c r="F421" i="1" s="1"/>
  <c r="H421" i="1" s="1"/>
  <c r="D420" i="1"/>
  <c r="F420" i="1" s="1"/>
  <c r="H420" i="1" s="1"/>
  <c r="D419" i="1"/>
  <c r="D418" i="1"/>
  <c r="F418" i="1" s="1"/>
  <c r="H418" i="1" s="1"/>
  <c r="D417" i="1"/>
  <c r="F417" i="1" s="1"/>
  <c r="H417" i="1" s="1"/>
  <c r="D414" i="1"/>
  <c r="F414" i="1" s="1"/>
  <c r="H414" i="1" s="1"/>
  <c r="D413" i="1"/>
  <c r="F413" i="1" s="1"/>
  <c r="H413" i="1" s="1"/>
  <c r="D412" i="1"/>
  <c r="F412" i="1" s="1"/>
  <c r="H412" i="1" s="1"/>
  <c r="D411" i="1"/>
  <c r="F411" i="1" s="1"/>
  <c r="H411" i="1" s="1"/>
  <c r="D410" i="1"/>
  <c r="F410" i="1" s="1"/>
  <c r="H410" i="1" s="1"/>
  <c r="D409" i="1"/>
  <c r="D408" i="1"/>
  <c r="F408" i="1" s="1"/>
  <c r="H408" i="1" s="1"/>
  <c r="D407" i="1"/>
  <c r="F407" i="1" s="1"/>
  <c r="H407" i="1" s="1"/>
  <c r="D406" i="1"/>
  <c r="F406" i="1" s="1"/>
  <c r="H406" i="1" s="1"/>
  <c r="D405" i="1"/>
  <c r="F405" i="1" s="1"/>
  <c r="H405" i="1" s="1"/>
  <c r="D404" i="1"/>
  <c r="F404" i="1" s="1"/>
  <c r="H404" i="1" s="1"/>
  <c r="D403" i="1"/>
  <c r="F403" i="1" s="1"/>
  <c r="H403" i="1" s="1"/>
  <c r="D402" i="1"/>
  <c r="F402" i="1" s="1"/>
  <c r="H402" i="1" s="1"/>
  <c r="D401" i="1"/>
  <c r="D400" i="1"/>
  <c r="D399" i="1"/>
  <c r="F399" i="1" s="1"/>
  <c r="H399" i="1" s="1"/>
  <c r="D398" i="1"/>
  <c r="F398" i="1" s="1"/>
  <c r="H398" i="1" s="1"/>
  <c r="D397" i="1"/>
  <c r="F397" i="1" s="1"/>
  <c r="H397" i="1" s="1"/>
  <c r="D396" i="1"/>
  <c r="F396" i="1" s="1"/>
  <c r="H396" i="1" s="1"/>
  <c r="D395" i="1"/>
  <c r="F395" i="1" s="1"/>
  <c r="H395" i="1" s="1"/>
  <c r="D394" i="1"/>
  <c r="F394" i="1" s="1"/>
  <c r="H394" i="1" s="1"/>
  <c r="D392" i="1"/>
  <c r="D391" i="1"/>
  <c r="F391" i="1" s="1"/>
  <c r="H391" i="1" s="1"/>
  <c r="D390" i="1"/>
  <c r="F390" i="1" s="1"/>
  <c r="H390" i="1" s="1"/>
  <c r="D389" i="1"/>
  <c r="F389" i="1" s="1"/>
  <c r="H389" i="1" s="1"/>
  <c r="D388" i="1"/>
  <c r="F388" i="1" s="1"/>
  <c r="H388" i="1" s="1"/>
  <c r="D385" i="1"/>
  <c r="F385" i="1" s="1"/>
  <c r="H385" i="1" s="1"/>
  <c r="D384" i="1"/>
  <c r="F384" i="1" s="1"/>
  <c r="H384" i="1" s="1"/>
  <c r="D383" i="1"/>
  <c r="F383" i="1" s="1"/>
  <c r="H383" i="1" s="1"/>
  <c r="D382" i="1"/>
  <c r="D381" i="1"/>
  <c r="F381" i="1" s="1"/>
  <c r="H381" i="1" s="1"/>
  <c r="D380" i="1"/>
  <c r="F380" i="1" s="1"/>
  <c r="H380" i="1" s="1"/>
  <c r="D379" i="1"/>
  <c r="F379" i="1" s="1"/>
  <c r="H379" i="1" s="1"/>
  <c r="D378" i="1"/>
  <c r="F378" i="1" s="1"/>
  <c r="H378" i="1" s="1"/>
  <c r="D377" i="1"/>
  <c r="F377" i="1" s="1"/>
  <c r="H377" i="1" s="1"/>
  <c r="D376" i="1"/>
  <c r="F376" i="1" s="1"/>
  <c r="H376" i="1" s="1"/>
  <c r="D375" i="1"/>
  <c r="D374" i="1"/>
  <c r="E373" i="1"/>
  <c r="D373" i="1"/>
  <c r="D372" i="1"/>
  <c r="F372" i="1" s="1"/>
  <c r="H372" i="1" s="1"/>
  <c r="D371" i="1"/>
  <c r="F371" i="1" s="1"/>
  <c r="H371" i="1" s="1"/>
  <c r="F651" i="1"/>
  <c r="H651" i="1" s="1"/>
  <c r="F828" i="1"/>
  <c r="H828" i="1" s="1"/>
  <c r="F827" i="1"/>
  <c r="H827" i="1" s="1"/>
  <c r="A827" i="1"/>
  <c r="A828" i="1" s="1"/>
  <c r="A829" i="1" s="1"/>
  <c r="F821" i="1"/>
  <c r="H821" i="1" s="1"/>
  <c r="F820" i="1"/>
  <c r="H820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F814" i="1"/>
  <c r="H814" i="1" s="1"/>
  <c r="F813" i="1"/>
  <c r="H813" i="1" s="1"/>
  <c r="F804" i="1"/>
  <c r="H804" i="1" s="1"/>
  <c r="A802" i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F780" i="1"/>
  <c r="H780" i="1" s="1"/>
  <c r="F779" i="1"/>
  <c r="H779" i="1" s="1"/>
  <c r="A797" i="1"/>
  <c r="A798" i="1" s="1"/>
  <c r="A799" i="1" s="1"/>
  <c r="F795" i="1"/>
  <c r="H795" i="1" s="1"/>
  <c r="F793" i="1"/>
  <c r="H793" i="1" s="1"/>
  <c r="F792" i="1"/>
  <c r="H792" i="1" s="1"/>
  <c r="F787" i="1"/>
  <c r="H787" i="1" s="1"/>
  <c r="A785" i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F772" i="1"/>
  <c r="H772" i="1" s="1"/>
  <c r="A772" i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F771" i="1"/>
  <c r="H771" i="1" s="1"/>
  <c r="A766" i="1"/>
  <c r="A767" i="1" s="1"/>
  <c r="A768" i="1" s="1"/>
  <c r="F762" i="1"/>
  <c r="H762" i="1" s="1"/>
  <c r="F761" i="1"/>
  <c r="H761" i="1" s="1"/>
  <c r="F760" i="1"/>
  <c r="H760" i="1" s="1"/>
  <c r="A755" i="1"/>
  <c r="A756" i="1" s="1"/>
  <c r="A757" i="1" s="1"/>
  <c r="A758" i="1" s="1"/>
  <c r="A759" i="1" s="1"/>
  <c r="A760" i="1" s="1"/>
  <c r="A761" i="1" s="1"/>
  <c r="A762" i="1" s="1"/>
  <c r="A763" i="1" s="1"/>
  <c r="A764" i="1" s="1"/>
  <c r="F753" i="1"/>
  <c r="H753" i="1" s="1"/>
  <c r="F751" i="1"/>
  <c r="H751" i="1" s="1"/>
  <c r="F750" i="1"/>
  <c r="H750" i="1" s="1"/>
  <c r="F749" i="1"/>
  <c r="H749" i="1" s="1"/>
  <c r="F744" i="1"/>
  <c r="H744" i="1" s="1"/>
  <c r="A742" i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37" i="1"/>
  <c r="A738" i="1" s="1"/>
  <c r="A739" i="1" s="1"/>
  <c r="F735" i="1"/>
  <c r="H735" i="1" s="1"/>
  <c r="F727" i="1"/>
  <c r="H727" i="1" s="1"/>
  <c r="A726" i="1"/>
  <c r="A727" i="1" s="1"/>
  <c r="A728" i="1" s="1"/>
  <c r="A729" i="1" s="1"/>
  <c r="A730" i="1" s="1"/>
  <c r="A731" i="1" s="1"/>
  <c r="A732" i="1" s="1"/>
  <c r="A733" i="1" s="1"/>
  <c r="A734" i="1" s="1"/>
  <c r="A735" i="1" s="1"/>
  <c r="F719" i="1"/>
  <c r="H719" i="1" s="1"/>
  <c r="F716" i="1"/>
  <c r="H716" i="1" s="1"/>
  <c r="F715" i="1"/>
  <c r="H715" i="1" s="1"/>
  <c r="F714" i="1"/>
  <c r="H714" i="1" s="1"/>
  <c r="A713" i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F709" i="1"/>
  <c r="H709" i="1" s="1"/>
  <c r="A708" i="1"/>
  <c r="A709" i="1" s="1"/>
  <c r="A710" i="1" s="1"/>
  <c r="F701" i="1"/>
  <c r="H701" i="1" s="1"/>
  <c r="A697" i="1"/>
  <c r="A698" i="1" s="1"/>
  <c r="A699" i="1" s="1"/>
  <c r="A700" i="1" s="1"/>
  <c r="A701" i="1" s="1"/>
  <c r="A702" i="1" s="1"/>
  <c r="A703" i="1" s="1"/>
  <c r="A704" i="1" s="1"/>
  <c r="A705" i="1" s="1"/>
  <c r="A706" i="1" s="1"/>
  <c r="F695" i="1"/>
  <c r="H695" i="1" s="1"/>
  <c r="F694" i="1"/>
  <c r="H694" i="1" s="1"/>
  <c r="F690" i="1"/>
  <c r="H690" i="1" s="1"/>
  <c r="F686" i="1"/>
  <c r="H686" i="1" s="1"/>
  <c r="F685" i="1"/>
  <c r="H685" i="1" s="1"/>
  <c r="A684" i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79" i="1"/>
  <c r="A680" i="1" s="1"/>
  <c r="A681" i="1" s="1"/>
  <c r="F677" i="1"/>
  <c r="H677" i="1" s="1"/>
  <c r="F676" i="1"/>
  <c r="H676" i="1" s="1"/>
  <c r="F668" i="1"/>
  <c r="H668" i="1" s="1"/>
  <c r="A667" i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F660" i="1"/>
  <c r="H660" i="1" s="1"/>
  <c r="F655" i="1"/>
  <c r="H655" i="1" s="1"/>
  <c r="A654" i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F650" i="1"/>
  <c r="H650" i="1" s="1"/>
  <c r="A649" i="1"/>
  <c r="A650" i="1" s="1"/>
  <c r="A651" i="1" s="1"/>
  <c r="F642" i="1"/>
  <c r="H642" i="1" s="1"/>
  <c r="A637" i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F634" i="1"/>
  <c r="H634" i="1" s="1"/>
  <c r="F626" i="1"/>
  <c r="H626" i="1" s="1"/>
  <c r="A624" i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F623" i="1"/>
  <c r="H623" i="1" s="1"/>
  <c r="A619" i="1"/>
  <c r="A620" i="1" s="1"/>
  <c r="A621" i="1" s="1"/>
  <c r="F617" i="1"/>
  <c r="H617" i="1" s="1"/>
  <c r="F612" i="1"/>
  <c r="H612" i="1" s="1"/>
  <c r="F609" i="1"/>
  <c r="H609" i="1" s="1"/>
  <c r="A607" i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F602" i="1"/>
  <c r="H602" i="1" s="1"/>
  <c r="F598" i="1"/>
  <c r="H598" i="1" s="1"/>
  <c r="F594" i="1"/>
  <c r="H594" i="1" s="1"/>
  <c r="A594" i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F593" i="1"/>
  <c r="H593" i="1" s="1"/>
  <c r="A589" i="1"/>
  <c r="A590" i="1" s="1"/>
  <c r="F584" i="1"/>
  <c r="H584" i="1" s="1"/>
  <c r="A578" i="1"/>
  <c r="A579" i="1" s="1"/>
  <c r="A580" i="1" s="1"/>
  <c r="A581" i="1" s="1"/>
  <c r="A582" i="1" s="1"/>
  <c r="A583" i="1" s="1"/>
  <c r="A584" i="1" s="1"/>
  <c r="A585" i="1" s="1"/>
  <c r="A586" i="1" s="1"/>
  <c r="A587" i="1" s="1"/>
  <c r="F576" i="1"/>
  <c r="H576" i="1" s="1"/>
  <c r="F575" i="1"/>
  <c r="H575" i="1" s="1"/>
  <c r="F568" i="1"/>
  <c r="H568" i="1" s="1"/>
  <c r="F567" i="1"/>
  <c r="H567" i="1" s="1"/>
  <c r="F565" i="1"/>
  <c r="H565" i="1" s="1"/>
  <c r="A565" i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60" i="1"/>
  <c r="A561" i="1" s="1"/>
  <c r="F557" i="1"/>
  <c r="H557" i="1" s="1"/>
  <c r="F549" i="1"/>
  <c r="H549" i="1" s="1"/>
  <c r="A549" i="1"/>
  <c r="A550" i="1" s="1"/>
  <c r="A551" i="1" s="1"/>
  <c r="A552" i="1" s="1"/>
  <c r="A553" i="1" s="1"/>
  <c r="A554" i="1" s="1"/>
  <c r="A555" i="1" s="1"/>
  <c r="A556" i="1" s="1"/>
  <c r="A557" i="1" s="1"/>
  <c r="A558" i="1" s="1"/>
  <c r="F548" i="1"/>
  <c r="H548" i="1" s="1"/>
  <c r="F541" i="1"/>
  <c r="H541" i="1" s="1"/>
  <c r="A536" i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32" i="1"/>
  <c r="A533" i="1" s="1"/>
  <c r="F531" i="1"/>
  <c r="H531" i="1" s="1"/>
  <c r="F530" i="1"/>
  <c r="H530" i="1" s="1"/>
  <c r="F523" i="1"/>
  <c r="H523" i="1" s="1"/>
  <c r="A521" i="1"/>
  <c r="A522" i="1" s="1"/>
  <c r="A523" i="1" s="1"/>
  <c r="A524" i="1" s="1"/>
  <c r="A525" i="1" s="1"/>
  <c r="A526" i="1" s="1"/>
  <c r="A527" i="1" s="1"/>
  <c r="A528" i="1" s="1"/>
  <c r="A529" i="1" s="1"/>
  <c r="A530" i="1" s="1"/>
  <c r="F516" i="1"/>
  <c r="H516" i="1" s="1"/>
  <c r="F515" i="1"/>
  <c r="H515" i="1" s="1"/>
  <c r="F510" i="1"/>
  <c r="H510" i="1" s="1"/>
  <c r="A508" i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F504" i="1"/>
  <c r="H504" i="1" s="1"/>
  <c r="A503" i="1"/>
  <c r="A504" i="1" s="1"/>
  <c r="F497" i="1"/>
  <c r="H497" i="1" s="1"/>
  <c r="F496" i="1"/>
  <c r="H496" i="1" s="1"/>
  <c r="A491" i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F488" i="1"/>
  <c r="H488" i="1" s="1"/>
  <c r="F480" i="1"/>
  <c r="H480" i="1" s="1"/>
  <c r="A478" i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F474" i="1"/>
  <c r="H474" i="1" s="1"/>
  <c r="A473" i="1"/>
  <c r="A474" i="1" s="1"/>
  <c r="F470" i="1"/>
  <c r="H470" i="1" s="1"/>
  <c r="F467" i="1"/>
  <c r="H467" i="1" s="1"/>
  <c r="F466" i="1"/>
  <c r="H466" i="1" s="1"/>
  <c r="A461" i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F455" i="1"/>
  <c r="H455" i="1" s="1"/>
  <c r="A448" i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F447" i="1"/>
  <c r="H447" i="1" s="1"/>
  <c r="F444" i="1"/>
  <c r="H444" i="1" s="1"/>
  <c r="A443" i="1"/>
  <c r="A444" i="1" s="1"/>
  <c r="F437" i="1"/>
  <c r="H437" i="1" s="1"/>
  <c r="F436" i="1"/>
  <c r="H436" i="1" s="1"/>
  <c r="A431" i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F428" i="1"/>
  <c r="H428" i="1" s="1"/>
  <c r="F427" i="1"/>
  <c r="H427" i="1" s="1"/>
  <c r="F419" i="1"/>
  <c r="H419" i="1" s="1"/>
  <c r="A418" i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F400" i="1"/>
  <c r="H400" i="1" s="1"/>
  <c r="F392" i="1"/>
  <c r="H392" i="1" s="1"/>
  <c r="A389" i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F409" i="1"/>
  <c r="H409" i="1" s="1"/>
  <c r="J402" i="1"/>
  <c r="A402" i="1"/>
  <c r="A403" i="1" s="1"/>
  <c r="A404" i="1" s="1"/>
  <c r="A405" i="1" s="1"/>
  <c r="A406" i="1" s="1"/>
  <c r="A407" i="1" s="1"/>
  <c r="A408" i="1" s="1"/>
  <c r="A409" i="1" s="1"/>
  <c r="A410" i="1" s="1"/>
  <c r="A411" i="1" s="1"/>
  <c r="A413" i="1" s="1"/>
  <c r="A414" i="1" s="1"/>
  <c r="F401" i="1"/>
  <c r="H401" i="1" s="1"/>
  <c r="F382" i="1"/>
  <c r="H382" i="1" s="1"/>
  <c r="F375" i="1"/>
  <c r="H375" i="1" s="1"/>
  <c r="F374" i="1"/>
  <c r="H374" i="1" s="1"/>
  <c r="J372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A357" i="1"/>
  <c r="A358" i="1" s="1"/>
  <c r="A359" i="1" s="1"/>
  <c r="A360" i="1" s="1"/>
  <c r="A361" i="1" s="1"/>
  <c r="A362" i="1" s="1"/>
  <c r="A363" i="1" s="1"/>
  <c r="M264" i="1"/>
  <c r="M263" i="1"/>
  <c r="M262" i="1"/>
  <c r="M261" i="1"/>
  <c r="M260" i="1"/>
  <c r="M259" i="1"/>
  <c r="N264" i="1"/>
  <c r="N263" i="1"/>
  <c r="N262" i="1"/>
  <c r="N261" i="1"/>
  <c r="N260" i="1"/>
  <c r="N259" i="1"/>
  <c r="D148" i="1"/>
  <c r="F148" i="1" s="1"/>
  <c r="G148" i="1"/>
  <c r="K148" i="1"/>
  <c r="L148" i="1"/>
  <c r="A149" i="1"/>
  <c r="A150" i="1" s="1"/>
  <c r="A151" i="1" s="1"/>
  <c r="A152" i="1" s="1"/>
  <c r="A153" i="1" s="1"/>
  <c r="D149" i="1"/>
  <c r="F149" i="1" s="1"/>
  <c r="K149" i="1"/>
  <c r="D150" i="1"/>
  <c r="F150" i="1" s="1"/>
  <c r="J150" i="1"/>
  <c r="L150" i="1"/>
  <c r="D151" i="1"/>
  <c r="F151" i="1" s="1"/>
  <c r="J151" i="1"/>
  <c r="D152" i="1"/>
  <c r="F152" i="1" s="1"/>
  <c r="D153" i="1"/>
  <c r="F153" i="1" s="1"/>
  <c r="D350" i="1"/>
  <c r="F350" i="1" s="1"/>
  <c r="H350" i="1" s="1"/>
  <c r="D349" i="1"/>
  <c r="F349" i="1" s="1"/>
  <c r="H349" i="1" s="1"/>
  <c r="D348" i="1"/>
  <c r="F348" i="1" s="1"/>
  <c r="H348" i="1" s="1"/>
  <c r="D347" i="1"/>
  <c r="F347" i="1" s="1"/>
  <c r="H347" i="1" s="1"/>
  <c r="D346" i="1"/>
  <c r="F346" i="1" s="1"/>
  <c r="H346" i="1" s="1"/>
  <c r="D345" i="1"/>
  <c r="F345" i="1" s="1"/>
  <c r="H345" i="1" s="1"/>
  <c r="D342" i="1"/>
  <c r="F342" i="1" s="1"/>
  <c r="H342" i="1" s="1"/>
  <c r="D341" i="1"/>
  <c r="F341" i="1" s="1"/>
  <c r="H341" i="1" s="1"/>
  <c r="D340" i="1"/>
  <c r="F340" i="1" s="1"/>
  <c r="H340" i="1" s="1"/>
  <c r="D339" i="1"/>
  <c r="F339" i="1" s="1"/>
  <c r="H339" i="1" s="1"/>
  <c r="D338" i="1"/>
  <c r="F338" i="1" s="1"/>
  <c r="H338" i="1" s="1"/>
  <c r="D337" i="1"/>
  <c r="F337" i="1" s="1"/>
  <c r="H337" i="1" s="1"/>
  <c r="D336" i="1"/>
  <c r="F336" i="1" s="1"/>
  <c r="H336" i="1" s="1"/>
  <c r="D335" i="1"/>
  <c r="F335" i="1" s="1"/>
  <c r="H335" i="1" s="1"/>
  <c r="D334" i="1"/>
  <c r="F334" i="1" s="1"/>
  <c r="H334" i="1" s="1"/>
  <c r="D333" i="1"/>
  <c r="F333" i="1" s="1"/>
  <c r="H333" i="1" s="1"/>
  <c r="D332" i="1"/>
  <c r="F332" i="1" s="1"/>
  <c r="H332" i="1" s="1"/>
  <c r="D331" i="1"/>
  <c r="F331" i="1" s="1"/>
  <c r="H331" i="1" s="1"/>
  <c r="D330" i="1"/>
  <c r="F330" i="1" s="1"/>
  <c r="H330" i="1" s="1"/>
  <c r="A331" i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D328" i="1"/>
  <c r="F328" i="1" s="1"/>
  <c r="H328" i="1" s="1"/>
  <c r="D327" i="1"/>
  <c r="F327" i="1" s="1"/>
  <c r="H327" i="1" s="1"/>
  <c r="D326" i="1"/>
  <c r="F326" i="1" s="1"/>
  <c r="H326" i="1" s="1"/>
  <c r="D325" i="1"/>
  <c r="F325" i="1" s="1"/>
  <c r="H325" i="1" s="1"/>
  <c r="D324" i="1"/>
  <c r="F324" i="1" s="1"/>
  <c r="H324" i="1" s="1"/>
  <c r="D323" i="1"/>
  <c r="F323" i="1" s="1"/>
  <c r="H323" i="1" s="1"/>
  <c r="D322" i="1"/>
  <c r="F322" i="1" s="1"/>
  <c r="H322" i="1" s="1"/>
  <c r="D321" i="1"/>
  <c r="F321" i="1" s="1"/>
  <c r="H321" i="1" s="1"/>
  <c r="D320" i="1"/>
  <c r="F320" i="1" s="1"/>
  <c r="H320" i="1" s="1"/>
  <c r="D319" i="1"/>
  <c r="F319" i="1" s="1"/>
  <c r="H319" i="1" s="1"/>
  <c r="D318" i="1"/>
  <c r="F318" i="1" s="1"/>
  <c r="H318" i="1" s="1"/>
  <c r="D317" i="1"/>
  <c r="F317" i="1" s="1"/>
  <c r="H317" i="1" s="1"/>
  <c r="D316" i="1"/>
  <c r="F316" i="1" s="1"/>
  <c r="H316" i="1" s="1"/>
  <c r="D315" i="1"/>
  <c r="F315" i="1" s="1"/>
  <c r="H315" i="1" s="1"/>
  <c r="D314" i="1"/>
  <c r="F314" i="1" s="1"/>
  <c r="H314" i="1" s="1"/>
  <c r="D313" i="1"/>
  <c r="F313" i="1" s="1"/>
  <c r="H313" i="1" s="1"/>
  <c r="D312" i="1"/>
  <c r="F312" i="1" s="1"/>
  <c r="H312" i="1" s="1"/>
  <c r="D311" i="1"/>
  <c r="F311" i="1" s="1"/>
  <c r="H311" i="1" s="1"/>
  <c r="D310" i="1"/>
  <c r="F310" i="1" s="1"/>
  <c r="H310" i="1" s="1"/>
  <c r="D309" i="1"/>
  <c r="F309" i="1" s="1"/>
  <c r="H309" i="1" s="1"/>
  <c r="D308" i="1"/>
  <c r="F308" i="1" s="1"/>
  <c r="H308" i="1" s="1"/>
  <c r="A309" i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D298" i="1"/>
  <c r="F298" i="1" s="1"/>
  <c r="H298" i="1" s="1"/>
  <c r="D297" i="1"/>
  <c r="F297" i="1" s="1"/>
  <c r="H297" i="1" s="1"/>
  <c r="D296" i="1"/>
  <c r="F296" i="1" s="1"/>
  <c r="H296" i="1" s="1"/>
  <c r="D295" i="1"/>
  <c r="F295" i="1" s="1"/>
  <c r="H295" i="1" s="1"/>
  <c r="D294" i="1"/>
  <c r="F294" i="1" s="1"/>
  <c r="H294" i="1" s="1"/>
  <c r="D293" i="1"/>
  <c r="F293" i="1" s="1"/>
  <c r="H293" i="1" s="1"/>
  <c r="D292" i="1"/>
  <c r="F292" i="1" s="1"/>
  <c r="H292" i="1" s="1"/>
  <c r="D291" i="1"/>
  <c r="F291" i="1" s="1"/>
  <c r="H291" i="1" s="1"/>
  <c r="D290" i="1"/>
  <c r="F290" i="1" s="1"/>
  <c r="H290" i="1" s="1"/>
  <c r="D289" i="1"/>
  <c r="F289" i="1" s="1"/>
  <c r="H289" i="1" s="1"/>
  <c r="D288" i="1"/>
  <c r="F288" i="1" s="1"/>
  <c r="H288" i="1" s="1"/>
  <c r="D287" i="1"/>
  <c r="F287" i="1" s="1"/>
  <c r="H287" i="1" s="1"/>
  <c r="D286" i="1"/>
  <c r="F286" i="1" s="1"/>
  <c r="H286" i="1" s="1"/>
  <c r="D306" i="1"/>
  <c r="F306" i="1" s="1"/>
  <c r="H306" i="1" s="1"/>
  <c r="D305" i="1"/>
  <c r="F305" i="1" s="1"/>
  <c r="H305" i="1" s="1"/>
  <c r="D304" i="1"/>
  <c r="F304" i="1" s="1"/>
  <c r="H304" i="1" s="1"/>
  <c r="D303" i="1"/>
  <c r="F303" i="1" s="1"/>
  <c r="H303" i="1" s="1"/>
  <c r="D302" i="1"/>
  <c r="F302" i="1" s="1"/>
  <c r="H302" i="1" s="1"/>
  <c r="A287" i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D284" i="1"/>
  <c r="F284" i="1" s="1"/>
  <c r="H284" i="1" s="1"/>
  <c r="D283" i="1"/>
  <c r="F283" i="1" s="1"/>
  <c r="H283" i="1" s="1"/>
  <c r="D282" i="1"/>
  <c r="F282" i="1" s="1"/>
  <c r="H282" i="1" s="1"/>
  <c r="D281" i="1"/>
  <c r="F281" i="1" s="1"/>
  <c r="H281" i="1" s="1"/>
  <c r="D280" i="1"/>
  <c r="F280" i="1" s="1"/>
  <c r="H280" i="1" s="1"/>
  <c r="D279" i="1"/>
  <c r="F279" i="1" s="1"/>
  <c r="H279" i="1" s="1"/>
  <c r="D278" i="1"/>
  <c r="F278" i="1" s="1"/>
  <c r="H278" i="1" s="1"/>
  <c r="D277" i="1"/>
  <c r="F277" i="1" s="1"/>
  <c r="H277" i="1" s="1"/>
  <c r="D276" i="1"/>
  <c r="F276" i="1" s="1"/>
  <c r="H276" i="1" s="1"/>
  <c r="D275" i="1"/>
  <c r="F275" i="1" s="1"/>
  <c r="H275" i="1" s="1"/>
  <c r="D274" i="1"/>
  <c r="F274" i="1" s="1"/>
  <c r="H274" i="1" s="1"/>
  <c r="D273" i="1"/>
  <c r="F273" i="1" s="1"/>
  <c r="H273" i="1" s="1"/>
  <c r="D272" i="1"/>
  <c r="F272" i="1" s="1"/>
  <c r="H272" i="1" s="1"/>
  <c r="D271" i="1"/>
  <c r="F271" i="1" s="1"/>
  <c r="H271" i="1" s="1"/>
  <c r="D270" i="1"/>
  <c r="F270" i="1" s="1"/>
  <c r="H270" i="1" s="1"/>
  <c r="D269" i="1"/>
  <c r="F269" i="1" s="1"/>
  <c r="H269" i="1" s="1"/>
  <c r="D268" i="1"/>
  <c r="F268" i="1" s="1"/>
  <c r="D260" i="1"/>
  <c r="F260" i="1" s="1"/>
  <c r="H260" i="1" s="1"/>
  <c r="D259" i="1"/>
  <c r="F259" i="1" s="1"/>
  <c r="H259" i="1" s="1"/>
  <c r="J258" i="1"/>
  <c r="D258" i="1"/>
  <c r="F258" i="1" s="1"/>
  <c r="H258" i="1" s="1"/>
  <c r="L257" i="1"/>
  <c r="J257" i="1"/>
  <c r="D257" i="1"/>
  <c r="F257" i="1" s="1"/>
  <c r="H257" i="1" s="1"/>
  <c r="K256" i="1"/>
  <c r="D256" i="1"/>
  <c r="F256" i="1" s="1"/>
  <c r="H256" i="1" s="1"/>
  <c r="A256" i="1"/>
  <c r="A257" i="1" s="1"/>
  <c r="A258" i="1" s="1"/>
  <c r="A259" i="1" s="1"/>
  <c r="A260" i="1" s="1"/>
  <c r="L255" i="1"/>
  <c r="K255" i="1"/>
  <c r="D255" i="1"/>
  <c r="F255" i="1" s="1"/>
  <c r="H255" i="1" s="1"/>
  <c r="A372" i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265" i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C138" i="1" l="1"/>
  <c r="C137" i="1"/>
  <c r="F816" i="1"/>
  <c r="H816" i="1" s="1"/>
  <c r="F786" i="1"/>
  <c r="H786" i="1" s="1"/>
  <c r="F698" i="1"/>
  <c r="H698" i="1" s="1"/>
  <c r="F608" i="1"/>
  <c r="H608" i="1" s="1"/>
  <c r="F373" i="1"/>
  <c r="H373" i="1" s="1"/>
  <c r="G137" i="1" s="1"/>
  <c r="F462" i="1"/>
  <c r="H462" i="1" s="1"/>
  <c r="F432" i="1"/>
  <c r="H432" i="1" s="1"/>
  <c r="F362" i="1"/>
  <c r="H362" i="1" s="1"/>
  <c r="F360" i="1"/>
  <c r="H360" i="1" s="1"/>
  <c r="F363" i="1"/>
  <c r="H363" i="1" s="1"/>
  <c r="F361" i="1"/>
  <c r="H361" i="1" s="1"/>
  <c r="F359" i="1"/>
  <c r="H359" i="1" s="1"/>
  <c r="F358" i="1"/>
  <c r="H358" i="1" s="1"/>
  <c r="F357" i="1"/>
  <c r="H357" i="1" s="1"/>
  <c r="F356" i="1"/>
  <c r="E136" i="1"/>
  <c r="H268" i="1"/>
  <c r="G136" i="1" s="1"/>
  <c r="C136" i="1"/>
  <c r="C139" i="1" l="1"/>
  <c r="G139" i="1"/>
  <c r="C140" i="1"/>
  <c r="H356" i="1"/>
  <c r="G138" i="1" s="1"/>
  <c r="G140" i="1" s="1"/>
  <c r="E138" i="1"/>
  <c r="E137" i="1"/>
  <c r="E139" i="1" s="1"/>
  <c r="C105" i="1"/>
  <c r="G55" i="1"/>
  <c r="C55" i="1"/>
  <c r="C75" i="1"/>
  <c r="J116" i="1"/>
  <c r="J115" i="1"/>
  <c r="J114" i="1"/>
  <c r="J113" i="1"/>
  <c r="E41" i="1"/>
  <c r="I73" i="1"/>
  <c r="I74" i="1"/>
  <c r="H106" i="1"/>
  <c r="E140" i="1" l="1"/>
  <c r="J108" i="1"/>
  <c r="D114" i="1"/>
  <c r="J110" i="1"/>
  <c r="D112" i="1"/>
  <c r="D118" i="1"/>
  <c r="D111" i="1"/>
  <c r="D109" i="1"/>
  <c r="J105" i="1"/>
  <c r="J107" i="1" s="1"/>
  <c r="D113" i="1"/>
  <c r="J109" i="1"/>
  <c r="D117" i="1"/>
  <c r="D116" i="1"/>
  <c r="J111" i="1"/>
  <c r="J112" i="1" s="1"/>
  <c r="J117" i="1" s="1"/>
  <c r="J118" i="1" s="1"/>
  <c r="D115" i="1"/>
  <c r="J86" i="1"/>
  <c r="J85" i="1"/>
  <c r="J84" i="1"/>
  <c r="J83" i="1"/>
  <c r="H76" i="1"/>
  <c r="J106" i="1" l="1"/>
  <c r="E109" i="1"/>
  <c r="G109" i="1"/>
  <c r="D110" i="1"/>
  <c r="I106" i="1" s="1"/>
  <c r="I107" i="1" s="1"/>
  <c r="D82" i="1"/>
  <c r="D87" i="1"/>
  <c r="D83" i="1"/>
  <c r="J79" i="1"/>
  <c r="D86" i="1"/>
  <c r="J81" i="1"/>
  <c r="J82" i="1" s="1"/>
  <c r="J87" i="1" s="1"/>
  <c r="J88" i="1" s="1"/>
  <c r="C80" i="1" s="1"/>
  <c r="E79" i="1" s="1"/>
  <c r="D79" i="1"/>
  <c r="J75" i="1"/>
  <c r="J77" i="1" s="1"/>
  <c r="D85" i="1"/>
  <c r="D81" i="1"/>
  <c r="J78" i="1"/>
  <c r="J80" i="1"/>
  <c r="D88" i="1"/>
  <c r="D84" i="1"/>
  <c r="J100" i="1"/>
  <c r="J99" i="1"/>
  <c r="J98" i="1"/>
  <c r="J97" i="1"/>
  <c r="H90" i="1"/>
  <c r="I105" i="1" l="1"/>
  <c r="C107" i="1" s="1"/>
  <c r="J76" i="1"/>
  <c r="G79" i="1"/>
  <c r="D80" i="1"/>
  <c r="I76" i="1" s="1"/>
  <c r="I77" i="1" s="1"/>
  <c r="D101" i="1"/>
  <c r="D97" i="1"/>
  <c r="J93" i="1"/>
  <c r="D102" i="1"/>
  <c r="D98" i="1"/>
  <c r="D100" i="1"/>
  <c r="D96" i="1"/>
  <c r="J95" i="1"/>
  <c r="J96" i="1" s="1"/>
  <c r="J101" i="1" s="1"/>
  <c r="D93" i="1"/>
  <c r="J89" i="1"/>
  <c r="J91" i="1" s="1"/>
  <c r="D99" i="1"/>
  <c r="D95" i="1"/>
  <c r="J92" i="1"/>
  <c r="J94" i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199" i="1"/>
  <c r="F199" i="1" s="1"/>
  <c r="D198" i="1"/>
  <c r="F198" i="1" s="1"/>
  <c r="D197" i="1"/>
  <c r="F197" i="1" s="1"/>
  <c r="D196" i="1"/>
  <c r="F196" i="1" s="1"/>
  <c r="D195" i="1"/>
  <c r="F195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7" i="1"/>
  <c r="F177" i="1" s="1"/>
  <c r="K187" i="1" s="1"/>
  <c r="D176" i="1"/>
  <c r="F176" i="1" s="1"/>
  <c r="D175" i="1"/>
  <c r="F175" i="1" s="1"/>
  <c r="D174" i="1"/>
  <c r="F174" i="1" s="1"/>
  <c r="J174" i="1" s="1"/>
  <c r="D173" i="1"/>
  <c r="F173" i="1" s="1"/>
  <c r="J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D161" i="1"/>
  <c r="F161" i="1" s="1"/>
  <c r="K156" i="1"/>
  <c r="D246" i="1"/>
  <c r="F246" i="1" s="1"/>
  <c r="L239" i="1"/>
  <c r="L245" i="1"/>
  <c r="K245" i="1"/>
  <c r="D245" i="1"/>
  <c r="F245" i="1" s="1"/>
  <c r="J247" i="1"/>
  <c r="J246" i="1"/>
  <c r="J245" i="1"/>
  <c r="F247" i="1"/>
  <c r="A246" i="1"/>
  <c r="A247" i="1" s="1"/>
  <c r="G245" i="1"/>
  <c r="K227" i="1"/>
  <c r="K226" i="1"/>
  <c r="K225" i="1"/>
  <c r="A224" i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G223" i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G201" i="1"/>
  <c r="K183" i="1"/>
  <c r="K182" i="1"/>
  <c r="K181" i="1"/>
  <c r="A180" i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G179" i="1"/>
  <c r="K161" i="1"/>
  <c r="K160" i="1"/>
  <c r="K159" i="1"/>
  <c r="G157" i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I75" i="1" l="1"/>
  <c r="C77" i="1" s="1"/>
  <c r="J102" i="1"/>
  <c r="C94" i="1" s="1"/>
  <c r="F162" i="1"/>
  <c r="E42" i="1"/>
  <c r="E43" i="1" s="1"/>
  <c r="J90" i="1" l="1"/>
  <c r="E93" i="1"/>
  <c r="C103" i="1" s="1"/>
  <c r="G93" i="1"/>
  <c r="G103" i="1" s="1"/>
  <c r="D94" i="1"/>
  <c r="I90" i="1" s="1"/>
  <c r="C14" i="1"/>
  <c r="I91" i="1" l="1"/>
  <c r="I89" i="1" s="1"/>
  <c r="C91" i="1" s="1"/>
  <c r="E29" i="1"/>
  <c r="F133" i="1" l="1"/>
  <c r="B83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857" i="1"/>
  <c r="D62" i="1"/>
  <c r="G50" i="1"/>
  <c r="C50" i="1"/>
  <c r="E26" i="1"/>
  <c r="E24" i="1"/>
  <c r="E7" i="1"/>
  <c r="E3" i="1"/>
  <c r="D69" i="1" l="1"/>
  <c r="F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251" authorId="0" shapeId="0" xr:uid="{99C94B50-4242-40D1-B133-9FB41F7D893C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<sst xmlns="http://schemas.openxmlformats.org/spreadsheetml/2006/main" count="1056" uniqueCount="296">
  <si>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</si>
  <si>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</si>
  <si>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</si>
  <si>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</si>
  <si>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</si>
  <si>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</si>
  <si>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</si>
  <si>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</si>
  <si>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</si>
  <si>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</si>
  <si>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</si>
  <si>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</si>
  <si>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</si>
  <si>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</si>
  <si>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</si>
  <si>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</si>
  <si>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</si>
  <si>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</si>
  <si>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</si>
  <si>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</si>
  <si>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</si>
  <si>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</si>
  <si>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</si>
  <si>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</si>
  <si>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</si>
  <si>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</si>
  <si>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</si>
  <si>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</si>
  <si>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</si>
  <si>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</si>
  <si>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</si>
  <si>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</si>
  <si>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</si>
  <si>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</si>
  <si>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</si>
  <si>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</si>
  <si>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</si>
  <si>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</si>
  <si>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</si>
  <si>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</si>
  <si>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</si>
  <si>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</si>
  <si>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</si>
  <si>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</si>
  <si>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</si>
  <si>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</si>
  <si>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</si>
  <si>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</si>
  <si>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</si>
  <si>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</si>
  <si>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</si>
  <si>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</si>
  <si>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</si>
  <si>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</si>
  <si>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</si>
  <si>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</si>
  <si>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</si>
  <si>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</si>
  <si>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</si>
  <si>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</si>
  <si>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</si>
  <si>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</si>
  <si>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</si>
  <si>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</si>
  <si>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</si>
  <si>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</si>
  <si>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</si>
  <si>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</si>
  <si>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</si>
  <si>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</si>
  <si>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</si>
  <si>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</si>
  <si>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</si>
  <si>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</si>
  <si>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</si>
  <si>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</si>
  <si>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</si>
  <si>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</si>
  <si>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</si>
  <si>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</si>
  <si>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</si>
  <si>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</si>
  <si>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</si>
  <si>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</si>
  <si>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</si>
  <si>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</si>
  <si>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</si>
  <si>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</si>
  <si>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</si>
  <si>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</si>
  <si>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</si>
  <si>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</si>
  <si>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</si>
  <si>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</si>
  <si>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</si>
  <si>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</si>
  <si>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</si>
  <si>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</si>
  <si>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</si>
  <si>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</si>
  <si>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</si>
  <si>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</si>
  <si>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</si>
  <si>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</si>
  <si>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</si>
  <si>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</si>
  <si>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</si>
  <si>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</si>
  <si>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</si>
  <si>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</si>
  <si>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</si>
  <si>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</si>
  <si>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</si>
  <si>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</si>
  <si>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</si>
  <si>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</si>
  <si>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</si>
  <si>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</si>
  <si>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</si>
  <si>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</si>
  <si>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</si>
  <si>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</si>
  <si>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</si>
  <si>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</si>
  <si>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</si>
  <si>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</si>
  <si>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</si>
  <si>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</si>
  <si>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</si>
  <si>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</si>
  <si>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</si>
  <si>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</si>
  <si>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</si>
  <si>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</si>
  <si>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</si>
  <si>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</si>
  <si>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</si>
  <si>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</si>
  <si>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</si>
  <si>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</si>
  <si>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</si>
  <si>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</si>
  <si>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</si>
  <si>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</si>
  <si>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</si>
  <si>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</si>
  <si>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</si>
  <si>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</si>
  <si>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</si>
  <si>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</si>
  <si>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</si>
  <si>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</si>
  <si>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</si>
  <si>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</si>
  <si>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</si>
  <si>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</si>
  <si>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</si>
  <si>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</si>
  <si>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</si>
  <si>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</si>
  <si>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</si>
  <si>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</si>
  <si>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</si>
  <si>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</si>
  <si>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</si>
  <si>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</si>
  <si>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</si>
  <si>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</si>
  <si>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Axis Sanpada</t>
  </si>
  <si>
    <t>Raheja Universal (Pvt.) Ltd.</t>
  </si>
  <si>
    <t>Mr.Rohit Pathak 9594415782</t>
  </si>
  <si>
    <t>Mr.Kumar 9004856444</t>
  </si>
  <si>
    <t>Approved Plans, CC</t>
  </si>
  <si>
    <t>Plot No</t>
  </si>
  <si>
    <t>D Gen 2/1/B, Survey No.189</t>
  </si>
  <si>
    <t>Thane Belapur Road</t>
  </si>
  <si>
    <t>https://goo.gl/maps/e4ijvYkGZYPx62zg7</t>
  </si>
  <si>
    <t>0.85KM from Juinagar Railway Station</t>
  </si>
  <si>
    <t>Juinagar East</t>
  </si>
  <si>
    <t>Thane</t>
  </si>
  <si>
    <t>TTC Industrial Estate</t>
  </si>
  <si>
    <t>Mindspace Juinagar</t>
  </si>
  <si>
    <t>MIDC Industrial Estate</t>
  </si>
  <si>
    <t>Raheja Solaris</t>
  </si>
  <si>
    <t>Mindspace Juinagar Road</t>
  </si>
  <si>
    <t>EE/Dn.II/MHP/SPA/A89963/ of 2023</t>
  </si>
  <si>
    <t>no plan no.</t>
  </si>
  <si>
    <t>Gr + 5 Podium + E-Deck/1st Floor + 2nd to 28th Floor</t>
  </si>
  <si>
    <t>Shop / Restaurant</t>
  </si>
  <si>
    <t>1st Podium Floor For Parking, Meter Room &amp; Drivers Room</t>
  </si>
  <si>
    <t>2nd to 5th Podium Floor For Parking &amp; Drivers Room</t>
  </si>
  <si>
    <t>IT Office</t>
  </si>
  <si>
    <t>Pantry</t>
  </si>
  <si>
    <t>Cafeteria</t>
  </si>
  <si>
    <t>E-Deck / 1st Floor For Commercial &amp; Amenities (Gym, Hall, Games Room)</t>
  </si>
  <si>
    <t>2nd, 6th, 10th, 14th, 18th &amp; 22nd Floor (Part Refuge Area)</t>
  </si>
  <si>
    <t>3rd to 5th, 7th to 9th, 11th to 13th, 15th to 17th, 19th to 21st, 23rd &amp; 24th Floor</t>
  </si>
  <si>
    <t>Refuge Area</t>
  </si>
  <si>
    <t>25th Floor (Part Refuge Area)</t>
  </si>
  <si>
    <t>26th &amp; 27th Floor</t>
  </si>
  <si>
    <t>Unit</t>
  </si>
  <si>
    <t>x</t>
  </si>
  <si>
    <t>y</t>
  </si>
  <si>
    <t>Unit Duplex with 27th Floor</t>
  </si>
  <si>
    <t>Ground Floor For Commercial, Cafeteria , Transformer &amp; Parking</t>
  </si>
  <si>
    <t>26th &amp; 27th Floor For Commercial Units</t>
  </si>
  <si>
    <t>28th Floor For Restaurant</t>
  </si>
  <si>
    <t>We considered Gross carpet area = Net carpet Area.</t>
  </si>
  <si>
    <t>Please provide legible approved floor plan of Ground Floor, 26th &amp; 27th Floor.</t>
  </si>
  <si>
    <t>6 Levels Of Parking, Landscaped Garden, Rooftop Skylounge, Fine Dine Restaurant, E-deck, Gymnasium, Net Cricket, Banquet Hall, Business Lounge, Multipurpose Court</t>
  </si>
  <si>
    <t>Recommended rate of the Shops Per Sq. Ft.</t>
  </si>
  <si>
    <t>19.05270757,73.0209443</t>
  </si>
  <si>
    <t>Mr. Mayur Ranvare</t>
  </si>
  <si>
    <t>Other Charges (Club Membership, Society Formation &amp; Maintenance Charges)</t>
  </si>
  <si>
    <t>Recommended rate of the IT Office Per Sq. Ft.</t>
  </si>
  <si>
    <t>11000 to 15800</t>
  </si>
  <si>
    <t>nilesh</t>
  </si>
  <si>
    <t>Costsheet</t>
  </si>
  <si>
    <t>cost sheet</t>
  </si>
  <si>
    <t>Recommended Rates/Other Charges of the Property have been revised on 14/08/2024</t>
  </si>
  <si>
    <t>Part II = Gr + 5 Podium + E-Deck/1st Floor + 2nd to 28th Floor</t>
  </si>
  <si>
    <t xml:space="preserve">Construction work is in process at the time of visit.
</t>
  </si>
  <si>
    <t>Maharashtra Industrial Development Corporation (MIDC)</t>
  </si>
  <si>
    <t>Average 
(Part I, II )
Progress %</t>
  </si>
  <si>
    <t>Average 
(Part I, II)
Disbursement %</t>
  </si>
  <si>
    <t>Cement, Aggregates, Steel etc</t>
  </si>
  <si>
    <t>Under Construction</t>
  </si>
  <si>
    <t>Kunal Kadam</t>
  </si>
  <si>
    <t>Raheja Prime 1 = P51700046572
Raheja Prime 2 = P51700080542</t>
  </si>
  <si>
    <t>Raheja Prime 1 &amp; 2</t>
  </si>
  <si>
    <t>Other Plots/Thane Belapur Road</t>
  </si>
  <si>
    <t>Other Plots</t>
  </si>
  <si>
    <t xml:space="preserve">5% Amenity space area removed hence plot area reduced  </t>
  </si>
  <si>
    <t>Permissible</t>
  </si>
  <si>
    <t>02 Building</t>
  </si>
  <si>
    <t>EE/Dn. II/MHP/SPA/I/130312/of 2025</t>
  </si>
  <si>
    <t>Raheja Prime 1 Tower 1</t>
  </si>
  <si>
    <t>Raheja Prime 2 Tower 2</t>
  </si>
  <si>
    <t>EE/Dn. II/MHP/SPA/I/106832/of 2025</t>
  </si>
  <si>
    <t xml:space="preserve">B1 + Stilt + LG + Gr + P1 toP5 + 1st to 31st Floor </t>
  </si>
  <si>
    <t xml:space="preserve">Plan combine Letter  No
Valid Up to: </t>
  </si>
  <si>
    <t>Prime 1 Tower 1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</si>
  <si>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</si>
  <si>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Carpet Area</t>
  </si>
  <si>
    <t>Attached Terrace area</t>
  </si>
  <si>
    <t>Shop No. (Sale Plan)</t>
  </si>
  <si>
    <t>-</t>
  </si>
  <si>
    <t xml:space="preserve"> Refuge Area</t>
  </si>
  <si>
    <t xml:space="preserve">Details of Commercial in Building   </t>
  </si>
  <si>
    <t>Basemant 1st to 3rd For Parking</t>
  </si>
  <si>
    <t xml:space="preserve">B1 to B3 + Gr + P1 toP5 + 1st to 39th Floor </t>
  </si>
  <si>
    <t>Ground Floor/Podium 0 Floor Shops/Restaurant, Meter Room, 
Drivers Room, OWC Room, Entrance Lobby &amp; Parking</t>
  </si>
  <si>
    <t>Attached Mezzanine area</t>
  </si>
  <si>
    <t>1st floor/1st Podium Parking Floor For Mezzanine Floor attached to ground floor Plan &amp; Parking</t>
  </si>
  <si>
    <t>2nd floor/2nd Podium Parking Floor For Restaurant &amp; Parking</t>
  </si>
  <si>
    <t>3rd floor/3rd Podium Parking Floor For Restaurant below &amp; Parking</t>
  </si>
  <si>
    <t>4th floor/4th Podium Floor For Parking</t>
  </si>
  <si>
    <t>5th floor/5th Podium Floor For Parking</t>
  </si>
  <si>
    <t>6th floor E Deck Floor For IT Office, CafeGarden, Water Feature, 
Game Area, Multipurpose Hall, Futsal Court, &amp; Cricket Net</t>
  </si>
  <si>
    <t>Café</t>
  </si>
  <si>
    <t>1 to 13</t>
  </si>
  <si>
    <t>7th Floor For Commecial (Part Refuge Area)</t>
  </si>
  <si>
    <t>8th Floor</t>
  </si>
  <si>
    <t>9th, 12th, 18th &amp; 21st Floor</t>
  </si>
  <si>
    <t>10th, 13th, 14th, 16th, 17th, 20th &amp; 22nd Floor</t>
  </si>
  <si>
    <t>11th &amp; 19th Floor For Commecial (Part Refuge Area)</t>
  </si>
  <si>
    <t>15th Floor For Commecial (Part Refuge Area)</t>
  </si>
  <si>
    <t>23rd Floor For Commecial (Part Refuge Area)</t>
  </si>
  <si>
    <t>24th, 30th &amp; 33rd Floor</t>
  </si>
  <si>
    <t>25th, 26th, 32nd &amp; 34th Floor</t>
  </si>
  <si>
    <t>27th Floor For Commecial (Part Refuge Area)</t>
  </si>
  <si>
    <t>Void Area</t>
  </si>
  <si>
    <t>28th &amp; 29th Floor (Part Void Area)</t>
  </si>
  <si>
    <t>31st Floor For Commecial (Part Refuge Area)</t>
  </si>
  <si>
    <t>35th Floor For Commecial (Part Refuge Area)</t>
  </si>
  <si>
    <t>36th Floor For Recreational Floor</t>
  </si>
  <si>
    <t>37th Floor (Part Sky Deck)</t>
  </si>
  <si>
    <t>Sky Deck</t>
  </si>
  <si>
    <t>38th Floor (Part Sky Deck)</t>
  </si>
  <si>
    <t>Lift Motor Room</t>
  </si>
  <si>
    <t>Lift Lobby</t>
  </si>
  <si>
    <t xml:space="preserve"> </t>
  </si>
  <si>
    <t xml:space="preserve">39th Floor For Sky Lounge &amp; Terrace Area </t>
  </si>
  <si>
    <t>We have updated Tower 2 (on 20/09/2025).</t>
  </si>
  <si>
    <t xml:space="preserve">Tower 2 Shop/Restaurant </t>
  </si>
  <si>
    <t xml:space="preserve">Tower 2 IT Office </t>
  </si>
  <si>
    <t xml:space="preserve">Tower 1 IT Office </t>
  </si>
  <si>
    <t>IT Offices - 1378, Shop/Restaurant - 08</t>
  </si>
  <si>
    <t>Total IT Office</t>
  </si>
  <si>
    <t>Grand Total</t>
  </si>
  <si>
    <r>
      <rPr>
        <b/>
        <sz val="12"/>
        <rFont val="Times New Roman"/>
        <family val="1"/>
      </rPr>
      <t>Raheja Prime 1 Tower 1</t>
    </r>
    <r>
      <rPr>
        <sz val="12"/>
        <rFont val="Times New Roman"/>
        <family val="1"/>
      </rPr>
      <t xml:space="preserve"> = Gr + 5 Podium + E-Deck/1st Floor + 2nd to 28th Floor</t>
    </r>
  </si>
  <si>
    <r>
      <rPr>
        <b/>
        <sz val="12"/>
        <rFont val="Times New Roman"/>
        <family val="1"/>
      </rPr>
      <t>Raheja Prime 2 Tower 2</t>
    </r>
    <r>
      <rPr>
        <sz val="12"/>
        <rFont val="Times New Roman"/>
        <family val="1"/>
      </rPr>
      <t xml:space="preserve"> = B1 to B3 + Gr + P1 toP5 + 1st to 39th Floor </t>
    </r>
  </si>
  <si>
    <t>As per RERA - Raheja Prime 1 = 31/12/2028
Raheja Prime 2 = 31/12/2032</t>
  </si>
  <si>
    <t>Please proivde revised plans and CC for Raheja Prime 1 Tower 1</t>
  </si>
  <si>
    <t>Prime 1 &amp; 
Raheja Prime-2 -IT Building NoPrime-2 T2</t>
  </si>
  <si>
    <t>We have updated Raheja Prime 2 Tower 2 (on 20/09/2025).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</si>
</sst>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7" fillId="0" borderId="0" xfId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4" fontId="0" fillId="0" borderId="0" xfId="0" applyNumberFormat="1"/>
    <xf numFmtId="1" fontId="0" fillId="0" borderId="0" xfId="0" applyNumberFormat="1"/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1" fontId="29" fillId="0" borderId="3" xfId="1" applyNumberFormat="1" applyFont="1" applyBorder="1" applyAlignment="1" applyProtection="1">
      <alignment horizontal="center" vertical="top" wrapText="1"/>
      <protection locked="0"/>
    </xf>
    <xf numFmtId="1" fontId="29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0" fillId="3" borderId="36" xfId="1" applyFont="1" applyFill="1" applyBorder="1" applyAlignment="1" applyProtection="1">
      <alignment horizontal="center" vertical="center" wrapText="1"/>
      <protection locked="0"/>
    </xf>
    <xf numFmtId="0" fontId="10" fillId="3" borderId="34" xfId="1" applyFont="1" applyFill="1" applyBorder="1" applyAlignment="1" applyProtection="1">
      <alignment horizontal="center" vertical="center" wrapText="1"/>
      <protection locked="0"/>
    </xf>
    <xf numFmtId="0" fontId="10" fillId="3" borderId="37" xfId="1" applyFont="1" applyFill="1" applyBorder="1" applyAlignment="1" applyProtection="1">
      <alignment horizontal="center" vertical="center" wrapText="1"/>
      <protection locked="0"/>
    </xf>
    <xf numFmtId="0" fontId="10" fillId="3" borderId="29" xfId="1" applyFont="1" applyFill="1" applyBorder="1" applyAlignment="1" applyProtection="1">
      <alignment horizontal="center" vertical="center" wrapText="1"/>
      <protection locked="0"/>
    </xf>
    <xf numFmtId="9" fontId="10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28" xfId="1" applyFont="1" applyFill="1" applyBorder="1" applyAlignment="1" applyProtection="1">
      <alignment horizontal="center" vertical="center" wrapText="1"/>
      <protection locked="0"/>
    </xf>
    <xf numFmtId="9" fontId="10" fillId="3" borderId="35" xfId="8" applyFont="1" applyFill="1" applyBorder="1" applyAlignment="1" applyProtection="1">
      <alignment horizontal="center" vertical="center" wrapText="1"/>
      <protection locked="0"/>
    </xf>
    <xf numFmtId="9" fontId="10" fillId="3" borderId="34" xfId="8" applyFont="1" applyFill="1" applyBorder="1" applyAlignment="1" applyProtection="1">
      <alignment horizontal="center" vertical="center" wrapText="1"/>
      <protection locked="0"/>
    </xf>
    <xf numFmtId="9" fontId="10" fillId="3" borderId="28" xfId="8" applyFont="1" applyFill="1" applyBorder="1" applyAlignment="1" applyProtection="1">
      <alignment horizontal="center" vertical="center" wrapText="1"/>
      <protection locked="0"/>
    </xf>
    <xf numFmtId="9" fontId="10" fillId="3" borderId="29" xfId="8" applyFont="1" applyFill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2" fillId="0" borderId="8" xfId="9" applyNumberFormat="1" applyFont="1" applyFill="1" applyBorder="1" applyAlignment="1" applyProtection="1">
      <alignment horizontal="left" vertical="top"/>
      <protection locked="0"/>
    </xf>
    <xf numFmtId="167" fontId="12" fillId="0" borderId="21" xfId="9" applyNumberFormat="1" applyFont="1" applyFill="1" applyBorder="1" applyAlignment="1" applyProtection="1">
      <alignment horizontal="left" vertical="top"/>
      <protection locked="0"/>
    </xf>
    <xf numFmtId="167" fontId="12" fillId="0" borderId="9" xfId="9" applyNumberFormat="1" applyFont="1" applyFill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3" borderId="8" xfId="1" applyFont="1" applyFill="1" applyBorder="1" applyAlignment="1" applyProtection="1">
      <alignment horizontal="center" vertical="top" wrapText="1"/>
      <protection locked="0"/>
    </xf>
    <xf numFmtId="0" fontId="8" fillId="3" borderId="21" xfId="1" applyFont="1" applyFill="1" applyBorder="1" applyAlignment="1" applyProtection="1">
      <alignment horizontal="center" vertical="top" wrapText="1"/>
      <protection locked="0"/>
    </xf>
    <xf numFmtId="0" fontId="8" fillId="3" borderId="9" xfId="1" applyFont="1" applyFill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216475</xdr:colOff>
      <xdr:row>932</xdr:row>
      <xdr:rowOff>86590</xdr:rowOff>
    </xdr:from>
    <xdr:to>
      <xdr:col>7</xdr:col>
      <xdr:colOff>647452</xdr:colOff>
      <xdr:row>945</xdr:row>
      <xdr:rowOff>98521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475" y="59202204"/>
          <a:ext cx="6120000" cy="2601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216475</xdr:colOff>
      <xdr:row>946</xdr:row>
      <xdr:rowOff>93321</xdr:rowOff>
    </xdr:from>
    <xdr:to>
      <xdr:col>7</xdr:col>
      <xdr:colOff>647452</xdr:colOff>
      <xdr:row>967</xdr:row>
      <xdr:rowOff>193600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475" y="61997162"/>
          <a:ext cx="6120000" cy="42826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56428</xdr:colOff>
      <xdr:row>913</xdr:row>
      <xdr:rowOff>56723</xdr:rowOff>
    </xdr:from>
    <xdr:to>
      <xdr:col>18</xdr:col>
      <xdr:colOff>109475</xdr:colOff>
      <xdr:row>928</xdr:row>
      <xdr:rowOff>165074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34263" y="158292747"/>
          <a:ext cx="5915965" cy="30667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665322</xdr:colOff>
      <xdr:row>899</xdr:row>
      <xdr:rowOff>15484</xdr:rowOff>
    </xdr:from>
    <xdr:to>
      <xdr:col>18</xdr:col>
      <xdr:colOff>289475</xdr:colOff>
      <xdr:row>911</xdr:row>
      <xdr:rowOff>95320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54263" y="155490378"/>
          <a:ext cx="6275965" cy="24465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34433</xdr:colOff>
      <xdr:row>901</xdr:row>
      <xdr:rowOff>50122</xdr:rowOff>
    </xdr:from>
    <xdr:to>
      <xdr:col>11</xdr:col>
      <xdr:colOff>651368</xdr:colOff>
      <xdr:row>904</xdr:row>
      <xdr:rowOff>32803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438409" y="155919463"/>
          <a:ext cx="616935" cy="57435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10</xdr:col>
      <xdr:colOff>630688</xdr:colOff>
      <xdr:row>899</xdr:row>
      <xdr:rowOff>119394</xdr:rowOff>
    </xdr:from>
    <xdr:ext cx="804387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308523" y="155594288"/>
          <a:ext cx="804387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Prime One</a:t>
          </a:r>
        </a:p>
      </xdr:txBody>
    </xdr:sp>
    <xdr:clientData/>
  </xdr:oneCellAnchor>
  <xdr:twoCellAnchor>
    <xdr:from>
      <xdr:col>3</xdr:col>
      <xdr:colOff>493568</xdr:colOff>
      <xdr:row>953</xdr:row>
      <xdr:rowOff>164524</xdr:rowOff>
    </xdr:from>
    <xdr:to>
      <xdr:col>4</xdr:col>
      <xdr:colOff>519546</xdr:colOff>
      <xdr:row>957</xdr:row>
      <xdr:rowOff>95251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00795" y="62873660"/>
          <a:ext cx="969819" cy="72736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13</xdr:col>
      <xdr:colOff>84758</xdr:colOff>
      <xdr:row>922</xdr:row>
      <xdr:rowOff>22616</xdr:rowOff>
    </xdr:from>
    <xdr:to>
      <xdr:col>13</xdr:col>
      <xdr:colOff>725530</xdr:colOff>
      <xdr:row>925</xdr:row>
      <xdr:rowOff>22615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030664" y="160033651"/>
          <a:ext cx="640772" cy="591670"/>
        </a:xfrm>
        <a:prstGeom prst="rect">
          <a:avLst/>
        </a:prstGeom>
        <a:noFill/>
        <a:ln w="762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0</xdr:colOff>
      <xdr:row>861</xdr:row>
      <xdr:rowOff>0</xdr:rowOff>
    </xdr:from>
    <xdr:to>
      <xdr:col>9</xdr:col>
      <xdr:colOff>0</xdr:colOff>
      <xdr:row>862</xdr:row>
      <xdr:rowOff>156882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533029" y="51412588"/>
          <a:ext cx="1165412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/>
            <a:t>Part II</a:t>
          </a:r>
        </a:p>
      </xdr:txBody>
    </xdr:sp>
    <xdr:clientData/>
  </xdr:twoCellAnchor>
  <xdr:twoCellAnchor>
    <xdr:from>
      <xdr:col>15</xdr:col>
      <xdr:colOff>123265</xdr:colOff>
      <xdr:row>881</xdr:row>
      <xdr:rowOff>67235</xdr:rowOff>
    </xdr:from>
    <xdr:to>
      <xdr:col>15</xdr:col>
      <xdr:colOff>134470</xdr:colOff>
      <xdr:row>883</xdr:row>
      <xdr:rowOff>156883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>
          <a:off x="12292853" y="52690059"/>
          <a:ext cx="11205" cy="493059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280147</xdr:colOff>
      <xdr:row>880</xdr:row>
      <xdr:rowOff>78441</xdr:rowOff>
    </xdr:from>
    <xdr:to>
      <xdr:col>16</xdr:col>
      <xdr:colOff>0</xdr:colOff>
      <xdr:row>882</xdr:row>
      <xdr:rowOff>33618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1788588" y="52499559"/>
          <a:ext cx="1165412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/>
            <a:t>Part I</a:t>
          </a:r>
        </a:p>
      </xdr:txBody>
    </xdr:sp>
    <xdr:clientData/>
  </xdr:twoCellAnchor>
  <xdr:twoCellAnchor>
    <xdr:from>
      <xdr:col>9</xdr:col>
      <xdr:colOff>579120</xdr:colOff>
      <xdr:row>857</xdr:row>
      <xdr:rowOff>182880</xdr:rowOff>
    </xdr:from>
    <xdr:to>
      <xdr:col>18</xdr:col>
      <xdr:colOff>76200</xdr:colOff>
      <xdr:row>886</xdr:row>
      <xdr:rowOff>45720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AACC4497-7F3C-A080-FF62-831696A189FC}"/>
            </a:ext>
          </a:extLst>
        </xdr:cNvPr>
        <xdr:cNvGrpSpPr/>
      </xdr:nvGrpSpPr>
      <xdr:grpSpPr>
        <a:xfrm>
          <a:off x="8473440" y="148254720"/>
          <a:ext cx="6134100" cy="5600700"/>
          <a:chOff x="542250" y="118415"/>
          <a:chExt cx="5381646" cy="4450603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EE45202-2DAF-2ED5-4DFB-E5EA091799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250" y="2769018"/>
            <a:ext cx="238893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7BDEA8FE-A91C-7A7A-8283-F26FA0B37B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250" y="118415"/>
            <a:ext cx="334450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E26208C-0EAB-9A4D-73B9-C445F57C6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71098" y="2769018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95EC9171-4E23-6642-AD0A-717BCBB896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27990" y="118415"/>
            <a:ext cx="1895906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C853E005-F2ED-BB88-2CCD-080AE49266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65235" y="2769018"/>
            <a:ext cx="1354219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388620</xdr:colOff>
      <xdr:row>858</xdr:row>
      <xdr:rowOff>7620</xdr:rowOff>
    </xdr:from>
    <xdr:to>
      <xdr:col>7</xdr:col>
      <xdr:colOff>515500</xdr:colOff>
      <xdr:row>894</xdr:row>
      <xdr:rowOff>82920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D260664A-C41E-CC7F-1134-528E26FDD4F8}"/>
            </a:ext>
          </a:extLst>
        </xdr:cNvPr>
        <xdr:cNvGrpSpPr/>
      </xdr:nvGrpSpPr>
      <xdr:grpSpPr>
        <a:xfrm>
          <a:off x="388620" y="148277580"/>
          <a:ext cx="5971420" cy="7200000"/>
          <a:chOff x="236994" y="219967"/>
          <a:chExt cx="5971420" cy="7200000"/>
        </a:xfrm>
      </xdr:grpSpPr>
      <xdr:grpSp>
        <xdr:nvGrpSpPr>
          <xdr:cNvPr id="78" name="Group 77">
            <a:extLst>
              <a:ext uri="{FF2B5EF4-FFF2-40B4-BE49-F238E27FC236}">
                <a16:creationId xmlns:a16="http://schemas.microsoft.com/office/drawing/2014/main" id="{A1FC97A5-32E6-8F10-6056-8DF7F06AC529}"/>
              </a:ext>
            </a:extLst>
          </xdr:cNvPr>
          <xdr:cNvGrpSpPr/>
        </xdr:nvGrpSpPr>
        <xdr:grpSpPr>
          <a:xfrm>
            <a:off x="1045908" y="5619967"/>
            <a:ext cx="4353592" cy="1800000"/>
            <a:chOff x="1055350" y="5619967"/>
            <a:chExt cx="4353592" cy="1800000"/>
          </a:xfrm>
        </xdr:grpSpPr>
        <xdr:pic>
          <xdr:nvPicPr>
            <xdr:cNvPr id="83" name="Picture 82">
              <a:extLst>
                <a:ext uri="{FF2B5EF4-FFF2-40B4-BE49-F238E27FC236}">
                  <a16:creationId xmlns:a16="http://schemas.microsoft.com/office/drawing/2014/main" id="{7C12AAB9-BF5F-0941-A241-0148DE749C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55350" y="5619967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4" name="Picture 83">
              <a:extLst>
                <a:ext uri="{FF2B5EF4-FFF2-40B4-BE49-F238E27FC236}">
                  <a16:creationId xmlns:a16="http://schemas.microsoft.com/office/drawing/2014/main" id="{C58AAF48-D52D-3B92-36E8-E103501601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54723" y="5619967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5" name="Picture 84">
              <a:extLst>
                <a:ext uri="{FF2B5EF4-FFF2-40B4-BE49-F238E27FC236}">
                  <a16:creationId xmlns:a16="http://schemas.microsoft.com/office/drawing/2014/main" id="{AB91EE9E-21E2-6DA1-3638-2F65863DE2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57849" y="561996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9" name="Group 78">
            <a:extLst>
              <a:ext uri="{FF2B5EF4-FFF2-40B4-BE49-F238E27FC236}">
                <a16:creationId xmlns:a16="http://schemas.microsoft.com/office/drawing/2014/main" id="{619C607D-2039-F429-FCFE-BFE51FD253AD}"/>
              </a:ext>
            </a:extLst>
          </xdr:cNvPr>
          <xdr:cNvGrpSpPr/>
        </xdr:nvGrpSpPr>
        <xdr:grpSpPr>
          <a:xfrm>
            <a:off x="236994" y="219967"/>
            <a:ext cx="5971420" cy="5220000"/>
            <a:chOff x="236994" y="219967"/>
            <a:chExt cx="5971420" cy="5220000"/>
          </a:xfrm>
        </xdr:grpSpPr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id="{81723ED0-7313-5A99-316D-F2130F9881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12508" y="2919967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1" name="Picture 80">
              <a:extLst>
                <a:ext uri="{FF2B5EF4-FFF2-40B4-BE49-F238E27FC236}">
                  <a16:creationId xmlns:a16="http://schemas.microsoft.com/office/drawing/2014/main" id="{2DD7F1BB-C2E6-AA53-8F2F-51A3547F93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12508" y="219967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2" name="Picture 81">
              <a:extLst>
                <a:ext uri="{FF2B5EF4-FFF2-40B4-BE49-F238E27FC236}">
                  <a16:creationId xmlns:a16="http://schemas.microsoft.com/office/drawing/2014/main" id="{238C342E-3708-796C-8593-531D6D2BFF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6994" y="219967"/>
              <a:ext cx="3927234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oneCellAnchor>
    <xdr:from>
      <xdr:col>2</xdr:col>
      <xdr:colOff>236220</xdr:colOff>
      <xdr:row>863</xdr:row>
      <xdr:rowOff>68580</xdr:rowOff>
    </xdr:from>
    <xdr:ext cx="659989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D698FCA8-BC5D-55BF-CC89-9B83B62F5C53}"/>
            </a:ext>
          </a:extLst>
        </xdr:cNvPr>
        <xdr:cNvSpPr txBox="1"/>
      </xdr:nvSpPr>
      <xdr:spPr>
        <a:xfrm>
          <a:off x="1844040" y="149100540"/>
          <a:ext cx="659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1</a:t>
          </a:r>
        </a:p>
      </xdr:txBody>
    </xdr:sp>
    <xdr:clientData/>
  </xdr:oneCellAnchor>
  <xdr:oneCellAnchor>
    <xdr:from>
      <xdr:col>6</xdr:col>
      <xdr:colOff>160020</xdr:colOff>
      <xdr:row>874</xdr:row>
      <xdr:rowOff>53340</xdr:rowOff>
    </xdr:from>
    <xdr:ext cx="659989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75066FDA-6605-41D3-BC65-65DDD963A530}"/>
            </a:ext>
          </a:extLst>
        </xdr:cNvPr>
        <xdr:cNvSpPr txBox="1"/>
      </xdr:nvSpPr>
      <xdr:spPr>
        <a:xfrm>
          <a:off x="5204460" y="151264620"/>
          <a:ext cx="659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1</a:t>
          </a:r>
        </a:p>
      </xdr:txBody>
    </xdr:sp>
    <xdr:clientData/>
  </xdr:oneCellAnchor>
  <xdr:oneCellAnchor>
    <xdr:from>
      <xdr:col>5</xdr:col>
      <xdr:colOff>784860</xdr:colOff>
      <xdr:row>860</xdr:row>
      <xdr:rowOff>121920</xdr:rowOff>
    </xdr:from>
    <xdr:ext cx="659989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0527A70-78B2-4169-938B-F533CDCD5344}"/>
            </a:ext>
          </a:extLst>
        </xdr:cNvPr>
        <xdr:cNvSpPr txBox="1"/>
      </xdr:nvSpPr>
      <xdr:spPr>
        <a:xfrm>
          <a:off x="5029200" y="148559520"/>
          <a:ext cx="6599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Tower 1</a:t>
          </a:r>
        </a:p>
      </xdr:txBody>
    </xdr:sp>
    <xdr:clientData/>
  </xdr:oneCellAnchor>
  <xdr:twoCellAnchor>
    <xdr:from>
      <xdr:col>0</xdr:col>
      <xdr:colOff>537882</xdr:colOff>
      <xdr:row>897</xdr:row>
      <xdr:rowOff>35859</xdr:rowOff>
    </xdr:from>
    <xdr:to>
      <xdr:col>7</xdr:col>
      <xdr:colOff>452894</xdr:colOff>
      <xdr:row>921</xdr:row>
      <xdr:rowOff>145866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A9C1B8B2-5916-6991-16D5-BA9AACE0F2EC}"/>
            </a:ext>
          </a:extLst>
        </xdr:cNvPr>
        <xdr:cNvGrpSpPr/>
      </xdr:nvGrpSpPr>
      <xdr:grpSpPr>
        <a:xfrm>
          <a:off x="537882" y="156024879"/>
          <a:ext cx="5759552" cy="4864887"/>
          <a:chOff x="671331" y="0"/>
          <a:chExt cx="5760000" cy="4843372"/>
        </a:xfrm>
      </xdr:grpSpPr>
      <xdr:grpSp>
        <xdr:nvGrpSpPr>
          <xdr:cNvPr id="90" name="Group 89">
            <a:extLst>
              <a:ext uri="{FF2B5EF4-FFF2-40B4-BE49-F238E27FC236}">
                <a16:creationId xmlns:a16="http://schemas.microsoft.com/office/drawing/2014/main" id="{9E41D4BC-11CD-2F3E-03D9-DDA57D78A168}"/>
              </a:ext>
            </a:extLst>
          </xdr:cNvPr>
          <xdr:cNvGrpSpPr/>
        </xdr:nvGrpSpPr>
        <xdr:grpSpPr>
          <a:xfrm>
            <a:off x="671331" y="0"/>
            <a:ext cx="5760000" cy="2420689"/>
            <a:chOff x="0" y="3130933"/>
            <a:chExt cx="5760000" cy="2420689"/>
          </a:xfrm>
        </xdr:grpSpPr>
        <xdr:pic>
          <xdr:nvPicPr>
            <xdr:cNvPr id="92" name="Picture 91">
              <a:extLst>
                <a:ext uri="{FF2B5EF4-FFF2-40B4-BE49-F238E27FC236}">
                  <a16:creationId xmlns:a16="http://schemas.microsoft.com/office/drawing/2014/main" id="{765460EA-E796-03C2-0969-6EF73DB1F8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0" y="3130933"/>
              <a:ext cx="5760000" cy="242068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93" name="Rectangle 92">
              <a:extLst>
                <a:ext uri="{FF2B5EF4-FFF2-40B4-BE49-F238E27FC236}">
                  <a16:creationId xmlns:a16="http://schemas.microsoft.com/office/drawing/2014/main" id="{BB7AE5A4-1597-76BB-6910-C68EF0488F6E}"/>
                </a:ext>
              </a:extLst>
            </xdr:cNvPr>
            <xdr:cNvSpPr/>
          </xdr:nvSpPr>
          <xdr:spPr>
            <a:xfrm>
              <a:off x="1049655" y="3529965"/>
              <a:ext cx="186690" cy="434340"/>
            </a:xfrm>
            <a:prstGeom prst="rect">
              <a:avLst/>
            </a:prstGeom>
            <a:noFill/>
            <a:ln w="19050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grpSp>
          <xdr:nvGrpSpPr>
            <xdr:cNvPr id="94" name="Group 93">
              <a:extLst>
                <a:ext uri="{FF2B5EF4-FFF2-40B4-BE49-F238E27FC236}">
                  <a16:creationId xmlns:a16="http://schemas.microsoft.com/office/drawing/2014/main" id="{F5AFBEFA-E729-5EA5-DEA2-3F5E8E4A7897}"/>
                </a:ext>
              </a:extLst>
            </xdr:cNvPr>
            <xdr:cNvGrpSpPr/>
          </xdr:nvGrpSpPr>
          <xdr:grpSpPr>
            <a:xfrm>
              <a:off x="674370" y="3941445"/>
              <a:ext cx="628650" cy="441960"/>
              <a:chOff x="674370" y="3941445"/>
              <a:chExt cx="628650" cy="441960"/>
            </a:xfrm>
            <a:noFill/>
          </xdr:grpSpPr>
          <xdr:cxnSp macro="">
            <xdr:nvCxnSpPr>
              <xdr:cNvPr id="99" name="Straight Connector 98">
                <a:extLst>
                  <a:ext uri="{FF2B5EF4-FFF2-40B4-BE49-F238E27FC236}">
                    <a16:creationId xmlns:a16="http://schemas.microsoft.com/office/drawing/2014/main" id="{C0201184-58D3-6FF1-511F-B1418339EFCA}"/>
                  </a:ext>
                </a:extLst>
              </xdr:cNvPr>
              <xdr:cNvCxnSpPr>
                <a:cxnSpLocks/>
              </xdr:cNvCxnSpPr>
            </xdr:nvCxnSpPr>
            <xdr:spPr>
              <a:xfrm flipV="1">
                <a:off x="962025" y="4128135"/>
                <a:ext cx="337185" cy="255270"/>
              </a:xfrm>
              <a:prstGeom prst="line">
                <a:avLst/>
              </a:prstGeom>
              <a:grpFill/>
              <a:ln w="190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0" name="Straight Connector 99">
                <a:extLst>
                  <a:ext uri="{FF2B5EF4-FFF2-40B4-BE49-F238E27FC236}">
                    <a16:creationId xmlns:a16="http://schemas.microsoft.com/office/drawing/2014/main" id="{5D058B74-A97B-E357-13B7-B0C1F9EC60C2}"/>
                  </a:ext>
                </a:extLst>
              </xdr:cNvPr>
              <xdr:cNvCxnSpPr/>
            </xdr:nvCxnSpPr>
            <xdr:spPr>
              <a:xfrm>
                <a:off x="1183005" y="3995737"/>
                <a:ext cx="120015" cy="134303"/>
              </a:xfrm>
              <a:prstGeom prst="line">
                <a:avLst/>
              </a:prstGeom>
              <a:grpFill/>
              <a:ln w="190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1" name="Straight Connector 100">
                <a:extLst>
                  <a:ext uri="{FF2B5EF4-FFF2-40B4-BE49-F238E27FC236}">
                    <a16:creationId xmlns:a16="http://schemas.microsoft.com/office/drawing/2014/main" id="{5C4C8260-DDB9-53C2-8D33-2EA5AF04CC2E}"/>
                  </a:ext>
                </a:extLst>
              </xdr:cNvPr>
              <xdr:cNvCxnSpPr/>
            </xdr:nvCxnSpPr>
            <xdr:spPr>
              <a:xfrm flipH="1">
                <a:off x="994410" y="3995737"/>
                <a:ext cx="190500" cy="145733"/>
              </a:xfrm>
              <a:prstGeom prst="line">
                <a:avLst/>
              </a:prstGeom>
              <a:grpFill/>
              <a:ln w="190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2" name="Straight Connector 101">
                <a:extLst>
                  <a:ext uri="{FF2B5EF4-FFF2-40B4-BE49-F238E27FC236}">
                    <a16:creationId xmlns:a16="http://schemas.microsoft.com/office/drawing/2014/main" id="{E6E3AA9C-A3DC-424A-BF23-7BF9E1DE5A8D}"/>
                  </a:ext>
                </a:extLst>
              </xdr:cNvPr>
              <xdr:cNvCxnSpPr/>
            </xdr:nvCxnSpPr>
            <xdr:spPr>
              <a:xfrm flipH="1" flipV="1">
                <a:off x="832485" y="3943350"/>
                <a:ext cx="165735" cy="213360"/>
              </a:xfrm>
              <a:prstGeom prst="line">
                <a:avLst/>
              </a:prstGeom>
              <a:grpFill/>
              <a:ln w="190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3" name="Straight Connector 102">
                <a:extLst>
                  <a:ext uri="{FF2B5EF4-FFF2-40B4-BE49-F238E27FC236}">
                    <a16:creationId xmlns:a16="http://schemas.microsoft.com/office/drawing/2014/main" id="{C97B534B-4152-1A7A-5E28-4540D579E81F}"/>
                  </a:ext>
                </a:extLst>
              </xdr:cNvPr>
              <xdr:cNvCxnSpPr/>
            </xdr:nvCxnSpPr>
            <xdr:spPr>
              <a:xfrm flipH="1">
                <a:off x="674370" y="3941445"/>
                <a:ext cx="152400" cy="0"/>
              </a:xfrm>
              <a:prstGeom prst="line">
                <a:avLst/>
              </a:prstGeom>
              <a:grpFill/>
              <a:ln w="190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04" name="Freeform: Shape 103">
                <a:extLst>
                  <a:ext uri="{FF2B5EF4-FFF2-40B4-BE49-F238E27FC236}">
                    <a16:creationId xmlns:a16="http://schemas.microsoft.com/office/drawing/2014/main" id="{9F80193B-7E9E-6AC3-8D13-B5C0F835C811}"/>
                  </a:ext>
                </a:extLst>
              </xdr:cNvPr>
              <xdr:cNvSpPr/>
            </xdr:nvSpPr>
            <xdr:spPr>
              <a:xfrm>
                <a:off x="674370" y="3952875"/>
                <a:ext cx="289560" cy="426720"/>
              </a:xfrm>
              <a:custGeom>
                <a:avLst/>
                <a:gdLst>
                  <a:gd name="connsiteX0" fmla="*/ 0 w 289560"/>
                  <a:gd name="connsiteY0" fmla="*/ 0 h 426720"/>
                  <a:gd name="connsiteX1" fmla="*/ 110490 w 289560"/>
                  <a:gd name="connsiteY1" fmla="*/ 205740 h 426720"/>
                  <a:gd name="connsiteX2" fmla="*/ 289560 w 289560"/>
                  <a:gd name="connsiteY2" fmla="*/ 426720 h 4267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289560" h="426720">
                    <a:moveTo>
                      <a:pt x="0" y="0"/>
                    </a:moveTo>
                    <a:cubicBezTo>
                      <a:pt x="31115" y="67310"/>
                      <a:pt x="62230" y="134620"/>
                      <a:pt x="110490" y="205740"/>
                    </a:cubicBezTo>
                    <a:cubicBezTo>
                      <a:pt x="158750" y="276860"/>
                      <a:pt x="252095" y="391478"/>
                      <a:pt x="289560" y="426720"/>
                    </a:cubicBezTo>
                  </a:path>
                </a:pathLst>
              </a:custGeom>
              <a:grpFill/>
              <a:ln w="19050">
                <a:solidFill>
                  <a:srgbClr val="0070C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en-IN"/>
              </a:p>
            </xdr:txBody>
          </xdr:sp>
        </xdr:grpSp>
        <xdr:sp macro="" textlink="">
          <xdr:nvSpPr>
            <xdr:cNvPr id="95" name="TextBox 20">
              <a:extLst>
                <a:ext uri="{FF2B5EF4-FFF2-40B4-BE49-F238E27FC236}">
                  <a16:creationId xmlns:a16="http://schemas.microsoft.com/office/drawing/2014/main" id="{EEE07789-6338-53FF-7A59-87A7134E1D21}"/>
                </a:ext>
              </a:extLst>
            </xdr:cNvPr>
            <xdr:cNvSpPr txBox="1"/>
          </xdr:nvSpPr>
          <xdr:spPr>
            <a:xfrm>
              <a:off x="919162" y="3202156"/>
              <a:ext cx="652743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Tower 1</a:t>
              </a:r>
              <a:endParaRPr lang="en-IN" sz="1050" b="1"/>
            </a:p>
          </xdr:txBody>
        </xdr:sp>
        <xdr:cxnSp macro="">
          <xdr:nvCxnSpPr>
            <xdr:cNvPr id="96" name="Straight Arrow Connector 95">
              <a:extLst>
                <a:ext uri="{FF2B5EF4-FFF2-40B4-BE49-F238E27FC236}">
                  <a16:creationId xmlns:a16="http://schemas.microsoft.com/office/drawing/2014/main" id="{C68260CD-119C-B628-BEFA-E538F10BFDA9}"/>
                </a:ext>
              </a:extLst>
            </xdr:cNvPr>
            <xdr:cNvCxnSpPr>
              <a:cxnSpLocks/>
            </xdr:cNvCxnSpPr>
          </xdr:nvCxnSpPr>
          <xdr:spPr>
            <a:xfrm flipH="1">
              <a:off x="1113173" y="3413522"/>
              <a:ext cx="114917" cy="290036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7" name="TextBox 23">
              <a:extLst>
                <a:ext uri="{FF2B5EF4-FFF2-40B4-BE49-F238E27FC236}">
                  <a16:creationId xmlns:a16="http://schemas.microsoft.com/office/drawing/2014/main" id="{EDB29158-728E-816B-7238-3D60A886216D}"/>
                </a:ext>
              </a:extLst>
            </xdr:cNvPr>
            <xdr:cNvSpPr txBox="1"/>
          </xdr:nvSpPr>
          <xdr:spPr>
            <a:xfrm>
              <a:off x="1049655" y="4326255"/>
              <a:ext cx="652743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Tower 2</a:t>
              </a:r>
              <a:endParaRPr lang="en-IN" sz="1050" b="1"/>
            </a:p>
          </xdr:txBody>
        </xdr:sp>
        <xdr:cxnSp macro="">
          <xdr:nvCxnSpPr>
            <xdr:cNvPr id="98" name="Straight Arrow Connector 97">
              <a:extLst>
                <a:ext uri="{FF2B5EF4-FFF2-40B4-BE49-F238E27FC236}">
                  <a16:creationId xmlns:a16="http://schemas.microsoft.com/office/drawing/2014/main" id="{7ADA5DCA-8CA0-163E-4C0B-09D738EDCA8B}"/>
                </a:ext>
              </a:extLst>
            </xdr:cNvPr>
            <xdr:cNvCxnSpPr>
              <a:cxnSpLocks/>
            </xdr:cNvCxnSpPr>
          </xdr:nvCxnSpPr>
          <xdr:spPr>
            <a:xfrm flipH="1" flipV="1">
              <a:off x="1113173" y="4182427"/>
              <a:ext cx="113647" cy="220968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1DBA8A39-486B-E67B-AA6C-D623CB7248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1751331" y="2526637"/>
            <a:ext cx="3600000" cy="231673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122465</xdr:rowOff>
    </xdr:from>
    <xdr:to>
      <xdr:col>15</xdr:col>
      <xdr:colOff>360750</xdr:colOff>
      <xdr:row>28</xdr:row>
      <xdr:rowOff>188465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22465"/>
          <a:ext cx="9600000" cy="54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340179</xdr:colOff>
      <xdr:row>0</xdr:row>
      <xdr:rowOff>122464</xdr:rowOff>
    </xdr:from>
    <xdr:to>
      <xdr:col>21</xdr:col>
      <xdr:colOff>316072</xdr:colOff>
      <xdr:row>28</xdr:row>
      <xdr:rowOff>188464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7322" y="122464"/>
          <a:ext cx="3037500" cy="5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4ijvYkGZYPx62zg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931"/>
  <sheetViews>
    <sheetView tabSelected="1" view="pageBreakPreview" topLeftCell="B51" zoomScaleNormal="100" zoomScaleSheetLayoutView="100" workbookViewId="0">
      <selection activeCell="K49" sqref="J48:K49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76" t="s">
        <v>166</v>
      </c>
      <c r="B1" s="176"/>
      <c r="C1" s="176"/>
      <c r="D1" s="176"/>
      <c r="E1" s="176"/>
      <c r="F1" s="176"/>
      <c r="G1" s="176"/>
      <c r="H1" s="176"/>
    </row>
    <row r="2" spans="1:8" ht="16.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</row>
    <row r="3" spans="1:8" x14ac:dyDescent="0.3">
      <c r="A3" s="109" t="s">
        <v>1</v>
      </c>
      <c r="B3" s="109"/>
      <c r="C3" s="109"/>
      <c r="D3" s="109"/>
      <c r="E3" s="109" t="str">
        <f ca="1">TEXT(TODAY(),"DD/MM/YYYY")</f>
        <v>20/09/2025</v>
      </c>
      <c r="F3" s="109"/>
      <c r="G3" s="109"/>
      <c r="H3" s="109"/>
    </row>
    <row r="4" spans="1:8" ht="15" customHeight="1" x14ac:dyDescent="0.3">
      <c r="A4" s="109" t="s">
        <v>2</v>
      </c>
      <c r="B4" s="109"/>
      <c r="C4" s="109"/>
      <c r="D4" s="109"/>
      <c r="E4" s="109" t="s">
        <v>168</v>
      </c>
      <c r="F4" s="109"/>
      <c r="G4" s="109"/>
      <c r="H4" s="109"/>
    </row>
    <row r="5" spans="1:8" x14ac:dyDescent="0.3">
      <c r="A5" s="109" t="s">
        <v>3</v>
      </c>
      <c r="B5" s="109"/>
      <c r="C5" s="109"/>
      <c r="D5" s="109"/>
      <c r="E5" s="177">
        <v>45919</v>
      </c>
      <c r="F5" s="109"/>
      <c r="G5" s="109"/>
      <c r="H5" s="109"/>
    </row>
    <row r="6" spans="1:8" ht="16.5" customHeight="1" x14ac:dyDescent="0.3">
      <c r="A6" s="109" t="s">
        <v>4</v>
      </c>
      <c r="B6" s="109"/>
      <c r="C6" s="109"/>
      <c r="D6" s="109"/>
      <c r="E6" s="109" t="s">
        <v>169</v>
      </c>
      <c r="F6" s="109"/>
      <c r="G6" s="109"/>
      <c r="H6" s="109"/>
    </row>
    <row r="7" spans="1:8" ht="15" customHeight="1" x14ac:dyDescent="0.3">
      <c r="A7" s="109" t="s">
        <v>5</v>
      </c>
      <c r="B7" s="109"/>
      <c r="C7" s="109"/>
      <c r="D7" s="109"/>
      <c r="E7" s="109" t="str">
        <f>E6</f>
        <v>Raheja Universal (Pvt.) Ltd.</v>
      </c>
      <c r="F7" s="109"/>
      <c r="G7" s="109"/>
      <c r="H7" s="109"/>
    </row>
    <row r="8" spans="1:8" x14ac:dyDescent="0.3">
      <c r="A8" s="109" t="s">
        <v>6</v>
      </c>
      <c r="B8" s="109"/>
      <c r="C8" s="109"/>
      <c r="D8" s="109"/>
      <c r="E8" s="133" t="s">
        <v>229</v>
      </c>
      <c r="F8" s="132"/>
      <c r="G8" s="132"/>
      <c r="H8" s="132"/>
    </row>
    <row r="9" spans="1:8" x14ac:dyDescent="0.3">
      <c r="A9" s="109" t="s">
        <v>163</v>
      </c>
      <c r="B9" s="109"/>
      <c r="C9" s="109"/>
      <c r="D9" s="109"/>
      <c r="E9" s="109" t="s">
        <v>170</v>
      </c>
      <c r="F9" s="109"/>
      <c r="G9" s="109"/>
      <c r="H9" s="109"/>
    </row>
    <row r="10" spans="1:8" hidden="1" x14ac:dyDescent="0.3">
      <c r="A10" s="109" t="s">
        <v>164</v>
      </c>
      <c r="B10" s="109"/>
      <c r="C10" s="109"/>
      <c r="D10" s="109"/>
      <c r="E10" s="109" t="s">
        <v>171</v>
      </c>
      <c r="F10" s="109"/>
      <c r="G10" s="109"/>
      <c r="H10" s="109"/>
    </row>
    <row r="11" spans="1:8" ht="33" customHeight="1" x14ac:dyDescent="0.3">
      <c r="A11" s="109" t="s">
        <v>7</v>
      </c>
      <c r="B11" s="109"/>
      <c r="C11" s="109"/>
      <c r="D11" s="109"/>
      <c r="E11" s="108" t="s">
        <v>294</v>
      </c>
      <c r="F11" s="109"/>
      <c r="G11" s="109"/>
      <c r="H11" s="109"/>
    </row>
    <row r="12" spans="1:8" x14ac:dyDescent="0.3">
      <c r="A12" s="149" t="s">
        <v>8</v>
      </c>
      <c r="B12" s="149"/>
      <c r="C12" s="149"/>
      <c r="D12" s="149"/>
      <c r="E12" s="108" t="s">
        <v>172</v>
      </c>
      <c r="F12" s="108"/>
      <c r="G12" s="108"/>
      <c r="H12" s="108"/>
    </row>
    <row r="13" spans="1:8" ht="32.4" customHeight="1" x14ac:dyDescent="0.3">
      <c r="A13" s="149" t="s">
        <v>9</v>
      </c>
      <c r="B13" s="149"/>
      <c r="C13" s="149"/>
      <c r="D13" s="149"/>
      <c r="E13" s="108" t="s">
        <v>228</v>
      </c>
      <c r="F13" s="109"/>
      <c r="G13" s="109"/>
      <c r="H13" s="109"/>
    </row>
    <row r="14" spans="1:8" ht="48.75" customHeight="1" x14ac:dyDescent="0.3">
      <c r="A14" s="108" t="s">
        <v>10</v>
      </c>
      <c r="B14" s="108"/>
      <c r="C14" s="10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Raheja Prime 1 &amp; 2, Plot No.D Gen 2/1/B, Survey No.189, near Mindspace Juinagar, Thane Belapur Road, MIDC Industrial Estate, TTC Industrial Estate, Juinagar East, Thane, Thane - 400705.</v>
      </c>
      <c r="D14" s="108"/>
      <c r="E14" s="108"/>
      <c r="F14" s="108"/>
      <c r="G14" s="108"/>
      <c r="H14" s="108"/>
    </row>
    <row r="15" spans="1:8" x14ac:dyDescent="0.3">
      <c r="A15" s="108" t="s">
        <v>173</v>
      </c>
      <c r="B15" s="108"/>
      <c r="C15" s="108" t="s">
        <v>174</v>
      </c>
      <c r="D15" s="108"/>
      <c r="E15" s="108"/>
      <c r="F15" s="108"/>
      <c r="G15" s="108"/>
      <c r="H15" s="108"/>
    </row>
    <row r="16" spans="1:8" ht="15.75" customHeight="1" x14ac:dyDescent="0.3">
      <c r="A16" s="108" t="s">
        <v>162</v>
      </c>
      <c r="B16" s="108"/>
      <c r="C16" s="108" t="s">
        <v>182</v>
      </c>
      <c r="D16" s="108"/>
      <c r="E16" s="108"/>
      <c r="F16" s="108"/>
      <c r="G16" s="108"/>
      <c r="H16" s="108"/>
    </row>
    <row r="17" spans="1:8" ht="15.75" customHeight="1" x14ac:dyDescent="0.3">
      <c r="A17" s="160" t="s">
        <v>11</v>
      </c>
      <c r="B17" s="160"/>
      <c r="C17" s="109" t="s">
        <v>175</v>
      </c>
      <c r="D17" s="109"/>
      <c r="E17" s="160" t="s">
        <v>72</v>
      </c>
      <c r="F17" s="160"/>
      <c r="G17" s="108" t="s">
        <v>180</v>
      </c>
      <c r="H17" s="108"/>
    </row>
    <row r="18" spans="1:8" x14ac:dyDescent="0.3">
      <c r="A18" s="149" t="s">
        <v>13</v>
      </c>
      <c r="B18" s="149"/>
      <c r="C18" s="108" t="s">
        <v>178</v>
      </c>
      <c r="D18" s="108"/>
      <c r="E18" s="160" t="s">
        <v>12</v>
      </c>
      <c r="F18" s="160"/>
      <c r="G18" s="178" t="s">
        <v>179</v>
      </c>
      <c r="H18" s="178"/>
    </row>
    <row r="19" spans="1:8" x14ac:dyDescent="0.3">
      <c r="A19" s="149" t="s">
        <v>73</v>
      </c>
      <c r="B19" s="149"/>
      <c r="C19" s="108" t="s">
        <v>179</v>
      </c>
      <c r="D19" s="108"/>
      <c r="E19" s="160" t="s">
        <v>14</v>
      </c>
      <c r="F19" s="160"/>
      <c r="G19" s="108">
        <v>400705</v>
      </c>
      <c r="H19" s="108"/>
    </row>
    <row r="20" spans="1:8" ht="32.25" customHeight="1" x14ac:dyDescent="0.3">
      <c r="A20" s="149" t="s">
        <v>121</v>
      </c>
      <c r="B20" s="149"/>
      <c r="C20" s="108" t="s">
        <v>181</v>
      </c>
      <c r="D20" s="108"/>
      <c r="E20" s="160" t="s">
        <v>15</v>
      </c>
      <c r="F20" s="160"/>
      <c r="G20" s="108" t="s">
        <v>177</v>
      </c>
      <c r="H20" s="108"/>
    </row>
    <row r="21" spans="1:8" ht="15" customHeight="1" x14ac:dyDescent="0.3">
      <c r="A21" s="160" t="s">
        <v>76</v>
      </c>
      <c r="B21" s="160"/>
      <c r="C21" s="160"/>
      <c r="D21" s="160"/>
      <c r="E21" s="109" t="s">
        <v>16</v>
      </c>
      <c r="F21" s="109"/>
      <c r="G21" s="109"/>
      <c r="H21" s="109"/>
    </row>
    <row r="22" spans="1:8" ht="18.75" customHeight="1" x14ac:dyDescent="0.3">
      <c r="A22" s="160"/>
      <c r="B22" s="160"/>
      <c r="C22" s="160"/>
      <c r="D22" s="160"/>
      <c r="E22" s="109"/>
      <c r="F22" s="109"/>
      <c r="G22" s="109"/>
      <c r="H22" s="109"/>
    </row>
    <row r="23" spans="1:8" ht="15" customHeight="1" x14ac:dyDescent="0.3">
      <c r="A23" s="160" t="s">
        <v>17</v>
      </c>
      <c r="B23" s="160"/>
      <c r="C23" s="160"/>
      <c r="D23" s="160"/>
      <c r="E23" s="108" t="s">
        <v>18</v>
      </c>
      <c r="F23" s="108"/>
      <c r="G23" s="108"/>
      <c r="H23" s="108"/>
    </row>
    <row r="24" spans="1:8" ht="15" customHeight="1" x14ac:dyDescent="0.3">
      <c r="A24" s="149" t="s">
        <v>19</v>
      </c>
      <c r="B24" s="149"/>
      <c r="C24" s="149"/>
      <c r="D24" s="149"/>
      <c r="E24" s="108" t="str">
        <f>IF(AND(G18="Mumbai"),"Upper Class","Middle Class")</f>
        <v>Middle Class</v>
      </c>
      <c r="F24" s="108"/>
      <c r="G24" s="108"/>
      <c r="H24" s="108"/>
    </row>
    <row r="25" spans="1:8" x14ac:dyDescent="0.3">
      <c r="A25" s="149" t="s">
        <v>20</v>
      </c>
      <c r="B25" s="149"/>
      <c r="C25" s="149"/>
      <c r="D25" s="149"/>
      <c r="E25" s="108" t="s">
        <v>21</v>
      </c>
      <c r="F25" s="108"/>
      <c r="G25" s="108"/>
      <c r="H25" s="108"/>
    </row>
    <row r="26" spans="1:8" ht="15.75" customHeight="1" x14ac:dyDescent="0.3">
      <c r="A26" s="149" t="s">
        <v>22</v>
      </c>
      <c r="B26" s="149"/>
      <c r="C26" s="149"/>
      <c r="D26" s="149"/>
      <c r="E26" s="108" t="str">
        <f>IF(AND(G18="Mumbai"),"Developed","Developing")</f>
        <v>Developing</v>
      </c>
      <c r="F26" s="108"/>
      <c r="G26" s="108"/>
      <c r="H26" s="108"/>
    </row>
    <row r="27" spans="1:8" x14ac:dyDescent="0.3">
      <c r="A27" s="149" t="s">
        <v>23</v>
      </c>
      <c r="B27" s="149"/>
      <c r="C27" s="149"/>
      <c r="D27" s="149"/>
      <c r="E27" s="108" t="s">
        <v>24</v>
      </c>
      <c r="F27" s="108"/>
      <c r="G27" s="108"/>
      <c r="H27" s="108"/>
    </row>
    <row r="28" spans="1:8" ht="15.75" customHeight="1" x14ac:dyDescent="0.3">
      <c r="A28" s="149" t="s">
        <v>81</v>
      </c>
      <c r="B28" s="149"/>
      <c r="C28" s="149"/>
      <c r="D28" s="149"/>
      <c r="E28" s="108" t="s">
        <v>82</v>
      </c>
      <c r="F28" s="108"/>
      <c r="G28" s="108"/>
      <c r="H28" s="108"/>
    </row>
    <row r="29" spans="1:8" ht="15" customHeight="1" x14ac:dyDescent="0.3">
      <c r="A29" s="149" t="s">
        <v>33</v>
      </c>
      <c r="B29" s="149"/>
      <c r="C29" s="149"/>
      <c r="D29" s="149"/>
      <c r="E29" s="108" t="str">
        <f>IF(AND(ISNUMBER(SEARCH("Flat",D63)),ISNUMBER(SEARCH("Shop",D63)),ISNUMBER(SEARCH("Office",D63))),"Residential + Commercial",IF(AND(ISNUMBER(SEARCH("Flat",D63)),ISNUMBER(SEARCH("Shop",D63))),"Residential + Commercial",IF(AND(ISNUMBER(SEARCH("Flat",D63)),ISNUMBER(SEARCH("Office",D63))),"Residential + Commercial",IF(AND(ISNUMBER(SEARCH("Shop",D63)),ISNUMBER(SEARCH("Office",D63))),"Commercial",IF(ISNUMBER(SEARCH("Shop",D63)),"Commercial",IF(ISNUMBER(SEARCH("Office",D63)),"Commercial",IF(ISNUMBER(SEARCH("Flat",D63)),"Residential")))))))</f>
        <v>Commercial</v>
      </c>
      <c r="F29" s="108"/>
      <c r="G29" s="108"/>
      <c r="H29" s="108"/>
    </row>
    <row r="30" spans="1:8" ht="15.75" customHeight="1" x14ac:dyDescent="0.3">
      <c r="A30" s="149" t="s">
        <v>93</v>
      </c>
      <c r="B30" s="149"/>
      <c r="C30" s="149"/>
      <c r="D30" s="149"/>
      <c r="E30" s="108" t="s">
        <v>34</v>
      </c>
      <c r="F30" s="108"/>
      <c r="G30" s="108"/>
      <c r="H30" s="108"/>
    </row>
    <row r="31" spans="1:8" s="22" customFormat="1" x14ac:dyDescent="0.3">
      <c r="A31" s="184" t="s">
        <v>94</v>
      </c>
      <c r="B31" s="184"/>
      <c r="C31" s="183" t="s">
        <v>29</v>
      </c>
      <c r="D31" s="183"/>
      <c r="E31" s="183"/>
      <c r="F31" s="183" t="s">
        <v>31</v>
      </c>
      <c r="G31" s="183"/>
      <c r="H31" s="183"/>
    </row>
    <row r="32" spans="1:8" s="22" customFormat="1" x14ac:dyDescent="0.3">
      <c r="A32" s="179" t="s">
        <v>25</v>
      </c>
      <c r="B32" s="179" t="s">
        <v>30</v>
      </c>
      <c r="C32" s="180" t="s">
        <v>231</v>
      </c>
      <c r="D32" s="180"/>
      <c r="E32" s="180"/>
      <c r="F32" s="180" t="s">
        <v>183</v>
      </c>
      <c r="G32" s="180"/>
      <c r="H32" s="180"/>
    </row>
    <row r="33" spans="1:11" x14ac:dyDescent="0.3">
      <c r="A33" s="179" t="s">
        <v>26</v>
      </c>
      <c r="B33" s="179" t="s">
        <v>30</v>
      </c>
      <c r="C33" s="180" t="s">
        <v>175</v>
      </c>
      <c r="D33" s="180"/>
      <c r="E33" s="180"/>
      <c r="F33" s="180" t="s">
        <v>175</v>
      </c>
      <c r="G33" s="180"/>
      <c r="H33" s="180"/>
    </row>
    <row r="34" spans="1:11" s="22" customFormat="1" x14ac:dyDescent="0.3">
      <c r="A34" s="179" t="s">
        <v>28</v>
      </c>
      <c r="B34" s="179" t="s">
        <v>30</v>
      </c>
      <c r="C34" s="180" t="s">
        <v>11</v>
      </c>
      <c r="D34" s="180"/>
      <c r="E34" s="180"/>
      <c r="F34" s="180" t="s">
        <v>184</v>
      </c>
      <c r="G34" s="180"/>
      <c r="H34" s="180"/>
    </row>
    <row r="35" spans="1:11" x14ac:dyDescent="0.3">
      <c r="A35" s="179" t="s">
        <v>27</v>
      </c>
      <c r="B35" s="179" t="s">
        <v>30</v>
      </c>
      <c r="C35" s="180" t="s">
        <v>230</v>
      </c>
      <c r="D35" s="180"/>
      <c r="E35" s="180"/>
      <c r="F35" s="180" t="s">
        <v>175</v>
      </c>
      <c r="G35" s="180"/>
      <c r="H35" s="180"/>
    </row>
    <row r="36" spans="1:11" x14ac:dyDescent="0.3">
      <c r="A36" s="149" t="s">
        <v>32</v>
      </c>
      <c r="B36" s="149"/>
      <c r="C36" s="149"/>
      <c r="D36" s="149"/>
      <c r="E36" s="149"/>
      <c r="F36" s="149"/>
      <c r="G36" s="149"/>
      <c r="H36" s="149"/>
    </row>
    <row r="37" spans="1:11" ht="15.75" customHeight="1" x14ac:dyDescent="0.3">
      <c r="A37" s="149" t="s">
        <v>167</v>
      </c>
      <c r="B37" s="149"/>
      <c r="C37" s="173" t="s">
        <v>211</v>
      </c>
      <c r="D37" s="173"/>
      <c r="E37" s="173"/>
      <c r="F37" s="173"/>
      <c r="G37" s="173"/>
      <c r="H37" s="173"/>
    </row>
    <row r="38" spans="1:11" x14ac:dyDescent="0.3">
      <c r="A38" s="149" t="s">
        <v>161</v>
      </c>
      <c r="B38" s="149"/>
      <c r="C38" s="187" t="s">
        <v>176</v>
      </c>
      <c r="D38" s="108"/>
      <c r="E38" s="108"/>
      <c r="F38" s="108"/>
      <c r="G38" s="108"/>
      <c r="H38" s="108"/>
    </row>
    <row r="39" spans="1:11" x14ac:dyDescent="0.3">
      <c r="A39" s="173" t="s">
        <v>35</v>
      </c>
      <c r="B39" s="173"/>
      <c r="C39" s="173"/>
      <c r="D39" s="173"/>
      <c r="E39" s="173"/>
      <c r="F39" s="173"/>
      <c r="G39" s="173"/>
      <c r="H39" s="173"/>
    </row>
    <row r="40" spans="1:11" x14ac:dyDescent="0.3">
      <c r="A40" s="149" t="s">
        <v>36</v>
      </c>
      <c r="B40" s="149"/>
      <c r="C40" s="149"/>
      <c r="D40" s="149"/>
      <c r="E40" s="182">
        <v>223308.52</v>
      </c>
      <c r="F40" s="182"/>
      <c r="G40" s="182"/>
      <c r="H40" s="182"/>
      <c r="J40" s="21">
        <v>275309.55</v>
      </c>
      <c r="K40" s="21" t="s">
        <v>232</v>
      </c>
    </row>
    <row r="41" spans="1:11" x14ac:dyDescent="0.3">
      <c r="A41" s="149" t="s">
        <v>37</v>
      </c>
      <c r="B41" s="149"/>
      <c r="C41" s="149"/>
      <c r="D41" s="149"/>
      <c r="E41" s="181">
        <f>669925.56/E40</f>
        <v>3.0000000000000004</v>
      </c>
      <c r="F41" s="181"/>
      <c r="G41" s="181"/>
      <c r="H41" s="181"/>
    </row>
    <row r="42" spans="1:11" x14ac:dyDescent="0.3">
      <c r="A42" s="149" t="s">
        <v>38</v>
      </c>
      <c r="B42" s="149"/>
      <c r="C42" s="149"/>
      <c r="D42" s="149"/>
      <c r="E42" s="181">
        <f>E44/E40-E41</f>
        <v>0</v>
      </c>
      <c r="F42" s="181"/>
      <c r="G42" s="181"/>
      <c r="H42" s="181"/>
    </row>
    <row r="43" spans="1:11" x14ac:dyDescent="0.3">
      <c r="A43" s="149" t="s">
        <v>39</v>
      </c>
      <c r="B43" s="149"/>
      <c r="C43" s="149"/>
      <c r="D43" s="149"/>
      <c r="E43" s="181">
        <f>E41+E42</f>
        <v>3.0000000000000004</v>
      </c>
      <c r="F43" s="181"/>
      <c r="G43" s="181"/>
      <c r="H43" s="181"/>
    </row>
    <row r="44" spans="1:11" x14ac:dyDescent="0.3">
      <c r="A44" s="149" t="s">
        <v>92</v>
      </c>
      <c r="B44" s="149"/>
      <c r="C44" s="149"/>
      <c r="D44" s="149"/>
      <c r="E44" s="186">
        <v>669925.56000000006</v>
      </c>
      <c r="F44" s="186"/>
      <c r="G44" s="186"/>
      <c r="H44" s="186"/>
      <c r="I44" s="21" t="s">
        <v>233</v>
      </c>
    </row>
    <row r="45" spans="1:11" x14ac:dyDescent="0.3">
      <c r="A45" s="109" t="s">
        <v>40</v>
      </c>
      <c r="B45" s="109"/>
      <c r="C45" s="109"/>
      <c r="D45" s="109"/>
      <c r="E45" s="109" t="s">
        <v>234</v>
      </c>
      <c r="F45" s="109"/>
      <c r="G45" s="109"/>
      <c r="H45" s="109"/>
    </row>
    <row r="46" spans="1:11" x14ac:dyDescent="0.3">
      <c r="A46" s="173" t="s">
        <v>41</v>
      </c>
      <c r="B46" s="173"/>
      <c r="C46" s="173"/>
      <c r="D46" s="173"/>
      <c r="E46" s="173"/>
      <c r="F46" s="173"/>
      <c r="G46" s="173"/>
      <c r="H46" s="173"/>
    </row>
    <row r="47" spans="1:11" ht="33.75" customHeight="1" x14ac:dyDescent="0.3">
      <c r="A47" s="103" t="s">
        <v>149</v>
      </c>
      <c r="B47" s="105"/>
      <c r="C47" s="200" t="s">
        <v>222</v>
      </c>
      <c r="D47" s="201"/>
      <c r="E47" s="201"/>
      <c r="F47" s="201"/>
      <c r="G47" s="201"/>
      <c r="H47" s="202"/>
    </row>
    <row r="48" spans="1:11" ht="15.75" customHeight="1" x14ac:dyDescent="0.3">
      <c r="A48" s="206" t="s">
        <v>236</v>
      </c>
      <c r="B48" s="207"/>
      <c r="C48" s="207"/>
      <c r="D48" s="207"/>
      <c r="E48" s="207"/>
      <c r="F48" s="207"/>
      <c r="G48" s="207"/>
      <c r="H48" s="208"/>
    </row>
    <row r="49" spans="1:9" ht="15.75" customHeight="1" x14ac:dyDescent="0.3">
      <c r="A49" s="103" t="s">
        <v>42</v>
      </c>
      <c r="B49" s="105"/>
      <c r="C49" s="103" t="s">
        <v>185</v>
      </c>
      <c r="D49" s="104"/>
      <c r="E49" s="105"/>
      <c r="F49" s="18" t="s">
        <v>43</v>
      </c>
      <c r="G49" s="106">
        <v>44999</v>
      </c>
      <c r="H49" s="105"/>
    </row>
    <row r="50" spans="1:9" x14ac:dyDescent="0.3">
      <c r="A50" s="103" t="s">
        <v>44</v>
      </c>
      <c r="B50" s="105"/>
      <c r="C50" s="103" t="str">
        <f>C49</f>
        <v>EE/Dn.II/MHP/SPA/A89963/ of 2023</v>
      </c>
      <c r="D50" s="104"/>
      <c r="E50" s="105"/>
      <c r="F50" s="18" t="s">
        <v>43</v>
      </c>
      <c r="G50" s="106">
        <f>G49</f>
        <v>44999</v>
      </c>
      <c r="H50" s="107"/>
    </row>
    <row r="51" spans="1:9" s="23" customFormat="1" ht="15.75" customHeight="1" x14ac:dyDescent="0.3">
      <c r="A51" s="188" t="s">
        <v>153</v>
      </c>
      <c r="B51" s="189"/>
      <c r="C51" s="103" t="s">
        <v>185</v>
      </c>
      <c r="D51" s="104"/>
      <c r="E51" s="105"/>
      <c r="F51" s="18" t="s">
        <v>43</v>
      </c>
      <c r="G51" s="106">
        <v>44999</v>
      </c>
      <c r="H51" s="107"/>
    </row>
    <row r="52" spans="1:9" s="23" customFormat="1" x14ac:dyDescent="0.3">
      <c r="A52" s="190"/>
      <c r="B52" s="191"/>
      <c r="C52" s="103" t="s">
        <v>187</v>
      </c>
      <c r="D52" s="104"/>
      <c r="E52" s="104"/>
      <c r="F52" s="104"/>
      <c r="G52" s="104"/>
      <c r="H52" s="105"/>
    </row>
    <row r="53" spans="1:9" ht="15.75" customHeight="1" x14ac:dyDescent="0.3">
      <c r="A53" s="206" t="s">
        <v>237</v>
      </c>
      <c r="B53" s="207"/>
      <c r="C53" s="207"/>
      <c r="D53" s="207"/>
      <c r="E53" s="207"/>
      <c r="F53" s="207"/>
      <c r="G53" s="207"/>
      <c r="H53" s="208"/>
    </row>
    <row r="54" spans="1:9" ht="15.75" customHeight="1" x14ac:dyDescent="0.3">
      <c r="A54" s="103" t="s">
        <v>42</v>
      </c>
      <c r="B54" s="105"/>
      <c r="C54" s="103" t="s">
        <v>235</v>
      </c>
      <c r="D54" s="104"/>
      <c r="E54" s="105"/>
      <c r="F54" s="18" t="s">
        <v>43</v>
      </c>
      <c r="G54" s="106">
        <v>45898</v>
      </c>
      <c r="H54" s="105"/>
      <c r="I54" s="21" t="s">
        <v>186</v>
      </c>
    </row>
    <row r="55" spans="1:9" x14ac:dyDescent="0.3">
      <c r="A55" s="103" t="s">
        <v>44</v>
      </c>
      <c r="B55" s="105"/>
      <c r="C55" s="103" t="str">
        <f>C54</f>
        <v>EE/Dn. II/MHP/SPA/I/130312/of 2025</v>
      </c>
      <c r="D55" s="104"/>
      <c r="E55" s="105"/>
      <c r="F55" s="18" t="s">
        <v>43</v>
      </c>
      <c r="G55" s="106">
        <f>G54</f>
        <v>45898</v>
      </c>
      <c r="H55" s="107"/>
    </row>
    <row r="56" spans="1:9" s="23" customFormat="1" ht="15.75" customHeight="1" x14ac:dyDescent="0.3">
      <c r="A56" s="188" t="s">
        <v>153</v>
      </c>
      <c r="B56" s="189"/>
      <c r="C56" s="103" t="s">
        <v>238</v>
      </c>
      <c r="D56" s="104"/>
      <c r="E56" s="105"/>
      <c r="F56" s="18" t="s">
        <v>43</v>
      </c>
      <c r="G56" s="106">
        <v>45748</v>
      </c>
      <c r="H56" s="107"/>
    </row>
    <row r="57" spans="1:9" s="23" customFormat="1" x14ac:dyDescent="0.3">
      <c r="A57" s="190"/>
      <c r="B57" s="191"/>
      <c r="C57" s="103" t="s">
        <v>239</v>
      </c>
      <c r="D57" s="104"/>
      <c r="E57" s="104"/>
      <c r="F57" s="104"/>
      <c r="G57" s="104"/>
      <c r="H57" s="105"/>
    </row>
    <row r="58" spans="1:9" s="23" customFormat="1" ht="15.75" customHeight="1" x14ac:dyDescent="0.3">
      <c r="A58" s="188" t="s">
        <v>240</v>
      </c>
      <c r="B58" s="189"/>
      <c r="C58" s="103" t="s">
        <v>235</v>
      </c>
      <c r="D58" s="104"/>
      <c r="E58" s="105"/>
      <c r="F58" s="18" t="s">
        <v>43</v>
      </c>
      <c r="G58" s="106">
        <v>45898</v>
      </c>
      <c r="H58" s="107"/>
    </row>
    <row r="59" spans="1:9" s="23" customFormat="1" ht="15.6" customHeight="1" x14ac:dyDescent="0.3">
      <c r="A59" s="190"/>
      <c r="B59" s="191"/>
      <c r="C59" s="103" t="s">
        <v>250</v>
      </c>
      <c r="D59" s="104"/>
      <c r="E59" s="104"/>
      <c r="F59" s="104"/>
      <c r="G59" s="104"/>
      <c r="H59" s="105"/>
    </row>
    <row r="60" spans="1:9" x14ac:dyDescent="0.3">
      <c r="A60" s="156" t="s">
        <v>45</v>
      </c>
      <c r="B60" s="157"/>
      <c r="C60" s="156" t="s">
        <v>105</v>
      </c>
      <c r="D60" s="158"/>
      <c r="E60" s="157"/>
      <c r="F60" s="44" t="s">
        <v>43</v>
      </c>
      <c r="G60" s="161" t="s">
        <v>30</v>
      </c>
      <c r="H60" s="162"/>
    </row>
    <row r="61" spans="1:9" x14ac:dyDescent="0.3">
      <c r="A61" s="159" t="s">
        <v>47</v>
      </c>
      <c r="B61" s="159"/>
      <c r="C61" s="159"/>
      <c r="D61" s="159"/>
      <c r="E61" s="159"/>
      <c r="F61" s="159"/>
      <c r="G61" s="159"/>
      <c r="H61" s="159"/>
    </row>
    <row r="62" spans="1:9" x14ac:dyDescent="0.3">
      <c r="A62" s="160" t="s">
        <v>91</v>
      </c>
      <c r="B62" s="160"/>
      <c r="C62" s="160"/>
      <c r="D62" s="149">
        <f>E44</f>
        <v>669925.56000000006</v>
      </c>
      <c r="E62" s="149"/>
      <c r="F62" s="149"/>
      <c r="G62" s="149"/>
      <c r="H62" s="149"/>
    </row>
    <row r="63" spans="1:9" x14ac:dyDescent="0.3">
      <c r="A63" s="108" t="s">
        <v>48</v>
      </c>
      <c r="B63" s="109"/>
      <c r="C63" s="109"/>
      <c r="D63" s="109" t="s">
        <v>287</v>
      </c>
      <c r="E63" s="109"/>
      <c r="F63" s="109"/>
      <c r="G63" s="109"/>
      <c r="H63" s="109"/>
      <c r="I63" s="24"/>
    </row>
    <row r="64" spans="1:9" ht="34.799999999999997" customHeight="1" x14ac:dyDescent="0.3">
      <c r="A64" s="110" t="s">
        <v>49</v>
      </c>
      <c r="B64" s="111"/>
      <c r="C64" s="112"/>
      <c r="D64" s="154" t="s">
        <v>290</v>
      </c>
      <c r="E64" s="155"/>
      <c r="F64" s="155"/>
      <c r="G64" s="155"/>
      <c r="H64" s="155"/>
    </row>
    <row r="65" spans="1:14" ht="33.6" customHeight="1" x14ac:dyDescent="0.3">
      <c r="A65" s="113"/>
      <c r="B65" s="114"/>
      <c r="C65" s="115"/>
      <c r="D65" s="108" t="s">
        <v>291</v>
      </c>
      <c r="E65" s="109"/>
      <c r="F65" s="109"/>
      <c r="G65" s="109"/>
      <c r="H65" s="109"/>
    </row>
    <row r="66" spans="1:14" ht="31.8" customHeight="1" x14ac:dyDescent="0.3">
      <c r="A66" s="110" t="s">
        <v>89</v>
      </c>
      <c r="B66" s="111"/>
      <c r="C66" s="112"/>
      <c r="D66" s="154" t="s">
        <v>290</v>
      </c>
      <c r="E66" s="155"/>
      <c r="F66" s="155"/>
      <c r="G66" s="155"/>
      <c r="H66" s="155"/>
    </row>
    <row r="67" spans="1:14" ht="32.4" customHeight="1" x14ac:dyDescent="0.3">
      <c r="A67" s="113"/>
      <c r="B67" s="114"/>
      <c r="C67" s="115"/>
      <c r="D67" s="108" t="s">
        <v>291</v>
      </c>
      <c r="E67" s="109"/>
      <c r="F67" s="109"/>
      <c r="G67" s="109"/>
      <c r="H67" s="109"/>
    </row>
    <row r="68" spans="1:14" ht="31.8" customHeight="1" x14ac:dyDescent="0.3">
      <c r="A68" s="149" t="s">
        <v>46</v>
      </c>
      <c r="B68" s="149"/>
      <c r="C68" s="149"/>
      <c r="D68" s="185" t="s">
        <v>292</v>
      </c>
      <c r="E68" s="185"/>
      <c r="F68" s="185"/>
      <c r="G68" s="185"/>
      <c r="H68" s="185"/>
      <c r="J68" s="25"/>
      <c r="K68" s="24"/>
      <c r="N68" s="24"/>
    </row>
    <row r="69" spans="1:14" ht="15.75" customHeight="1" x14ac:dyDescent="0.3">
      <c r="A69" s="149" t="s">
        <v>87</v>
      </c>
      <c r="B69" s="149"/>
      <c r="C69" s="149"/>
      <c r="D69" s="199" t="str">
        <f>(IF(G60="NA","60 Years After Completion",IF(G60&lt;&gt;"NA",""&amp;60-ROUNDDOWN((E3-G60)/360,0)&amp;" Years"," ")))</f>
        <v>60 Years After Completion</v>
      </c>
      <c r="E69" s="199"/>
      <c r="F69" s="199"/>
      <c r="G69" s="199"/>
      <c r="H69" s="199"/>
      <c r="N69" s="24"/>
    </row>
    <row r="70" spans="1:14" ht="15.75" customHeight="1" x14ac:dyDescent="0.3">
      <c r="A70" s="149" t="s">
        <v>88</v>
      </c>
      <c r="B70" s="149"/>
      <c r="C70" s="149"/>
      <c r="D70" s="160" t="s">
        <v>24</v>
      </c>
      <c r="E70" s="160"/>
      <c r="F70" s="160"/>
      <c r="G70" s="160"/>
      <c r="H70" s="160"/>
      <c r="J70" s="26"/>
      <c r="K70" s="26"/>
    </row>
    <row r="71" spans="1:14" ht="48" customHeight="1" x14ac:dyDescent="0.3">
      <c r="A71" s="149" t="s">
        <v>74</v>
      </c>
      <c r="B71" s="149"/>
      <c r="C71" s="149"/>
      <c r="D71" s="108" t="s">
        <v>209</v>
      </c>
      <c r="E71" s="160"/>
      <c r="F71" s="160"/>
      <c r="G71" s="160"/>
      <c r="H71" s="160"/>
    </row>
    <row r="72" spans="1:14" x14ac:dyDescent="0.3">
      <c r="A72" s="160" t="s">
        <v>147</v>
      </c>
      <c r="B72" s="160"/>
      <c r="C72" s="160"/>
      <c r="D72" s="160" t="s">
        <v>30</v>
      </c>
      <c r="E72" s="160"/>
      <c r="F72" s="160"/>
      <c r="G72" s="160"/>
      <c r="H72" s="160"/>
      <c r="I72" s="27"/>
      <c r="J72" s="27"/>
      <c r="K72" s="27"/>
      <c r="L72" s="27"/>
      <c r="M72" s="27"/>
      <c r="N72" s="27"/>
    </row>
    <row r="73" spans="1:14" ht="15.75" customHeight="1" x14ac:dyDescent="0.3">
      <c r="A73" s="175" t="s">
        <v>86</v>
      </c>
      <c r="B73" s="175"/>
      <c r="C73" s="175"/>
      <c r="D73" s="154" t="s">
        <v>225</v>
      </c>
      <c r="E73" s="154"/>
      <c r="F73" s="154"/>
      <c r="G73" s="154"/>
      <c r="H73" s="154"/>
      <c r="I73" s="21" t="e">
        <f>(IF(#REF!&gt;95%,"Nothing",IF(#REF!&gt;0%,"Cement, Aggregate, Steel, etc",IF(#REF!=0%,"Work not yet Started"))))</f>
        <v>#REF!</v>
      </c>
      <c r="J73" s="26"/>
    </row>
    <row r="74" spans="1:14" ht="33.75" customHeight="1" thickBot="1" x14ac:dyDescent="0.35">
      <c r="A74" s="174" t="s">
        <v>118</v>
      </c>
      <c r="B74" s="174"/>
      <c r="C74" s="174"/>
      <c r="D74" s="154" t="s">
        <v>226</v>
      </c>
      <c r="E74" s="154"/>
      <c r="F74" s="154" t="b">
        <f>(IF(D73="Nothing","Yes",IF(D73="Cement, Aggregate, Steel, etc","Under Construction",IF(D73="Work not yet Started","Work not yet Started"))))</f>
        <v>0</v>
      </c>
      <c r="G74" s="154"/>
      <c r="H74" s="154"/>
      <c r="I74" s="21" t="b">
        <f>(IF(D73="Nothing","Yes",IF(D73="Cement, Aggregate, Steel, etc","Under Construction",IF(D73="Work not yet Started","Work not yet Started"))))</f>
        <v>0</v>
      </c>
    </row>
    <row r="75" spans="1:14" x14ac:dyDescent="0.3">
      <c r="A75" s="126" t="s">
        <v>139</v>
      </c>
      <c r="B75" s="127"/>
      <c r="C75" s="128" t="str">
        <f>D66</f>
        <v>Raheja Prime 1 Tower 1 = Gr + 5 Podium + E-Deck/1st Floor + 2nd to 28th Floor</v>
      </c>
      <c r="D75" s="129"/>
      <c r="E75" s="129"/>
      <c r="F75" s="129"/>
      <c r="G75" s="129"/>
      <c r="H75" s="130"/>
      <c r="I75" s="46" t="str">
        <f ca="1">IF(D88=100%,"All work Completed. Possession granted to the Building.",IF(D87=100%,"All work Completed, Waiting for OC",I76&amp;""&amp;I77&amp;""&amp;J76&amp;""&amp;J75&amp;" "&amp;J77))</f>
        <v>Excavation, Plinth Completed, RCC upto 15 Slab Completed</v>
      </c>
      <c r="J75" s="47" t="str">
        <f ca="1">(IF(C81=(D76+F76+H76),"",IF(C81&gt;0,", RCC upto "&amp;C81&amp;" Slab","")))&amp;(IF(C82=H76,"",IF(C82&gt;0,", Brickwork upto "&amp;C82&amp;" Floor","")))&amp;(IF(C83=H76,"",IF(C83&gt;0,", Internal Plaster upto "&amp;C83&amp;" Floor","")))&amp;(IF(C84=H76,"",IF(C84&gt;0,", External Plaster upto "&amp;C84&amp;" Floor","")))&amp;(IF(C85=H76,"",IF(C85&gt;0,", Flooring upto "&amp;C85&amp;" Floor","")))&amp;(IF(C86=H76,"",IF(C86&gt;0,", Painting upto "&amp;C86&amp;" Floor","")))&amp;(IF(C87=H76,"",IF(C87&gt;0,", Finishing upto "&amp;C87&amp;" Floor","")))&amp;(IF(C88=H76,"",IF(C88&gt;0,", Possession upto "&amp;C88&amp;" Floor","")))</f>
        <v>, RCC upto 15 Slab</v>
      </c>
    </row>
    <row r="76" spans="1:14" x14ac:dyDescent="0.3">
      <c r="A76" s="16" t="s">
        <v>141</v>
      </c>
      <c r="B76" s="54">
        <v>0</v>
      </c>
      <c r="C76" s="54" t="s">
        <v>71</v>
      </c>
      <c r="D76" s="54">
        <v>1</v>
      </c>
      <c r="E76" s="54" t="s">
        <v>70</v>
      </c>
      <c r="F76" s="54">
        <v>5</v>
      </c>
      <c r="G76" s="54" t="s">
        <v>80</v>
      </c>
      <c r="H76" s="17">
        <f ca="1">--TRIM(RIGHT(SUBSTITUTE(LEFT(C75,_xlfn.AGGREGATE(16,6,FIND({0,1,2,3,4,5,6,7,8,9},C75,ROW(INDIRECT("1:"&amp;LEN(C75)))),1))," ",REPT(" ",LEN(C75))),LEN(C75)))</f>
        <v>28</v>
      </c>
      <c r="I76" s="48" t="str">
        <f ca="1">IF(D79=100%,"Excavation","")&amp;IF(D80=100%,", Plinth","")&amp;IF(D81=100%,", RCC Slab","")&amp;IF(D82=100%,", Brickwork","")&amp;IF(D83=100%,", Internal Plaster","")&amp;IF(D84=100%,", External Plaster","")&amp;IF(D85=100%,", Flooring","")&amp;IF(D86=100%,", Painting","")&amp;IF(D87=100%,", Building common Amenities","")</f>
        <v>Excavation, Plinth</v>
      </c>
      <c r="J76" s="49" t="str">
        <f ca="1">(IF(C79=0,"Work not yet Started.",IF(D79=25%,"Piling work in process",IF(D79=50%,"Excavation work in process",IF(D79=100%,"","0")))))&amp;(IF(C80=0%,"",IF(C80=J81,", Footing work is process",IF(C80=J82,", Footing work Completed",IF(C80=J83,", 1st Basement Completed",IF(C80=J84,", 1st &amp; 2nd Basement Completed",IF(C80=J85,", 1st to 3rd Basement Completed",IF(C80=J86,", 1st to 4th Basement Completed",IF(C80=J87,", Plinth work is process",IF(C80=J88,"","0"))))))))))</f>
        <v/>
      </c>
    </row>
    <row r="77" spans="1:14" ht="18.75" customHeight="1" x14ac:dyDescent="0.3">
      <c r="A77" s="131" t="s">
        <v>90</v>
      </c>
      <c r="B77" s="132"/>
      <c r="C77" s="133" t="str">
        <f ca="1">I75</f>
        <v>Excavation, Plinth Completed, RCC upto 15 Slab Completed</v>
      </c>
      <c r="D77" s="133"/>
      <c r="E77" s="133"/>
      <c r="F77" s="133"/>
      <c r="G77" s="133"/>
      <c r="H77" s="134"/>
      <c r="I77" s="48" t="str">
        <f ca="1">IF(I76&lt;&gt;""," Completed","")</f>
        <v xml:space="preserve"> Completed</v>
      </c>
      <c r="J77" s="49" t="str">
        <f ca="1">IF(J75&lt;&gt;"","Completed","")</f>
        <v>Completed</v>
      </c>
    </row>
    <row r="78" spans="1:14" ht="15.75" customHeight="1" x14ac:dyDescent="0.3">
      <c r="A78" s="135" t="s">
        <v>50</v>
      </c>
      <c r="B78" s="136"/>
      <c r="C78" s="53" t="s">
        <v>138</v>
      </c>
      <c r="D78" s="53" t="s">
        <v>83</v>
      </c>
      <c r="E78" s="136" t="s">
        <v>85</v>
      </c>
      <c r="F78" s="136"/>
      <c r="G78" s="136" t="s">
        <v>84</v>
      </c>
      <c r="H78" s="137"/>
      <c r="I78" s="14" t="s">
        <v>140</v>
      </c>
      <c r="J78" s="28">
        <f ca="1">H76*25%</f>
        <v>7</v>
      </c>
    </row>
    <row r="79" spans="1:14" x14ac:dyDescent="0.3">
      <c r="A79" s="135" t="s">
        <v>127</v>
      </c>
      <c r="B79" s="136"/>
      <c r="C79" s="53">
        <v>28</v>
      </c>
      <c r="D79" s="19">
        <f ca="1">((100/H76)*C79)/100</f>
        <v>1</v>
      </c>
      <c r="E79" s="138">
        <f ca="1">(((C80/H76*10)+(40/(D76+F76+H76)*C81)+(7.5/(H76)*C82)+(7.5/(H76)*C83)+(10/H76*C84)+(10/H76*C85)+(5/H76*C86)+(5/H76*C87)+(5/H76*C88))/100)</f>
        <v>0.27647058823529413</v>
      </c>
      <c r="F79" s="139"/>
      <c r="G79" s="138">
        <f ca="1">((((C79/H76)*20)+((C80/H76)*25)+(30/(H76+F76+D76)*C81)+(5/H76*C82)+(5/H76*C83)+(5/H76*C84)+(5/H76*C85)+(0/H76*C86)+(0/H76*C87)+(5/H76*C88))/100)</f>
        <v>0.58235294117647063</v>
      </c>
      <c r="H79" s="144"/>
      <c r="I79" s="14" t="s">
        <v>100</v>
      </c>
      <c r="J79" s="29">
        <f ca="1">H76*50%</f>
        <v>14</v>
      </c>
    </row>
    <row r="80" spans="1:14" x14ac:dyDescent="0.3">
      <c r="A80" s="135" t="s">
        <v>51</v>
      </c>
      <c r="B80" s="136"/>
      <c r="C80" s="52">
        <f ca="1">J88</f>
        <v>28</v>
      </c>
      <c r="D80" s="19">
        <f ca="1">((100/H76)*C80)/100</f>
        <v>1</v>
      </c>
      <c r="E80" s="140"/>
      <c r="F80" s="141"/>
      <c r="G80" s="140"/>
      <c r="H80" s="145"/>
      <c r="I80" s="14" t="s">
        <v>101</v>
      </c>
      <c r="J80" s="29">
        <f ca="1">H76</f>
        <v>28</v>
      </c>
    </row>
    <row r="81" spans="1:10" x14ac:dyDescent="0.3">
      <c r="A81" s="135" t="s">
        <v>128</v>
      </c>
      <c r="B81" s="136"/>
      <c r="C81" s="53">
        <v>15</v>
      </c>
      <c r="D81" s="19">
        <f ca="1">((100/(D76+F76+H76))*C81)/100</f>
        <v>0.44117647058823534</v>
      </c>
      <c r="E81" s="140"/>
      <c r="F81" s="141"/>
      <c r="G81" s="140"/>
      <c r="H81" s="145"/>
      <c r="I81" s="14" t="s">
        <v>102</v>
      </c>
      <c r="J81" s="30">
        <f ca="1">(IF(B76&gt;1,(H76/(B76+2)),H76/4))</f>
        <v>7</v>
      </c>
    </row>
    <row r="82" spans="1:10" ht="15.75" customHeight="1" x14ac:dyDescent="0.3">
      <c r="A82" s="135" t="s">
        <v>135</v>
      </c>
      <c r="B82" s="136" t="s">
        <v>129</v>
      </c>
      <c r="C82" s="53">
        <v>0</v>
      </c>
      <c r="D82" s="19">
        <f ca="1">((100/H76)*C82)/100</f>
        <v>0</v>
      </c>
      <c r="E82" s="140"/>
      <c r="F82" s="141"/>
      <c r="G82" s="140"/>
      <c r="H82" s="145"/>
      <c r="I82" s="14" t="s">
        <v>103</v>
      </c>
      <c r="J82" s="30">
        <f ca="1">(IF(B76&gt;1,(H76/(B76+2)+J81),H76/4+J81))</f>
        <v>14</v>
      </c>
    </row>
    <row r="83" spans="1:10" ht="15.75" customHeight="1" x14ac:dyDescent="0.3">
      <c r="A83" s="135" t="s">
        <v>136</v>
      </c>
      <c r="B83" s="136" t="s">
        <v>129</v>
      </c>
      <c r="C83" s="53">
        <v>0</v>
      </c>
      <c r="D83" s="19">
        <f ca="1">((100/H76)*C83)/100</f>
        <v>0</v>
      </c>
      <c r="E83" s="140"/>
      <c r="F83" s="141"/>
      <c r="G83" s="140"/>
      <c r="H83" s="145"/>
      <c r="I83" s="14" t="s">
        <v>145</v>
      </c>
      <c r="J83" s="30">
        <f>(IF(B76&gt;1,(H76/(B76+2)+J82),0))</f>
        <v>0</v>
      </c>
    </row>
    <row r="84" spans="1:10" ht="15" customHeight="1" x14ac:dyDescent="0.3">
      <c r="A84" s="135" t="s">
        <v>134</v>
      </c>
      <c r="B84" s="136" t="s">
        <v>131</v>
      </c>
      <c r="C84" s="53">
        <v>0</v>
      </c>
      <c r="D84" s="19">
        <f ca="1">((100/(H76))*C84)/100</f>
        <v>0</v>
      </c>
      <c r="E84" s="140"/>
      <c r="F84" s="141"/>
      <c r="G84" s="140"/>
      <c r="H84" s="145"/>
      <c r="I84" s="14" t="s">
        <v>142</v>
      </c>
      <c r="J84" s="30">
        <f>(IF(B76&gt;2,(H76/(B76+2)+J83),0))</f>
        <v>0</v>
      </c>
    </row>
    <row r="85" spans="1:10" ht="15.75" customHeight="1" x14ac:dyDescent="0.3">
      <c r="A85" s="135" t="s">
        <v>130</v>
      </c>
      <c r="B85" s="136" t="s">
        <v>130</v>
      </c>
      <c r="C85" s="53">
        <v>0</v>
      </c>
      <c r="D85" s="19">
        <f ca="1">((100/H76)*C85)/100</f>
        <v>0</v>
      </c>
      <c r="E85" s="140"/>
      <c r="F85" s="141"/>
      <c r="G85" s="140"/>
      <c r="H85" s="145"/>
      <c r="I85" s="14" t="s">
        <v>143</v>
      </c>
      <c r="J85" s="31">
        <f>(IF(B76&gt;3,(H76/(B76+2)+J84),0))</f>
        <v>0</v>
      </c>
    </row>
    <row r="86" spans="1:10" ht="15.75" customHeight="1" x14ac:dyDescent="0.3">
      <c r="A86" s="135" t="s">
        <v>137</v>
      </c>
      <c r="B86" s="136"/>
      <c r="C86" s="53">
        <v>0</v>
      </c>
      <c r="D86" s="19">
        <f ca="1">((100/H76)*C86)/100</f>
        <v>0</v>
      </c>
      <c r="E86" s="140"/>
      <c r="F86" s="141"/>
      <c r="G86" s="140"/>
      <c r="H86" s="145"/>
      <c r="I86" s="14" t="s">
        <v>144</v>
      </c>
      <c r="J86" s="30">
        <f>(IF(B76&gt;4,(H76/(B76+2)+J85),0))</f>
        <v>0</v>
      </c>
    </row>
    <row r="87" spans="1:10" ht="15.75" customHeight="1" x14ac:dyDescent="0.3">
      <c r="A87" s="135" t="s">
        <v>132</v>
      </c>
      <c r="B87" s="136" t="s">
        <v>132</v>
      </c>
      <c r="C87" s="53">
        <v>0</v>
      </c>
      <c r="D87" s="19">
        <f ca="1">((100/(H76))*C87)/100</f>
        <v>0</v>
      </c>
      <c r="E87" s="140"/>
      <c r="F87" s="141"/>
      <c r="G87" s="140"/>
      <c r="H87" s="145"/>
      <c r="I87" s="14" t="s">
        <v>146</v>
      </c>
      <c r="J87" s="30">
        <f ca="1">(IF(B76=1,(H76/(B76+3)+J82),IF(B76=0,(H76/4+J82),IF(B76&gt;1,0))))</f>
        <v>21</v>
      </c>
    </row>
    <row r="88" spans="1:10" ht="16.2" thickBot="1" x14ac:dyDescent="0.35">
      <c r="A88" s="147" t="s">
        <v>133</v>
      </c>
      <c r="B88" s="148"/>
      <c r="C88" s="55">
        <v>0</v>
      </c>
      <c r="D88" s="20">
        <f ca="1">((100/(H76))*C88)/100</f>
        <v>0</v>
      </c>
      <c r="E88" s="142"/>
      <c r="F88" s="143"/>
      <c r="G88" s="142"/>
      <c r="H88" s="146"/>
      <c r="I88" s="15" t="s">
        <v>104</v>
      </c>
      <c r="J88" s="32">
        <f ca="1">(IF(B76&gt;1.5,(H76/(B76+2)+J82+MAX(0,J83-J82)+MAX(0,J84-J83)+MAX(0,J85-J84)+MAX(0,J86-J85)+MAX(0,J87-J86)),IF(B76=1,(H76/(B76+3)+J87),IF(B76=0,H76/4+J87))))</f>
        <v>28</v>
      </c>
    </row>
    <row r="89" spans="1:10" ht="15.75" hidden="1" customHeight="1" x14ac:dyDescent="0.3">
      <c r="A89" s="126" t="s">
        <v>139</v>
      </c>
      <c r="B89" s="127"/>
      <c r="C89" s="128" t="s">
        <v>220</v>
      </c>
      <c r="D89" s="129"/>
      <c r="E89" s="129"/>
      <c r="F89" s="129"/>
      <c r="G89" s="129"/>
      <c r="H89" s="130"/>
      <c r="I89" s="46" t="str">
        <f ca="1">IF(D102=100%,"All work Completed. Possession granted to the Building.",IF(D101=100%,"All work Completed, Waiting for OC",I90&amp;""&amp;I91&amp;""&amp;J90&amp;""&amp;J89&amp;" "&amp;J91))</f>
        <v>Excavation, Plinth Completed, RCC upto 6 Slab Completed</v>
      </c>
      <c r="J89" s="47" t="str">
        <f ca="1">(IF(C95=(D90+F90+H90),"",IF(C95&gt;0,", RCC upto "&amp;C95&amp;" Slab","")))&amp;(IF(C96=H90,"",IF(C96&gt;0,", Brickwork upto "&amp;C96&amp;" Floor","")))&amp;(IF(C97=H90,"",IF(C97&gt;0,", Internal Plaster upto "&amp;C97&amp;" Floor","")))&amp;(IF(C98=H90,"",IF(C98&gt;0,", External Plaster upto "&amp;C98&amp;" Floor","")))&amp;(IF(C99=H90,"",IF(C99&gt;0,", Flooring upto "&amp;C99&amp;" Floor","")))&amp;(IF(C100=H90,"",IF(C100&gt;0,", Painting upto "&amp;C100&amp;" Floor","")))&amp;(IF(C101=H90,"",IF(C101&gt;0,", Finishing upto "&amp;C101&amp;" Floor","")))&amp;(IF(C102=H90,"",IF(C102&gt;0,", Possession upto "&amp;C102&amp;" Floor","")))</f>
        <v>, RCC upto 6 Slab</v>
      </c>
    </row>
    <row r="90" spans="1:10" hidden="1" x14ac:dyDescent="0.3">
      <c r="A90" s="16" t="s">
        <v>141</v>
      </c>
      <c r="B90" s="54">
        <v>0</v>
      </c>
      <c r="C90" s="54" t="s">
        <v>71</v>
      </c>
      <c r="D90" s="54">
        <v>1</v>
      </c>
      <c r="E90" s="54" t="s">
        <v>70</v>
      </c>
      <c r="F90" s="54">
        <v>5</v>
      </c>
      <c r="G90" s="54" t="s">
        <v>80</v>
      </c>
      <c r="H90" s="17">
        <f ca="1">--TRIM(RIGHT(SUBSTITUTE(LEFT(C89,_xlfn.AGGREGATE(16,6,FIND({0,1,2,3,4,5,6,7,8,9},C89,ROW(INDIRECT("1:"&amp;LEN(C89)))),1))," ",REPT(" ",LEN(C89))),LEN(C89)))</f>
        <v>28</v>
      </c>
      <c r="I90" s="48" t="str">
        <f ca="1">IF(D93=100%,"Excavation","")&amp;IF(D94=100%,", Plinth","")&amp;IF(D95=100%,", RCC Slab","")&amp;IF(D96=100%,", Brickwork","")&amp;IF(D97=100%,", Internal Plaster","")&amp;IF(D98=100%,", External Plaster","")&amp;IF(D99=100%,", Flooring","")&amp;IF(D100=100%,", Painting","")&amp;IF(D101=100%,", Building common Amenities","")</f>
        <v>Excavation, Plinth</v>
      </c>
      <c r="J90" s="49" t="str">
        <f ca="1">(IF(C93=0,"Work not yet Started.",IF(D93=25%,"Piling work in process",IF(D93=50%,"Excavation work in process",IF(D93=100%,"","0")))))&amp;(IF(C94=0%,"",IF(C94=J95,", Footing work is process",IF(C94=J96,", Footing work Completed",IF(C94=J97,", 1st Basement Completed",IF(C94=J98,", 1st &amp; 2nd Basement Completed",IF(C94=J99,", 1st to 3rd Basement Completed",IF(C94=J100,", 1st to 4th Basement Completed",IF(C94=J101,", Plinth work is process",IF(C94=J102,"","0"))))))))))</f>
        <v/>
      </c>
    </row>
    <row r="91" spans="1:10" ht="18.75" hidden="1" customHeight="1" x14ac:dyDescent="0.3">
      <c r="A91" s="131" t="s">
        <v>90</v>
      </c>
      <c r="B91" s="132"/>
      <c r="C91" s="133" t="str">
        <f ca="1">I89</f>
        <v>Excavation, Plinth Completed, RCC upto 6 Slab Completed</v>
      </c>
      <c r="D91" s="133"/>
      <c r="E91" s="133"/>
      <c r="F91" s="133"/>
      <c r="G91" s="133"/>
      <c r="H91" s="134"/>
      <c r="I91" s="48" t="str">
        <f ca="1">IF(I90&lt;&gt;""," Completed","")</f>
        <v xml:space="preserve"> Completed</v>
      </c>
      <c r="J91" s="49" t="str">
        <f ca="1">IF(J89&lt;&gt;"","Completed","")</f>
        <v>Completed</v>
      </c>
    </row>
    <row r="92" spans="1:10" ht="15.75" hidden="1" customHeight="1" x14ac:dyDescent="0.3">
      <c r="A92" s="135" t="s">
        <v>50</v>
      </c>
      <c r="B92" s="136"/>
      <c r="C92" s="53" t="s">
        <v>138</v>
      </c>
      <c r="D92" s="53" t="s">
        <v>83</v>
      </c>
      <c r="E92" s="136" t="s">
        <v>85</v>
      </c>
      <c r="F92" s="136"/>
      <c r="G92" s="136" t="s">
        <v>84</v>
      </c>
      <c r="H92" s="137"/>
      <c r="I92" s="14" t="s">
        <v>140</v>
      </c>
      <c r="J92" s="28">
        <f ca="1">H90*25%</f>
        <v>7</v>
      </c>
    </row>
    <row r="93" spans="1:10" hidden="1" x14ac:dyDescent="0.3">
      <c r="A93" s="135" t="s">
        <v>127</v>
      </c>
      <c r="B93" s="136"/>
      <c r="C93" s="53">
        <v>28</v>
      </c>
      <c r="D93" s="19">
        <f ca="1">((100/H90)*C93)/100</f>
        <v>1</v>
      </c>
      <c r="E93" s="138">
        <f ca="1">(((C94/H90*10)+(40/(D90+F90+H90)*C95)+(7.5/(H90)*C96)+(7.5/(H90)*C97)+(10/H90*C98)+(10/H90*C99)+(5/H90*C100)+(5/H90*C101)+(5/H90*C102))/100)</f>
        <v>0.17058823529411765</v>
      </c>
      <c r="F93" s="139"/>
      <c r="G93" s="138">
        <f ca="1">((((C93/H90)*20)+((C94/H90)*25)+(30/(H90+F90+D90)*C95)+(5/H90*C96)+(5/H90*C97)+(5/H90*C98)+(5/H90*C99)+(0/H90*C100)+(0/H90*C101)+(5/H90*C102))/100)</f>
        <v>0.50294117647058822</v>
      </c>
      <c r="H93" s="144"/>
      <c r="I93" s="14" t="s">
        <v>100</v>
      </c>
      <c r="J93" s="29">
        <f ca="1">H90*50%</f>
        <v>14</v>
      </c>
    </row>
    <row r="94" spans="1:10" hidden="1" x14ac:dyDescent="0.3">
      <c r="A94" s="135" t="s">
        <v>51</v>
      </c>
      <c r="B94" s="136"/>
      <c r="C94" s="52">
        <f ca="1">J102</f>
        <v>28</v>
      </c>
      <c r="D94" s="19">
        <f ca="1">((100/H90)*C94)/100</f>
        <v>1</v>
      </c>
      <c r="E94" s="140"/>
      <c r="F94" s="141"/>
      <c r="G94" s="140"/>
      <c r="H94" s="145"/>
      <c r="I94" s="14" t="s">
        <v>101</v>
      </c>
      <c r="J94" s="29">
        <f ca="1">H90</f>
        <v>28</v>
      </c>
    </row>
    <row r="95" spans="1:10" hidden="1" x14ac:dyDescent="0.3">
      <c r="A95" s="135" t="s">
        <v>128</v>
      </c>
      <c r="B95" s="136"/>
      <c r="C95" s="53">
        <v>6</v>
      </c>
      <c r="D95" s="19">
        <f ca="1">((100/(D90+F90+H90))*C95)/100</f>
        <v>0.17647058823529413</v>
      </c>
      <c r="E95" s="140"/>
      <c r="F95" s="141"/>
      <c r="G95" s="140"/>
      <c r="H95" s="145"/>
      <c r="I95" s="14" t="s">
        <v>102</v>
      </c>
      <c r="J95" s="30">
        <f ca="1">(IF(B90&gt;1,(H90/(B90+2)),H90/4))</f>
        <v>7</v>
      </c>
    </row>
    <row r="96" spans="1:10" ht="15.75" hidden="1" customHeight="1" x14ac:dyDescent="0.3">
      <c r="A96" s="135" t="s">
        <v>135</v>
      </c>
      <c r="B96" s="136" t="s">
        <v>129</v>
      </c>
      <c r="C96" s="53">
        <v>0</v>
      </c>
      <c r="D96" s="19">
        <f ca="1">((100/H90)*C96)/100</f>
        <v>0</v>
      </c>
      <c r="E96" s="140"/>
      <c r="F96" s="141"/>
      <c r="G96" s="140"/>
      <c r="H96" s="145"/>
      <c r="I96" s="14" t="s">
        <v>103</v>
      </c>
      <c r="J96" s="30">
        <f ca="1">(IF(B90&gt;1,(H90/(B90+2)+J95),H90/4+J95))</f>
        <v>14</v>
      </c>
    </row>
    <row r="97" spans="1:10" ht="15.75" hidden="1" customHeight="1" x14ac:dyDescent="0.3">
      <c r="A97" s="135" t="s">
        <v>136</v>
      </c>
      <c r="B97" s="136" t="s">
        <v>129</v>
      </c>
      <c r="C97" s="53">
        <v>0</v>
      </c>
      <c r="D97" s="19">
        <f ca="1">((100/H90)*C97)/100</f>
        <v>0</v>
      </c>
      <c r="E97" s="140"/>
      <c r="F97" s="141"/>
      <c r="G97" s="140"/>
      <c r="H97" s="145"/>
      <c r="I97" s="14" t="s">
        <v>145</v>
      </c>
      <c r="J97" s="30">
        <f>(IF(B90&gt;1,(H90/(B90+2)+J96),0))</f>
        <v>0</v>
      </c>
    </row>
    <row r="98" spans="1:10" ht="15" hidden="1" customHeight="1" x14ac:dyDescent="0.3">
      <c r="A98" s="135" t="s">
        <v>134</v>
      </c>
      <c r="B98" s="136" t="s">
        <v>131</v>
      </c>
      <c r="C98" s="53">
        <v>0</v>
      </c>
      <c r="D98" s="19">
        <f ca="1">((100/(H90))*C98)/100</f>
        <v>0</v>
      </c>
      <c r="E98" s="140"/>
      <c r="F98" s="141"/>
      <c r="G98" s="140"/>
      <c r="H98" s="145"/>
      <c r="I98" s="14" t="s">
        <v>142</v>
      </c>
      <c r="J98" s="30">
        <f>(IF(B90&gt;2,(H90/(B90+2)+J97),0))</f>
        <v>0</v>
      </c>
    </row>
    <row r="99" spans="1:10" ht="15.75" hidden="1" customHeight="1" x14ac:dyDescent="0.3">
      <c r="A99" s="135" t="s">
        <v>130</v>
      </c>
      <c r="B99" s="136" t="s">
        <v>130</v>
      </c>
      <c r="C99" s="53">
        <v>0</v>
      </c>
      <c r="D99" s="19">
        <f ca="1">((100/H90)*C99)/100</f>
        <v>0</v>
      </c>
      <c r="E99" s="140"/>
      <c r="F99" s="141"/>
      <c r="G99" s="140"/>
      <c r="H99" s="145"/>
      <c r="I99" s="14" t="s">
        <v>143</v>
      </c>
      <c r="J99" s="31">
        <f>(IF(B90&gt;3,(H90/(B90+2)+J98),0))</f>
        <v>0</v>
      </c>
    </row>
    <row r="100" spans="1:10" ht="15.75" hidden="1" customHeight="1" x14ac:dyDescent="0.3">
      <c r="A100" s="135" t="s">
        <v>137</v>
      </c>
      <c r="B100" s="136"/>
      <c r="C100" s="53">
        <v>0</v>
      </c>
      <c r="D100" s="19">
        <f ca="1">((100/H90)*C100)/100</f>
        <v>0</v>
      </c>
      <c r="E100" s="140"/>
      <c r="F100" s="141"/>
      <c r="G100" s="140"/>
      <c r="H100" s="145"/>
      <c r="I100" s="14" t="s">
        <v>144</v>
      </c>
      <c r="J100" s="30">
        <f>(IF(B90&gt;4,(H90/(B90+2)+J99),0))</f>
        <v>0</v>
      </c>
    </row>
    <row r="101" spans="1:10" ht="15.75" hidden="1" customHeight="1" x14ac:dyDescent="0.3">
      <c r="A101" s="135" t="s">
        <v>132</v>
      </c>
      <c r="B101" s="136" t="s">
        <v>132</v>
      </c>
      <c r="C101" s="53">
        <v>0</v>
      </c>
      <c r="D101" s="19">
        <f ca="1">((100/(H90))*C101)/100</f>
        <v>0</v>
      </c>
      <c r="E101" s="140"/>
      <c r="F101" s="141"/>
      <c r="G101" s="140"/>
      <c r="H101" s="145"/>
      <c r="I101" s="14" t="s">
        <v>146</v>
      </c>
      <c r="J101" s="30">
        <f ca="1">(IF(B90=1,(H90/(B90+3)+J96),IF(B90=0,(H90/4+J96),IF(B90&gt;1,0))))</f>
        <v>21</v>
      </c>
    </row>
    <row r="102" spans="1:10" ht="16.2" hidden="1" thickBot="1" x14ac:dyDescent="0.35">
      <c r="A102" s="147" t="s">
        <v>133</v>
      </c>
      <c r="B102" s="148"/>
      <c r="C102" s="55">
        <v>0</v>
      </c>
      <c r="D102" s="20">
        <f ca="1">((100/(H90))*C102)/100</f>
        <v>0</v>
      </c>
      <c r="E102" s="142"/>
      <c r="F102" s="143"/>
      <c r="G102" s="142"/>
      <c r="H102" s="146"/>
      <c r="I102" s="15" t="s">
        <v>104</v>
      </c>
      <c r="J102" s="32">
        <f ca="1">(IF(B90&gt;1.5,(H90/(B90+2)+J96+MAX(0,J97-J96)+MAX(0,J98-J97)+MAX(0,J99-J98)+MAX(0,J100-J99)+MAX(0,J101-J100)),IF(B90=1,(H90/(B90+3)+J101),IF(B90=0,H90/4+J101))))</f>
        <v>28</v>
      </c>
    </row>
    <row r="103" spans="1:10" hidden="1" x14ac:dyDescent="0.3">
      <c r="A103" s="116" t="s">
        <v>223</v>
      </c>
      <c r="B103" s="117"/>
      <c r="C103" s="120">
        <f ca="1">AVERAGE(E79,E93)</f>
        <v>0.22352941176470589</v>
      </c>
      <c r="D103" s="117"/>
      <c r="E103" s="122" t="s">
        <v>224</v>
      </c>
      <c r="F103" s="123"/>
      <c r="G103" s="120">
        <f ca="1">AVERAGE(G79,G93)</f>
        <v>0.54264705882352948</v>
      </c>
      <c r="H103" s="117"/>
      <c r="I103" s="14"/>
      <c r="J103" s="57"/>
    </row>
    <row r="104" spans="1:10" ht="35.25" hidden="1" customHeight="1" thickBot="1" x14ac:dyDescent="0.35">
      <c r="A104" s="118"/>
      <c r="B104" s="119"/>
      <c r="C104" s="121"/>
      <c r="D104" s="119"/>
      <c r="E104" s="124"/>
      <c r="F104" s="125"/>
      <c r="G104" s="121"/>
      <c r="H104" s="119"/>
      <c r="I104" s="14"/>
      <c r="J104" s="57"/>
    </row>
    <row r="105" spans="1:10" x14ac:dyDescent="0.3">
      <c r="A105" s="126" t="s">
        <v>139</v>
      </c>
      <c r="B105" s="127"/>
      <c r="C105" s="128" t="str">
        <f>D67</f>
        <v xml:space="preserve">Raheja Prime 2 Tower 2 = B1 to B3 + Gr + P1 toP5 + 1st to 39th Floor </v>
      </c>
      <c r="D105" s="129"/>
      <c r="E105" s="129"/>
      <c r="F105" s="129"/>
      <c r="G105" s="129"/>
      <c r="H105" s="130"/>
      <c r="I105" s="46" t="str">
        <f ca="1">IF(D118=100%,"All work Completed. Possession granted to the Building.",IF(D117=100%,"All work Completed, Waiting for OC",I106&amp;""&amp;I107&amp;""&amp;J106&amp;""&amp;J105&amp;" "&amp;J107))</f>
        <v xml:space="preserve">Work not yet Started. </v>
      </c>
      <c r="J105" s="47" t="str">
        <f ca="1">(IF(C111=(D106+F106+H106),"",IF(C111&gt;0,", RCC upto "&amp;C111&amp;" Slab","")))&amp;(IF(C112=H106,"",IF(C112&gt;0,", Brickwork upto "&amp;C112&amp;" Floor","")))&amp;(IF(C113=H106,"",IF(C113&gt;0,", Internal Plaster upto "&amp;C113&amp;" Floor","")))&amp;(IF(C114=H106,"",IF(C114&gt;0,", External Plaster upto "&amp;C114&amp;" Floor","")))&amp;(IF(C115=H106,"",IF(C115&gt;0,", Flooring upto "&amp;C115&amp;" Floor","")))&amp;(IF(C116=H106,"",IF(C116&gt;0,", Painting upto "&amp;C116&amp;" Floor","")))&amp;(IF(C117=H106,"",IF(C117&gt;0,", Finishing upto "&amp;C117&amp;" Floor","")))&amp;(IF(C118=H106,"",IF(C118&gt;0,", Possession upto "&amp;C118&amp;" Floor","")))</f>
        <v/>
      </c>
    </row>
    <row r="106" spans="1:10" x14ac:dyDescent="0.3">
      <c r="A106" s="16" t="s">
        <v>141</v>
      </c>
      <c r="B106" s="54">
        <v>0</v>
      </c>
      <c r="C106" s="54" t="s">
        <v>71</v>
      </c>
      <c r="D106" s="54">
        <v>1</v>
      </c>
      <c r="E106" s="54" t="s">
        <v>70</v>
      </c>
      <c r="F106" s="54">
        <v>5</v>
      </c>
      <c r="G106" s="54" t="s">
        <v>80</v>
      </c>
      <c r="H106" s="17">
        <f ca="1">--TRIM(RIGHT(SUBSTITUTE(LEFT(C105,_xlfn.AGGREGATE(16,6,FIND({0,1,2,3,4,5,6,7,8,9},C105,ROW(INDIRECT("1:"&amp;LEN(C105)))),1))," ",REPT(" ",LEN(C105))),LEN(C105)))</f>
        <v>39</v>
      </c>
      <c r="I106" s="48" t="str">
        <f ca="1">IF(D109=100%,"Excavation","")&amp;IF(D110=100%,", Plinth","")&amp;IF(D111=100%,", RCC Slab","")&amp;IF(D112=100%,", Brickwork","")&amp;IF(D113=100%,", Internal Plaster","")&amp;IF(D114=100%,", External Plaster","")&amp;IF(D115=100%,", Flooring","")&amp;IF(D116=100%,", Painting","")&amp;IF(D117=100%,", Building common Amenities","")</f>
        <v/>
      </c>
      <c r="J106" s="49" t="str">
        <f>(IF(C109=0,"Work not yet Started.",IF(D109=25%,"Piling work in process",IF(D109=50%,"Excavation work in process",IF(D109=100%,"","0")))))&amp;(IF(C110=0%,"",IF(C110=J111,", Footing work is process",IF(C110=J112,", Footing work Completed",IF(C110=J113,", 1st Basement Completed",IF(C110=J114,", 1st &amp; 2nd Basement Completed",IF(C110=J115,", 1st to 3rd Basement Completed",IF(C110=J116,", 1st to 4th Basement Completed",IF(C110=J117,", Plinth work is process",IF(C110=J118,"","0"))))))))))</f>
        <v>Work not yet Started.</v>
      </c>
    </row>
    <row r="107" spans="1:10" ht="18.75" customHeight="1" x14ac:dyDescent="0.3">
      <c r="A107" s="131" t="s">
        <v>90</v>
      </c>
      <c r="B107" s="132"/>
      <c r="C107" s="133" t="str">
        <f ca="1">I105</f>
        <v xml:space="preserve">Work not yet Started. </v>
      </c>
      <c r="D107" s="133"/>
      <c r="E107" s="133"/>
      <c r="F107" s="133"/>
      <c r="G107" s="133"/>
      <c r="H107" s="134"/>
      <c r="I107" s="48" t="str">
        <f ca="1">IF(I106&lt;&gt;""," Completed","")</f>
        <v/>
      </c>
      <c r="J107" s="49" t="str">
        <f ca="1">IF(J105&lt;&gt;"","Completed","")</f>
        <v/>
      </c>
    </row>
    <row r="108" spans="1:10" ht="15.75" customHeight="1" x14ac:dyDescent="0.3">
      <c r="A108" s="135" t="s">
        <v>50</v>
      </c>
      <c r="B108" s="136"/>
      <c r="C108" s="53" t="s">
        <v>138</v>
      </c>
      <c r="D108" s="53" t="s">
        <v>83</v>
      </c>
      <c r="E108" s="136" t="s">
        <v>85</v>
      </c>
      <c r="F108" s="136"/>
      <c r="G108" s="136" t="s">
        <v>84</v>
      </c>
      <c r="H108" s="137"/>
      <c r="I108" s="14" t="s">
        <v>140</v>
      </c>
      <c r="J108" s="28">
        <f ca="1">H106*25%</f>
        <v>9.75</v>
      </c>
    </row>
    <row r="109" spans="1:10" x14ac:dyDescent="0.3">
      <c r="A109" s="135" t="s">
        <v>127</v>
      </c>
      <c r="B109" s="136"/>
      <c r="C109" s="53">
        <v>0</v>
      </c>
      <c r="D109" s="19">
        <f ca="1">((100/H106)*C109)/100</f>
        <v>0</v>
      </c>
      <c r="E109" s="138">
        <f ca="1">(((C110/H106*10)+(40/(D106+F106+H106)*C111)+(7.5/(H106)*C112)+(7.5/(H106)*C113)+(10/H106*C114)+(10/H106*C115)+(5/H106*C116)+(5/H106*C117)+(5/H106*C118))/100)</f>
        <v>0</v>
      </c>
      <c r="F109" s="139"/>
      <c r="G109" s="138">
        <f ca="1">((((C109/H106)*20)+((C110/H106)*25)+(30/(H106+F106+D106)*C111)+(5/H106*C112)+(5/H106*C113)+(5/H106*C114)+(5/H106*C115)+(0/H106*C116)+(0/H106*C117)+(5/H106*C118))/100)</f>
        <v>0</v>
      </c>
      <c r="H109" s="144"/>
      <c r="I109" s="14" t="s">
        <v>100</v>
      </c>
      <c r="J109" s="29">
        <f ca="1">H106*50%</f>
        <v>19.5</v>
      </c>
    </row>
    <row r="110" spans="1:10" x14ac:dyDescent="0.3">
      <c r="A110" s="135" t="s">
        <v>51</v>
      </c>
      <c r="B110" s="136"/>
      <c r="C110" s="52">
        <v>0</v>
      </c>
      <c r="D110" s="19">
        <f ca="1">((100/H106)*C110)/100</f>
        <v>0</v>
      </c>
      <c r="E110" s="140"/>
      <c r="F110" s="141"/>
      <c r="G110" s="140"/>
      <c r="H110" s="145"/>
      <c r="I110" s="14" t="s">
        <v>101</v>
      </c>
      <c r="J110" s="29">
        <f ca="1">H106</f>
        <v>39</v>
      </c>
    </row>
    <row r="111" spans="1:10" x14ac:dyDescent="0.3">
      <c r="A111" s="135" t="s">
        <v>128</v>
      </c>
      <c r="B111" s="136"/>
      <c r="C111" s="53">
        <v>0</v>
      </c>
      <c r="D111" s="19">
        <f ca="1">((100/(D106+F106+H106))*C111)/100</f>
        <v>0</v>
      </c>
      <c r="E111" s="140"/>
      <c r="F111" s="141"/>
      <c r="G111" s="140"/>
      <c r="H111" s="145"/>
      <c r="I111" s="14" t="s">
        <v>102</v>
      </c>
      <c r="J111" s="30">
        <f ca="1">(IF(B106&gt;1,(H106/(B106+2)),H106/4))</f>
        <v>9.75</v>
      </c>
    </row>
    <row r="112" spans="1:10" ht="15.75" customHeight="1" x14ac:dyDescent="0.3">
      <c r="A112" s="135" t="s">
        <v>135</v>
      </c>
      <c r="B112" s="136" t="s">
        <v>129</v>
      </c>
      <c r="C112" s="53">
        <v>0</v>
      </c>
      <c r="D112" s="19">
        <f ca="1">((100/H106)*C112)/100</f>
        <v>0</v>
      </c>
      <c r="E112" s="140"/>
      <c r="F112" s="141"/>
      <c r="G112" s="140"/>
      <c r="H112" s="145"/>
      <c r="I112" s="14" t="s">
        <v>103</v>
      </c>
      <c r="J112" s="30">
        <f ca="1">(IF(B106&gt;1,(H106/(B106+2)+J111),H106/4+J111))</f>
        <v>19.5</v>
      </c>
    </row>
    <row r="113" spans="1:12" ht="15.75" customHeight="1" x14ac:dyDescent="0.3">
      <c r="A113" s="135" t="s">
        <v>136</v>
      </c>
      <c r="B113" s="136" t="s">
        <v>129</v>
      </c>
      <c r="C113" s="53">
        <v>0</v>
      </c>
      <c r="D113" s="19">
        <f ca="1">((100/H106)*C113)/100</f>
        <v>0</v>
      </c>
      <c r="E113" s="140"/>
      <c r="F113" s="141"/>
      <c r="G113" s="140"/>
      <c r="H113" s="145"/>
      <c r="I113" s="14" t="s">
        <v>145</v>
      </c>
      <c r="J113" s="30">
        <f>(IF(B106&gt;1,(H106/(B106+2)+J112),0))</f>
        <v>0</v>
      </c>
    </row>
    <row r="114" spans="1:12" ht="15" customHeight="1" x14ac:dyDescent="0.3">
      <c r="A114" s="135" t="s">
        <v>134</v>
      </c>
      <c r="B114" s="136" t="s">
        <v>131</v>
      </c>
      <c r="C114" s="53">
        <v>0</v>
      </c>
      <c r="D114" s="19">
        <f ca="1">((100/(H106))*C114)/100</f>
        <v>0</v>
      </c>
      <c r="E114" s="140"/>
      <c r="F114" s="141"/>
      <c r="G114" s="140"/>
      <c r="H114" s="145"/>
      <c r="I114" s="14" t="s">
        <v>142</v>
      </c>
      <c r="J114" s="30">
        <f>(IF(B106&gt;2,(H106/(B106+2)+J113),0))</f>
        <v>0</v>
      </c>
    </row>
    <row r="115" spans="1:12" ht="15.75" customHeight="1" x14ac:dyDescent="0.3">
      <c r="A115" s="135" t="s">
        <v>130</v>
      </c>
      <c r="B115" s="136" t="s">
        <v>130</v>
      </c>
      <c r="C115" s="53">
        <v>0</v>
      </c>
      <c r="D115" s="19">
        <f ca="1">((100/H106)*C115)/100</f>
        <v>0</v>
      </c>
      <c r="E115" s="140"/>
      <c r="F115" s="141"/>
      <c r="G115" s="140"/>
      <c r="H115" s="145"/>
      <c r="I115" s="14" t="s">
        <v>143</v>
      </c>
      <c r="J115" s="31">
        <f>(IF(B106&gt;3,(H106/(B106+2)+J114),0))</f>
        <v>0</v>
      </c>
    </row>
    <row r="116" spans="1:12" ht="15.75" customHeight="1" x14ac:dyDescent="0.3">
      <c r="A116" s="135" t="s">
        <v>137</v>
      </c>
      <c r="B116" s="136"/>
      <c r="C116" s="53">
        <v>0</v>
      </c>
      <c r="D116" s="19">
        <f ca="1">((100/H106)*C116)/100</f>
        <v>0</v>
      </c>
      <c r="E116" s="140"/>
      <c r="F116" s="141"/>
      <c r="G116" s="140"/>
      <c r="H116" s="145"/>
      <c r="I116" s="14" t="s">
        <v>144</v>
      </c>
      <c r="J116" s="30">
        <f>(IF(B106&gt;4,(H106/(B106+2)+J115),0))</f>
        <v>0</v>
      </c>
    </row>
    <row r="117" spans="1:12" ht="15.75" customHeight="1" x14ac:dyDescent="0.3">
      <c r="A117" s="135" t="s">
        <v>132</v>
      </c>
      <c r="B117" s="136" t="s">
        <v>132</v>
      </c>
      <c r="C117" s="53">
        <v>0</v>
      </c>
      <c r="D117" s="19">
        <f ca="1">((100/(H106))*C117)/100</f>
        <v>0</v>
      </c>
      <c r="E117" s="140"/>
      <c r="F117" s="141"/>
      <c r="G117" s="140"/>
      <c r="H117" s="145"/>
      <c r="I117" s="14" t="s">
        <v>146</v>
      </c>
      <c r="J117" s="30">
        <f ca="1">(IF(B106=1,(H106/(B106+3)+J112),IF(B106=0,(H106/4+J112),IF(B106&gt;1,0))))</f>
        <v>29.25</v>
      </c>
    </row>
    <row r="118" spans="1:12" ht="16.2" thickBot="1" x14ac:dyDescent="0.35">
      <c r="A118" s="147" t="s">
        <v>133</v>
      </c>
      <c r="B118" s="148"/>
      <c r="C118" s="55">
        <v>0</v>
      </c>
      <c r="D118" s="20">
        <f ca="1">((100/(H106))*C118)/100</f>
        <v>0</v>
      </c>
      <c r="E118" s="142"/>
      <c r="F118" s="143"/>
      <c r="G118" s="142"/>
      <c r="H118" s="146"/>
      <c r="I118" s="15" t="s">
        <v>104</v>
      </c>
      <c r="J118" s="32">
        <f ca="1">(IF(B106&gt;1.5,(H106/(B106+2)+J112+MAX(0,J113-J112)+MAX(0,J114-J113)+MAX(0,J115-J114)+MAX(0,J116-J115)+MAX(0,J117-J116)),IF(B106=1,(H106/(B106+3)+J117),IF(B106=0,H106/4+J117))))</f>
        <v>39</v>
      </c>
    </row>
    <row r="119" spans="1:12" x14ac:dyDescent="0.3">
      <c r="A119" s="203" t="s">
        <v>155</v>
      </c>
      <c r="B119" s="203"/>
      <c r="C119" s="203"/>
      <c r="D119" s="203"/>
      <c r="E119" s="203"/>
      <c r="F119" s="198" t="s">
        <v>159</v>
      </c>
      <c r="G119" s="198"/>
      <c r="H119" s="198"/>
    </row>
    <row r="120" spans="1:12" hidden="1" x14ac:dyDescent="0.3">
      <c r="A120" s="149" t="s">
        <v>210</v>
      </c>
      <c r="B120" s="149"/>
      <c r="C120" s="149"/>
      <c r="D120" s="149"/>
      <c r="E120" s="149"/>
      <c r="F120" s="166"/>
      <c r="G120" s="166"/>
      <c r="H120" s="166"/>
    </row>
    <row r="121" spans="1:12" x14ac:dyDescent="0.3">
      <c r="A121" s="103" t="s">
        <v>214</v>
      </c>
      <c r="B121" s="104"/>
      <c r="C121" s="104"/>
      <c r="D121" s="104"/>
      <c r="E121" s="105"/>
      <c r="F121" s="151">
        <v>15800</v>
      </c>
      <c r="G121" s="152"/>
      <c r="H121" s="153"/>
      <c r="I121" s="21" t="s">
        <v>215</v>
      </c>
      <c r="J121" s="25">
        <v>45518</v>
      </c>
      <c r="K121" s="21" t="s">
        <v>216</v>
      </c>
      <c r="L121" s="21" t="s">
        <v>217</v>
      </c>
    </row>
    <row r="122" spans="1:12" ht="15" hidden="1" customHeight="1" x14ac:dyDescent="0.3">
      <c r="A122" s="149" t="s">
        <v>157</v>
      </c>
      <c r="B122" s="149"/>
      <c r="C122" s="149"/>
      <c r="D122" s="149"/>
      <c r="E122" s="149"/>
      <c r="F122" s="166"/>
      <c r="G122" s="166"/>
      <c r="H122" s="166"/>
    </row>
    <row r="123" spans="1:12" hidden="1" x14ac:dyDescent="0.3">
      <c r="A123" s="149" t="s">
        <v>158</v>
      </c>
      <c r="B123" s="149"/>
      <c r="C123" s="149"/>
      <c r="D123" s="149"/>
      <c r="E123" s="149"/>
      <c r="F123" s="166"/>
      <c r="G123" s="166"/>
      <c r="H123" s="166"/>
    </row>
    <row r="124" spans="1:12" s="33" customFormat="1" hidden="1" x14ac:dyDescent="0.25">
      <c r="A124" s="149" t="s">
        <v>156</v>
      </c>
      <c r="B124" s="149"/>
      <c r="C124" s="149"/>
      <c r="D124" s="149"/>
      <c r="E124" s="149"/>
      <c r="F124" s="166"/>
      <c r="G124" s="166"/>
      <c r="H124" s="166"/>
    </row>
    <row r="125" spans="1:12" s="33" customFormat="1" hidden="1" x14ac:dyDescent="0.25">
      <c r="A125" s="149" t="s">
        <v>95</v>
      </c>
      <c r="B125" s="149"/>
      <c r="C125" s="149"/>
      <c r="D125" s="149"/>
      <c r="E125" s="149"/>
      <c r="F125" s="166"/>
      <c r="G125" s="166"/>
      <c r="H125" s="166"/>
    </row>
    <row r="126" spans="1:12" s="33" customFormat="1" hidden="1" x14ac:dyDescent="0.25">
      <c r="A126" s="149" t="s">
        <v>96</v>
      </c>
      <c r="B126" s="149"/>
      <c r="C126" s="149"/>
      <c r="D126" s="149"/>
      <c r="E126" s="149"/>
      <c r="F126" s="166"/>
      <c r="G126" s="166"/>
      <c r="H126" s="166"/>
    </row>
    <row r="127" spans="1:12" s="33" customFormat="1" hidden="1" x14ac:dyDescent="0.25">
      <c r="A127" s="149" t="s">
        <v>160</v>
      </c>
      <c r="B127" s="149"/>
      <c r="C127" s="149"/>
      <c r="D127" s="149"/>
      <c r="E127" s="149"/>
      <c r="F127" s="166"/>
      <c r="G127" s="166"/>
      <c r="H127" s="166"/>
    </row>
    <row r="128" spans="1:12" s="33" customFormat="1" hidden="1" x14ac:dyDescent="0.25">
      <c r="A128" s="149" t="s">
        <v>97</v>
      </c>
      <c r="B128" s="149"/>
      <c r="C128" s="149"/>
      <c r="D128" s="149"/>
      <c r="E128" s="149"/>
      <c r="F128" s="166"/>
      <c r="G128" s="166"/>
      <c r="H128" s="166"/>
    </row>
    <row r="129" spans="1:8" s="33" customFormat="1" hidden="1" x14ac:dyDescent="0.25">
      <c r="A129" s="149" t="s">
        <v>98</v>
      </c>
      <c r="B129" s="149"/>
      <c r="C129" s="149"/>
      <c r="D129" s="149"/>
      <c r="E129" s="149"/>
      <c r="F129" s="166"/>
      <c r="G129" s="166"/>
      <c r="H129" s="166"/>
    </row>
    <row r="130" spans="1:8" s="33" customFormat="1" hidden="1" x14ac:dyDescent="0.25">
      <c r="A130" s="149" t="s">
        <v>99</v>
      </c>
      <c r="B130" s="149"/>
      <c r="C130" s="149"/>
      <c r="D130" s="149"/>
      <c r="E130" s="149"/>
      <c r="F130" s="166"/>
      <c r="G130" s="166"/>
      <c r="H130" s="166"/>
    </row>
    <row r="131" spans="1:8" s="33" customFormat="1" ht="31.5" customHeight="1" x14ac:dyDescent="0.25">
      <c r="A131" s="160" t="s">
        <v>213</v>
      </c>
      <c r="B131" s="160"/>
      <c r="C131" s="160"/>
      <c r="D131" s="160"/>
      <c r="E131" s="160"/>
      <c r="F131" s="166">
        <v>300000</v>
      </c>
      <c r="G131" s="166"/>
      <c r="H131" s="166"/>
    </row>
    <row r="132" spans="1:8" x14ac:dyDescent="0.3">
      <c r="A132" s="149" t="s">
        <v>52</v>
      </c>
      <c r="B132" s="149"/>
      <c r="C132" s="149"/>
      <c r="D132" s="149"/>
      <c r="E132" s="149"/>
      <c r="F132" s="166">
        <v>500000</v>
      </c>
      <c r="G132" s="166"/>
      <c r="H132" s="166"/>
    </row>
    <row r="133" spans="1:8" s="34" customFormat="1" x14ac:dyDescent="0.3">
      <c r="A133" s="173" t="s">
        <v>53</v>
      </c>
      <c r="B133" s="173"/>
      <c r="C133" s="173"/>
      <c r="D133" s="173"/>
      <c r="E133" s="173"/>
      <c r="F133" s="166">
        <f>F121*0.8</f>
        <v>12640</v>
      </c>
      <c r="G133" s="166"/>
      <c r="H133" s="166"/>
    </row>
    <row r="134" spans="1:8" s="35" customFormat="1" ht="15.75" customHeight="1" x14ac:dyDescent="0.3">
      <c r="A134" s="172" t="s">
        <v>75</v>
      </c>
      <c r="B134" s="172"/>
      <c r="C134" s="172"/>
      <c r="D134" s="172"/>
      <c r="E134" s="172"/>
      <c r="F134" s="172"/>
      <c r="G134" s="172"/>
      <c r="H134" s="172"/>
    </row>
    <row r="135" spans="1:8" s="35" customFormat="1" ht="15.75" customHeight="1" x14ac:dyDescent="0.3">
      <c r="A135" s="169" t="s">
        <v>54</v>
      </c>
      <c r="B135" s="169"/>
      <c r="C135" s="167" t="s">
        <v>78</v>
      </c>
      <c r="D135" s="167"/>
      <c r="E135" s="205" t="s">
        <v>55</v>
      </c>
      <c r="F135" s="205"/>
      <c r="G135" s="169" t="s">
        <v>56</v>
      </c>
      <c r="H135" s="169"/>
    </row>
    <row r="136" spans="1:8" s="35" customFormat="1" x14ac:dyDescent="0.3">
      <c r="A136" s="63" t="s">
        <v>286</v>
      </c>
      <c r="B136" s="63"/>
      <c r="C136" s="65">
        <f>COUNT(D268:D284)+COUNT(D286:D298,D302:D306)*6+COUNT(D308:D328)*17+COUNT(D330:D342,D345:D350)</f>
        <v>501</v>
      </c>
      <c r="D136" s="65"/>
      <c r="E136" s="64">
        <f>SUM(F268:F284)+SUM(F286:F298,F302:F306)*6+SUM(F308:F328)*17+SUM(F330:F342,F345:F350)</f>
        <v>291322.52557199995</v>
      </c>
      <c r="F136" s="64"/>
      <c r="G136" s="64">
        <f>SUM(H268:H284)+SUM(H286:H298,H302:H306)*6+SUM(H308:H328)*17+SUM(H330:H342,H345:H350)</f>
        <v>451549.91463660001</v>
      </c>
      <c r="H136" s="64"/>
    </row>
    <row r="137" spans="1:8" s="35" customFormat="1" x14ac:dyDescent="0.3">
      <c r="A137" s="63" t="s">
        <v>285</v>
      </c>
      <c r="B137" s="63"/>
      <c r="C137" s="65">
        <f>COUNT(D371:D385)+COUNT(D388:D392,D394:D414)+COUNT(D417:D444)+COUNT(D447:D474)*4+COUNT(D477:D504)*7+COUNT(D507:D511,D513:D533)*2+COUNT(D535:D539,D541:D561)+COUNT(D564:D568,D570:D590)+COUNT(D593:D621)*3+COUNT(D623:D651)*4+COUNT(D653:D657,D659:D681)*2+COUNT(D683:D687,D689:D710)+COUNT(D712:D716,D718:D739)+COUNT(D741:D745,D747:D768)+COUNT(D771:D775,D777:D799)+COUNT(D801:D805,D807:D829)</f>
        <v>877</v>
      </c>
      <c r="D137" s="65"/>
      <c r="E137" s="64">
        <f>SUM(F371:F385)+SUM(F388:F392,F394:F414)+SUM(F417:F444)+SUM(F447:F474)*4+SUM(F477:F504)*7+SUM(F507:F511,F513:F533)*2+SUM(F535:F539,F541:F561)+SUM(F564:F568,F570:F590)+SUM(F593:F621)*3+SUM(F623:F651)*4+SUM(F653:F657,F659:F681)*2+SUM(F683:F687,F689:F710)+SUM(F712:F716,F718:F739)+SUM(F741:F745,F747:F768)+SUM(F771:F775,F777:F799)+SUM(F801:F805,F807:F829)</f>
        <v>762862.13920800027</v>
      </c>
      <c r="F137" s="64"/>
      <c r="G137" s="64">
        <f>SUM(H371:H385)+SUM(H388:H392,H394:H414)+SUM(H417:H444)+SUM(H447:H474)*4+SUM(H477:H504)*7+SUM(H507:H511,H513:H533)*2+SUM(H535:H539,H541:H561)+SUM(H564:H568,H570:H590)+SUM(H593:H621)*3+SUM(H623:H651)*4+SUM(H653:H657,H659:H681)*2+SUM(H683:H687,H689:H710)+SUM(H712:H716,H718:H739)+SUM(H741:H745,H747:H768)+SUM(H771:H775,H777:H799)+SUM(H801:H805,H807:H829)</f>
        <v>1182436.3157723998</v>
      </c>
      <c r="H137" s="64"/>
    </row>
    <row r="138" spans="1:8" s="35" customFormat="1" x14ac:dyDescent="0.3">
      <c r="A138" s="63" t="s">
        <v>284</v>
      </c>
      <c r="B138" s="63"/>
      <c r="C138" s="64">
        <f>COUNT(D356:D363)</f>
        <v>8</v>
      </c>
      <c r="D138" s="65"/>
      <c r="E138" s="64">
        <f t="shared" ref="E138" si="0">SUM(F356:F363)</f>
        <v>19382.856433200002</v>
      </c>
      <c r="F138" s="65"/>
      <c r="G138" s="64">
        <f t="shared" ref="G138" si="1">SUM(H356:H363)</f>
        <v>30043.427471459996</v>
      </c>
      <c r="H138" s="65"/>
    </row>
    <row r="139" spans="1:8" s="35" customFormat="1" ht="16.2" thickBot="1" x14ac:dyDescent="0.35">
      <c r="A139" s="66" t="s">
        <v>288</v>
      </c>
      <c r="B139" s="67"/>
      <c r="C139" s="68">
        <f>C136+C137</f>
        <v>1378</v>
      </c>
      <c r="D139" s="69"/>
      <c r="E139" s="70">
        <f t="shared" ref="E139" si="2">E136+E137</f>
        <v>1054184.6647800002</v>
      </c>
      <c r="F139" s="71"/>
      <c r="G139" s="70">
        <f t="shared" ref="G139" si="3">G136+G137</f>
        <v>1633986.2304089998</v>
      </c>
      <c r="H139" s="71"/>
    </row>
    <row r="140" spans="1:8" s="35" customFormat="1" ht="16.2" thickBot="1" x14ac:dyDescent="0.35">
      <c r="A140" s="66" t="s">
        <v>289</v>
      </c>
      <c r="B140" s="67"/>
      <c r="C140" s="70">
        <f>C138+C139</f>
        <v>1386</v>
      </c>
      <c r="D140" s="69"/>
      <c r="E140" s="70">
        <f>E138+E139</f>
        <v>1073567.5212132002</v>
      </c>
      <c r="F140" s="69"/>
      <c r="G140" s="70">
        <f>G138+G139</f>
        <v>1664029.6578804599</v>
      </c>
      <c r="H140" s="69"/>
    </row>
    <row r="141" spans="1:8" s="34" customFormat="1" x14ac:dyDescent="0.3">
      <c r="A141" s="198" t="s">
        <v>57</v>
      </c>
      <c r="B141" s="198"/>
      <c r="C141" s="198"/>
      <c r="D141" s="198"/>
      <c r="E141" s="198"/>
      <c r="F141" s="198"/>
      <c r="G141" s="198"/>
      <c r="H141" s="198"/>
    </row>
    <row r="142" spans="1:8" x14ac:dyDescent="0.3">
      <c r="A142" s="168" t="s">
        <v>248</v>
      </c>
      <c r="B142" s="168"/>
      <c r="C142" s="168"/>
      <c r="D142" s="168"/>
      <c r="E142" s="168"/>
      <c r="F142" s="168"/>
      <c r="G142" s="168"/>
      <c r="H142" s="168"/>
    </row>
    <row r="143" spans="1:8" ht="47.25" hidden="1" customHeight="1" x14ac:dyDescent="0.3">
      <c r="A143" s="196" t="s">
        <v>120</v>
      </c>
      <c r="B143" s="196" t="s">
        <v>119</v>
      </c>
      <c r="C143" s="196" t="s">
        <v>58</v>
      </c>
      <c r="D143" s="196" t="s">
        <v>59</v>
      </c>
      <c r="E143" s="192" t="s">
        <v>154</v>
      </c>
      <c r="F143" s="43" t="s">
        <v>148</v>
      </c>
      <c r="G143" s="97" t="s">
        <v>60</v>
      </c>
      <c r="H143" s="194"/>
    </row>
    <row r="144" spans="1:8" s="37" customFormat="1" hidden="1" x14ac:dyDescent="0.3">
      <c r="A144" s="197"/>
      <c r="B144" s="197"/>
      <c r="C144" s="197"/>
      <c r="D144" s="197"/>
      <c r="E144" s="193"/>
      <c r="F144" s="13">
        <v>0.55000000000000004</v>
      </c>
      <c r="G144" s="98"/>
      <c r="H144" s="195"/>
    </row>
    <row r="145" spans="1:14" s="37" customFormat="1" hidden="1" x14ac:dyDescent="0.3">
      <c r="A145" s="85" t="s">
        <v>241</v>
      </c>
      <c r="B145" s="86"/>
      <c r="C145" s="86"/>
      <c r="D145" s="86"/>
      <c r="E145" s="86"/>
      <c r="F145" s="86"/>
      <c r="G145" s="86"/>
      <c r="H145" s="87"/>
      <c r="J145" s="36"/>
    </row>
    <row r="146" spans="1:14" s="37" customFormat="1" hidden="1" x14ac:dyDescent="0.3">
      <c r="A146" s="79" t="s">
        <v>204</v>
      </c>
      <c r="B146" s="80"/>
      <c r="C146" s="80"/>
      <c r="D146" s="80"/>
      <c r="E146" s="80"/>
      <c r="F146" s="80"/>
      <c r="G146" s="80"/>
      <c r="H146" s="81"/>
      <c r="J146" s="36"/>
    </row>
    <row r="147" spans="1:14" s="37" customFormat="1" hidden="1" x14ac:dyDescent="0.3">
      <c r="A147" s="94" t="s">
        <v>204</v>
      </c>
      <c r="B147" s="95"/>
      <c r="C147" s="95"/>
      <c r="D147" s="95"/>
      <c r="E147" s="95"/>
      <c r="F147" s="95"/>
      <c r="G147" s="95"/>
      <c r="H147" s="96"/>
      <c r="J147" s="36"/>
    </row>
    <row r="148" spans="1:14" s="37" customFormat="1" ht="31.2" hidden="1" x14ac:dyDescent="0.3">
      <c r="A148" s="74">
        <v>1</v>
      </c>
      <c r="B148" s="76"/>
      <c r="C148" s="42" t="s">
        <v>188</v>
      </c>
      <c r="D148" s="42">
        <f>7.85*12.45</f>
        <v>97.732499999999987</v>
      </c>
      <c r="E148" s="42">
        <v>0</v>
      </c>
      <c r="F148" s="42">
        <f>(D148+E148)*(($F$144)+1)</f>
        <v>151.48537499999998</v>
      </c>
      <c r="G148" s="82" t="str">
        <f>A147</f>
        <v>Ground Floor For Commercial, Cafeteria , Transformer &amp; Parking</v>
      </c>
      <c r="H148" s="84"/>
      <c r="I148" s="36"/>
      <c r="K148" s="37">
        <f>0.95*8.3</f>
        <v>7.8850000000000007</v>
      </c>
      <c r="L148" s="72">
        <f>8.3*0.6</f>
        <v>4.9800000000000004</v>
      </c>
      <c r="M148" s="72"/>
      <c r="N148" s="36"/>
    </row>
    <row r="149" spans="1:14" s="37" customFormat="1" ht="31.2" hidden="1" x14ac:dyDescent="0.3">
      <c r="A149" s="74">
        <f t="shared" ref="A149:A153" si="4">A148+1</f>
        <v>2</v>
      </c>
      <c r="B149" s="76"/>
      <c r="C149" s="42" t="s">
        <v>188</v>
      </c>
      <c r="D149" s="42">
        <f t="shared" ref="D149:D152" si="5">7.85*12.45</f>
        <v>97.732499999999987</v>
      </c>
      <c r="E149" s="42">
        <v>0</v>
      </c>
      <c r="F149" s="42">
        <f t="shared" ref="F149:F151" si="6">(D149+E149)*(($F$144)+1)</f>
        <v>151.48537499999998</v>
      </c>
      <c r="G149" s="91"/>
      <c r="H149" s="93"/>
      <c r="I149" s="36"/>
      <c r="K149" s="37">
        <f>1.5*8.3</f>
        <v>12.450000000000001</v>
      </c>
      <c r="L149" s="72"/>
      <c r="M149" s="72"/>
      <c r="N149" s="36"/>
    </row>
    <row r="150" spans="1:14" s="37" customFormat="1" ht="31.2" hidden="1" x14ac:dyDescent="0.3">
      <c r="A150" s="74">
        <f t="shared" si="4"/>
        <v>3</v>
      </c>
      <c r="B150" s="76"/>
      <c r="C150" s="42" t="s">
        <v>188</v>
      </c>
      <c r="D150" s="42">
        <f t="shared" si="5"/>
        <v>97.732499999999987</v>
      </c>
      <c r="E150" s="42">
        <v>0</v>
      </c>
      <c r="F150" s="42">
        <f t="shared" si="6"/>
        <v>151.48537499999998</v>
      </c>
      <c r="G150" s="91"/>
      <c r="H150" s="93"/>
      <c r="I150" s="36"/>
      <c r="J150" s="37">
        <f>11.2/1.35</f>
        <v>8.2962962962962958</v>
      </c>
      <c r="L150" s="72">
        <f>1.2*8.3</f>
        <v>9.9600000000000009</v>
      </c>
      <c r="M150" s="72"/>
      <c r="N150" s="36"/>
    </row>
    <row r="151" spans="1:14" s="37" customFormat="1" ht="31.2" hidden="1" x14ac:dyDescent="0.3">
      <c r="A151" s="74">
        <f t="shared" si="4"/>
        <v>4</v>
      </c>
      <c r="B151" s="76"/>
      <c r="C151" s="42" t="s">
        <v>188</v>
      </c>
      <c r="D151" s="42">
        <f t="shared" si="5"/>
        <v>97.732499999999987</v>
      </c>
      <c r="E151" s="42">
        <v>0</v>
      </c>
      <c r="F151" s="42">
        <f t="shared" si="6"/>
        <v>151.48537499999998</v>
      </c>
      <c r="G151" s="91"/>
      <c r="H151" s="93"/>
      <c r="I151" s="36"/>
      <c r="J151" s="37">
        <f>0.75*8.29</f>
        <v>6.2174999999999994</v>
      </c>
      <c r="L151" s="72"/>
      <c r="M151" s="72"/>
      <c r="N151" s="36"/>
    </row>
    <row r="152" spans="1:14" s="37" customFormat="1" ht="31.2" hidden="1" x14ac:dyDescent="0.3">
      <c r="A152" s="74">
        <f t="shared" si="4"/>
        <v>5</v>
      </c>
      <c r="B152" s="76"/>
      <c r="C152" s="42" t="s">
        <v>188</v>
      </c>
      <c r="D152" s="42">
        <f t="shared" si="5"/>
        <v>97.732499999999987</v>
      </c>
      <c r="E152" s="42">
        <v>0</v>
      </c>
      <c r="F152" s="42">
        <f t="shared" ref="F152:F153" si="7">(D152+E152)*(($F$144)+1)</f>
        <v>151.48537499999998</v>
      </c>
      <c r="G152" s="91"/>
      <c r="H152" s="93"/>
      <c r="I152" s="36"/>
      <c r="L152" s="72"/>
      <c r="M152" s="72"/>
      <c r="N152" s="36"/>
    </row>
    <row r="153" spans="1:14" s="37" customFormat="1" ht="31.2" hidden="1" x14ac:dyDescent="0.3">
      <c r="A153" s="74">
        <f t="shared" si="4"/>
        <v>6</v>
      </c>
      <c r="B153" s="76"/>
      <c r="C153" s="42" t="s">
        <v>188</v>
      </c>
      <c r="D153" s="42">
        <f>9.96*12.45</f>
        <v>124.00200000000001</v>
      </c>
      <c r="E153" s="42">
        <v>0</v>
      </c>
      <c r="F153" s="42">
        <f t="shared" si="7"/>
        <v>192.20310000000001</v>
      </c>
      <c r="G153" s="88"/>
      <c r="H153" s="90"/>
      <c r="I153" s="36"/>
      <c r="L153" s="72"/>
      <c r="M153" s="72"/>
      <c r="N153" s="36"/>
    </row>
    <row r="154" spans="1:14" s="37" customFormat="1" hidden="1" x14ac:dyDescent="0.3">
      <c r="A154" s="79" t="s">
        <v>189</v>
      </c>
      <c r="B154" s="80"/>
      <c r="C154" s="80"/>
      <c r="D154" s="80"/>
      <c r="E154" s="80"/>
      <c r="F154" s="80"/>
      <c r="G154" s="80"/>
      <c r="H154" s="81"/>
      <c r="J154" s="36"/>
    </row>
    <row r="155" spans="1:14" s="37" customFormat="1" hidden="1" x14ac:dyDescent="0.3">
      <c r="A155" s="79" t="s">
        <v>190</v>
      </c>
      <c r="B155" s="80"/>
      <c r="C155" s="80"/>
      <c r="D155" s="80"/>
      <c r="E155" s="80"/>
      <c r="F155" s="80"/>
      <c r="G155" s="80"/>
      <c r="H155" s="81"/>
      <c r="J155" s="36"/>
    </row>
    <row r="156" spans="1:14" s="37" customFormat="1" hidden="1" x14ac:dyDescent="0.3">
      <c r="A156" s="79" t="s">
        <v>194</v>
      </c>
      <c r="B156" s="80"/>
      <c r="C156" s="80"/>
      <c r="D156" s="80"/>
      <c r="E156" s="80"/>
      <c r="F156" s="80"/>
      <c r="G156" s="80"/>
      <c r="H156" s="81"/>
      <c r="J156" s="36"/>
      <c r="K156" s="51">
        <f>10.764</f>
        <v>10.763999999999999</v>
      </c>
    </row>
    <row r="157" spans="1:14" s="37" customFormat="1" ht="15.75" hidden="1" customHeight="1" x14ac:dyDescent="0.3">
      <c r="A157" s="74">
        <v>1</v>
      </c>
      <c r="B157" s="76"/>
      <c r="C157" s="74" t="s">
        <v>192</v>
      </c>
      <c r="D157" s="75"/>
      <c r="E157" s="75"/>
      <c r="F157" s="76"/>
      <c r="G157" s="82" t="str">
        <f>A156</f>
        <v>E-Deck / 1st Floor For Commercial &amp; Amenities (Gym, Hall, Games Room)</v>
      </c>
      <c r="H157" s="84"/>
      <c r="I157" s="36"/>
      <c r="L157" s="72"/>
      <c r="M157" s="72"/>
      <c r="N157" s="36"/>
    </row>
    <row r="158" spans="1:14" s="37" customFormat="1" ht="15.75" hidden="1" customHeight="1" x14ac:dyDescent="0.3">
      <c r="A158" s="74">
        <f t="shared" ref="A158:A177" si="8">A157+1</f>
        <v>2</v>
      </c>
      <c r="B158" s="76"/>
      <c r="C158" s="82" t="s">
        <v>193</v>
      </c>
      <c r="D158" s="83"/>
      <c r="E158" s="83"/>
      <c r="F158" s="84"/>
      <c r="G158" s="91"/>
      <c r="H158" s="93"/>
      <c r="I158" s="36"/>
      <c r="L158" s="72"/>
      <c r="M158" s="72"/>
      <c r="N158" s="36"/>
    </row>
    <row r="159" spans="1:14" s="37" customFormat="1" ht="15.75" hidden="1" customHeight="1" x14ac:dyDescent="0.3">
      <c r="A159" s="74">
        <f t="shared" si="8"/>
        <v>3</v>
      </c>
      <c r="B159" s="76"/>
      <c r="C159" s="91"/>
      <c r="D159" s="92"/>
      <c r="E159" s="92"/>
      <c r="F159" s="93"/>
      <c r="G159" s="91"/>
      <c r="H159" s="93"/>
      <c r="I159" s="36"/>
      <c r="K159" s="37">
        <f>7.15/1.4</f>
        <v>5.1071428571428577</v>
      </c>
      <c r="L159" s="72"/>
      <c r="M159" s="72"/>
      <c r="N159" s="36"/>
    </row>
    <row r="160" spans="1:14" s="37" customFormat="1" ht="15.75" hidden="1" customHeight="1" x14ac:dyDescent="0.3">
      <c r="A160" s="74">
        <f t="shared" si="8"/>
        <v>4</v>
      </c>
      <c r="B160" s="76"/>
      <c r="C160" s="88"/>
      <c r="D160" s="89"/>
      <c r="E160" s="89"/>
      <c r="F160" s="90"/>
      <c r="G160" s="91"/>
      <c r="H160" s="93"/>
      <c r="I160" s="36"/>
      <c r="K160" s="37">
        <f>5.15/0.8</f>
        <v>6.4375</v>
      </c>
      <c r="L160" s="72"/>
      <c r="M160" s="72"/>
      <c r="N160" s="36"/>
    </row>
    <row r="161" spans="1:14" s="37" customFormat="1" ht="15.75" hidden="1" customHeight="1" x14ac:dyDescent="0.3">
      <c r="A161" s="74">
        <f t="shared" si="8"/>
        <v>5</v>
      </c>
      <c r="B161" s="76"/>
      <c r="C161" s="42" t="s">
        <v>191</v>
      </c>
      <c r="D161" s="51">
        <f t="shared" ref="D161:D168" si="9">(12.14*5.15)*(10.764)</f>
        <v>672.976044</v>
      </c>
      <c r="E161" s="42">
        <v>0</v>
      </c>
      <c r="F161" s="42">
        <f>(D161+E161)*(($F$144)+1)</f>
        <v>1043.1128682000001</v>
      </c>
      <c r="G161" s="91"/>
      <c r="H161" s="93"/>
      <c r="I161" s="36"/>
      <c r="K161" s="37">
        <f>0.8*6.43</f>
        <v>5.1440000000000001</v>
      </c>
      <c r="L161" s="72"/>
      <c r="M161" s="72"/>
      <c r="N161" s="36"/>
    </row>
    <row r="162" spans="1:14" s="37" customFormat="1" ht="15.75" hidden="1" customHeight="1" x14ac:dyDescent="0.3">
      <c r="A162" s="74">
        <f t="shared" si="8"/>
        <v>6</v>
      </c>
      <c r="B162" s="76"/>
      <c r="C162" s="42" t="s">
        <v>191</v>
      </c>
      <c r="D162" s="51">
        <f t="shared" si="9"/>
        <v>672.976044</v>
      </c>
      <c r="E162" s="42">
        <v>0</v>
      </c>
      <c r="F162" s="42">
        <f t="shared" ref="F162:F166" si="10">(D162+E162)*(($F$144)+1)</f>
        <v>1043.1128682000001</v>
      </c>
      <c r="G162" s="91"/>
      <c r="H162" s="93"/>
      <c r="I162" s="36"/>
      <c r="K162" s="21"/>
      <c r="L162" s="72"/>
      <c r="M162" s="72"/>
      <c r="N162" s="36"/>
    </row>
    <row r="163" spans="1:14" s="37" customFormat="1" ht="15.75" hidden="1" customHeight="1" x14ac:dyDescent="0.3">
      <c r="A163" s="74">
        <f t="shared" si="8"/>
        <v>7</v>
      </c>
      <c r="B163" s="76"/>
      <c r="C163" s="42" t="s">
        <v>191</v>
      </c>
      <c r="D163" s="51">
        <f t="shared" si="9"/>
        <v>672.976044</v>
      </c>
      <c r="E163" s="42">
        <v>0</v>
      </c>
      <c r="F163" s="42">
        <f t="shared" si="10"/>
        <v>1043.1128682000001</v>
      </c>
      <c r="G163" s="91"/>
      <c r="H163" s="93"/>
      <c r="I163" s="36"/>
      <c r="L163" s="72"/>
      <c r="M163" s="72"/>
      <c r="N163" s="36"/>
    </row>
    <row r="164" spans="1:14" s="37" customFormat="1" ht="15.75" hidden="1" customHeight="1" x14ac:dyDescent="0.3">
      <c r="A164" s="74">
        <f t="shared" si="8"/>
        <v>8</v>
      </c>
      <c r="B164" s="76"/>
      <c r="C164" s="42" t="s">
        <v>191</v>
      </c>
      <c r="D164" s="51">
        <f t="shared" si="9"/>
        <v>672.976044</v>
      </c>
      <c r="E164" s="42">
        <v>0</v>
      </c>
      <c r="F164" s="42">
        <f t="shared" si="10"/>
        <v>1043.1128682000001</v>
      </c>
      <c r="G164" s="91"/>
      <c r="H164" s="93"/>
      <c r="I164" s="36"/>
      <c r="L164" s="72"/>
      <c r="M164" s="72"/>
      <c r="N164" s="36"/>
    </row>
    <row r="165" spans="1:14" s="37" customFormat="1" ht="15.75" hidden="1" customHeight="1" x14ac:dyDescent="0.3">
      <c r="A165" s="74">
        <f t="shared" si="8"/>
        <v>9</v>
      </c>
      <c r="B165" s="76"/>
      <c r="C165" s="42" t="s">
        <v>191</v>
      </c>
      <c r="D165" s="51">
        <f t="shared" si="9"/>
        <v>672.976044</v>
      </c>
      <c r="E165" s="42">
        <v>0</v>
      </c>
      <c r="F165" s="42">
        <f t="shared" si="10"/>
        <v>1043.1128682000001</v>
      </c>
      <c r="G165" s="91"/>
      <c r="H165" s="93"/>
      <c r="I165" s="36"/>
      <c r="L165" s="72"/>
      <c r="M165" s="72"/>
      <c r="N165" s="36"/>
    </row>
    <row r="166" spans="1:14" s="37" customFormat="1" ht="15.75" hidden="1" customHeight="1" x14ac:dyDescent="0.3">
      <c r="A166" s="74">
        <f t="shared" si="8"/>
        <v>10</v>
      </c>
      <c r="B166" s="76"/>
      <c r="C166" s="42" t="s">
        <v>191</v>
      </c>
      <c r="D166" s="51">
        <f t="shared" si="9"/>
        <v>672.976044</v>
      </c>
      <c r="E166" s="42">
        <v>0</v>
      </c>
      <c r="F166" s="42">
        <f t="shared" si="10"/>
        <v>1043.1128682000001</v>
      </c>
      <c r="G166" s="91"/>
      <c r="H166" s="93"/>
      <c r="I166" s="36"/>
      <c r="L166" s="72"/>
      <c r="M166" s="72"/>
      <c r="N166" s="36"/>
    </row>
    <row r="167" spans="1:14" s="37" customFormat="1" ht="15.75" hidden="1" customHeight="1" x14ac:dyDescent="0.3">
      <c r="A167" s="74">
        <f t="shared" si="8"/>
        <v>11</v>
      </c>
      <c r="B167" s="76"/>
      <c r="C167" s="42" t="s">
        <v>191</v>
      </c>
      <c r="D167" s="51">
        <f t="shared" si="9"/>
        <v>672.976044</v>
      </c>
      <c r="E167" s="42">
        <v>0</v>
      </c>
      <c r="F167" s="42">
        <f t="shared" ref="F167:F174" si="11">(D167+E167)*(($F$144)+1)</f>
        <v>1043.1128682000001</v>
      </c>
      <c r="G167" s="91"/>
      <c r="H167" s="93"/>
      <c r="I167" s="36"/>
      <c r="L167" s="72"/>
      <c r="M167" s="72"/>
      <c r="N167" s="36"/>
    </row>
    <row r="168" spans="1:14" s="37" customFormat="1" ht="15.75" hidden="1" customHeight="1" x14ac:dyDescent="0.3">
      <c r="A168" s="74">
        <f t="shared" si="8"/>
        <v>12</v>
      </c>
      <c r="B168" s="76"/>
      <c r="C168" s="42" t="s">
        <v>191</v>
      </c>
      <c r="D168" s="51">
        <f t="shared" si="9"/>
        <v>672.976044</v>
      </c>
      <c r="E168" s="42">
        <v>0</v>
      </c>
      <c r="F168" s="42">
        <f t="shared" si="11"/>
        <v>1043.1128682000001</v>
      </c>
      <c r="G168" s="91"/>
      <c r="H168" s="93"/>
      <c r="I168" s="36"/>
      <c r="L168" s="72"/>
      <c r="M168" s="72"/>
      <c r="N168" s="36"/>
    </row>
    <row r="169" spans="1:14" s="37" customFormat="1" ht="15.75" hidden="1" customHeight="1" x14ac:dyDescent="0.3">
      <c r="A169" s="74">
        <f t="shared" si="8"/>
        <v>13</v>
      </c>
      <c r="B169" s="76"/>
      <c r="C169" s="42" t="s">
        <v>191</v>
      </c>
      <c r="D169" s="51">
        <f>(8.55*5.15)*(10.764)</f>
        <v>473.96583000000004</v>
      </c>
      <c r="E169" s="42">
        <v>0</v>
      </c>
      <c r="F169" s="42">
        <f t="shared" si="11"/>
        <v>734.64703650000013</v>
      </c>
      <c r="G169" s="91"/>
      <c r="H169" s="93"/>
      <c r="I169" s="36"/>
      <c r="L169" s="72"/>
      <c r="M169" s="72"/>
      <c r="N169" s="36"/>
    </row>
    <row r="170" spans="1:14" s="37" customFormat="1" ht="15.75" hidden="1" customHeight="1" x14ac:dyDescent="0.3">
      <c r="A170" s="74">
        <f t="shared" si="8"/>
        <v>14</v>
      </c>
      <c r="B170" s="76"/>
      <c r="C170" s="42" t="s">
        <v>191</v>
      </c>
      <c r="D170" s="51">
        <f t="shared" ref="D170:D177" si="12">(8.49*5.15)*(10.764)</f>
        <v>470.63975399999998</v>
      </c>
      <c r="E170" s="42">
        <v>0</v>
      </c>
      <c r="F170" s="42">
        <f t="shared" si="11"/>
        <v>729.4916187</v>
      </c>
      <c r="G170" s="91"/>
      <c r="H170" s="93"/>
      <c r="I170" s="36"/>
      <c r="L170" s="72"/>
      <c r="M170" s="72"/>
      <c r="N170" s="36"/>
    </row>
    <row r="171" spans="1:14" s="37" customFormat="1" ht="15.75" hidden="1" customHeight="1" x14ac:dyDescent="0.3">
      <c r="A171" s="74">
        <f t="shared" si="8"/>
        <v>15</v>
      </c>
      <c r="B171" s="76"/>
      <c r="C171" s="42" t="s">
        <v>191</v>
      </c>
      <c r="D171" s="51">
        <f t="shared" si="12"/>
        <v>470.63975399999998</v>
      </c>
      <c r="E171" s="42">
        <v>0</v>
      </c>
      <c r="F171" s="42">
        <f t="shared" si="11"/>
        <v>729.4916187</v>
      </c>
      <c r="G171" s="91"/>
      <c r="H171" s="93"/>
      <c r="I171" s="36"/>
      <c r="L171" s="72"/>
      <c r="M171" s="72"/>
      <c r="N171" s="36"/>
    </row>
    <row r="172" spans="1:14" s="37" customFormat="1" ht="15.75" hidden="1" customHeight="1" x14ac:dyDescent="0.3">
      <c r="A172" s="74">
        <f t="shared" si="8"/>
        <v>16</v>
      </c>
      <c r="B172" s="76"/>
      <c r="C172" s="42" t="s">
        <v>191</v>
      </c>
      <c r="D172" s="51">
        <f t="shared" si="12"/>
        <v>470.63975399999998</v>
      </c>
      <c r="E172" s="42">
        <v>0</v>
      </c>
      <c r="F172" s="42">
        <f t="shared" si="11"/>
        <v>729.4916187</v>
      </c>
      <c r="G172" s="91"/>
      <c r="H172" s="93"/>
      <c r="I172" s="36"/>
      <c r="L172" s="72"/>
      <c r="M172" s="72"/>
      <c r="N172" s="36"/>
    </row>
    <row r="173" spans="1:14" s="37" customFormat="1" ht="15.75" hidden="1" customHeight="1" x14ac:dyDescent="0.3">
      <c r="A173" s="74">
        <f t="shared" si="8"/>
        <v>17</v>
      </c>
      <c r="B173" s="76"/>
      <c r="C173" s="42" t="s">
        <v>191</v>
      </c>
      <c r="D173" s="51">
        <f t="shared" si="12"/>
        <v>470.63975399999998</v>
      </c>
      <c r="E173" s="42">
        <v>0</v>
      </c>
      <c r="F173" s="42">
        <f t="shared" si="11"/>
        <v>729.4916187</v>
      </c>
      <c r="G173" s="91"/>
      <c r="H173" s="93"/>
      <c r="I173" s="36"/>
      <c r="J173" s="37">
        <f>7800000/F173</f>
        <v>10692.37781497763</v>
      </c>
      <c r="L173" s="72"/>
      <c r="M173" s="72"/>
      <c r="N173" s="36"/>
    </row>
    <row r="174" spans="1:14" s="37" customFormat="1" ht="15.75" hidden="1" customHeight="1" x14ac:dyDescent="0.3">
      <c r="A174" s="74">
        <f t="shared" si="8"/>
        <v>18</v>
      </c>
      <c r="B174" s="76"/>
      <c r="C174" s="42" t="s">
        <v>191</v>
      </c>
      <c r="D174" s="51">
        <f t="shared" si="12"/>
        <v>470.63975399999998</v>
      </c>
      <c r="E174" s="42">
        <v>0</v>
      </c>
      <c r="F174" s="42">
        <f t="shared" si="11"/>
        <v>729.4916187</v>
      </c>
      <c r="G174" s="91"/>
      <c r="H174" s="93"/>
      <c r="I174" s="36"/>
      <c r="J174" s="37">
        <f>8000000/F174</f>
        <v>10966.541348695004</v>
      </c>
      <c r="L174" s="72"/>
      <c r="M174" s="72"/>
      <c r="N174" s="36"/>
    </row>
    <row r="175" spans="1:14" s="37" customFormat="1" ht="15.75" hidden="1" customHeight="1" x14ac:dyDescent="0.3">
      <c r="A175" s="74">
        <f t="shared" si="8"/>
        <v>19</v>
      </c>
      <c r="B175" s="76"/>
      <c r="C175" s="42" t="s">
        <v>191</v>
      </c>
      <c r="D175" s="51">
        <f t="shared" si="12"/>
        <v>470.63975399999998</v>
      </c>
      <c r="E175" s="42">
        <v>0</v>
      </c>
      <c r="F175" s="42">
        <f t="shared" ref="F175:F177" si="13">(D175+E175)*(($F$144)+1)</f>
        <v>729.4916187</v>
      </c>
      <c r="G175" s="91"/>
      <c r="H175" s="93"/>
      <c r="I175" s="36"/>
      <c r="L175" s="72"/>
      <c r="M175" s="72"/>
      <c r="N175" s="36"/>
    </row>
    <row r="176" spans="1:14" s="37" customFormat="1" ht="15.75" hidden="1" customHeight="1" x14ac:dyDescent="0.3">
      <c r="A176" s="74">
        <f t="shared" si="8"/>
        <v>20</v>
      </c>
      <c r="B176" s="76"/>
      <c r="C176" s="42" t="s">
        <v>191</v>
      </c>
      <c r="D176" s="51">
        <f t="shared" si="12"/>
        <v>470.63975399999998</v>
      </c>
      <c r="E176" s="42">
        <v>0</v>
      </c>
      <c r="F176" s="42">
        <f t="shared" si="13"/>
        <v>729.4916187</v>
      </c>
      <c r="G176" s="91"/>
      <c r="H176" s="93"/>
      <c r="I176" s="36"/>
      <c r="L176" s="72"/>
      <c r="M176" s="72"/>
      <c r="N176" s="36"/>
    </row>
    <row r="177" spans="1:14" s="37" customFormat="1" ht="15.75" hidden="1" customHeight="1" x14ac:dyDescent="0.3">
      <c r="A177" s="74">
        <f t="shared" si="8"/>
        <v>21</v>
      </c>
      <c r="B177" s="76"/>
      <c r="C177" s="42" t="s">
        <v>191</v>
      </c>
      <c r="D177" s="51">
        <f t="shared" si="12"/>
        <v>470.63975399999998</v>
      </c>
      <c r="E177" s="42">
        <v>0</v>
      </c>
      <c r="F177" s="42">
        <f t="shared" si="13"/>
        <v>729.4916187</v>
      </c>
      <c r="G177" s="88"/>
      <c r="H177" s="90"/>
      <c r="I177" s="36"/>
      <c r="L177" s="72"/>
      <c r="M177" s="72"/>
      <c r="N177" s="36"/>
    </row>
    <row r="178" spans="1:14" s="37" customFormat="1" hidden="1" x14ac:dyDescent="0.3">
      <c r="A178" s="79" t="s">
        <v>195</v>
      </c>
      <c r="B178" s="80"/>
      <c r="C178" s="80"/>
      <c r="D178" s="80"/>
      <c r="E178" s="80"/>
      <c r="F178" s="80"/>
      <c r="G178" s="80"/>
      <c r="H178" s="81"/>
      <c r="J178" s="36"/>
    </row>
    <row r="179" spans="1:14" s="37" customFormat="1" ht="15.75" hidden="1" customHeight="1" x14ac:dyDescent="0.3">
      <c r="A179" s="74">
        <v>1</v>
      </c>
      <c r="B179" s="76"/>
      <c r="C179" s="42" t="s">
        <v>191</v>
      </c>
      <c r="D179" s="51">
        <f>(8.55*5.15)*(10.764)</f>
        <v>473.96583000000004</v>
      </c>
      <c r="E179" s="42">
        <v>0</v>
      </c>
      <c r="F179" s="42">
        <f t="shared" ref="F179" si="14">(D179+E179)*(($F$144)+1)</f>
        <v>734.64703650000013</v>
      </c>
      <c r="G179" s="82" t="str">
        <f>A178</f>
        <v>2nd, 6th, 10th, 14th, 18th &amp; 22nd Floor (Part Refuge Area)</v>
      </c>
      <c r="H179" s="84"/>
      <c r="I179" s="36"/>
      <c r="L179" s="72"/>
      <c r="M179" s="72"/>
      <c r="N179" s="36"/>
    </row>
    <row r="180" spans="1:14" s="37" customFormat="1" ht="15.75" hidden="1" customHeight="1" x14ac:dyDescent="0.3">
      <c r="A180" s="74">
        <f t="shared" ref="A180:A199" si="15">A179+1</f>
        <v>2</v>
      </c>
      <c r="B180" s="76"/>
      <c r="C180" s="42" t="s">
        <v>191</v>
      </c>
      <c r="D180" s="51">
        <f t="shared" ref="D180:D190" si="16">(12.14*5.15)*(10.764)</f>
        <v>672.976044</v>
      </c>
      <c r="E180" s="42">
        <v>0</v>
      </c>
      <c r="F180" s="42">
        <f t="shared" ref="F180:F182" si="17">(D180+E180)*(($F$144)+1)</f>
        <v>1043.1128682000001</v>
      </c>
      <c r="G180" s="91"/>
      <c r="H180" s="93"/>
      <c r="I180" s="36"/>
      <c r="L180" s="72"/>
      <c r="M180" s="72"/>
      <c r="N180" s="36"/>
    </row>
    <row r="181" spans="1:14" s="37" customFormat="1" ht="15.75" hidden="1" customHeight="1" x14ac:dyDescent="0.3">
      <c r="A181" s="74">
        <f t="shared" si="15"/>
        <v>3</v>
      </c>
      <c r="B181" s="76"/>
      <c r="C181" s="42" t="s">
        <v>191</v>
      </c>
      <c r="D181" s="51">
        <f t="shared" si="16"/>
        <v>672.976044</v>
      </c>
      <c r="E181" s="42">
        <v>0</v>
      </c>
      <c r="F181" s="42">
        <f t="shared" si="17"/>
        <v>1043.1128682000001</v>
      </c>
      <c r="G181" s="91"/>
      <c r="H181" s="93"/>
      <c r="I181" s="36"/>
      <c r="K181" s="37">
        <f>7.15/1.4</f>
        <v>5.1071428571428577</v>
      </c>
      <c r="L181" s="72"/>
      <c r="M181" s="72"/>
      <c r="N181" s="36"/>
    </row>
    <row r="182" spans="1:14" s="37" customFormat="1" ht="15.75" hidden="1" customHeight="1" x14ac:dyDescent="0.3">
      <c r="A182" s="74">
        <f t="shared" si="15"/>
        <v>4</v>
      </c>
      <c r="B182" s="76"/>
      <c r="C182" s="42" t="s">
        <v>191</v>
      </c>
      <c r="D182" s="51">
        <f t="shared" si="16"/>
        <v>672.976044</v>
      </c>
      <c r="E182" s="42">
        <v>0</v>
      </c>
      <c r="F182" s="42">
        <f t="shared" si="17"/>
        <v>1043.1128682000001</v>
      </c>
      <c r="G182" s="91"/>
      <c r="H182" s="93"/>
      <c r="I182" s="36"/>
      <c r="K182" s="37">
        <f>5.15/0.8</f>
        <v>6.4375</v>
      </c>
      <c r="L182" s="72"/>
      <c r="M182" s="72"/>
      <c r="N182" s="36"/>
    </row>
    <row r="183" spans="1:14" s="37" customFormat="1" ht="15.75" hidden="1" customHeight="1" x14ac:dyDescent="0.3">
      <c r="A183" s="74">
        <f t="shared" si="15"/>
        <v>5</v>
      </c>
      <c r="B183" s="76"/>
      <c r="C183" s="42" t="s">
        <v>191</v>
      </c>
      <c r="D183" s="51">
        <f t="shared" si="16"/>
        <v>672.976044</v>
      </c>
      <c r="E183" s="42">
        <v>0</v>
      </c>
      <c r="F183" s="42">
        <f t="shared" ref="F183:F191" si="18">(D183+E183)*(($F$144)+1)</f>
        <v>1043.1128682000001</v>
      </c>
      <c r="G183" s="91"/>
      <c r="H183" s="93"/>
      <c r="I183" s="36"/>
      <c r="K183" s="37">
        <f>0.8*6.43</f>
        <v>5.1440000000000001</v>
      </c>
      <c r="L183" s="72"/>
      <c r="M183" s="72"/>
      <c r="N183" s="36"/>
    </row>
    <row r="184" spans="1:14" s="37" customFormat="1" ht="15.75" hidden="1" customHeight="1" x14ac:dyDescent="0.3">
      <c r="A184" s="74">
        <f t="shared" si="15"/>
        <v>6</v>
      </c>
      <c r="B184" s="76"/>
      <c r="C184" s="42" t="s">
        <v>191</v>
      </c>
      <c r="D184" s="51">
        <f t="shared" si="16"/>
        <v>672.976044</v>
      </c>
      <c r="E184" s="42">
        <v>0</v>
      </c>
      <c r="F184" s="42">
        <f t="shared" si="18"/>
        <v>1043.1128682000001</v>
      </c>
      <c r="G184" s="91"/>
      <c r="H184" s="93"/>
      <c r="I184" s="36"/>
      <c r="K184" s="21"/>
      <c r="L184" s="72"/>
      <c r="M184" s="72"/>
      <c r="N184" s="36"/>
    </row>
    <row r="185" spans="1:14" s="37" customFormat="1" ht="15.75" hidden="1" customHeight="1" x14ac:dyDescent="0.3">
      <c r="A185" s="74">
        <f t="shared" si="15"/>
        <v>7</v>
      </c>
      <c r="B185" s="76"/>
      <c r="C185" s="42" t="s">
        <v>191</v>
      </c>
      <c r="D185" s="51">
        <f t="shared" si="16"/>
        <v>672.976044</v>
      </c>
      <c r="E185" s="42">
        <v>0</v>
      </c>
      <c r="F185" s="42">
        <f t="shared" si="18"/>
        <v>1043.1128682000001</v>
      </c>
      <c r="G185" s="91"/>
      <c r="H185" s="93"/>
      <c r="I185" s="36"/>
      <c r="L185" s="72"/>
      <c r="M185" s="72"/>
      <c r="N185" s="36"/>
    </row>
    <row r="186" spans="1:14" s="37" customFormat="1" ht="15.75" hidden="1" customHeight="1" x14ac:dyDescent="0.3">
      <c r="A186" s="74">
        <f t="shared" si="15"/>
        <v>8</v>
      </c>
      <c r="B186" s="76"/>
      <c r="C186" s="42" t="s">
        <v>191</v>
      </c>
      <c r="D186" s="51">
        <f t="shared" si="16"/>
        <v>672.976044</v>
      </c>
      <c r="E186" s="42">
        <v>0</v>
      </c>
      <c r="F186" s="42">
        <f t="shared" si="18"/>
        <v>1043.1128682000001</v>
      </c>
      <c r="G186" s="91"/>
      <c r="H186" s="93"/>
      <c r="I186" s="36"/>
      <c r="L186" s="72"/>
      <c r="M186" s="72"/>
      <c r="N186" s="36"/>
    </row>
    <row r="187" spans="1:14" s="37" customFormat="1" ht="15.75" hidden="1" customHeight="1" x14ac:dyDescent="0.3">
      <c r="A187" s="74">
        <f t="shared" si="15"/>
        <v>9</v>
      </c>
      <c r="B187" s="76"/>
      <c r="C187" s="42" t="s">
        <v>191</v>
      </c>
      <c r="D187" s="51">
        <f t="shared" si="16"/>
        <v>672.976044</v>
      </c>
      <c r="E187" s="42">
        <v>0</v>
      </c>
      <c r="F187" s="42">
        <f t="shared" si="18"/>
        <v>1043.1128682000001</v>
      </c>
      <c r="G187" s="91"/>
      <c r="H187" s="93"/>
      <c r="I187" s="36"/>
      <c r="K187" s="37">
        <f>11000*F177</f>
        <v>8024407.8057000004</v>
      </c>
      <c r="L187" s="72"/>
      <c r="M187" s="72"/>
      <c r="N187" s="36"/>
    </row>
    <row r="188" spans="1:14" s="37" customFormat="1" ht="15.75" hidden="1" customHeight="1" x14ac:dyDescent="0.3">
      <c r="A188" s="74">
        <f t="shared" si="15"/>
        <v>10</v>
      </c>
      <c r="B188" s="76"/>
      <c r="C188" s="42" t="s">
        <v>191</v>
      </c>
      <c r="D188" s="51">
        <f t="shared" si="16"/>
        <v>672.976044</v>
      </c>
      <c r="E188" s="42">
        <v>0</v>
      </c>
      <c r="F188" s="42">
        <f t="shared" si="18"/>
        <v>1043.1128682000001</v>
      </c>
      <c r="G188" s="91"/>
      <c r="H188" s="93"/>
      <c r="I188" s="36"/>
      <c r="L188" s="72"/>
      <c r="M188" s="72"/>
      <c r="N188" s="36"/>
    </row>
    <row r="189" spans="1:14" s="37" customFormat="1" ht="15.75" hidden="1" customHeight="1" x14ac:dyDescent="0.3">
      <c r="A189" s="74">
        <f t="shared" si="15"/>
        <v>11</v>
      </c>
      <c r="B189" s="76"/>
      <c r="C189" s="42" t="s">
        <v>191</v>
      </c>
      <c r="D189" s="51">
        <f t="shared" si="16"/>
        <v>672.976044</v>
      </c>
      <c r="E189" s="42">
        <v>0</v>
      </c>
      <c r="F189" s="42">
        <f t="shared" si="18"/>
        <v>1043.1128682000001</v>
      </c>
      <c r="G189" s="91"/>
      <c r="H189" s="93"/>
      <c r="I189" s="36"/>
      <c r="L189" s="72"/>
      <c r="M189" s="72"/>
      <c r="N189" s="36"/>
    </row>
    <row r="190" spans="1:14" s="37" customFormat="1" ht="15.75" hidden="1" customHeight="1" x14ac:dyDescent="0.3">
      <c r="A190" s="74">
        <f t="shared" si="15"/>
        <v>12</v>
      </c>
      <c r="B190" s="76"/>
      <c r="C190" s="42" t="s">
        <v>191</v>
      </c>
      <c r="D190" s="51">
        <f t="shared" si="16"/>
        <v>672.976044</v>
      </c>
      <c r="E190" s="42">
        <v>0</v>
      </c>
      <c r="F190" s="42">
        <f t="shared" si="18"/>
        <v>1043.1128682000001</v>
      </c>
      <c r="G190" s="91"/>
      <c r="H190" s="93"/>
      <c r="I190" s="36"/>
      <c r="L190" s="72"/>
      <c r="M190" s="72"/>
      <c r="N190" s="36"/>
    </row>
    <row r="191" spans="1:14" s="37" customFormat="1" ht="15.75" hidden="1" customHeight="1" x14ac:dyDescent="0.3">
      <c r="A191" s="74">
        <f t="shared" si="15"/>
        <v>13</v>
      </c>
      <c r="B191" s="76"/>
      <c r="C191" s="42" t="s">
        <v>191</v>
      </c>
      <c r="D191" s="51">
        <f>(8.55*5.15)*(10.764)</f>
        <v>473.96583000000004</v>
      </c>
      <c r="E191" s="42">
        <v>0</v>
      </c>
      <c r="F191" s="42">
        <f t="shared" si="18"/>
        <v>734.64703650000013</v>
      </c>
      <c r="G191" s="91"/>
      <c r="H191" s="93"/>
      <c r="I191" s="36"/>
      <c r="L191" s="72"/>
      <c r="M191" s="72"/>
      <c r="N191" s="36"/>
    </row>
    <row r="192" spans="1:14" s="37" customFormat="1" ht="15.75" hidden="1" customHeight="1" x14ac:dyDescent="0.3">
      <c r="A192" s="74">
        <f t="shared" si="15"/>
        <v>14</v>
      </c>
      <c r="B192" s="76"/>
      <c r="C192" s="82" t="s">
        <v>197</v>
      </c>
      <c r="D192" s="83"/>
      <c r="E192" s="83"/>
      <c r="F192" s="84"/>
      <c r="G192" s="91"/>
      <c r="H192" s="93"/>
      <c r="I192" s="36"/>
      <c r="L192" s="72"/>
      <c r="M192" s="72"/>
      <c r="N192" s="36"/>
    </row>
    <row r="193" spans="1:14" s="37" customFormat="1" ht="15.75" hidden="1" customHeight="1" x14ac:dyDescent="0.3">
      <c r="A193" s="74">
        <f t="shared" si="15"/>
        <v>15</v>
      </c>
      <c r="B193" s="76"/>
      <c r="C193" s="91"/>
      <c r="D193" s="92"/>
      <c r="E193" s="92"/>
      <c r="F193" s="93"/>
      <c r="G193" s="91"/>
      <c r="H193" s="93"/>
      <c r="I193" s="36"/>
      <c r="L193" s="72"/>
      <c r="M193" s="72"/>
      <c r="N193" s="36"/>
    </row>
    <row r="194" spans="1:14" s="37" customFormat="1" ht="15.75" hidden="1" customHeight="1" x14ac:dyDescent="0.3">
      <c r="A194" s="74">
        <f t="shared" si="15"/>
        <v>16</v>
      </c>
      <c r="B194" s="76"/>
      <c r="C194" s="88"/>
      <c r="D194" s="89"/>
      <c r="E194" s="89"/>
      <c r="F194" s="90"/>
      <c r="G194" s="91"/>
      <c r="H194" s="93"/>
      <c r="I194" s="36"/>
      <c r="L194" s="72"/>
      <c r="M194" s="72"/>
      <c r="N194" s="36"/>
    </row>
    <row r="195" spans="1:14" s="37" customFormat="1" ht="15.75" hidden="1" customHeight="1" x14ac:dyDescent="0.3">
      <c r="A195" s="74">
        <f t="shared" si="15"/>
        <v>17</v>
      </c>
      <c r="B195" s="76"/>
      <c r="C195" s="42" t="s">
        <v>191</v>
      </c>
      <c r="D195" s="51">
        <f>(8.49*5.15)*(10.764)</f>
        <v>470.63975399999998</v>
      </c>
      <c r="E195" s="42">
        <v>0</v>
      </c>
      <c r="F195" s="42">
        <f>(D195+E195)*(($F$144)+1)</f>
        <v>729.4916187</v>
      </c>
      <c r="G195" s="91"/>
      <c r="H195" s="93"/>
      <c r="I195" s="36"/>
      <c r="L195" s="72"/>
      <c r="M195" s="72"/>
      <c r="N195" s="36"/>
    </row>
    <row r="196" spans="1:14" s="37" customFormat="1" ht="15.75" hidden="1" customHeight="1" x14ac:dyDescent="0.3">
      <c r="A196" s="74">
        <f t="shared" si="15"/>
        <v>18</v>
      </c>
      <c r="B196" s="76"/>
      <c r="C196" s="42" t="s">
        <v>191</v>
      </c>
      <c r="D196" s="51">
        <f>(8.49*5.15)*(10.764)</f>
        <v>470.63975399999998</v>
      </c>
      <c r="E196" s="42">
        <v>0</v>
      </c>
      <c r="F196" s="42">
        <f>(D196+E196)*(($F$144)+1)</f>
        <v>729.4916187</v>
      </c>
      <c r="G196" s="91"/>
      <c r="H196" s="93"/>
      <c r="I196" s="36"/>
      <c r="L196" s="72"/>
      <c r="M196" s="72"/>
      <c r="N196" s="36"/>
    </row>
    <row r="197" spans="1:14" s="37" customFormat="1" ht="15.75" hidden="1" customHeight="1" x14ac:dyDescent="0.3">
      <c r="A197" s="74">
        <f t="shared" si="15"/>
        <v>19</v>
      </c>
      <c r="B197" s="76"/>
      <c r="C197" s="42" t="s">
        <v>191</v>
      </c>
      <c r="D197" s="51">
        <f>(8.49*5.15)*(10.764)</f>
        <v>470.63975399999998</v>
      </c>
      <c r="E197" s="42">
        <v>0</v>
      </c>
      <c r="F197" s="42">
        <f>(D197+E197)*(($F$144)+1)</f>
        <v>729.4916187</v>
      </c>
      <c r="G197" s="91"/>
      <c r="H197" s="93"/>
      <c r="I197" s="36"/>
      <c r="L197" s="72"/>
      <c r="M197" s="72"/>
      <c r="N197" s="36"/>
    </row>
    <row r="198" spans="1:14" s="37" customFormat="1" ht="15.75" hidden="1" customHeight="1" x14ac:dyDescent="0.3">
      <c r="A198" s="74">
        <f t="shared" si="15"/>
        <v>20</v>
      </c>
      <c r="B198" s="76"/>
      <c r="C198" s="42" t="s">
        <v>191</v>
      </c>
      <c r="D198" s="51">
        <f>(8.49*5.15)*(10.764)</f>
        <v>470.63975399999998</v>
      </c>
      <c r="E198" s="42">
        <v>0</v>
      </c>
      <c r="F198" s="42">
        <f>(D198+E198)*(($F$144)+1)</f>
        <v>729.4916187</v>
      </c>
      <c r="G198" s="91"/>
      <c r="H198" s="93"/>
      <c r="I198" s="36"/>
      <c r="L198" s="72"/>
      <c r="M198" s="72"/>
      <c r="N198" s="36"/>
    </row>
    <row r="199" spans="1:14" s="37" customFormat="1" ht="15.75" hidden="1" customHeight="1" x14ac:dyDescent="0.3">
      <c r="A199" s="74">
        <f t="shared" si="15"/>
        <v>21</v>
      </c>
      <c r="B199" s="76"/>
      <c r="C199" s="42" t="s">
        <v>191</v>
      </c>
      <c r="D199" s="51">
        <f>(8.49*5.15)*(10.764)</f>
        <v>470.63975399999998</v>
      </c>
      <c r="E199" s="42">
        <v>0</v>
      </c>
      <c r="F199" s="42">
        <f>(D199+E199)*(($F$144)+1)</f>
        <v>729.4916187</v>
      </c>
      <c r="G199" s="88"/>
      <c r="H199" s="90"/>
      <c r="I199" s="36"/>
      <c r="L199" s="72"/>
      <c r="M199" s="72"/>
      <c r="N199" s="36"/>
    </row>
    <row r="200" spans="1:14" s="37" customFormat="1" hidden="1" x14ac:dyDescent="0.3">
      <c r="A200" s="79" t="s">
        <v>196</v>
      </c>
      <c r="B200" s="80"/>
      <c r="C200" s="80"/>
      <c r="D200" s="80"/>
      <c r="E200" s="80"/>
      <c r="F200" s="80"/>
      <c r="G200" s="80"/>
      <c r="H200" s="81"/>
      <c r="J200" s="36"/>
    </row>
    <row r="201" spans="1:14" s="37" customFormat="1" ht="15.75" hidden="1" customHeight="1" x14ac:dyDescent="0.3">
      <c r="A201" s="74">
        <v>1</v>
      </c>
      <c r="B201" s="76"/>
      <c r="C201" s="42" t="s">
        <v>191</v>
      </c>
      <c r="D201" s="51">
        <f>(8.55*5.15)*(10.764)</f>
        <v>473.96583000000004</v>
      </c>
      <c r="E201" s="42">
        <v>0</v>
      </c>
      <c r="F201" s="42">
        <f t="shared" ref="F201:F221" si="19">(D201+E201)*(($F$144)+1)</f>
        <v>734.64703650000013</v>
      </c>
      <c r="G201" s="82" t="str">
        <f>A200</f>
        <v>3rd to 5th, 7th to 9th, 11th to 13th, 15th to 17th, 19th to 21st, 23rd &amp; 24th Floor</v>
      </c>
      <c r="H201" s="84"/>
      <c r="I201" s="36"/>
      <c r="L201" s="72"/>
      <c r="M201" s="72"/>
      <c r="N201" s="36"/>
    </row>
    <row r="202" spans="1:14" s="37" customFormat="1" ht="15.75" hidden="1" customHeight="1" x14ac:dyDescent="0.3">
      <c r="A202" s="74">
        <f t="shared" ref="A202:A221" si="20">A201+1</f>
        <v>2</v>
      </c>
      <c r="B202" s="76"/>
      <c r="C202" s="42" t="s">
        <v>191</v>
      </c>
      <c r="D202" s="51">
        <f t="shared" ref="D202:D212" si="21">(12.14*5.15)*(10.764)</f>
        <v>672.976044</v>
      </c>
      <c r="E202" s="42">
        <v>0</v>
      </c>
      <c r="F202" s="42">
        <f t="shared" si="19"/>
        <v>1043.1128682000001</v>
      </c>
      <c r="G202" s="91"/>
      <c r="H202" s="93"/>
      <c r="I202" s="36"/>
      <c r="L202" s="72"/>
      <c r="M202" s="72"/>
      <c r="N202" s="36"/>
    </row>
    <row r="203" spans="1:14" s="37" customFormat="1" ht="15.75" hidden="1" customHeight="1" x14ac:dyDescent="0.3">
      <c r="A203" s="74">
        <f t="shared" si="20"/>
        <v>3</v>
      </c>
      <c r="B203" s="76"/>
      <c r="C203" s="42" t="s">
        <v>191</v>
      </c>
      <c r="D203" s="51">
        <f t="shared" si="21"/>
        <v>672.976044</v>
      </c>
      <c r="E203" s="42">
        <v>0</v>
      </c>
      <c r="F203" s="42">
        <f t="shared" si="19"/>
        <v>1043.1128682000001</v>
      </c>
      <c r="G203" s="91"/>
      <c r="H203" s="93"/>
      <c r="I203" s="36"/>
      <c r="L203" s="72"/>
      <c r="M203" s="72"/>
      <c r="N203" s="36"/>
    </row>
    <row r="204" spans="1:14" s="37" customFormat="1" ht="15.75" hidden="1" customHeight="1" x14ac:dyDescent="0.3">
      <c r="A204" s="74">
        <f t="shared" si="20"/>
        <v>4</v>
      </c>
      <c r="B204" s="76"/>
      <c r="C204" s="42" t="s">
        <v>191</v>
      </c>
      <c r="D204" s="51">
        <f t="shared" si="21"/>
        <v>672.976044</v>
      </c>
      <c r="E204" s="42">
        <v>0</v>
      </c>
      <c r="F204" s="42">
        <f t="shared" si="19"/>
        <v>1043.1128682000001</v>
      </c>
      <c r="G204" s="91"/>
      <c r="H204" s="93"/>
      <c r="I204" s="36"/>
      <c r="L204" s="72"/>
      <c r="M204" s="72"/>
      <c r="N204" s="36"/>
    </row>
    <row r="205" spans="1:14" s="37" customFormat="1" ht="15.75" hidden="1" customHeight="1" x14ac:dyDescent="0.3">
      <c r="A205" s="74">
        <f t="shared" si="20"/>
        <v>5</v>
      </c>
      <c r="B205" s="76"/>
      <c r="C205" s="42" t="s">
        <v>191</v>
      </c>
      <c r="D205" s="51">
        <f t="shared" si="21"/>
        <v>672.976044</v>
      </c>
      <c r="E205" s="42">
        <v>0</v>
      </c>
      <c r="F205" s="42">
        <f t="shared" si="19"/>
        <v>1043.1128682000001</v>
      </c>
      <c r="G205" s="91"/>
      <c r="H205" s="93"/>
      <c r="I205" s="36"/>
      <c r="L205" s="72"/>
      <c r="M205" s="72"/>
      <c r="N205" s="36"/>
    </row>
    <row r="206" spans="1:14" s="37" customFormat="1" ht="15.75" hidden="1" customHeight="1" x14ac:dyDescent="0.3">
      <c r="A206" s="74">
        <f t="shared" si="20"/>
        <v>6</v>
      </c>
      <c r="B206" s="76"/>
      <c r="C206" s="42" t="s">
        <v>191</v>
      </c>
      <c r="D206" s="51">
        <f t="shared" si="21"/>
        <v>672.976044</v>
      </c>
      <c r="E206" s="42">
        <v>0</v>
      </c>
      <c r="F206" s="42">
        <f t="shared" si="19"/>
        <v>1043.1128682000001</v>
      </c>
      <c r="G206" s="91"/>
      <c r="H206" s="93"/>
      <c r="I206" s="36"/>
      <c r="K206" s="21"/>
      <c r="L206" s="72"/>
      <c r="M206" s="72"/>
      <c r="N206" s="36"/>
    </row>
    <row r="207" spans="1:14" s="37" customFormat="1" ht="15.75" hidden="1" customHeight="1" x14ac:dyDescent="0.3">
      <c r="A207" s="74">
        <f t="shared" si="20"/>
        <v>7</v>
      </c>
      <c r="B207" s="76"/>
      <c r="C207" s="42" t="s">
        <v>191</v>
      </c>
      <c r="D207" s="51">
        <f t="shared" si="21"/>
        <v>672.976044</v>
      </c>
      <c r="E207" s="42">
        <v>0</v>
      </c>
      <c r="F207" s="42">
        <f t="shared" si="19"/>
        <v>1043.1128682000001</v>
      </c>
      <c r="G207" s="91"/>
      <c r="H207" s="93"/>
      <c r="I207" s="36"/>
      <c r="L207" s="72"/>
      <c r="M207" s="72"/>
      <c r="N207" s="36"/>
    </row>
    <row r="208" spans="1:14" s="37" customFormat="1" ht="15.75" hidden="1" customHeight="1" x14ac:dyDescent="0.3">
      <c r="A208" s="74">
        <f t="shared" si="20"/>
        <v>8</v>
      </c>
      <c r="B208" s="76"/>
      <c r="C208" s="42" t="s">
        <v>191</v>
      </c>
      <c r="D208" s="51">
        <f t="shared" si="21"/>
        <v>672.976044</v>
      </c>
      <c r="E208" s="42">
        <v>0</v>
      </c>
      <c r="F208" s="42">
        <f t="shared" si="19"/>
        <v>1043.1128682000001</v>
      </c>
      <c r="G208" s="91"/>
      <c r="H208" s="93"/>
      <c r="I208" s="36"/>
      <c r="L208" s="72"/>
      <c r="M208" s="72"/>
      <c r="N208" s="36"/>
    </row>
    <row r="209" spans="1:14" s="37" customFormat="1" ht="15.75" hidden="1" customHeight="1" x14ac:dyDescent="0.3">
      <c r="A209" s="74">
        <f t="shared" si="20"/>
        <v>9</v>
      </c>
      <c r="B209" s="76"/>
      <c r="C209" s="42" t="s">
        <v>191</v>
      </c>
      <c r="D209" s="51">
        <f t="shared" si="21"/>
        <v>672.976044</v>
      </c>
      <c r="E209" s="42">
        <v>0</v>
      </c>
      <c r="F209" s="42">
        <f t="shared" si="19"/>
        <v>1043.1128682000001</v>
      </c>
      <c r="G209" s="91"/>
      <c r="H209" s="93"/>
      <c r="I209" s="36"/>
      <c r="L209" s="72"/>
      <c r="M209" s="72"/>
      <c r="N209" s="36"/>
    </row>
    <row r="210" spans="1:14" s="37" customFormat="1" ht="15.75" hidden="1" customHeight="1" x14ac:dyDescent="0.3">
      <c r="A210" s="74">
        <f t="shared" si="20"/>
        <v>10</v>
      </c>
      <c r="B210" s="76"/>
      <c r="C210" s="42" t="s">
        <v>191</v>
      </c>
      <c r="D210" s="51">
        <f t="shared" si="21"/>
        <v>672.976044</v>
      </c>
      <c r="E210" s="42">
        <v>0</v>
      </c>
      <c r="F210" s="42">
        <f t="shared" si="19"/>
        <v>1043.1128682000001</v>
      </c>
      <c r="G210" s="91"/>
      <c r="H210" s="93"/>
      <c r="I210" s="36"/>
      <c r="L210" s="72"/>
      <c r="M210" s="72"/>
      <c r="N210" s="36"/>
    </row>
    <row r="211" spans="1:14" s="37" customFormat="1" ht="15.75" hidden="1" customHeight="1" x14ac:dyDescent="0.3">
      <c r="A211" s="74">
        <f t="shared" si="20"/>
        <v>11</v>
      </c>
      <c r="B211" s="76"/>
      <c r="C211" s="42" t="s">
        <v>191</v>
      </c>
      <c r="D211" s="51">
        <f t="shared" si="21"/>
        <v>672.976044</v>
      </c>
      <c r="E211" s="42">
        <v>0</v>
      </c>
      <c r="F211" s="42">
        <f t="shared" si="19"/>
        <v>1043.1128682000001</v>
      </c>
      <c r="G211" s="91"/>
      <c r="H211" s="93"/>
      <c r="I211" s="36"/>
      <c r="L211" s="72"/>
      <c r="M211" s="72"/>
      <c r="N211" s="36"/>
    </row>
    <row r="212" spans="1:14" s="37" customFormat="1" ht="15.75" hidden="1" customHeight="1" x14ac:dyDescent="0.3">
      <c r="A212" s="74">
        <f t="shared" si="20"/>
        <v>12</v>
      </c>
      <c r="B212" s="76"/>
      <c r="C212" s="42" t="s">
        <v>191</v>
      </c>
      <c r="D212" s="51">
        <f t="shared" si="21"/>
        <v>672.976044</v>
      </c>
      <c r="E212" s="42">
        <v>0</v>
      </c>
      <c r="F212" s="42">
        <f t="shared" si="19"/>
        <v>1043.1128682000001</v>
      </c>
      <c r="G212" s="91"/>
      <c r="H212" s="93"/>
      <c r="I212" s="36"/>
      <c r="L212" s="72"/>
      <c r="M212" s="72"/>
      <c r="N212" s="36"/>
    </row>
    <row r="213" spans="1:14" s="37" customFormat="1" ht="15.75" hidden="1" customHeight="1" x14ac:dyDescent="0.3">
      <c r="A213" s="74">
        <f t="shared" si="20"/>
        <v>13</v>
      </c>
      <c r="B213" s="76"/>
      <c r="C213" s="42" t="s">
        <v>191</v>
      </c>
      <c r="D213" s="51">
        <f>(8.55*5.15)*(10.764)</f>
        <v>473.96583000000004</v>
      </c>
      <c r="E213" s="42">
        <v>0</v>
      </c>
      <c r="F213" s="42">
        <f t="shared" si="19"/>
        <v>734.64703650000013</v>
      </c>
      <c r="G213" s="91"/>
      <c r="H213" s="93"/>
      <c r="I213" s="36"/>
      <c r="L213" s="72"/>
      <c r="M213" s="72"/>
      <c r="N213" s="36"/>
    </row>
    <row r="214" spans="1:14" s="37" customFormat="1" ht="15.75" hidden="1" customHeight="1" x14ac:dyDescent="0.3">
      <c r="A214" s="74">
        <f t="shared" si="20"/>
        <v>14</v>
      </c>
      <c r="B214" s="76"/>
      <c r="C214" s="42" t="s">
        <v>191</v>
      </c>
      <c r="D214" s="51">
        <f t="shared" ref="D214:D221" si="22">(8.49*5.15)*(10.764)</f>
        <v>470.63975399999998</v>
      </c>
      <c r="E214" s="42">
        <v>0</v>
      </c>
      <c r="F214" s="42">
        <f t="shared" si="19"/>
        <v>729.4916187</v>
      </c>
      <c r="G214" s="91"/>
      <c r="H214" s="93"/>
      <c r="I214" s="36"/>
      <c r="L214" s="72"/>
      <c r="M214" s="72"/>
      <c r="N214" s="36"/>
    </row>
    <row r="215" spans="1:14" s="37" customFormat="1" ht="15.75" hidden="1" customHeight="1" x14ac:dyDescent="0.3">
      <c r="A215" s="74">
        <f t="shared" si="20"/>
        <v>15</v>
      </c>
      <c r="B215" s="76"/>
      <c r="C215" s="42" t="s">
        <v>191</v>
      </c>
      <c r="D215" s="51">
        <f t="shared" si="22"/>
        <v>470.63975399999998</v>
      </c>
      <c r="E215" s="42">
        <v>0</v>
      </c>
      <c r="F215" s="42">
        <f t="shared" si="19"/>
        <v>729.4916187</v>
      </c>
      <c r="G215" s="91"/>
      <c r="H215" s="93"/>
      <c r="I215" s="36"/>
      <c r="L215" s="72"/>
      <c r="M215" s="72"/>
      <c r="N215" s="36"/>
    </row>
    <row r="216" spans="1:14" s="37" customFormat="1" ht="15.75" hidden="1" customHeight="1" x14ac:dyDescent="0.3">
      <c r="A216" s="74">
        <f t="shared" si="20"/>
        <v>16</v>
      </c>
      <c r="B216" s="76"/>
      <c r="C216" s="42" t="s">
        <v>191</v>
      </c>
      <c r="D216" s="51">
        <f t="shared" si="22"/>
        <v>470.63975399999998</v>
      </c>
      <c r="E216" s="42">
        <v>0</v>
      </c>
      <c r="F216" s="42">
        <f t="shared" si="19"/>
        <v>729.4916187</v>
      </c>
      <c r="G216" s="91"/>
      <c r="H216" s="93"/>
      <c r="I216" s="36"/>
      <c r="L216" s="72"/>
      <c r="M216" s="72"/>
      <c r="N216" s="36"/>
    </row>
    <row r="217" spans="1:14" s="37" customFormat="1" ht="15.75" hidden="1" customHeight="1" x14ac:dyDescent="0.3">
      <c r="A217" s="74">
        <f t="shared" si="20"/>
        <v>17</v>
      </c>
      <c r="B217" s="76"/>
      <c r="C217" s="42" t="s">
        <v>191</v>
      </c>
      <c r="D217" s="51">
        <f t="shared" si="22"/>
        <v>470.63975399999998</v>
      </c>
      <c r="E217" s="42">
        <v>0</v>
      </c>
      <c r="F217" s="42">
        <f t="shared" si="19"/>
        <v>729.4916187</v>
      </c>
      <c r="G217" s="91"/>
      <c r="H217" s="93"/>
      <c r="I217" s="36"/>
      <c r="L217" s="72"/>
      <c r="M217" s="72"/>
      <c r="N217" s="36"/>
    </row>
    <row r="218" spans="1:14" s="37" customFormat="1" ht="15.75" hidden="1" customHeight="1" x14ac:dyDescent="0.3">
      <c r="A218" s="74">
        <f t="shared" si="20"/>
        <v>18</v>
      </c>
      <c r="B218" s="76"/>
      <c r="C218" s="42" t="s">
        <v>191</v>
      </c>
      <c r="D218" s="51">
        <f t="shared" si="22"/>
        <v>470.63975399999998</v>
      </c>
      <c r="E218" s="42">
        <v>0</v>
      </c>
      <c r="F218" s="42">
        <f t="shared" si="19"/>
        <v>729.4916187</v>
      </c>
      <c r="G218" s="91"/>
      <c r="H218" s="93"/>
      <c r="I218" s="36"/>
      <c r="L218" s="72"/>
      <c r="M218" s="72"/>
      <c r="N218" s="36"/>
    </row>
    <row r="219" spans="1:14" s="37" customFormat="1" ht="15.75" hidden="1" customHeight="1" x14ac:dyDescent="0.3">
      <c r="A219" s="74">
        <f t="shared" si="20"/>
        <v>19</v>
      </c>
      <c r="B219" s="76"/>
      <c r="C219" s="42" t="s">
        <v>191</v>
      </c>
      <c r="D219" s="51">
        <f t="shared" si="22"/>
        <v>470.63975399999998</v>
      </c>
      <c r="E219" s="42">
        <v>0</v>
      </c>
      <c r="F219" s="42">
        <f t="shared" si="19"/>
        <v>729.4916187</v>
      </c>
      <c r="G219" s="91"/>
      <c r="H219" s="93"/>
      <c r="I219" s="36"/>
      <c r="L219" s="72"/>
      <c r="M219" s="72"/>
      <c r="N219" s="36"/>
    </row>
    <row r="220" spans="1:14" s="37" customFormat="1" ht="15.75" hidden="1" customHeight="1" x14ac:dyDescent="0.3">
      <c r="A220" s="74">
        <f t="shared" si="20"/>
        <v>20</v>
      </c>
      <c r="B220" s="76"/>
      <c r="C220" s="42" t="s">
        <v>191</v>
      </c>
      <c r="D220" s="51">
        <f t="shared" si="22"/>
        <v>470.63975399999998</v>
      </c>
      <c r="E220" s="42">
        <v>0</v>
      </c>
      <c r="F220" s="42">
        <f t="shared" si="19"/>
        <v>729.4916187</v>
      </c>
      <c r="G220" s="91"/>
      <c r="H220" s="93"/>
      <c r="I220" s="36"/>
      <c r="L220" s="72"/>
      <c r="M220" s="72"/>
      <c r="N220" s="36"/>
    </row>
    <row r="221" spans="1:14" s="37" customFormat="1" ht="15.75" hidden="1" customHeight="1" x14ac:dyDescent="0.3">
      <c r="A221" s="74">
        <f t="shared" si="20"/>
        <v>21</v>
      </c>
      <c r="B221" s="76"/>
      <c r="C221" s="42" t="s">
        <v>191</v>
      </c>
      <c r="D221" s="51">
        <f t="shared" si="22"/>
        <v>470.63975399999998</v>
      </c>
      <c r="E221" s="42">
        <v>0</v>
      </c>
      <c r="F221" s="42">
        <f t="shared" si="19"/>
        <v>729.4916187</v>
      </c>
      <c r="G221" s="88"/>
      <c r="H221" s="90"/>
      <c r="I221" s="36"/>
      <c r="L221" s="72"/>
      <c r="M221" s="72"/>
      <c r="N221" s="36"/>
    </row>
    <row r="222" spans="1:14" s="37" customFormat="1" hidden="1" x14ac:dyDescent="0.3">
      <c r="A222" s="79" t="s">
        <v>198</v>
      </c>
      <c r="B222" s="80"/>
      <c r="C222" s="80"/>
      <c r="D222" s="80"/>
      <c r="E222" s="80"/>
      <c r="F222" s="80"/>
      <c r="G222" s="80"/>
      <c r="H222" s="81"/>
      <c r="J222" s="36"/>
    </row>
    <row r="223" spans="1:14" s="37" customFormat="1" ht="15.75" hidden="1" customHeight="1" x14ac:dyDescent="0.3">
      <c r="A223" s="74">
        <v>1</v>
      </c>
      <c r="B223" s="76"/>
      <c r="C223" s="42" t="s">
        <v>191</v>
      </c>
      <c r="D223" s="51">
        <f>(8.55*5.15)*(10.764)</f>
        <v>473.96583000000004</v>
      </c>
      <c r="E223" s="42">
        <v>0</v>
      </c>
      <c r="F223" s="42">
        <f t="shared" ref="F223:F235" si="23">(D223+E223)*(($F$144)+1)</f>
        <v>734.64703650000013</v>
      </c>
      <c r="G223" s="82" t="str">
        <f>A222</f>
        <v>25th Floor (Part Refuge Area)</v>
      </c>
      <c r="H223" s="84"/>
      <c r="I223" s="36"/>
      <c r="L223" s="72"/>
      <c r="M223" s="72"/>
      <c r="N223" s="36"/>
    </row>
    <row r="224" spans="1:14" s="37" customFormat="1" ht="15.75" hidden="1" customHeight="1" x14ac:dyDescent="0.3">
      <c r="A224" s="74">
        <f t="shared" ref="A224:A243" si="24">A223+1</f>
        <v>2</v>
      </c>
      <c r="B224" s="76"/>
      <c r="C224" s="42" t="s">
        <v>191</v>
      </c>
      <c r="D224" s="51">
        <f t="shared" ref="D224:D234" si="25">(12.14*5.15)*(10.764)</f>
        <v>672.976044</v>
      </c>
      <c r="E224" s="42">
        <v>0</v>
      </c>
      <c r="F224" s="42">
        <f t="shared" si="23"/>
        <v>1043.1128682000001</v>
      </c>
      <c r="G224" s="91"/>
      <c r="H224" s="93"/>
      <c r="I224" s="36"/>
      <c r="L224" s="72"/>
      <c r="M224" s="72"/>
      <c r="N224" s="36"/>
    </row>
    <row r="225" spans="1:14" s="37" customFormat="1" ht="15.75" hidden="1" customHeight="1" x14ac:dyDescent="0.3">
      <c r="A225" s="74">
        <f t="shared" si="24"/>
        <v>3</v>
      </c>
      <c r="B225" s="76"/>
      <c r="C225" s="42" t="s">
        <v>191</v>
      </c>
      <c r="D225" s="51">
        <f t="shared" si="25"/>
        <v>672.976044</v>
      </c>
      <c r="E225" s="42">
        <v>0</v>
      </c>
      <c r="F225" s="42">
        <f t="shared" si="23"/>
        <v>1043.1128682000001</v>
      </c>
      <c r="G225" s="91"/>
      <c r="H225" s="93"/>
      <c r="I225" s="36"/>
      <c r="K225" s="37">
        <f>7.15/1.4</f>
        <v>5.1071428571428577</v>
      </c>
      <c r="L225" s="72"/>
      <c r="M225" s="72"/>
      <c r="N225" s="36"/>
    </row>
    <row r="226" spans="1:14" s="37" customFormat="1" ht="15.75" hidden="1" customHeight="1" x14ac:dyDescent="0.3">
      <c r="A226" s="74">
        <f t="shared" si="24"/>
        <v>4</v>
      </c>
      <c r="B226" s="76"/>
      <c r="C226" s="42" t="s">
        <v>191</v>
      </c>
      <c r="D226" s="51">
        <f t="shared" si="25"/>
        <v>672.976044</v>
      </c>
      <c r="E226" s="42">
        <v>0</v>
      </c>
      <c r="F226" s="42">
        <f t="shared" si="23"/>
        <v>1043.1128682000001</v>
      </c>
      <c r="G226" s="91"/>
      <c r="H226" s="93"/>
      <c r="I226" s="36"/>
      <c r="K226" s="37">
        <f>5.15/0.8</f>
        <v>6.4375</v>
      </c>
      <c r="L226" s="72"/>
      <c r="M226" s="72"/>
      <c r="N226" s="36"/>
    </row>
    <row r="227" spans="1:14" s="37" customFormat="1" ht="15.75" hidden="1" customHeight="1" x14ac:dyDescent="0.3">
      <c r="A227" s="74">
        <f t="shared" si="24"/>
        <v>5</v>
      </c>
      <c r="B227" s="76"/>
      <c r="C227" s="42" t="s">
        <v>191</v>
      </c>
      <c r="D227" s="51">
        <f t="shared" si="25"/>
        <v>672.976044</v>
      </c>
      <c r="E227" s="42">
        <v>0</v>
      </c>
      <c r="F227" s="42">
        <f t="shared" si="23"/>
        <v>1043.1128682000001</v>
      </c>
      <c r="G227" s="91"/>
      <c r="H227" s="93"/>
      <c r="I227" s="36"/>
      <c r="K227" s="37">
        <f>0.8*6.43</f>
        <v>5.1440000000000001</v>
      </c>
      <c r="L227" s="72"/>
      <c r="M227" s="72"/>
      <c r="N227" s="36"/>
    </row>
    <row r="228" spans="1:14" s="37" customFormat="1" ht="15.75" hidden="1" customHeight="1" x14ac:dyDescent="0.3">
      <c r="A228" s="74">
        <f t="shared" si="24"/>
        <v>6</v>
      </c>
      <c r="B228" s="76"/>
      <c r="C228" s="42" t="s">
        <v>191</v>
      </c>
      <c r="D228" s="51">
        <f t="shared" si="25"/>
        <v>672.976044</v>
      </c>
      <c r="E228" s="42">
        <v>0</v>
      </c>
      <c r="F228" s="42">
        <f t="shared" si="23"/>
        <v>1043.1128682000001</v>
      </c>
      <c r="G228" s="91"/>
      <c r="H228" s="93"/>
      <c r="I228" s="36"/>
      <c r="K228" s="21"/>
      <c r="L228" s="72"/>
      <c r="M228" s="72"/>
      <c r="N228" s="36"/>
    </row>
    <row r="229" spans="1:14" s="37" customFormat="1" ht="15.75" hidden="1" customHeight="1" x14ac:dyDescent="0.3">
      <c r="A229" s="74">
        <f t="shared" si="24"/>
        <v>7</v>
      </c>
      <c r="B229" s="76"/>
      <c r="C229" s="42" t="s">
        <v>191</v>
      </c>
      <c r="D229" s="51">
        <f t="shared" si="25"/>
        <v>672.976044</v>
      </c>
      <c r="E229" s="42">
        <v>0</v>
      </c>
      <c r="F229" s="42">
        <f t="shared" si="23"/>
        <v>1043.1128682000001</v>
      </c>
      <c r="G229" s="91"/>
      <c r="H229" s="93"/>
      <c r="I229" s="36"/>
      <c r="L229" s="72"/>
      <c r="M229" s="72"/>
      <c r="N229" s="36"/>
    </row>
    <row r="230" spans="1:14" s="37" customFormat="1" ht="15.75" hidden="1" customHeight="1" x14ac:dyDescent="0.3">
      <c r="A230" s="74">
        <f t="shared" si="24"/>
        <v>8</v>
      </c>
      <c r="B230" s="76"/>
      <c r="C230" s="42" t="s">
        <v>191</v>
      </c>
      <c r="D230" s="51">
        <f t="shared" si="25"/>
        <v>672.976044</v>
      </c>
      <c r="E230" s="42">
        <v>0</v>
      </c>
      <c r="F230" s="42">
        <f t="shared" si="23"/>
        <v>1043.1128682000001</v>
      </c>
      <c r="G230" s="91"/>
      <c r="H230" s="93"/>
      <c r="I230" s="36"/>
      <c r="L230" s="72"/>
      <c r="M230" s="72"/>
      <c r="N230" s="36"/>
    </row>
    <row r="231" spans="1:14" s="37" customFormat="1" ht="15.75" hidden="1" customHeight="1" x14ac:dyDescent="0.3">
      <c r="A231" s="74">
        <f t="shared" si="24"/>
        <v>9</v>
      </c>
      <c r="B231" s="76"/>
      <c r="C231" s="42" t="s">
        <v>191</v>
      </c>
      <c r="D231" s="51">
        <f t="shared" si="25"/>
        <v>672.976044</v>
      </c>
      <c r="E231" s="42">
        <v>0</v>
      </c>
      <c r="F231" s="42">
        <f t="shared" si="23"/>
        <v>1043.1128682000001</v>
      </c>
      <c r="G231" s="91"/>
      <c r="H231" s="93"/>
      <c r="I231" s="36"/>
      <c r="L231" s="72"/>
      <c r="M231" s="72"/>
      <c r="N231" s="36"/>
    </row>
    <row r="232" spans="1:14" s="37" customFormat="1" ht="15.75" hidden="1" customHeight="1" x14ac:dyDescent="0.3">
      <c r="A232" s="74">
        <f t="shared" si="24"/>
        <v>10</v>
      </c>
      <c r="B232" s="76"/>
      <c r="C232" s="42" t="s">
        <v>191</v>
      </c>
      <c r="D232" s="51">
        <f t="shared" si="25"/>
        <v>672.976044</v>
      </c>
      <c r="E232" s="42">
        <v>0</v>
      </c>
      <c r="F232" s="42">
        <f t="shared" si="23"/>
        <v>1043.1128682000001</v>
      </c>
      <c r="G232" s="91"/>
      <c r="H232" s="93"/>
      <c r="I232" s="36"/>
      <c r="L232" s="72"/>
      <c r="M232" s="72"/>
      <c r="N232" s="36"/>
    </row>
    <row r="233" spans="1:14" s="37" customFormat="1" ht="15.75" hidden="1" customHeight="1" x14ac:dyDescent="0.3">
      <c r="A233" s="74">
        <f t="shared" si="24"/>
        <v>11</v>
      </c>
      <c r="B233" s="76"/>
      <c r="C233" s="42" t="s">
        <v>191</v>
      </c>
      <c r="D233" s="51">
        <f t="shared" si="25"/>
        <v>672.976044</v>
      </c>
      <c r="E233" s="42">
        <v>0</v>
      </c>
      <c r="F233" s="42">
        <f t="shared" si="23"/>
        <v>1043.1128682000001</v>
      </c>
      <c r="G233" s="91"/>
      <c r="H233" s="93"/>
      <c r="I233" s="36"/>
      <c r="L233" s="72"/>
      <c r="M233" s="72"/>
      <c r="N233" s="36"/>
    </row>
    <row r="234" spans="1:14" s="37" customFormat="1" ht="15.75" hidden="1" customHeight="1" x14ac:dyDescent="0.3">
      <c r="A234" s="74">
        <f t="shared" si="24"/>
        <v>12</v>
      </c>
      <c r="B234" s="76"/>
      <c r="C234" s="42" t="s">
        <v>191</v>
      </c>
      <c r="D234" s="51">
        <f t="shared" si="25"/>
        <v>672.976044</v>
      </c>
      <c r="E234" s="42">
        <v>0</v>
      </c>
      <c r="F234" s="42">
        <f t="shared" si="23"/>
        <v>1043.1128682000001</v>
      </c>
      <c r="G234" s="91"/>
      <c r="H234" s="93"/>
      <c r="I234" s="36"/>
      <c r="L234" s="72"/>
      <c r="M234" s="72"/>
      <c r="N234" s="36"/>
    </row>
    <row r="235" spans="1:14" s="37" customFormat="1" ht="15.75" hidden="1" customHeight="1" x14ac:dyDescent="0.3">
      <c r="A235" s="74">
        <f t="shared" si="24"/>
        <v>13</v>
      </c>
      <c r="B235" s="76"/>
      <c r="C235" s="42" t="s">
        <v>191</v>
      </c>
      <c r="D235" s="51">
        <f>(8.55*5.15)*(10.764)</f>
        <v>473.96583000000004</v>
      </c>
      <c r="E235" s="42">
        <v>0</v>
      </c>
      <c r="F235" s="42">
        <f t="shared" si="23"/>
        <v>734.64703650000013</v>
      </c>
      <c r="G235" s="91"/>
      <c r="H235" s="93"/>
      <c r="I235" s="36"/>
      <c r="L235" s="72"/>
      <c r="M235" s="72"/>
      <c r="N235" s="36"/>
    </row>
    <row r="236" spans="1:14" s="37" customFormat="1" ht="15.75" hidden="1" customHeight="1" x14ac:dyDescent="0.3">
      <c r="A236" s="74">
        <f t="shared" si="24"/>
        <v>14</v>
      </c>
      <c r="B236" s="76"/>
      <c r="C236" s="82" t="s">
        <v>197</v>
      </c>
      <c r="D236" s="83"/>
      <c r="E236" s="83"/>
      <c r="F236" s="84"/>
      <c r="G236" s="91"/>
      <c r="H236" s="93"/>
      <c r="I236" s="36"/>
      <c r="L236" s="72"/>
      <c r="M236" s="72"/>
      <c r="N236" s="36"/>
    </row>
    <row r="237" spans="1:14" s="37" customFormat="1" ht="15.75" hidden="1" customHeight="1" x14ac:dyDescent="0.3">
      <c r="A237" s="74">
        <f t="shared" si="24"/>
        <v>15</v>
      </c>
      <c r="B237" s="76"/>
      <c r="C237" s="88"/>
      <c r="D237" s="89"/>
      <c r="E237" s="89"/>
      <c r="F237" s="90"/>
      <c r="G237" s="91"/>
      <c r="H237" s="93"/>
      <c r="I237" s="36"/>
      <c r="L237" s="72"/>
      <c r="M237" s="72"/>
      <c r="N237" s="36"/>
    </row>
    <row r="238" spans="1:14" s="37" customFormat="1" ht="15.75" hidden="1" customHeight="1" x14ac:dyDescent="0.3">
      <c r="A238" s="74">
        <f t="shared" si="24"/>
        <v>16</v>
      </c>
      <c r="B238" s="76"/>
      <c r="C238" s="42" t="s">
        <v>191</v>
      </c>
      <c r="D238" s="51">
        <f>(8.49*8.8)*(10.764)</f>
        <v>804.19996800000001</v>
      </c>
      <c r="E238" s="42">
        <v>0</v>
      </c>
      <c r="F238" s="42">
        <f t="shared" ref="F238" si="26">(D238+E238)*(($F$144)+1)</f>
        <v>1246.5099504</v>
      </c>
      <c r="G238" s="91"/>
      <c r="H238" s="93"/>
      <c r="I238" s="36"/>
      <c r="L238" s="72"/>
      <c r="M238" s="72"/>
      <c r="N238" s="36"/>
    </row>
    <row r="239" spans="1:14" s="37" customFormat="1" ht="15.75" hidden="1" customHeight="1" x14ac:dyDescent="0.3">
      <c r="A239" s="74">
        <f t="shared" si="24"/>
        <v>17</v>
      </c>
      <c r="B239" s="76"/>
      <c r="C239" s="42" t="s">
        <v>191</v>
      </c>
      <c r="D239" s="51">
        <f>(8.49*5.15)*(10.764)</f>
        <v>470.63975399999998</v>
      </c>
      <c r="E239" s="42">
        <v>0</v>
      </c>
      <c r="F239" s="42">
        <f t="shared" ref="F239:F243" si="27">(D239+E239)*(($F$144)+1)</f>
        <v>729.4916187</v>
      </c>
      <c r="G239" s="91"/>
      <c r="H239" s="93"/>
      <c r="I239" s="36"/>
      <c r="L239" s="72">
        <f>2.7*4.18</f>
        <v>11.286</v>
      </c>
      <c r="M239" s="72"/>
      <c r="N239" s="36"/>
    </row>
    <row r="240" spans="1:14" s="37" customFormat="1" ht="15.75" hidden="1" customHeight="1" x14ac:dyDescent="0.3">
      <c r="A240" s="74">
        <f t="shared" si="24"/>
        <v>18</v>
      </c>
      <c r="B240" s="76"/>
      <c r="C240" s="42" t="s">
        <v>191</v>
      </c>
      <c r="D240" s="51">
        <f>(8.49*5.15)*(10.764)</f>
        <v>470.63975399999998</v>
      </c>
      <c r="E240" s="42">
        <v>0</v>
      </c>
      <c r="F240" s="42">
        <f t="shared" si="27"/>
        <v>729.4916187</v>
      </c>
      <c r="G240" s="91"/>
      <c r="H240" s="93"/>
      <c r="I240" s="36"/>
      <c r="L240" s="72"/>
      <c r="M240" s="72"/>
      <c r="N240" s="36"/>
    </row>
    <row r="241" spans="1:20" s="37" customFormat="1" ht="15.75" hidden="1" customHeight="1" x14ac:dyDescent="0.3">
      <c r="A241" s="74">
        <f t="shared" si="24"/>
        <v>19</v>
      </c>
      <c r="B241" s="76"/>
      <c r="C241" s="42" t="s">
        <v>191</v>
      </c>
      <c r="D241" s="51">
        <f>(8.49*5.15)*(10.764)</f>
        <v>470.63975399999998</v>
      </c>
      <c r="E241" s="42">
        <v>0</v>
      </c>
      <c r="F241" s="42">
        <f t="shared" si="27"/>
        <v>729.4916187</v>
      </c>
      <c r="G241" s="91"/>
      <c r="H241" s="93"/>
      <c r="I241" s="36"/>
      <c r="L241" s="72"/>
      <c r="M241" s="72"/>
      <c r="N241" s="36"/>
    </row>
    <row r="242" spans="1:20" s="37" customFormat="1" ht="15.75" hidden="1" customHeight="1" x14ac:dyDescent="0.3">
      <c r="A242" s="74">
        <f t="shared" si="24"/>
        <v>20</v>
      </c>
      <c r="B242" s="76"/>
      <c r="C242" s="42" t="s">
        <v>191</v>
      </c>
      <c r="D242" s="51">
        <f>(8.49*5.15)*(10.764)</f>
        <v>470.63975399999998</v>
      </c>
      <c r="E242" s="42">
        <v>0</v>
      </c>
      <c r="F242" s="42">
        <f t="shared" si="27"/>
        <v>729.4916187</v>
      </c>
      <c r="G242" s="91"/>
      <c r="H242" s="93"/>
      <c r="I242" s="36"/>
      <c r="L242" s="72"/>
      <c r="M242" s="72"/>
      <c r="N242" s="36"/>
    </row>
    <row r="243" spans="1:20" s="37" customFormat="1" ht="15.75" hidden="1" customHeight="1" x14ac:dyDescent="0.3">
      <c r="A243" s="74">
        <f t="shared" si="24"/>
        <v>21</v>
      </c>
      <c r="B243" s="76"/>
      <c r="C243" s="42" t="s">
        <v>191</v>
      </c>
      <c r="D243" s="51">
        <f>(8.49*5.15)*(10.764)</f>
        <v>470.63975399999998</v>
      </c>
      <c r="E243" s="42">
        <v>0</v>
      </c>
      <c r="F243" s="42">
        <f t="shared" si="27"/>
        <v>729.4916187</v>
      </c>
      <c r="G243" s="88"/>
      <c r="H243" s="90"/>
      <c r="I243" s="36"/>
      <c r="L243" s="72"/>
      <c r="M243" s="72"/>
      <c r="N243" s="36"/>
    </row>
    <row r="244" spans="1:20" s="37" customFormat="1" hidden="1" x14ac:dyDescent="0.3">
      <c r="A244" s="79" t="s">
        <v>199</v>
      </c>
      <c r="B244" s="80"/>
      <c r="C244" s="80"/>
      <c r="D244" s="80"/>
      <c r="E244" s="80"/>
      <c r="F244" s="80"/>
      <c r="G244" s="80"/>
      <c r="H244" s="81"/>
      <c r="J244" s="36" t="s">
        <v>201</v>
      </c>
      <c r="L244" s="37" t="s">
        <v>202</v>
      </c>
    </row>
    <row r="245" spans="1:20" s="37" customFormat="1" ht="44.25" hidden="1" customHeight="1" x14ac:dyDescent="0.3">
      <c r="A245" s="74">
        <v>1</v>
      </c>
      <c r="B245" s="76"/>
      <c r="C245" s="42" t="s">
        <v>203</v>
      </c>
      <c r="D245" s="42">
        <f>12.14*31.58+12.14*5.38+((12.14*31.58+12.14*5.38)-(4.59*3.76))</f>
        <v>880.13040000000001</v>
      </c>
      <c r="E245" s="42">
        <v>0</v>
      </c>
      <c r="F245" s="42">
        <f>(D245+E245)*(($F$144)+1)</f>
        <v>1364.2021200000001</v>
      </c>
      <c r="G245" s="82" t="str">
        <f>A244</f>
        <v>26th &amp; 27th Floor</v>
      </c>
      <c r="H245" s="84"/>
      <c r="I245" s="36"/>
      <c r="J245" s="37">
        <f>12.14/2.9</f>
        <v>4.1862068965517247</v>
      </c>
      <c r="K245" s="37">
        <f>0.8*4.18</f>
        <v>3.3439999999999999</v>
      </c>
      <c r="L245" s="50">
        <f>21.05/5.05</f>
        <v>4.1683168316831685</v>
      </c>
      <c r="M245" s="50"/>
      <c r="N245" s="36"/>
    </row>
    <row r="246" spans="1:20" s="37" customFormat="1" ht="15.75" hidden="1" customHeight="1" x14ac:dyDescent="0.3">
      <c r="A246" s="74">
        <f t="shared" ref="A246:A247" si="28">A245+1</f>
        <v>2</v>
      </c>
      <c r="B246" s="76"/>
      <c r="C246" s="42" t="s">
        <v>200</v>
      </c>
      <c r="D246" s="42">
        <f>2.5*3.3+11.09*21.05+12.29*10.45+8.55*5.3+2.45*10.6</f>
        <v>441.41</v>
      </c>
      <c r="E246" s="42">
        <v>0</v>
      </c>
      <c r="F246" s="42">
        <f t="shared" ref="F246:F247" si="29">(D246+E246)*(($F$144)+1)</f>
        <v>684.18550000000005</v>
      </c>
      <c r="G246" s="91"/>
      <c r="H246" s="93"/>
      <c r="I246" s="36"/>
      <c r="J246" s="37">
        <f>1.1*4.18</f>
        <v>4.5979999999999999</v>
      </c>
      <c r="L246" s="50"/>
      <c r="M246" s="50"/>
      <c r="N246" s="36"/>
    </row>
    <row r="247" spans="1:20" s="37" customFormat="1" ht="15.75" hidden="1" customHeight="1" x14ac:dyDescent="0.3">
      <c r="A247" s="74">
        <f t="shared" si="28"/>
        <v>3</v>
      </c>
      <c r="B247" s="76"/>
      <c r="C247" s="42" t="s">
        <v>200</v>
      </c>
      <c r="D247" s="42"/>
      <c r="E247" s="42">
        <v>0</v>
      </c>
      <c r="F247" s="42">
        <f t="shared" si="29"/>
        <v>0</v>
      </c>
      <c r="G247" s="88"/>
      <c r="H247" s="90"/>
      <c r="I247" s="36"/>
      <c r="J247" s="37">
        <f>0.9*4.18</f>
        <v>3.762</v>
      </c>
      <c r="L247" s="50"/>
      <c r="M247" s="50"/>
      <c r="N247" s="36"/>
    </row>
    <row r="248" spans="1:20" s="37" customFormat="1" hidden="1" x14ac:dyDescent="0.3">
      <c r="A248" s="79" t="s">
        <v>205</v>
      </c>
      <c r="B248" s="80"/>
      <c r="C248" s="80"/>
      <c r="D248" s="80"/>
      <c r="E248" s="80"/>
      <c r="F248" s="80"/>
      <c r="G248" s="80"/>
      <c r="H248" s="81"/>
      <c r="J248" s="36"/>
    </row>
    <row r="249" spans="1:20" s="37" customFormat="1" hidden="1" x14ac:dyDescent="0.3">
      <c r="A249" s="79" t="s">
        <v>206</v>
      </c>
      <c r="B249" s="80"/>
      <c r="C249" s="80"/>
      <c r="D249" s="80"/>
      <c r="E249" s="80"/>
      <c r="F249" s="80"/>
      <c r="G249" s="80"/>
      <c r="H249" s="81"/>
      <c r="J249" s="36"/>
    </row>
    <row r="250" spans="1:20" ht="47.25" customHeight="1" x14ac:dyDescent="0.3">
      <c r="A250" s="97" t="s">
        <v>242</v>
      </c>
      <c r="B250" s="99" t="s">
        <v>245</v>
      </c>
      <c r="C250" s="99" t="s">
        <v>58</v>
      </c>
      <c r="D250" s="99" t="s">
        <v>243</v>
      </c>
      <c r="E250" s="101" t="s">
        <v>252</v>
      </c>
      <c r="F250" s="99" t="s">
        <v>59</v>
      </c>
      <c r="G250" s="101" t="s">
        <v>244</v>
      </c>
      <c r="H250" s="58" t="s">
        <v>148</v>
      </c>
      <c r="I250" s="36"/>
      <c r="T250" s="37"/>
    </row>
    <row r="251" spans="1:20" s="37" customFormat="1" x14ac:dyDescent="0.3">
      <c r="A251" s="98"/>
      <c r="B251" s="100"/>
      <c r="C251" s="100"/>
      <c r="D251" s="100"/>
      <c r="E251" s="102"/>
      <c r="F251" s="100"/>
      <c r="G251" s="102"/>
      <c r="H251" s="59">
        <v>0.55000000000000004</v>
      </c>
      <c r="I251" s="36"/>
    </row>
    <row r="252" spans="1:20" s="37" customFormat="1" x14ac:dyDescent="0.3">
      <c r="A252" s="85" t="s">
        <v>236</v>
      </c>
      <c r="B252" s="86"/>
      <c r="C252" s="86"/>
      <c r="D252" s="86"/>
      <c r="E252" s="86"/>
      <c r="F252" s="86"/>
      <c r="G252" s="86"/>
      <c r="H252" s="87"/>
      <c r="J252" s="36"/>
    </row>
    <row r="253" spans="1:20" s="37" customFormat="1" x14ac:dyDescent="0.3">
      <c r="A253" s="79" t="s">
        <v>204</v>
      </c>
      <c r="B253" s="80"/>
      <c r="C253" s="80"/>
      <c r="D253" s="80"/>
      <c r="E253" s="80"/>
      <c r="F253" s="80"/>
      <c r="G253" s="80"/>
      <c r="H253" s="81"/>
      <c r="J253" s="36"/>
    </row>
    <row r="254" spans="1:20" s="37" customFormat="1" hidden="1" x14ac:dyDescent="0.3">
      <c r="A254" s="94" t="s">
        <v>204</v>
      </c>
      <c r="B254" s="95"/>
      <c r="C254" s="95"/>
      <c r="D254" s="95"/>
      <c r="E254" s="95"/>
      <c r="F254" s="95"/>
      <c r="G254" s="95"/>
      <c r="H254" s="96"/>
      <c r="J254" s="36"/>
    </row>
    <row r="255" spans="1:20" s="37" customFormat="1" ht="31.2" hidden="1" customHeight="1" x14ac:dyDescent="0.3">
      <c r="A255" s="74">
        <v>1</v>
      </c>
      <c r="B255" s="76"/>
      <c r="C255" s="42" t="s">
        <v>188</v>
      </c>
      <c r="D255" s="51">
        <f>7.85*12.45</f>
        <v>97.732499999999987</v>
      </c>
      <c r="E255" s="42">
        <v>0</v>
      </c>
      <c r="F255" s="42">
        <f t="shared" ref="F255:F260" si="30">D255+E255</f>
        <v>97.732499999999987</v>
      </c>
      <c r="G255" s="42">
        <v>0</v>
      </c>
      <c r="H255" s="42">
        <f>F255*(($H$251)+1)+(IF(G255&lt;101,G255,IF(G255&lt;201,G255/2,IF(G255&lt;=301,G255/3,G255/4))))</f>
        <v>151.48537499999998</v>
      </c>
      <c r="I255" s="36"/>
      <c r="K255" s="37">
        <f>0.95*8.3</f>
        <v>7.8850000000000007</v>
      </c>
      <c r="L255" s="72">
        <f>8.3*0.6</f>
        <v>4.9800000000000004</v>
      </c>
      <c r="M255" s="72"/>
      <c r="N255" s="36"/>
    </row>
    <row r="256" spans="1:20" s="37" customFormat="1" ht="31.2" hidden="1" x14ac:dyDescent="0.3">
      <c r="A256" s="74">
        <f t="shared" ref="A256:A260" si="31">A255+1</f>
        <v>2</v>
      </c>
      <c r="B256" s="76"/>
      <c r="C256" s="42" t="s">
        <v>188</v>
      </c>
      <c r="D256" s="51">
        <f t="shared" ref="D256:D259" si="32">7.85*12.45</f>
        <v>97.732499999999987</v>
      </c>
      <c r="E256" s="42">
        <v>0</v>
      </c>
      <c r="F256" s="42">
        <f t="shared" si="30"/>
        <v>97.732499999999987</v>
      </c>
      <c r="G256" s="42">
        <v>0</v>
      </c>
      <c r="H256" s="42">
        <f t="shared" ref="H256:H260" si="33">F256*(($H$251)+1)+(IF(G256&lt;101,G256,IF(G256&lt;201,G256/2,IF(G256&lt;=301,G256/3,G256/4))))</f>
        <v>151.48537499999998</v>
      </c>
      <c r="I256" s="36"/>
      <c r="K256" s="37">
        <f>1.5*8.3</f>
        <v>12.450000000000001</v>
      </c>
      <c r="L256" s="72"/>
      <c r="M256" s="72"/>
      <c r="N256" s="36"/>
    </row>
    <row r="257" spans="1:20" s="37" customFormat="1" ht="31.2" hidden="1" x14ac:dyDescent="0.3">
      <c r="A257" s="74">
        <f t="shared" si="31"/>
        <v>3</v>
      </c>
      <c r="B257" s="76"/>
      <c r="C257" s="42" t="s">
        <v>188</v>
      </c>
      <c r="D257" s="51">
        <f t="shared" si="32"/>
        <v>97.732499999999987</v>
      </c>
      <c r="E257" s="42">
        <v>0</v>
      </c>
      <c r="F257" s="42">
        <f t="shared" si="30"/>
        <v>97.732499999999987</v>
      </c>
      <c r="G257" s="42">
        <v>0</v>
      </c>
      <c r="H257" s="42">
        <f t="shared" si="33"/>
        <v>151.48537499999998</v>
      </c>
      <c r="I257" s="36"/>
      <c r="J257" s="37">
        <f>11.2/1.35</f>
        <v>8.2962962962962958</v>
      </c>
      <c r="L257" s="72">
        <f>1.2*8.3</f>
        <v>9.9600000000000009</v>
      </c>
      <c r="M257" s="72"/>
      <c r="N257" s="36"/>
    </row>
    <row r="258" spans="1:20" s="37" customFormat="1" ht="31.2" hidden="1" x14ac:dyDescent="0.3">
      <c r="A258" s="74">
        <f t="shared" si="31"/>
        <v>4</v>
      </c>
      <c r="B258" s="76"/>
      <c r="C258" s="42" t="s">
        <v>188</v>
      </c>
      <c r="D258" s="51">
        <f t="shared" si="32"/>
        <v>97.732499999999987</v>
      </c>
      <c r="E258" s="42">
        <v>0</v>
      </c>
      <c r="F258" s="42">
        <f t="shared" si="30"/>
        <v>97.732499999999987</v>
      </c>
      <c r="G258" s="42">
        <v>0</v>
      </c>
      <c r="H258" s="42">
        <f t="shared" si="33"/>
        <v>151.48537499999998</v>
      </c>
      <c r="I258" s="36"/>
      <c r="J258" s="37">
        <f>0.75*8.29</f>
        <v>6.2174999999999994</v>
      </c>
      <c r="L258" s="72"/>
      <c r="M258" s="72"/>
      <c r="N258" s="36"/>
    </row>
    <row r="259" spans="1:20" s="37" customFormat="1" ht="31.2" hidden="1" x14ac:dyDescent="0.3">
      <c r="A259" s="74">
        <f t="shared" si="31"/>
        <v>5</v>
      </c>
      <c r="B259" s="76"/>
      <c r="C259" s="42" t="s">
        <v>188</v>
      </c>
      <c r="D259" s="51">
        <f t="shared" si="32"/>
        <v>97.732499999999987</v>
      </c>
      <c r="E259" s="42">
        <v>0</v>
      </c>
      <c r="F259" s="42">
        <f t="shared" si="30"/>
        <v>97.732499999999987</v>
      </c>
      <c r="G259" s="42">
        <v>0</v>
      </c>
      <c r="H259" s="42">
        <f t="shared" si="33"/>
        <v>151.48537499999998</v>
      </c>
      <c r="I259" s="36"/>
      <c r="L259" s="42" t="s">
        <v>188</v>
      </c>
      <c r="M259" s="42">
        <f>7.85*12.45</f>
        <v>97.732499999999987</v>
      </c>
      <c r="N259" s="42">
        <f>7.85*12.45</f>
        <v>97.732499999999987</v>
      </c>
    </row>
    <row r="260" spans="1:20" s="37" customFormat="1" ht="31.2" hidden="1" x14ac:dyDescent="0.3">
      <c r="A260" s="74">
        <f t="shared" si="31"/>
        <v>6</v>
      </c>
      <c r="B260" s="76"/>
      <c r="C260" s="42" t="s">
        <v>188</v>
      </c>
      <c r="D260" s="51">
        <f>9.96*12.45</f>
        <v>124.00200000000001</v>
      </c>
      <c r="E260" s="42">
        <v>0</v>
      </c>
      <c r="F260" s="42">
        <f t="shared" si="30"/>
        <v>124.00200000000001</v>
      </c>
      <c r="G260" s="42">
        <v>0</v>
      </c>
      <c r="H260" s="42">
        <f t="shared" si="33"/>
        <v>192.20310000000001</v>
      </c>
      <c r="I260" s="36"/>
      <c r="L260" s="42" t="s">
        <v>188</v>
      </c>
      <c r="M260" s="42">
        <f t="shared" ref="M260:M263" si="34">7.85*12.45</f>
        <v>97.732499999999987</v>
      </c>
      <c r="N260" s="42">
        <f t="shared" ref="N260:N263" si="35">7.85*12.45</f>
        <v>97.732499999999987</v>
      </c>
    </row>
    <row r="261" spans="1:20" s="37" customFormat="1" x14ac:dyDescent="0.3">
      <c r="A261" s="79" t="s">
        <v>189</v>
      </c>
      <c r="B261" s="80"/>
      <c r="C261" s="80"/>
      <c r="D261" s="80"/>
      <c r="E261" s="80"/>
      <c r="F261" s="80"/>
      <c r="G261" s="80"/>
      <c r="H261" s="81"/>
      <c r="J261" s="36"/>
      <c r="L261" s="37" t="s">
        <v>188</v>
      </c>
      <c r="M261" s="37">
        <f t="shared" si="34"/>
        <v>97.732499999999987</v>
      </c>
      <c r="N261" s="37">
        <f t="shared" si="35"/>
        <v>97.732499999999987</v>
      </c>
    </row>
    <row r="262" spans="1:20" s="37" customFormat="1" x14ac:dyDescent="0.3">
      <c r="A262" s="79" t="s">
        <v>190</v>
      </c>
      <c r="B262" s="80"/>
      <c r="C262" s="80"/>
      <c r="D262" s="80"/>
      <c r="E262" s="80"/>
      <c r="F262" s="80"/>
      <c r="G262" s="80"/>
      <c r="H262" s="81"/>
      <c r="J262" s="36"/>
      <c r="L262" s="37" t="s">
        <v>188</v>
      </c>
      <c r="M262" s="37">
        <f t="shared" si="34"/>
        <v>97.732499999999987</v>
      </c>
      <c r="N262" s="37">
        <f t="shared" si="35"/>
        <v>97.732499999999987</v>
      </c>
    </row>
    <row r="263" spans="1:20" s="37" customFormat="1" ht="15.6" customHeight="1" x14ac:dyDescent="0.3">
      <c r="A263" s="79" t="s">
        <v>194</v>
      </c>
      <c r="B263" s="80"/>
      <c r="C263" s="80"/>
      <c r="D263" s="80"/>
      <c r="E263" s="80"/>
      <c r="F263" s="80"/>
      <c r="G263" s="80"/>
      <c r="H263" s="81"/>
      <c r="I263" s="37">
        <v>1</v>
      </c>
      <c r="J263" s="36"/>
      <c r="L263" s="42" t="s">
        <v>188</v>
      </c>
      <c r="M263" s="42">
        <f t="shared" si="34"/>
        <v>97.732499999999987</v>
      </c>
      <c r="N263" s="42">
        <f t="shared" si="35"/>
        <v>97.732499999999987</v>
      </c>
    </row>
    <row r="264" spans="1:20" s="37" customFormat="1" ht="15.75" customHeight="1" x14ac:dyDescent="0.3">
      <c r="A264" s="74">
        <v>1</v>
      </c>
      <c r="B264" s="76"/>
      <c r="C264" s="74" t="s">
        <v>192</v>
      </c>
      <c r="D264" s="75"/>
      <c r="E264" s="75"/>
      <c r="F264" s="75"/>
      <c r="G264" s="75"/>
      <c r="H264" s="76"/>
      <c r="I264" s="36"/>
      <c r="L264" s="42" t="s">
        <v>188</v>
      </c>
      <c r="M264" s="42">
        <f>9.96*12.45</f>
        <v>124.00200000000001</v>
      </c>
      <c r="N264" s="42">
        <f>9.96*12.45</f>
        <v>124.00200000000001</v>
      </c>
    </row>
    <row r="265" spans="1:20" s="37" customFormat="1" ht="15.75" customHeight="1" x14ac:dyDescent="0.3">
      <c r="A265" s="74">
        <f>A264+1</f>
        <v>2</v>
      </c>
      <c r="B265" s="76"/>
      <c r="C265" s="82" t="s">
        <v>193</v>
      </c>
      <c r="D265" s="83"/>
      <c r="E265" s="83"/>
      <c r="F265" s="83"/>
      <c r="G265" s="83"/>
      <c r="H265" s="84"/>
      <c r="I265" s="36"/>
      <c r="L265" s="72"/>
      <c r="M265" s="72"/>
      <c r="N265" s="36"/>
    </row>
    <row r="266" spans="1:20" s="37" customFormat="1" ht="15.75" customHeight="1" x14ac:dyDescent="0.3">
      <c r="A266" s="74">
        <f>A265+1</f>
        <v>3</v>
      </c>
      <c r="B266" s="76"/>
      <c r="C266" s="91"/>
      <c r="D266" s="92"/>
      <c r="E266" s="92"/>
      <c r="F266" s="92"/>
      <c r="G266" s="92"/>
      <c r="H266" s="93"/>
      <c r="I266" s="36"/>
      <c r="L266" s="72"/>
      <c r="M266" s="72"/>
      <c r="N266" s="36"/>
    </row>
    <row r="267" spans="1:20" s="37" customFormat="1" ht="15.75" customHeight="1" x14ac:dyDescent="0.3">
      <c r="A267" s="74">
        <f>A266+1</f>
        <v>4</v>
      </c>
      <c r="B267" s="76"/>
      <c r="C267" s="88"/>
      <c r="D267" s="89"/>
      <c r="E267" s="89"/>
      <c r="F267" s="89"/>
      <c r="G267" s="89"/>
      <c r="H267" s="90"/>
      <c r="I267" s="36"/>
      <c r="L267" s="72"/>
      <c r="M267" s="72"/>
      <c r="N267" s="36"/>
      <c r="T267" s="21"/>
    </row>
    <row r="268" spans="1:20" s="37" customFormat="1" ht="15.75" customHeight="1" x14ac:dyDescent="0.3">
      <c r="A268" s="74">
        <f t="shared" ref="A268:A284" si="36">A267+1</f>
        <v>5</v>
      </c>
      <c r="B268" s="76"/>
      <c r="C268" s="42" t="s">
        <v>191</v>
      </c>
      <c r="D268" s="51">
        <f t="shared" ref="D268:D275" si="37">(12.14*5.15)*(10.764)</f>
        <v>672.976044</v>
      </c>
      <c r="E268" s="42">
        <v>0</v>
      </c>
      <c r="F268" s="42">
        <f t="shared" ref="F268:F284" si="38">D268+E268</f>
        <v>672.976044</v>
      </c>
      <c r="G268" s="42">
        <v>0</v>
      </c>
      <c r="H268" s="42">
        <f>F268*(($H$251)+1)+(IF(G268&lt;101,G268,IF(G268&lt;201,G268/2,IF(G268&lt;=301,G268/3,G268/4))))</f>
        <v>1043.1128682000001</v>
      </c>
      <c r="I268" s="36"/>
      <c r="L268" s="72"/>
      <c r="M268" s="72"/>
      <c r="N268" s="36"/>
      <c r="T268" s="21"/>
    </row>
    <row r="269" spans="1:20" s="37" customFormat="1" ht="15.75" customHeight="1" x14ac:dyDescent="0.3">
      <c r="A269" s="74">
        <f t="shared" si="36"/>
        <v>6</v>
      </c>
      <c r="B269" s="76"/>
      <c r="C269" s="42" t="s">
        <v>191</v>
      </c>
      <c r="D269" s="51">
        <f t="shared" si="37"/>
        <v>672.976044</v>
      </c>
      <c r="E269" s="42">
        <v>0</v>
      </c>
      <c r="F269" s="42">
        <f t="shared" si="38"/>
        <v>672.976044</v>
      </c>
      <c r="G269" s="42">
        <v>0</v>
      </c>
      <c r="H269" s="42">
        <f t="shared" ref="H269:H284" si="39">F269*(($H$251)+1)+(IF(G269&lt;101,G269,IF(G269&lt;201,G269/2,IF(G269&lt;=301,G269/3,G269/4))))</f>
        <v>1043.1128682000001</v>
      </c>
      <c r="I269" s="36"/>
      <c r="L269" s="72"/>
      <c r="M269" s="72"/>
      <c r="N269" s="36"/>
      <c r="T269" s="21"/>
    </row>
    <row r="270" spans="1:20" s="37" customFormat="1" ht="15.75" customHeight="1" x14ac:dyDescent="0.3">
      <c r="A270" s="74">
        <f t="shared" si="36"/>
        <v>7</v>
      </c>
      <c r="B270" s="76"/>
      <c r="C270" s="42" t="s">
        <v>191</v>
      </c>
      <c r="D270" s="51">
        <f t="shared" si="37"/>
        <v>672.976044</v>
      </c>
      <c r="E270" s="42">
        <v>0</v>
      </c>
      <c r="F270" s="42">
        <f t="shared" si="38"/>
        <v>672.976044</v>
      </c>
      <c r="G270" s="42">
        <v>0</v>
      </c>
      <c r="H270" s="42">
        <f t="shared" si="39"/>
        <v>1043.1128682000001</v>
      </c>
      <c r="I270" s="36"/>
      <c r="L270" s="72"/>
      <c r="M270" s="72"/>
      <c r="N270" s="36"/>
      <c r="T270" s="21"/>
    </row>
    <row r="271" spans="1:20" s="37" customFormat="1" ht="15.75" customHeight="1" x14ac:dyDescent="0.3">
      <c r="A271" s="74">
        <f t="shared" si="36"/>
        <v>8</v>
      </c>
      <c r="B271" s="76"/>
      <c r="C271" s="42" t="s">
        <v>191</v>
      </c>
      <c r="D271" s="51">
        <f t="shared" si="37"/>
        <v>672.976044</v>
      </c>
      <c r="E271" s="42">
        <v>0</v>
      </c>
      <c r="F271" s="42">
        <f t="shared" si="38"/>
        <v>672.976044</v>
      </c>
      <c r="G271" s="42">
        <v>0</v>
      </c>
      <c r="H271" s="42">
        <f t="shared" si="39"/>
        <v>1043.1128682000001</v>
      </c>
      <c r="I271" s="36"/>
      <c r="L271" s="72"/>
      <c r="M271" s="72"/>
      <c r="N271" s="36"/>
      <c r="T271" s="21"/>
    </row>
    <row r="272" spans="1:20" s="37" customFormat="1" ht="15.75" customHeight="1" x14ac:dyDescent="0.3">
      <c r="A272" s="74">
        <f t="shared" si="36"/>
        <v>9</v>
      </c>
      <c r="B272" s="76"/>
      <c r="C272" s="42" t="s">
        <v>191</v>
      </c>
      <c r="D272" s="51">
        <f t="shared" si="37"/>
        <v>672.976044</v>
      </c>
      <c r="E272" s="42">
        <v>0</v>
      </c>
      <c r="F272" s="42">
        <f t="shared" si="38"/>
        <v>672.976044</v>
      </c>
      <c r="G272" s="42">
        <v>0</v>
      </c>
      <c r="H272" s="42">
        <f t="shared" si="39"/>
        <v>1043.1128682000001</v>
      </c>
      <c r="I272" s="36"/>
      <c r="L272" s="72"/>
      <c r="M272" s="72"/>
      <c r="N272" s="36"/>
      <c r="T272" s="21"/>
    </row>
    <row r="273" spans="1:20" s="37" customFormat="1" ht="15.75" customHeight="1" x14ac:dyDescent="0.3">
      <c r="A273" s="74">
        <f t="shared" si="36"/>
        <v>10</v>
      </c>
      <c r="B273" s="76"/>
      <c r="C273" s="42" t="s">
        <v>191</v>
      </c>
      <c r="D273" s="51">
        <f t="shared" si="37"/>
        <v>672.976044</v>
      </c>
      <c r="E273" s="42">
        <v>0</v>
      </c>
      <c r="F273" s="42">
        <f t="shared" si="38"/>
        <v>672.976044</v>
      </c>
      <c r="G273" s="42">
        <v>0</v>
      </c>
      <c r="H273" s="42">
        <f t="shared" si="39"/>
        <v>1043.1128682000001</v>
      </c>
      <c r="I273" s="36"/>
      <c r="L273" s="72"/>
      <c r="M273" s="72"/>
      <c r="N273" s="36"/>
      <c r="T273" s="21"/>
    </row>
    <row r="274" spans="1:20" s="37" customFormat="1" ht="15.75" customHeight="1" x14ac:dyDescent="0.3">
      <c r="A274" s="74">
        <f t="shared" si="36"/>
        <v>11</v>
      </c>
      <c r="B274" s="76"/>
      <c r="C274" s="42" t="s">
        <v>191</v>
      </c>
      <c r="D274" s="51">
        <f t="shared" si="37"/>
        <v>672.976044</v>
      </c>
      <c r="E274" s="42">
        <v>0</v>
      </c>
      <c r="F274" s="42">
        <f t="shared" si="38"/>
        <v>672.976044</v>
      </c>
      <c r="G274" s="42">
        <v>0</v>
      </c>
      <c r="H274" s="42">
        <f t="shared" si="39"/>
        <v>1043.1128682000001</v>
      </c>
      <c r="I274" s="36"/>
      <c r="L274" s="72"/>
      <c r="M274" s="72"/>
      <c r="N274" s="36"/>
      <c r="T274" s="21"/>
    </row>
    <row r="275" spans="1:20" s="37" customFormat="1" ht="15.75" customHeight="1" x14ac:dyDescent="0.3">
      <c r="A275" s="74">
        <f t="shared" si="36"/>
        <v>12</v>
      </c>
      <c r="B275" s="76"/>
      <c r="C275" s="42" t="s">
        <v>191</v>
      </c>
      <c r="D275" s="51">
        <f t="shared" si="37"/>
        <v>672.976044</v>
      </c>
      <c r="E275" s="42">
        <v>0</v>
      </c>
      <c r="F275" s="42">
        <f t="shared" si="38"/>
        <v>672.976044</v>
      </c>
      <c r="G275" s="42">
        <v>0</v>
      </c>
      <c r="H275" s="42">
        <f t="shared" si="39"/>
        <v>1043.1128682000001</v>
      </c>
      <c r="I275" s="36"/>
      <c r="L275" s="72"/>
      <c r="M275" s="72"/>
      <c r="N275" s="36"/>
      <c r="T275" s="21"/>
    </row>
    <row r="276" spans="1:20" s="37" customFormat="1" ht="15.75" customHeight="1" x14ac:dyDescent="0.3">
      <c r="A276" s="74">
        <f t="shared" si="36"/>
        <v>13</v>
      </c>
      <c r="B276" s="76"/>
      <c r="C276" s="42" t="s">
        <v>191</v>
      </c>
      <c r="D276" s="51">
        <f>(8.55*5.15)*(10.764)</f>
        <v>473.96583000000004</v>
      </c>
      <c r="E276" s="42">
        <v>0</v>
      </c>
      <c r="F276" s="42">
        <f t="shared" si="38"/>
        <v>473.96583000000004</v>
      </c>
      <c r="G276" s="42">
        <v>0</v>
      </c>
      <c r="H276" s="42">
        <f t="shared" si="39"/>
        <v>734.64703650000013</v>
      </c>
      <c r="I276" s="36"/>
      <c r="L276" s="72"/>
      <c r="M276" s="72"/>
      <c r="N276" s="36"/>
      <c r="T276" s="21"/>
    </row>
    <row r="277" spans="1:20" s="37" customFormat="1" ht="15.75" customHeight="1" x14ac:dyDescent="0.3">
      <c r="A277" s="74">
        <f t="shared" si="36"/>
        <v>14</v>
      </c>
      <c r="B277" s="76"/>
      <c r="C277" s="42" t="s">
        <v>191</v>
      </c>
      <c r="D277" s="51">
        <f t="shared" ref="D277:D284" si="40">(8.49*5.15)*(10.764)</f>
        <v>470.63975399999998</v>
      </c>
      <c r="E277" s="42">
        <v>0</v>
      </c>
      <c r="F277" s="42">
        <f t="shared" si="38"/>
        <v>470.63975399999998</v>
      </c>
      <c r="G277" s="42">
        <v>0</v>
      </c>
      <c r="H277" s="42">
        <f t="shared" si="39"/>
        <v>729.4916187</v>
      </c>
      <c r="I277" s="36"/>
      <c r="L277" s="72"/>
      <c r="M277" s="72"/>
      <c r="N277" s="36"/>
      <c r="T277" s="21"/>
    </row>
    <row r="278" spans="1:20" s="37" customFormat="1" ht="15.75" customHeight="1" x14ac:dyDescent="0.3">
      <c r="A278" s="74">
        <f t="shared" si="36"/>
        <v>15</v>
      </c>
      <c r="B278" s="76"/>
      <c r="C278" s="42" t="s">
        <v>191</v>
      </c>
      <c r="D278" s="51">
        <f t="shared" si="40"/>
        <v>470.63975399999998</v>
      </c>
      <c r="E278" s="42">
        <v>0</v>
      </c>
      <c r="F278" s="42">
        <f t="shared" si="38"/>
        <v>470.63975399999998</v>
      </c>
      <c r="G278" s="42">
        <v>0</v>
      </c>
      <c r="H278" s="42">
        <f t="shared" si="39"/>
        <v>729.4916187</v>
      </c>
      <c r="I278" s="36"/>
      <c r="L278" s="72"/>
      <c r="M278" s="72"/>
      <c r="N278" s="36"/>
      <c r="T278" s="21"/>
    </row>
    <row r="279" spans="1:20" s="37" customFormat="1" ht="15.75" customHeight="1" x14ac:dyDescent="0.3">
      <c r="A279" s="74">
        <f t="shared" si="36"/>
        <v>16</v>
      </c>
      <c r="B279" s="76"/>
      <c r="C279" s="42" t="s">
        <v>191</v>
      </c>
      <c r="D279" s="51">
        <f t="shared" si="40"/>
        <v>470.63975399999998</v>
      </c>
      <c r="E279" s="42">
        <v>0</v>
      </c>
      <c r="F279" s="42">
        <f t="shared" si="38"/>
        <v>470.63975399999998</v>
      </c>
      <c r="G279" s="42">
        <v>0</v>
      </c>
      <c r="H279" s="42">
        <f t="shared" si="39"/>
        <v>729.4916187</v>
      </c>
      <c r="I279" s="36"/>
      <c r="L279" s="72"/>
      <c r="M279" s="72"/>
      <c r="N279" s="36"/>
      <c r="T279" s="21"/>
    </row>
    <row r="280" spans="1:20" s="37" customFormat="1" ht="15.75" customHeight="1" x14ac:dyDescent="0.3">
      <c r="A280" s="74">
        <f t="shared" si="36"/>
        <v>17</v>
      </c>
      <c r="B280" s="76"/>
      <c r="C280" s="42" t="s">
        <v>191</v>
      </c>
      <c r="D280" s="51">
        <f t="shared" si="40"/>
        <v>470.63975399999998</v>
      </c>
      <c r="E280" s="42">
        <v>0</v>
      </c>
      <c r="F280" s="42">
        <f t="shared" si="38"/>
        <v>470.63975399999998</v>
      </c>
      <c r="G280" s="42">
        <v>0</v>
      </c>
      <c r="H280" s="42">
        <f t="shared" si="39"/>
        <v>729.4916187</v>
      </c>
      <c r="I280" s="36"/>
      <c r="L280" s="72"/>
      <c r="M280" s="72"/>
      <c r="N280" s="36"/>
      <c r="T280" s="21"/>
    </row>
    <row r="281" spans="1:20" s="37" customFormat="1" ht="15.75" customHeight="1" x14ac:dyDescent="0.3">
      <c r="A281" s="74">
        <f t="shared" si="36"/>
        <v>18</v>
      </c>
      <c r="B281" s="76"/>
      <c r="C281" s="42" t="s">
        <v>191</v>
      </c>
      <c r="D281" s="51">
        <f t="shared" si="40"/>
        <v>470.63975399999998</v>
      </c>
      <c r="E281" s="42">
        <v>0</v>
      </c>
      <c r="F281" s="42">
        <f t="shared" si="38"/>
        <v>470.63975399999998</v>
      </c>
      <c r="G281" s="42">
        <v>0</v>
      </c>
      <c r="H281" s="42">
        <f t="shared" si="39"/>
        <v>729.4916187</v>
      </c>
      <c r="I281" s="36"/>
      <c r="L281" s="72"/>
      <c r="M281" s="72"/>
      <c r="N281" s="36"/>
      <c r="T281" s="21"/>
    </row>
    <row r="282" spans="1:20" s="37" customFormat="1" ht="15.75" customHeight="1" x14ac:dyDescent="0.3">
      <c r="A282" s="74">
        <f t="shared" si="36"/>
        <v>19</v>
      </c>
      <c r="B282" s="76"/>
      <c r="C282" s="42" t="s">
        <v>191</v>
      </c>
      <c r="D282" s="51">
        <f t="shared" si="40"/>
        <v>470.63975399999998</v>
      </c>
      <c r="E282" s="42">
        <v>0</v>
      </c>
      <c r="F282" s="42">
        <f t="shared" si="38"/>
        <v>470.63975399999998</v>
      </c>
      <c r="G282" s="42">
        <v>0</v>
      </c>
      <c r="H282" s="42">
        <f t="shared" si="39"/>
        <v>729.4916187</v>
      </c>
      <c r="I282" s="36"/>
      <c r="L282" s="72"/>
      <c r="M282" s="72"/>
      <c r="N282" s="36"/>
      <c r="T282" s="21"/>
    </row>
    <row r="283" spans="1:20" s="37" customFormat="1" ht="15.75" customHeight="1" x14ac:dyDescent="0.3">
      <c r="A283" s="74">
        <f t="shared" si="36"/>
        <v>20</v>
      </c>
      <c r="B283" s="76"/>
      <c r="C283" s="42" t="s">
        <v>191</v>
      </c>
      <c r="D283" s="51">
        <f t="shared" si="40"/>
        <v>470.63975399999998</v>
      </c>
      <c r="E283" s="42">
        <v>0</v>
      </c>
      <c r="F283" s="42">
        <f t="shared" si="38"/>
        <v>470.63975399999998</v>
      </c>
      <c r="G283" s="42">
        <v>0</v>
      </c>
      <c r="H283" s="42">
        <f t="shared" si="39"/>
        <v>729.4916187</v>
      </c>
      <c r="I283" s="36"/>
      <c r="L283" s="72"/>
      <c r="M283" s="72"/>
      <c r="N283" s="36"/>
      <c r="T283" s="21"/>
    </row>
    <row r="284" spans="1:20" s="37" customFormat="1" ht="15.75" customHeight="1" x14ac:dyDescent="0.3">
      <c r="A284" s="74">
        <f t="shared" si="36"/>
        <v>21</v>
      </c>
      <c r="B284" s="76"/>
      <c r="C284" s="42" t="s">
        <v>191</v>
      </c>
      <c r="D284" s="51">
        <f t="shared" si="40"/>
        <v>470.63975399999998</v>
      </c>
      <c r="E284" s="42">
        <v>0</v>
      </c>
      <c r="F284" s="42">
        <f t="shared" si="38"/>
        <v>470.63975399999998</v>
      </c>
      <c r="G284" s="42">
        <v>0</v>
      </c>
      <c r="H284" s="42">
        <f t="shared" si="39"/>
        <v>729.4916187</v>
      </c>
      <c r="I284" s="36"/>
      <c r="L284" s="72"/>
      <c r="M284" s="72"/>
      <c r="N284" s="36"/>
      <c r="T284" s="21"/>
    </row>
    <row r="285" spans="1:20" s="37" customFormat="1" ht="15.6" customHeight="1" x14ac:dyDescent="0.3">
      <c r="A285" s="79" t="s">
        <v>195</v>
      </c>
      <c r="B285" s="80"/>
      <c r="C285" s="80"/>
      <c r="D285" s="80"/>
      <c r="E285" s="80"/>
      <c r="F285" s="80"/>
      <c r="G285" s="80"/>
      <c r="H285" s="81"/>
      <c r="I285" s="37">
        <v>6</v>
      </c>
      <c r="J285" s="36"/>
    </row>
    <row r="286" spans="1:20" s="37" customFormat="1" ht="15.75" customHeight="1" x14ac:dyDescent="0.3">
      <c r="A286" s="74">
        <v>1</v>
      </c>
      <c r="B286" s="76"/>
      <c r="C286" s="42" t="s">
        <v>191</v>
      </c>
      <c r="D286" s="51">
        <f>(8.55*5.15)*(10.764)</f>
        <v>473.96583000000004</v>
      </c>
      <c r="E286" s="42">
        <v>0</v>
      </c>
      <c r="F286" s="42">
        <f t="shared" ref="F286:F289" si="41">D286+E286</f>
        <v>473.96583000000004</v>
      </c>
      <c r="G286" s="42">
        <v>0</v>
      </c>
      <c r="H286" s="42">
        <f t="shared" ref="H286:H289" si="42">F286*(($H$251)+1)+(IF(G286&lt;101,G286,IF(G286&lt;201,G286/2,IF(G286&lt;=301,G286/3,G286/4))))</f>
        <v>734.64703650000013</v>
      </c>
      <c r="I286" s="36"/>
      <c r="L286" s="72"/>
      <c r="M286" s="72"/>
      <c r="N286" s="36"/>
    </row>
    <row r="287" spans="1:20" s="37" customFormat="1" ht="15.75" customHeight="1" x14ac:dyDescent="0.3">
      <c r="A287" s="74">
        <f>A286+1</f>
        <v>2</v>
      </c>
      <c r="B287" s="76"/>
      <c r="C287" s="42" t="s">
        <v>191</v>
      </c>
      <c r="D287" s="51">
        <f t="shared" ref="D287:D297" si="43">(12.14*5.15)*(10.764)</f>
        <v>672.976044</v>
      </c>
      <c r="E287" s="42">
        <v>0</v>
      </c>
      <c r="F287" s="42">
        <f t="shared" si="41"/>
        <v>672.976044</v>
      </c>
      <c r="G287" s="42">
        <v>0</v>
      </c>
      <c r="H287" s="42">
        <f t="shared" si="42"/>
        <v>1043.1128682000001</v>
      </c>
      <c r="I287" s="36"/>
      <c r="L287" s="72"/>
      <c r="M287" s="72"/>
      <c r="N287" s="36"/>
    </row>
    <row r="288" spans="1:20" s="37" customFormat="1" ht="15.75" customHeight="1" x14ac:dyDescent="0.3">
      <c r="A288" s="74">
        <f>A287+1</f>
        <v>3</v>
      </c>
      <c r="B288" s="76"/>
      <c r="C288" s="42" t="s">
        <v>191</v>
      </c>
      <c r="D288" s="51">
        <f t="shared" si="43"/>
        <v>672.976044</v>
      </c>
      <c r="E288" s="42">
        <v>0</v>
      </c>
      <c r="F288" s="42">
        <f t="shared" si="41"/>
        <v>672.976044</v>
      </c>
      <c r="G288" s="42">
        <v>0</v>
      </c>
      <c r="H288" s="42">
        <f t="shared" si="42"/>
        <v>1043.1128682000001</v>
      </c>
      <c r="I288" s="36"/>
      <c r="L288" s="72"/>
      <c r="M288" s="72"/>
      <c r="N288" s="36"/>
    </row>
    <row r="289" spans="1:20" s="37" customFormat="1" ht="15.75" customHeight="1" x14ac:dyDescent="0.3">
      <c r="A289" s="74">
        <f>A288+1</f>
        <v>4</v>
      </c>
      <c r="B289" s="76"/>
      <c r="C289" s="42" t="s">
        <v>191</v>
      </c>
      <c r="D289" s="51">
        <f t="shared" si="43"/>
        <v>672.976044</v>
      </c>
      <c r="E289" s="42">
        <v>0</v>
      </c>
      <c r="F289" s="42">
        <f t="shared" si="41"/>
        <v>672.976044</v>
      </c>
      <c r="G289" s="42">
        <v>0</v>
      </c>
      <c r="H289" s="42">
        <f t="shared" si="42"/>
        <v>1043.1128682000001</v>
      </c>
      <c r="I289" s="36"/>
      <c r="L289" s="72"/>
      <c r="M289" s="72"/>
      <c r="N289" s="36"/>
      <c r="T289" s="21"/>
    </row>
    <row r="290" spans="1:20" s="37" customFormat="1" ht="15.75" customHeight="1" x14ac:dyDescent="0.3">
      <c r="A290" s="74">
        <f t="shared" ref="A290:A306" si="44">A289+1</f>
        <v>5</v>
      </c>
      <c r="B290" s="76"/>
      <c r="C290" s="42" t="s">
        <v>191</v>
      </c>
      <c r="D290" s="51">
        <f t="shared" si="43"/>
        <v>672.976044</v>
      </c>
      <c r="E290" s="42">
        <v>0</v>
      </c>
      <c r="F290" s="42">
        <f t="shared" ref="F290:F306" si="45">D290+E290</f>
        <v>672.976044</v>
      </c>
      <c r="G290" s="42">
        <v>0</v>
      </c>
      <c r="H290" s="42">
        <f t="shared" ref="H290:H306" si="46">F290*(($H$251)+1)+(IF(G290&lt;101,G290,IF(G290&lt;201,G290/2,IF(G290&lt;=301,G290/3,G290/4))))</f>
        <v>1043.1128682000001</v>
      </c>
      <c r="I290" s="36"/>
      <c r="L290" s="72"/>
      <c r="M290" s="72"/>
      <c r="N290" s="36"/>
      <c r="T290" s="21"/>
    </row>
    <row r="291" spans="1:20" s="37" customFormat="1" ht="15.75" customHeight="1" x14ac:dyDescent="0.3">
      <c r="A291" s="74">
        <f t="shared" si="44"/>
        <v>6</v>
      </c>
      <c r="B291" s="76"/>
      <c r="C291" s="42" t="s">
        <v>191</v>
      </c>
      <c r="D291" s="51">
        <f t="shared" si="43"/>
        <v>672.976044</v>
      </c>
      <c r="E291" s="42">
        <v>0</v>
      </c>
      <c r="F291" s="42">
        <f t="shared" si="45"/>
        <v>672.976044</v>
      </c>
      <c r="G291" s="42">
        <v>0</v>
      </c>
      <c r="H291" s="42">
        <f t="shared" si="46"/>
        <v>1043.1128682000001</v>
      </c>
      <c r="I291" s="36"/>
      <c r="L291" s="72"/>
      <c r="M291" s="72"/>
      <c r="N291" s="36"/>
      <c r="T291" s="21"/>
    </row>
    <row r="292" spans="1:20" s="37" customFormat="1" ht="15.75" customHeight="1" x14ac:dyDescent="0.3">
      <c r="A292" s="74">
        <f t="shared" si="44"/>
        <v>7</v>
      </c>
      <c r="B292" s="76"/>
      <c r="C292" s="42" t="s">
        <v>191</v>
      </c>
      <c r="D292" s="51">
        <f t="shared" si="43"/>
        <v>672.976044</v>
      </c>
      <c r="E292" s="42">
        <v>0</v>
      </c>
      <c r="F292" s="42">
        <f t="shared" si="45"/>
        <v>672.976044</v>
      </c>
      <c r="G292" s="42">
        <v>0</v>
      </c>
      <c r="H292" s="42">
        <f t="shared" si="46"/>
        <v>1043.1128682000001</v>
      </c>
      <c r="I292" s="36"/>
      <c r="L292" s="72"/>
      <c r="M292" s="72"/>
      <c r="N292" s="36"/>
      <c r="T292" s="21"/>
    </row>
    <row r="293" spans="1:20" s="37" customFormat="1" ht="15.75" customHeight="1" x14ac:dyDescent="0.3">
      <c r="A293" s="74">
        <f t="shared" si="44"/>
        <v>8</v>
      </c>
      <c r="B293" s="76"/>
      <c r="C293" s="42" t="s">
        <v>191</v>
      </c>
      <c r="D293" s="51">
        <f t="shared" si="43"/>
        <v>672.976044</v>
      </c>
      <c r="E293" s="42">
        <v>0</v>
      </c>
      <c r="F293" s="42">
        <f t="shared" si="45"/>
        <v>672.976044</v>
      </c>
      <c r="G293" s="42">
        <v>0</v>
      </c>
      <c r="H293" s="42">
        <f t="shared" si="46"/>
        <v>1043.1128682000001</v>
      </c>
      <c r="I293" s="36"/>
      <c r="L293" s="72"/>
      <c r="M293" s="72"/>
      <c r="N293" s="36"/>
      <c r="T293" s="21"/>
    </row>
    <row r="294" spans="1:20" s="37" customFormat="1" ht="15.75" customHeight="1" x14ac:dyDescent="0.3">
      <c r="A294" s="74">
        <f t="shared" si="44"/>
        <v>9</v>
      </c>
      <c r="B294" s="76"/>
      <c r="C294" s="42" t="s">
        <v>191</v>
      </c>
      <c r="D294" s="51">
        <f t="shared" si="43"/>
        <v>672.976044</v>
      </c>
      <c r="E294" s="42">
        <v>0</v>
      </c>
      <c r="F294" s="42">
        <f t="shared" si="45"/>
        <v>672.976044</v>
      </c>
      <c r="G294" s="42">
        <v>0</v>
      </c>
      <c r="H294" s="42">
        <f t="shared" si="46"/>
        <v>1043.1128682000001</v>
      </c>
      <c r="I294" s="36"/>
      <c r="L294" s="72"/>
      <c r="M294" s="72"/>
      <c r="N294" s="36"/>
      <c r="T294" s="21"/>
    </row>
    <row r="295" spans="1:20" s="37" customFormat="1" ht="15.75" customHeight="1" x14ac:dyDescent="0.3">
      <c r="A295" s="74">
        <f t="shared" si="44"/>
        <v>10</v>
      </c>
      <c r="B295" s="76"/>
      <c r="C295" s="42" t="s">
        <v>191</v>
      </c>
      <c r="D295" s="51">
        <f t="shared" si="43"/>
        <v>672.976044</v>
      </c>
      <c r="E295" s="42">
        <v>0</v>
      </c>
      <c r="F295" s="42">
        <f t="shared" si="45"/>
        <v>672.976044</v>
      </c>
      <c r="G295" s="42">
        <v>0</v>
      </c>
      <c r="H295" s="42">
        <f t="shared" si="46"/>
        <v>1043.1128682000001</v>
      </c>
      <c r="I295" s="36"/>
      <c r="L295" s="72"/>
      <c r="M295" s="72"/>
      <c r="N295" s="36"/>
      <c r="T295" s="21"/>
    </row>
    <row r="296" spans="1:20" s="37" customFormat="1" ht="15.75" customHeight="1" x14ac:dyDescent="0.3">
      <c r="A296" s="74">
        <f t="shared" si="44"/>
        <v>11</v>
      </c>
      <c r="B296" s="76"/>
      <c r="C296" s="42" t="s">
        <v>191</v>
      </c>
      <c r="D296" s="51">
        <f t="shared" si="43"/>
        <v>672.976044</v>
      </c>
      <c r="E296" s="42">
        <v>0</v>
      </c>
      <c r="F296" s="42">
        <f t="shared" si="45"/>
        <v>672.976044</v>
      </c>
      <c r="G296" s="42">
        <v>0</v>
      </c>
      <c r="H296" s="42">
        <f t="shared" si="46"/>
        <v>1043.1128682000001</v>
      </c>
      <c r="I296" s="36"/>
      <c r="L296" s="72"/>
      <c r="M296" s="72"/>
      <c r="N296" s="36"/>
      <c r="T296" s="21"/>
    </row>
    <row r="297" spans="1:20" s="37" customFormat="1" ht="15.75" customHeight="1" x14ac:dyDescent="0.3">
      <c r="A297" s="74">
        <f t="shared" si="44"/>
        <v>12</v>
      </c>
      <c r="B297" s="76"/>
      <c r="C297" s="42" t="s">
        <v>191</v>
      </c>
      <c r="D297" s="51">
        <f t="shared" si="43"/>
        <v>672.976044</v>
      </c>
      <c r="E297" s="42">
        <v>0</v>
      </c>
      <c r="F297" s="42">
        <f t="shared" si="45"/>
        <v>672.976044</v>
      </c>
      <c r="G297" s="42">
        <v>0</v>
      </c>
      <c r="H297" s="42">
        <f t="shared" si="46"/>
        <v>1043.1128682000001</v>
      </c>
      <c r="I297" s="36"/>
      <c r="L297" s="72"/>
      <c r="M297" s="72"/>
      <c r="N297" s="36"/>
      <c r="T297" s="21"/>
    </row>
    <row r="298" spans="1:20" s="37" customFormat="1" ht="15.75" customHeight="1" x14ac:dyDescent="0.3">
      <c r="A298" s="74">
        <f t="shared" si="44"/>
        <v>13</v>
      </c>
      <c r="B298" s="76"/>
      <c r="C298" s="42" t="s">
        <v>191</v>
      </c>
      <c r="D298" s="51">
        <f>(8.55*5.15)*(10.764)</f>
        <v>473.96583000000004</v>
      </c>
      <c r="E298" s="42">
        <v>0</v>
      </c>
      <c r="F298" s="42">
        <f t="shared" si="45"/>
        <v>473.96583000000004</v>
      </c>
      <c r="G298" s="42">
        <v>0</v>
      </c>
      <c r="H298" s="42">
        <f t="shared" si="46"/>
        <v>734.64703650000013</v>
      </c>
      <c r="I298" s="36"/>
      <c r="L298" s="72"/>
      <c r="M298" s="72"/>
      <c r="N298" s="36"/>
      <c r="T298" s="21"/>
    </row>
    <row r="299" spans="1:20" s="37" customFormat="1" ht="15.75" customHeight="1" x14ac:dyDescent="0.3">
      <c r="A299" s="74">
        <f t="shared" si="44"/>
        <v>14</v>
      </c>
      <c r="B299" s="76"/>
      <c r="C299" s="82" t="s">
        <v>247</v>
      </c>
      <c r="D299" s="83"/>
      <c r="E299" s="83"/>
      <c r="F299" s="83"/>
      <c r="G299" s="83"/>
      <c r="H299" s="84"/>
      <c r="I299" s="36"/>
      <c r="L299" s="72"/>
      <c r="M299" s="72"/>
      <c r="N299" s="36"/>
      <c r="T299" s="21"/>
    </row>
    <row r="300" spans="1:20" s="37" customFormat="1" ht="15.75" customHeight="1" x14ac:dyDescent="0.3">
      <c r="A300" s="74">
        <f t="shared" si="44"/>
        <v>15</v>
      </c>
      <c r="B300" s="76"/>
      <c r="C300" s="91"/>
      <c r="D300" s="92"/>
      <c r="E300" s="92"/>
      <c r="F300" s="92"/>
      <c r="G300" s="92"/>
      <c r="H300" s="93"/>
      <c r="I300" s="36"/>
      <c r="L300" s="72"/>
      <c r="M300" s="72"/>
      <c r="N300" s="36"/>
      <c r="T300" s="21"/>
    </row>
    <row r="301" spans="1:20" s="37" customFormat="1" ht="15.75" customHeight="1" x14ac:dyDescent="0.3">
      <c r="A301" s="74">
        <f t="shared" si="44"/>
        <v>16</v>
      </c>
      <c r="B301" s="76"/>
      <c r="C301" s="88"/>
      <c r="D301" s="89"/>
      <c r="E301" s="89"/>
      <c r="F301" s="89"/>
      <c r="G301" s="89"/>
      <c r="H301" s="90"/>
      <c r="I301" s="36"/>
      <c r="L301" s="72"/>
      <c r="M301" s="72"/>
      <c r="N301" s="36"/>
      <c r="T301" s="21"/>
    </row>
    <row r="302" spans="1:20" s="37" customFormat="1" ht="15.75" customHeight="1" x14ac:dyDescent="0.3">
      <c r="A302" s="74">
        <f t="shared" si="44"/>
        <v>17</v>
      </c>
      <c r="B302" s="76"/>
      <c r="C302" s="42" t="s">
        <v>191</v>
      </c>
      <c r="D302" s="51">
        <f t="shared" ref="D302:D306" si="47">(8.49*5.15)*(10.764)</f>
        <v>470.63975399999998</v>
      </c>
      <c r="E302" s="42">
        <v>0</v>
      </c>
      <c r="F302" s="42">
        <f t="shared" si="45"/>
        <v>470.63975399999998</v>
      </c>
      <c r="G302" s="42">
        <v>0</v>
      </c>
      <c r="H302" s="42">
        <f t="shared" si="46"/>
        <v>729.4916187</v>
      </c>
      <c r="I302" s="36"/>
      <c r="L302" s="72"/>
      <c r="M302" s="72"/>
      <c r="N302" s="36"/>
      <c r="T302" s="21"/>
    </row>
    <row r="303" spans="1:20" s="37" customFormat="1" ht="15.75" customHeight="1" x14ac:dyDescent="0.3">
      <c r="A303" s="74">
        <f t="shared" si="44"/>
        <v>18</v>
      </c>
      <c r="B303" s="76"/>
      <c r="C303" s="42" t="s">
        <v>191</v>
      </c>
      <c r="D303" s="51">
        <f t="shared" si="47"/>
        <v>470.63975399999998</v>
      </c>
      <c r="E303" s="42">
        <v>0</v>
      </c>
      <c r="F303" s="42">
        <f t="shared" si="45"/>
        <v>470.63975399999998</v>
      </c>
      <c r="G303" s="42">
        <v>0</v>
      </c>
      <c r="H303" s="42">
        <f t="shared" si="46"/>
        <v>729.4916187</v>
      </c>
      <c r="I303" s="36"/>
      <c r="L303" s="72"/>
      <c r="M303" s="72"/>
      <c r="N303" s="36"/>
      <c r="T303" s="21"/>
    </row>
    <row r="304" spans="1:20" s="37" customFormat="1" ht="15.75" customHeight="1" x14ac:dyDescent="0.3">
      <c r="A304" s="74">
        <f t="shared" si="44"/>
        <v>19</v>
      </c>
      <c r="B304" s="76"/>
      <c r="C304" s="42" t="s">
        <v>191</v>
      </c>
      <c r="D304" s="51">
        <f t="shared" si="47"/>
        <v>470.63975399999998</v>
      </c>
      <c r="E304" s="42">
        <v>0</v>
      </c>
      <c r="F304" s="42">
        <f t="shared" si="45"/>
        <v>470.63975399999998</v>
      </c>
      <c r="G304" s="42">
        <v>0</v>
      </c>
      <c r="H304" s="42">
        <f t="shared" si="46"/>
        <v>729.4916187</v>
      </c>
      <c r="I304" s="36"/>
      <c r="L304" s="72"/>
      <c r="M304" s="72"/>
      <c r="N304" s="36"/>
      <c r="T304" s="21"/>
    </row>
    <row r="305" spans="1:20" s="37" customFormat="1" ht="15.75" customHeight="1" x14ac:dyDescent="0.3">
      <c r="A305" s="74">
        <f t="shared" si="44"/>
        <v>20</v>
      </c>
      <c r="B305" s="76"/>
      <c r="C305" s="42" t="s">
        <v>191</v>
      </c>
      <c r="D305" s="51">
        <f t="shared" si="47"/>
        <v>470.63975399999998</v>
      </c>
      <c r="E305" s="42">
        <v>0</v>
      </c>
      <c r="F305" s="42">
        <f t="shared" si="45"/>
        <v>470.63975399999998</v>
      </c>
      <c r="G305" s="42">
        <v>0</v>
      </c>
      <c r="H305" s="42">
        <f t="shared" si="46"/>
        <v>729.4916187</v>
      </c>
      <c r="I305" s="36"/>
      <c r="L305" s="72"/>
      <c r="M305" s="72"/>
      <c r="N305" s="36"/>
      <c r="T305" s="21"/>
    </row>
    <row r="306" spans="1:20" s="37" customFormat="1" ht="15.75" customHeight="1" x14ac:dyDescent="0.3">
      <c r="A306" s="74">
        <f t="shared" si="44"/>
        <v>21</v>
      </c>
      <c r="B306" s="76"/>
      <c r="C306" s="42" t="s">
        <v>191</v>
      </c>
      <c r="D306" s="51">
        <f t="shared" si="47"/>
        <v>470.63975399999998</v>
      </c>
      <c r="E306" s="42">
        <v>0</v>
      </c>
      <c r="F306" s="42">
        <f t="shared" si="45"/>
        <v>470.63975399999998</v>
      </c>
      <c r="G306" s="42">
        <v>0</v>
      </c>
      <c r="H306" s="42">
        <f t="shared" si="46"/>
        <v>729.4916187</v>
      </c>
      <c r="I306" s="36"/>
      <c r="L306" s="72"/>
      <c r="M306" s="72"/>
      <c r="N306" s="36"/>
      <c r="T306" s="21"/>
    </row>
    <row r="307" spans="1:20" s="37" customFormat="1" ht="15.6" customHeight="1" x14ac:dyDescent="0.3">
      <c r="A307" s="79" t="s">
        <v>196</v>
      </c>
      <c r="B307" s="80"/>
      <c r="C307" s="80"/>
      <c r="D307" s="80"/>
      <c r="E307" s="80"/>
      <c r="F307" s="80"/>
      <c r="G307" s="80"/>
      <c r="H307" s="81"/>
      <c r="I307" s="37">
        <v>17</v>
      </c>
      <c r="J307" s="36"/>
    </row>
    <row r="308" spans="1:20" s="37" customFormat="1" ht="15.75" customHeight="1" x14ac:dyDescent="0.3">
      <c r="A308" s="74">
        <v>1</v>
      </c>
      <c r="B308" s="76"/>
      <c r="C308" s="42" t="s">
        <v>191</v>
      </c>
      <c r="D308" s="51">
        <f>(8.55*5.15)*(10.764)</f>
        <v>473.96583000000004</v>
      </c>
      <c r="E308" s="42">
        <v>0</v>
      </c>
      <c r="F308" s="42">
        <f t="shared" ref="F308:F320" si="48">D308+E308</f>
        <v>473.96583000000004</v>
      </c>
      <c r="G308" s="42">
        <v>0</v>
      </c>
      <c r="H308" s="42">
        <f t="shared" ref="H308:H320" si="49">F308*(($H$251)+1)+(IF(G308&lt;101,G308,IF(G308&lt;201,G308/2,IF(G308&lt;=301,G308/3,G308/4))))</f>
        <v>734.64703650000013</v>
      </c>
      <c r="I308" s="36"/>
      <c r="L308" s="72"/>
      <c r="M308" s="72"/>
      <c r="N308" s="36"/>
    </row>
    <row r="309" spans="1:20" s="37" customFormat="1" ht="15.75" customHeight="1" x14ac:dyDescent="0.3">
      <c r="A309" s="74">
        <f>A308+1</f>
        <v>2</v>
      </c>
      <c r="B309" s="76"/>
      <c r="C309" s="42" t="s">
        <v>191</v>
      </c>
      <c r="D309" s="51">
        <f t="shared" ref="D309:D319" si="50">(12.14*5.15)*(10.764)</f>
        <v>672.976044</v>
      </c>
      <c r="E309" s="42">
        <v>0</v>
      </c>
      <c r="F309" s="42">
        <f t="shared" si="48"/>
        <v>672.976044</v>
      </c>
      <c r="G309" s="42">
        <v>0</v>
      </c>
      <c r="H309" s="42">
        <f t="shared" si="49"/>
        <v>1043.1128682000001</v>
      </c>
      <c r="I309" s="36"/>
      <c r="L309" s="72"/>
      <c r="M309" s="72"/>
      <c r="N309" s="36"/>
    </row>
    <row r="310" spans="1:20" s="37" customFormat="1" ht="15.75" customHeight="1" x14ac:dyDescent="0.3">
      <c r="A310" s="74">
        <f>A309+1</f>
        <v>3</v>
      </c>
      <c r="B310" s="76"/>
      <c r="C310" s="42" t="s">
        <v>191</v>
      </c>
      <c r="D310" s="51">
        <f t="shared" si="50"/>
        <v>672.976044</v>
      </c>
      <c r="E310" s="42">
        <v>0</v>
      </c>
      <c r="F310" s="42">
        <f t="shared" si="48"/>
        <v>672.976044</v>
      </c>
      <c r="G310" s="42">
        <v>0</v>
      </c>
      <c r="H310" s="42">
        <f t="shared" si="49"/>
        <v>1043.1128682000001</v>
      </c>
      <c r="I310" s="36"/>
      <c r="L310" s="72"/>
      <c r="M310" s="72"/>
      <c r="N310" s="36"/>
    </row>
    <row r="311" spans="1:20" s="37" customFormat="1" ht="15.75" customHeight="1" x14ac:dyDescent="0.3">
      <c r="A311" s="74">
        <f>A310+1</f>
        <v>4</v>
      </c>
      <c r="B311" s="76"/>
      <c r="C311" s="42" t="s">
        <v>191</v>
      </c>
      <c r="D311" s="51">
        <f t="shared" si="50"/>
        <v>672.976044</v>
      </c>
      <c r="E311" s="42">
        <v>0</v>
      </c>
      <c r="F311" s="42">
        <f t="shared" si="48"/>
        <v>672.976044</v>
      </c>
      <c r="G311" s="42">
        <v>0</v>
      </c>
      <c r="H311" s="42">
        <f t="shared" si="49"/>
        <v>1043.1128682000001</v>
      </c>
      <c r="I311" s="36"/>
      <c r="L311" s="72"/>
      <c r="M311" s="72"/>
      <c r="N311" s="36"/>
      <c r="T311" s="21"/>
    </row>
    <row r="312" spans="1:20" s="37" customFormat="1" ht="15.75" customHeight="1" x14ac:dyDescent="0.3">
      <c r="A312" s="74">
        <f t="shared" ref="A312:A328" si="51">A311+1</f>
        <v>5</v>
      </c>
      <c r="B312" s="76"/>
      <c r="C312" s="42" t="s">
        <v>191</v>
      </c>
      <c r="D312" s="51">
        <f t="shared" si="50"/>
        <v>672.976044</v>
      </c>
      <c r="E312" s="42">
        <v>0</v>
      </c>
      <c r="F312" s="42">
        <f t="shared" si="48"/>
        <v>672.976044</v>
      </c>
      <c r="G312" s="42">
        <v>0</v>
      </c>
      <c r="H312" s="42">
        <f t="shared" si="49"/>
        <v>1043.1128682000001</v>
      </c>
      <c r="I312" s="36"/>
      <c r="L312" s="72"/>
      <c r="M312" s="72"/>
      <c r="N312" s="36"/>
      <c r="T312" s="21"/>
    </row>
    <row r="313" spans="1:20" s="37" customFormat="1" ht="15.75" customHeight="1" x14ac:dyDescent="0.3">
      <c r="A313" s="74">
        <f t="shared" si="51"/>
        <v>6</v>
      </c>
      <c r="B313" s="76"/>
      <c r="C313" s="42" t="s">
        <v>191</v>
      </c>
      <c r="D313" s="51">
        <f t="shared" si="50"/>
        <v>672.976044</v>
      </c>
      <c r="E313" s="42">
        <v>0</v>
      </c>
      <c r="F313" s="42">
        <f t="shared" si="48"/>
        <v>672.976044</v>
      </c>
      <c r="G313" s="42">
        <v>0</v>
      </c>
      <c r="H313" s="42">
        <f t="shared" si="49"/>
        <v>1043.1128682000001</v>
      </c>
      <c r="I313" s="36"/>
      <c r="L313" s="72"/>
      <c r="M313" s="72"/>
      <c r="N313" s="36"/>
      <c r="T313" s="21"/>
    </row>
    <row r="314" spans="1:20" s="37" customFormat="1" ht="15.75" customHeight="1" x14ac:dyDescent="0.3">
      <c r="A314" s="74">
        <f t="shared" si="51"/>
        <v>7</v>
      </c>
      <c r="B314" s="76"/>
      <c r="C314" s="42" t="s">
        <v>191</v>
      </c>
      <c r="D314" s="51">
        <f t="shared" si="50"/>
        <v>672.976044</v>
      </c>
      <c r="E314" s="42">
        <v>0</v>
      </c>
      <c r="F314" s="42">
        <f t="shared" si="48"/>
        <v>672.976044</v>
      </c>
      <c r="G314" s="42">
        <v>0</v>
      </c>
      <c r="H314" s="42">
        <f t="shared" si="49"/>
        <v>1043.1128682000001</v>
      </c>
      <c r="I314" s="36"/>
      <c r="L314" s="72"/>
      <c r="M314" s="72"/>
      <c r="N314" s="36"/>
      <c r="T314" s="21"/>
    </row>
    <row r="315" spans="1:20" s="37" customFormat="1" ht="15.75" customHeight="1" x14ac:dyDescent="0.3">
      <c r="A315" s="74">
        <f t="shared" si="51"/>
        <v>8</v>
      </c>
      <c r="B315" s="76"/>
      <c r="C315" s="42" t="s">
        <v>191</v>
      </c>
      <c r="D315" s="51">
        <f t="shared" si="50"/>
        <v>672.976044</v>
      </c>
      <c r="E315" s="42">
        <v>0</v>
      </c>
      <c r="F315" s="42">
        <f t="shared" si="48"/>
        <v>672.976044</v>
      </c>
      <c r="G315" s="42">
        <v>0</v>
      </c>
      <c r="H315" s="42">
        <f t="shared" si="49"/>
        <v>1043.1128682000001</v>
      </c>
      <c r="I315" s="36"/>
      <c r="L315" s="72"/>
      <c r="M315" s="72"/>
      <c r="N315" s="36"/>
      <c r="T315" s="21"/>
    </row>
    <row r="316" spans="1:20" s="37" customFormat="1" ht="15.75" customHeight="1" x14ac:dyDescent="0.3">
      <c r="A316" s="74">
        <f t="shared" si="51"/>
        <v>9</v>
      </c>
      <c r="B316" s="76"/>
      <c r="C316" s="42" t="s">
        <v>191</v>
      </c>
      <c r="D316" s="51">
        <f t="shared" si="50"/>
        <v>672.976044</v>
      </c>
      <c r="E316" s="42">
        <v>0</v>
      </c>
      <c r="F316" s="42">
        <f t="shared" si="48"/>
        <v>672.976044</v>
      </c>
      <c r="G316" s="42">
        <v>0</v>
      </c>
      <c r="H316" s="42">
        <f t="shared" si="49"/>
        <v>1043.1128682000001</v>
      </c>
      <c r="I316" s="36"/>
      <c r="L316" s="72"/>
      <c r="M316" s="72"/>
      <c r="N316" s="36"/>
      <c r="T316" s="21"/>
    </row>
    <row r="317" spans="1:20" s="37" customFormat="1" ht="15.75" customHeight="1" x14ac:dyDescent="0.3">
      <c r="A317" s="74">
        <f t="shared" si="51"/>
        <v>10</v>
      </c>
      <c r="B317" s="76"/>
      <c r="C317" s="42" t="s">
        <v>191</v>
      </c>
      <c r="D317" s="51">
        <f t="shared" si="50"/>
        <v>672.976044</v>
      </c>
      <c r="E317" s="42">
        <v>0</v>
      </c>
      <c r="F317" s="42">
        <f t="shared" si="48"/>
        <v>672.976044</v>
      </c>
      <c r="G317" s="42">
        <v>0</v>
      </c>
      <c r="H317" s="42">
        <f t="shared" si="49"/>
        <v>1043.1128682000001</v>
      </c>
      <c r="I317" s="36"/>
      <c r="L317" s="72"/>
      <c r="M317" s="72"/>
      <c r="N317" s="36"/>
      <c r="T317" s="21"/>
    </row>
    <row r="318" spans="1:20" s="37" customFormat="1" ht="15.75" customHeight="1" x14ac:dyDescent="0.3">
      <c r="A318" s="74">
        <f t="shared" si="51"/>
        <v>11</v>
      </c>
      <c r="B318" s="76"/>
      <c r="C318" s="42" t="s">
        <v>191</v>
      </c>
      <c r="D318" s="51">
        <f t="shared" si="50"/>
        <v>672.976044</v>
      </c>
      <c r="E318" s="42">
        <v>0</v>
      </c>
      <c r="F318" s="42">
        <f t="shared" si="48"/>
        <v>672.976044</v>
      </c>
      <c r="G318" s="42">
        <v>0</v>
      </c>
      <c r="H318" s="42">
        <f t="shared" si="49"/>
        <v>1043.1128682000001</v>
      </c>
      <c r="I318" s="36"/>
      <c r="L318" s="72"/>
      <c r="M318" s="72"/>
      <c r="N318" s="36"/>
      <c r="T318" s="21"/>
    </row>
    <row r="319" spans="1:20" s="37" customFormat="1" ht="15.75" customHeight="1" x14ac:dyDescent="0.3">
      <c r="A319" s="74">
        <f t="shared" si="51"/>
        <v>12</v>
      </c>
      <c r="B319" s="76"/>
      <c r="C319" s="42" t="s">
        <v>191</v>
      </c>
      <c r="D319" s="51">
        <f t="shared" si="50"/>
        <v>672.976044</v>
      </c>
      <c r="E319" s="42">
        <v>0</v>
      </c>
      <c r="F319" s="42">
        <f t="shared" si="48"/>
        <v>672.976044</v>
      </c>
      <c r="G319" s="42">
        <v>0</v>
      </c>
      <c r="H319" s="42">
        <f t="shared" si="49"/>
        <v>1043.1128682000001</v>
      </c>
      <c r="I319" s="36"/>
      <c r="L319" s="72"/>
      <c r="M319" s="72"/>
      <c r="N319" s="36"/>
      <c r="T319" s="21"/>
    </row>
    <row r="320" spans="1:20" s="37" customFormat="1" ht="15.75" customHeight="1" x14ac:dyDescent="0.3">
      <c r="A320" s="74">
        <f t="shared" si="51"/>
        <v>13</v>
      </c>
      <c r="B320" s="76"/>
      <c r="C320" s="42" t="s">
        <v>191</v>
      </c>
      <c r="D320" s="51">
        <f>(8.55*5.15)*(10.764)</f>
        <v>473.96583000000004</v>
      </c>
      <c r="E320" s="42">
        <v>0</v>
      </c>
      <c r="F320" s="42">
        <f t="shared" si="48"/>
        <v>473.96583000000004</v>
      </c>
      <c r="G320" s="42">
        <v>0</v>
      </c>
      <c r="H320" s="42">
        <f t="shared" si="49"/>
        <v>734.64703650000013</v>
      </c>
      <c r="I320" s="36"/>
      <c r="L320" s="72"/>
      <c r="M320" s="72"/>
      <c r="N320" s="36"/>
      <c r="T320" s="21"/>
    </row>
    <row r="321" spans="1:20" s="37" customFormat="1" ht="15.75" customHeight="1" x14ac:dyDescent="0.3">
      <c r="A321" s="74">
        <f t="shared" si="51"/>
        <v>14</v>
      </c>
      <c r="B321" s="76"/>
      <c r="C321" s="42" t="s">
        <v>191</v>
      </c>
      <c r="D321" s="51">
        <f t="shared" ref="D321:D328" si="52">(8.49*5.15)*(10.764)</f>
        <v>470.63975399999998</v>
      </c>
      <c r="E321" s="42">
        <v>0</v>
      </c>
      <c r="F321" s="42">
        <f t="shared" ref="F321:F323" si="53">D321+E321</f>
        <v>470.63975399999998</v>
      </c>
      <c r="G321" s="42">
        <v>0</v>
      </c>
      <c r="H321" s="42">
        <f t="shared" ref="H321:H323" si="54">F321*(($H$251)+1)+(IF(G321&lt;101,G321,IF(G321&lt;201,G321/2,IF(G321&lt;=301,G321/3,G321/4))))</f>
        <v>729.4916187</v>
      </c>
      <c r="I321" s="36"/>
      <c r="L321" s="72"/>
      <c r="M321" s="72"/>
      <c r="N321" s="36"/>
      <c r="T321" s="21"/>
    </row>
    <row r="322" spans="1:20" s="37" customFormat="1" ht="15.75" customHeight="1" x14ac:dyDescent="0.3">
      <c r="A322" s="74">
        <f t="shared" si="51"/>
        <v>15</v>
      </c>
      <c r="B322" s="76"/>
      <c r="C322" s="42" t="s">
        <v>191</v>
      </c>
      <c r="D322" s="51">
        <f t="shared" si="52"/>
        <v>470.63975399999998</v>
      </c>
      <c r="E322" s="42">
        <v>0</v>
      </c>
      <c r="F322" s="42">
        <f t="shared" si="53"/>
        <v>470.63975399999998</v>
      </c>
      <c r="G322" s="42">
        <v>0</v>
      </c>
      <c r="H322" s="42">
        <f t="shared" si="54"/>
        <v>729.4916187</v>
      </c>
      <c r="I322" s="36"/>
      <c r="L322" s="72"/>
      <c r="M322" s="72"/>
      <c r="N322" s="36"/>
      <c r="T322" s="21"/>
    </row>
    <row r="323" spans="1:20" s="37" customFormat="1" ht="15.75" customHeight="1" x14ac:dyDescent="0.3">
      <c r="A323" s="74">
        <f t="shared" si="51"/>
        <v>16</v>
      </c>
      <c r="B323" s="76"/>
      <c r="C323" s="42" t="s">
        <v>191</v>
      </c>
      <c r="D323" s="51">
        <f t="shared" si="52"/>
        <v>470.63975399999998</v>
      </c>
      <c r="E323" s="42">
        <v>0</v>
      </c>
      <c r="F323" s="42">
        <f t="shared" si="53"/>
        <v>470.63975399999998</v>
      </c>
      <c r="G323" s="42">
        <v>0</v>
      </c>
      <c r="H323" s="42">
        <f t="shared" si="54"/>
        <v>729.4916187</v>
      </c>
      <c r="I323" s="36"/>
      <c r="L323" s="72"/>
      <c r="M323" s="72"/>
      <c r="N323" s="36"/>
      <c r="T323" s="21"/>
    </row>
    <row r="324" spans="1:20" s="37" customFormat="1" ht="15.75" customHeight="1" x14ac:dyDescent="0.3">
      <c r="A324" s="74">
        <f t="shared" si="51"/>
        <v>17</v>
      </c>
      <c r="B324" s="76"/>
      <c r="C324" s="42" t="s">
        <v>191</v>
      </c>
      <c r="D324" s="51">
        <f t="shared" si="52"/>
        <v>470.63975399999998</v>
      </c>
      <c r="E324" s="42">
        <v>0</v>
      </c>
      <c r="F324" s="42">
        <f t="shared" ref="F324:F328" si="55">D324+E324</f>
        <v>470.63975399999998</v>
      </c>
      <c r="G324" s="42">
        <v>0</v>
      </c>
      <c r="H324" s="42">
        <f t="shared" ref="H324:H328" si="56">F324*(($H$251)+1)+(IF(G324&lt;101,G324,IF(G324&lt;201,G324/2,IF(G324&lt;=301,G324/3,G324/4))))</f>
        <v>729.4916187</v>
      </c>
      <c r="I324" s="36"/>
      <c r="L324" s="72"/>
      <c r="M324" s="72"/>
      <c r="N324" s="36"/>
      <c r="T324" s="21"/>
    </row>
    <row r="325" spans="1:20" s="37" customFormat="1" ht="15.75" customHeight="1" x14ac:dyDescent="0.3">
      <c r="A325" s="74">
        <f t="shared" si="51"/>
        <v>18</v>
      </c>
      <c r="B325" s="76"/>
      <c r="C325" s="42" t="s">
        <v>191</v>
      </c>
      <c r="D325" s="51">
        <f t="shared" si="52"/>
        <v>470.63975399999998</v>
      </c>
      <c r="E325" s="42">
        <v>0</v>
      </c>
      <c r="F325" s="42">
        <f t="shared" si="55"/>
        <v>470.63975399999998</v>
      </c>
      <c r="G325" s="42">
        <v>0</v>
      </c>
      <c r="H325" s="42">
        <f t="shared" si="56"/>
        <v>729.4916187</v>
      </c>
      <c r="I325" s="36"/>
      <c r="L325" s="72"/>
      <c r="M325" s="72"/>
      <c r="N325" s="36"/>
      <c r="T325" s="21"/>
    </row>
    <row r="326" spans="1:20" s="37" customFormat="1" ht="15.75" customHeight="1" x14ac:dyDescent="0.3">
      <c r="A326" s="74">
        <f t="shared" si="51"/>
        <v>19</v>
      </c>
      <c r="B326" s="76"/>
      <c r="C326" s="42" t="s">
        <v>191</v>
      </c>
      <c r="D326" s="51">
        <f t="shared" si="52"/>
        <v>470.63975399999998</v>
      </c>
      <c r="E326" s="42">
        <v>0</v>
      </c>
      <c r="F326" s="42">
        <f t="shared" si="55"/>
        <v>470.63975399999998</v>
      </c>
      <c r="G326" s="42">
        <v>0</v>
      </c>
      <c r="H326" s="42">
        <f t="shared" si="56"/>
        <v>729.4916187</v>
      </c>
      <c r="I326" s="36"/>
      <c r="L326" s="72"/>
      <c r="M326" s="72"/>
      <c r="N326" s="36"/>
      <c r="T326" s="21"/>
    </row>
    <row r="327" spans="1:20" s="37" customFormat="1" ht="15.75" customHeight="1" x14ac:dyDescent="0.3">
      <c r="A327" s="74">
        <f t="shared" si="51"/>
        <v>20</v>
      </c>
      <c r="B327" s="76"/>
      <c r="C327" s="42" t="s">
        <v>191</v>
      </c>
      <c r="D327" s="51">
        <f t="shared" si="52"/>
        <v>470.63975399999998</v>
      </c>
      <c r="E327" s="42">
        <v>0</v>
      </c>
      <c r="F327" s="42">
        <f t="shared" si="55"/>
        <v>470.63975399999998</v>
      </c>
      <c r="G327" s="42">
        <v>0</v>
      </c>
      <c r="H327" s="42">
        <f t="shared" si="56"/>
        <v>729.4916187</v>
      </c>
      <c r="I327" s="36"/>
      <c r="L327" s="72"/>
      <c r="M327" s="72"/>
      <c r="N327" s="36"/>
      <c r="T327" s="21"/>
    </row>
    <row r="328" spans="1:20" s="37" customFormat="1" ht="15.75" customHeight="1" x14ac:dyDescent="0.3">
      <c r="A328" s="74">
        <f t="shared" si="51"/>
        <v>21</v>
      </c>
      <c r="B328" s="76"/>
      <c r="C328" s="42" t="s">
        <v>191</v>
      </c>
      <c r="D328" s="51">
        <f t="shared" si="52"/>
        <v>470.63975399999998</v>
      </c>
      <c r="E328" s="42">
        <v>0</v>
      </c>
      <c r="F328" s="42">
        <f t="shared" si="55"/>
        <v>470.63975399999998</v>
      </c>
      <c r="G328" s="42">
        <v>0</v>
      </c>
      <c r="H328" s="42">
        <f t="shared" si="56"/>
        <v>729.4916187</v>
      </c>
      <c r="I328" s="36"/>
      <c r="L328" s="72"/>
      <c r="M328" s="72"/>
      <c r="N328" s="36"/>
      <c r="T328" s="21"/>
    </row>
    <row r="329" spans="1:20" s="37" customFormat="1" ht="15.6" customHeight="1" x14ac:dyDescent="0.3">
      <c r="A329" s="79" t="s">
        <v>198</v>
      </c>
      <c r="B329" s="80"/>
      <c r="C329" s="80"/>
      <c r="D329" s="80"/>
      <c r="E329" s="80"/>
      <c r="F329" s="80"/>
      <c r="G329" s="80"/>
      <c r="H329" s="81"/>
      <c r="I329" s="37">
        <v>1</v>
      </c>
      <c r="J329" s="36"/>
    </row>
    <row r="330" spans="1:20" s="37" customFormat="1" ht="15.75" customHeight="1" x14ac:dyDescent="0.3">
      <c r="A330" s="74">
        <v>1</v>
      </c>
      <c r="B330" s="76"/>
      <c r="C330" s="42" t="s">
        <v>191</v>
      </c>
      <c r="D330" s="51">
        <f>(8.55*5.15)*(10.764)</f>
        <v>473.96583000000004</v>
      </c>
      <c r="E330" s="42">
        <v>0</v>
      </c>
      <c r="F330" s="42">
        <f t="shared" ref="F330:F350" si="57">D330+E330</f>
        <v>473.96583000000004</v>
      </c>
      <c r="G330" s="42">
        <v>0</v>
      </c>
      <c r="H330" s="42">
        <f t="shared" ref="H330:H350" si="58">F330*(($H$251)+1)+(IF(G330&lt;101,G330,IF(G330&lt;201,G330/2,IF(G330&lt;=301,G330/3,G330/4))))</f>
        <v>734.64703650000013</v>
      </c>
      <c r="I330" s="36"/>
      <c r="L330" s="72"/>
      <c r="M330" s="72"/>
      <c r="N330" s="36"/>
    </row>
    <row r="331" spans="1:20" s="37" customFormat="1" ht="15.75" customHeight="1" x14ac:dyDescent="0.3">
      <c r="A331" s="74">
        <f>A330+1</f>
        <v>2</v>
      </c>
      <c r="B331" s="76"/>
      <c r="C331" s="42" t="s">
        <v>191</v>
      </c>
      <c r="D331" s="51">
        <f t="shared" ref="D331:D341" si="59">(12.14*5.15)*(10.764)</f>
        <v>672.976044</v>
      </c>
      <c r="E331" s="42">
        <v>0</v>
      </c>
      <c r="F331" s="42">
        <f t="shared" si="57"/>
        <v>672.976044</v>
      </c>
      <c r="G331" s="42">
        <v>0</v>
      </c>
      <c r="H331" s="42">
        <f t="shared" si="58"/>
        <v>1043.1128682000001</v>
      </c>
      <c r="I331" s="36"/>
      <c r="L331" s="72"/>
      <c r="M331" s="72"/>
      <c r="N331" s="36"/>
    </row>
    <row r="332" spans="1:20" s="37" customFormat="1" ht="15.75" customHeight="1" x14ac:dyDescent="0.3">
      <c r="A332" s="74">
        <f>A331+1</f>
        <v>3</v>
      </c>
      <c r="B332" s="76"/>
      <c r="C332" s="42" t="s">
        <v>191</v>
      </c>
      <c r="D332" s="51">
        <f t="shared" si="59"/>
        <v>672.976044</v>
      </c>
      <c r="E332" s="42">
        <v>0</v>
      </c>
      <c r="F332" s="42">
        <f t="shared" si="57"/>
        <v>672.976044</v>
      </c>
      <c r="G332" s="42">
        <v>0</v>
      </c>
      <c r="H332" s="42">
        <f t="shared" si="58"/>
        <v>1043.1128682000001</v>
      </c>
      <c r="I332" s="36"/>
      <c r="L332" s="72"/>
      <c r="M332" s="72"/>
      <c r="N332" s="36"/>
    </row>
    <row r="333" spans="1:20" s="37" customFormat="1" ht="15.75" customHeight="1" x14ac:dyDescent="0.3">
      <c r="A333" s="74">
        <f>A332+1</f>
        <v>4</v>
      </c>
      <c r="B333" s="76"/>
      <c r="C333" s="42" t="s">
        <v>191</v>
      </c>
      <c r="D333" s="51">
        <f t="shared" si="59"/>
        <v>672.976044</v>
      </c>
      <c r="E333" s="42">
        <v>0</v>
      </c>
      <c r="F333" s="42">
        <f t="shared" si="57"/>
        <v>672.976044</v>
      </c>
      <c r="G333" s="42">
        <v>0</v>
      </c>
      <c r="H333" s="42">
        <f t="shared" si="58"/>
        <v>1043.1128682000001</v>
      </c>
      <c r="I333" s="36"/>
      <c r="L333" s="72"/>
      <c r="M333" s="72"/>
      <c r="N333" s="36"/>
      <c r="T333" s="21"/>
    </row>
    <row r="334" spans="1:20" s="37" customFormat="1" ht="15.75" customHeight="1" x14ac:dyDescent="0.3">
      <c r="A334" s="74">
        <f t="shared" ref="A334:A350" si="60">A333+1</f>
        <v>5</v>
      </c>
      <c r="B334" s="76"/>
      <c r="C334" s="42" t="s">
        <v>191</v>
      </c>
      <c r="D334" s="51">
        <f t="shared" si="59"/>
        <v>672.976044</v>
      </c>
      <c r="E334" s="42">
        <v>0</v>
      </c>
      <c r="F334" s="42">
        <f t="shared" si="57"/>
        <v>672.976044</v>
      </c>
      <c r="G334" s="42">
        <v>0</v>
      </c>
      <c r="H334" s="42">
        <f t="shared" si="58"/>
        <v>1043.1128682000001</v>
      </c>
      <c r="I334" s="36"/>
      <c r="L334" s="72"/>
      <c r="M334" s="72"/>
      <c r="N334" s="36"/>
      <c r="T334" s="21"/>
    </row>
    <row r="335" spans="1:20" s="37" customFormat="1" ht="15.75" customHeight="1" x14ac:dyDescent="0.3">
      <c r="A335" s="74">
        <f t="shared" si="60"/>
        <v>6</v>
      </c>
      <c r="B335" s="76"/>
      <c r="C335" s="42" t="s">
        <v>191</v>
      </c>
      <c r="D335" s="51">
        <f t="shared" si="59"/>
        <v>672.976044</v>
      </c>
      <c r="E335" s="42">
        <v>0</v>
      </c>
      <c r="F335" s="42">
        <f t="shared" si="57"/>
        <v>672.976044</v>
      </c>
      <c r="G335" s="42">
        <v>0</v>
      </c>
      <c r="H335" s="42">
        <f t="shared" si="58"/>
        <v>1043.1128682000001</v>
      </c>
      <c r="I335" s="36"/>
      <c r="L335" s="72"/>
      <c r="M335" s="72"/>
      <c r="N335" s="36"/>
      <c r="T335" s="21"/>
    </row>
    <row r="336" spans="1:20" s="37" customFormat="1" ht="15.75" customHeight="1" x14ac:dyDescent="0.3">
      <c r="A336" s="74">
        <f t="shared" si="60"/>
        <v>7</v>
      </c>
      <c r="B336" s="76"/>
      <c r="C336" s="42" t="s">
        <v>191</v>
      </c>
      <c r="D336" s="51">
        <f t="shared" si="59"/>
        <v>672.976044</v>
      </c>
      <c r="E336" s="42">
        <v>0</v>
      </c>
      <c r="F336" s="42">
        <f t="shared" si="57"/>
        <v>672.976044</v>
      </c>
      <c r="G336" s="42">
        <v>0</v>
      </c>
      <c r="H336" s="42">
        <f t="shared" si="58"/>
        <v>1043.1128682000001</v>
      </c>
      <c r="I336" s="36"/>
      <c r="L336" s="72"/>
      <c r="M336" s="72"/>
      <c r="N336" s="36"/>
      <c r="T336" s="21"/>
    </row>
    <row r="337" spans="1:20" s="37" customFormat="1" ht="15.75" customHeight="1" x14ac:dyDescent="0.3">
      <c r="A337" s="74">
        <f t="shared" si="60"/>
        <v>8</v>
      </c>
      <c r="B337" s="76"/>
      <c r="C337" s="42" t="s">
        <v>191</v>
      </c>
      <c r="D337" s="51">
        <f t="shared" si="59"/>
        <v>672.976044</v>
      </c>
      <c r="E337" s="42">
        <v>0</v>
      </c>
      <c r="F337" s="42">
        <f t="shared" si="57"/>
        <v>672.976044</v>
      </c>
      <c r="G337" s="42">
        <v>0</v>
      </c>
      <c r="H337" s="42">
        <f t="shared" si="58"/>
        <v>1043.1128682000001</v>
      </c>
      <c r="I337" s="36"/>
      <c r="L337" s="72"/>
      <c r="M337" s="72"/>
      <c r="N337" s="36"/>
      <c r="T337" s="21"/>
    </row>
    <row r="338" spans="1:20" s="37" customFormat="1" ht="15.75" customHeight="1" x14ac:dyDescent="0.3">
      <c r="A338" s="74">
        <f t="shared" si="60"/>
        <v>9</v>
      </c>
      <c r="B338" s="76"/>
      <c r="C338" s="42" t="s">
        <v>191</v>
      </c>
      <c r="D338" s="51">
        <f t="shared" si="59"/>
        <v>672.976044</v>
      </c>
      <c r="E338" s="42">
        <v>0</v>
      </c>
      <c r="F338" s="42">
        <f t="shared" si="57"/>
        <v>672.976044</v>
      </c>
      <c r="G338" s="42">
        <v>0</v>
      </c>
      <c r="H338" s="42">
        <f t="shared" si="58"/>
        <v>1043.1128682000001</v>
      </c>
      <c r="I338" s="36"/>
      <c r="L338" s="72"/>
      <c r="M338" s="72"/>
      <c r="N338" s="36"/>
      <c r="T338" s="21"/>
    </row>
    <row r="339" spans="1:20" s="37" customFormat="1" ht="15.75" customHeight="1" x14ac:dyDescent="0.3">
      <c r="A339" s="74">
        <f t="shared" si="60"/>
        <v>10</v>
      </c>
      <c r="B339" s="76"/>
      <c r="C339" s="42" t="s">
        <v>191</v>
      </c>
      <c r="D339" s="51">
        <f t="shared" si="59"/>
        <v>672.976044</v>
      </c>
      <c r="E339" s="42">
        <v>0</v>
      </c>
      <c r="F339" s="42">
        <f t="shared" si="57"/>
        <v>672.976044</v>
      </c>
      <c r="G339" s="42">
        <v>0</v>
      </c>
      <c r="H339" s="42">
        <f t="shared" si="58"/>
        <v>1043.1128682000001</v>
      </c>
      <c r="I339" s="36"/>
      <c r="L339" s="72"/>
      <c r="M339" s="72"/>
      <c r="N339" s="36"/>
      <c r="T339" s="21"/>
    </row>
    <row r="340" spans="1:20" s="37" customFormat="1" ht="15.75" customHeight="1" x14ac:dyDescent="0.3">
      <c r="A340" s="74">
        <f t="shared" si="60"/>
        <v>11</v>
      </c>
      <c r="B340" s="76"/>
      <c r="C340" s="42" t="s">
        <v>191</v>
      </c>
      <c r="D340" s="51">
        <f t="shared" si="59"/>
        <v>672.976044</v>
      </c>
      <c r="E340" s="42">
        <v>0</v>
      </c>
      <c r="F340" s="42">
        <f t="shared" si="57"/>
        <v>672.976044</v>
      </c>
      <c r="G340" s="42">
        <v>0</v>
      </c>
      <c r="H340" s="42">
        <f t="shared" si="58"/>
        <v>1043.1128682000001</v>
      </c>
      <c r="I340" s="36"/>
      <c r="L340" s="72"/>
      <c r="M340" s="72"/>
      <c r="N340" s="36"/>
      <c r="T340" s="21"/>
    </row>
    <row r="341" spans="1:20" s="37" customFormat="1" ht="15.75" customHeight="1" x14ac:dyDescent="0.3">
      <c r="A341" s="74">
        <f t="shared" si="60"/>
        <v>12</v>
      </c>
      <c r="B341" s="76"/>
      <c r="C341" s="42" t="s">
        <v>191</v>
      </c>
      <c r="D341" s="51">
        <f t="shared" si="59"/>
        <v>672.976044</v>
      </c>
      <c r="E341" s="42">
        <v>0</v>
      </c>
      <c r="F341" s="42">
        <f t="shared" si="57"/>
        <v>672.976044</v>
      </c>
      <c r="G341" s="42">
        <v>0</v>
      </c>
      <c r="H341" s="42">
        <f t="shared" si="58"/>
        <v>1043.1128682000001</v>
      </c>
      <c r="I341" s="36"/>
      <c r="L341" s="72"/>
      <c r="M341" s="72"/>
      <c r="N341" s="36"/>
      <c r="T341" s="21"/>
    </row>
    <row r="342" spans="1:20" s="37" customFormat="1" ht="15.75" customHeight="1" x14ac:dyDescent="0.3">
      <c r="A342" s="74">
        <f t="shared" si="60"/>
        <v>13</v>
      </c>
      <c r="B342" s="76"/>
      <c r="C342" s="42" t="s">
        <v>191</v>
      </c>
      <c r="D342" s="51">
        <f>(8.55*5.15)*(10.764)</f>
        <v>473.96583000000004</v>
      </c>
      <c r="E342" s="42">
        <v>0</v>
      </c>
      <c r="F342" s="42">
        <f t="shared" si="57"/>
        <v>473.96583000000004</v>
      </c>
      <c r="G342" s="42">
        <v>0</v>
      </c>
      <c r="H342" s="42">
        <f t="shared" si="58"/>
        <v>734.64703650000013</v>
      </c>
      <c r="I342" s="36"/>
      <c r="L342" s="72"/>
      <c r="M342" s="72"/>
      <c r="N342" s="36"/>
      <c r="T342" s="21"/>
    </row>
    <row r="343" spans="1:20" s="37" customFormat="1" ht="15.75" customHeight="1" x14ac:dyDescent="0.3">
      <c r="A343" s="74">
        <f t="shared" si="60"/>
        <v>14</v>
      </c>
      <c r="B343" s="76"/>
      <c r="C343" s="82" t="s">
        <v>197</v>
      </c>
      <c r="D343" s="83"/>
      <c r="E343" s="83"/>
      <c r="F343" s="83"/>
      <c r="G343" s="83"/>
      <c r="H343" s="84"/>
      <c r="I343" s="36"/>
      <c r="L343" s="72"/>
      <c r="M343" s="72"/>
      <c r="N343" s="36"/>
      <c r="T343" s="21"/>
    </row>
    <row r="344" spans="1:20" s="37" customFormat="1" ht="15.75" customHeight="1" x14ac:dyDescent="0.3">
      <c r="A344" s="74">
        <f t="shared" si="60"/>
        <v>15</v>
      </c>
      <c r="B344" s="76"/>
      <c r="C344" s="88"/>
      <c r="D344" s="89"/>
      <c r="E344" s="89"/>
      <c r="F344" s="89"/>
      <c r="G344" s="89"/>
      <c r="H344" s="90"/>
      <c r="I344" s="36"/>
      <c r="L344" s="72"/>
      <c r="M344" s="72"/>
      <c r="N344" s="36"/>
      <c r="T344" s="21"/>
    </row>
    <row r="345" spans="1:20" s="37" customFormat="1" ht="15.75" customHeight="1" x14ac:dyDescent="0.3">
      <c r="A345" s="74">
        <f t="shared" si="60"/>
        <v>16</v>
      </c>
      <c r="B345" s="76"/>
      <c r="C345" s="42" t="s">
        <v>191</v>
      </c>
      <c r="D345" s="51">
        <f>(8.49*8.8)*(10.764)</f>
        <v>804.19996800000001</v>
      </c>
      <c r="E345" s="42">
        <v>0</v>
      </c>
      <c r="F345" s="42">
        <f t="shared" si="57"/>
        <v>804.19996800000001</v>
      </c>
      <c r="G345" s="42">
        <v>0</v>
      </c>
      <c r="H345" s="42">
        <f t="shared" si="58"/>
        <v>1246.5099504</v>
      </c>
      <c r="I345" s="36"/>
      <c r="L345" s="72"/>
      <c r="M345" s="72"/>
      <c r="N345" s="36"/>
      <c r="T345" s="21"/>
    </row>
    <row r="346" spans="1:20" s="37" customFormat="1" ht="15.75" customHeight="1" x14ac:dyDescent="0.3">
      <c r="A346" s="74">
        <f t="shared" si="60"/>
        <v>17</v>
      </c>
      <c r="B346" s="76"/>
      <c r="C346" s="42" t="s">
        <v>191</v>
      </c>
      <c r="D346" s="51">
        <f>(8.49*5.15)*(10.764)</f>
        <v>470.63975399999998</v>
      </c>
      <c r="E346" s="42">
        <v>0</v>
      </c>
      <c r="F346" s="42">
        <f t="shared" si="57"/>
        <v>470.63975399999998</v>
      </c>
      <c r="G346" s="42">
        <v>0</v>
      </c>
      <c r="H346" s="42">
        <f t="shared" si="58"/>
        <v>729.4916187</v>
      </c>
      <c r="I346" s="36"/>
      <c r="L346" s="72"/>
      <c r="M346" s="72"/>
      <c r="N346" s="36"/>
      <c r="T346" s="21"/>
    </row>
    <row r="347" spans="1:20" s="37" customFormat="1" ht="15.75" customHeight="1" x14ac:dyDescent="0.3">
      <c r="A347" s="74">
        <f t="shared" si="60"/>
        <v>18</v>
      </c>
      <c r="B347" s="76"/>
      <c r="C347" s="42" t="s">
        <v>191</v>
      </c>
      <c r="D347" s="51">
        <f>(8.49*5.15)*(10.764)</f>
        <v>470.63975399999998</v>
      </c>
      <c r="E347" s="42">
        <v>0</v>
      </c>
      <c r="F347" s="42">
        <f t="shared" si="57"/>
        <v>470.63975399999998</v>
      </c>
      <c r="G347" s="42">
        <v>0</v>
      </c>
      <c r="H347" s="42">
        <f t="shared" si="58"/>
        <v>729.4916187</v>
      </c>
      <c r="I347" s="36"/>
      <c r="L347" s="72"/>
      <c r="M347" s="72"/>
      <c r="N347" s="36"/>
      <c r="T347" s="21"/>
    </row>
    <row r="348" spans="1:20" s="37" customFormat="1" ht="15.75" customHeight="1" x14ac:dyDescent="0.3">
      <c r="A348" s="74">
        <f t="shared" si="60"/>
        <v>19</v>
      </c>
      <c r="B348" s="76"/>
      <c r="C348" s="42" t="s">
        <v>191</v>
      </c>
      <c r="D348" s="51">
        <f>(8.49*5.15)*(10.764)</f>
        <v>470.63975399999998</v>
      </c>
      <c r="E348" s="42">
        <v>0</v>
      </c>
      <c r="F348" s="42">
        <f t="shared" si="57"/>
        <v>470.63975399999998</v>
      </c>
      <c r="G348" s="42">
        <v>0</v>
      </c>
      <c r="H348" s="42">
        <f t="shared" si="58"/>
        <v>729.4916187</v>
      </c>
      <c r="I348" s="36"/>
      <c r="L348" s="72"/>
      <c r="M348" s="72"/>
      <c r="N348" s="36"/>
      <c r="T348" s="21"/>
    </row>
    <row r="349" spans="1:20" s="37" customFormat="1" ht="15.75" customHeight="1" x14ac:dyDescent="0.3">
      <c r="A349" s="74">
        <f t="shared" si="60"/>
        <v>20</v>
      </c>
      <c r="B349" s="76"/>
      <c r="C349" s="42" t="s">
        <v>191</v>
      </c>
      <c r="D349" s="51">
        <f>(8.49*5.15)*(10.764)</f>
        <v>470.63975399999998</v>
      </c>
      <c r="E349" s="42">
        <v>0</v>
      </c>
      <c r="F349" s="42">
        <f t="shared" si="57"/>
        <v>470.63975399999998</v>
      </c>
      <c r="G349" s="42">
        <v>0</v>
      </c>
      <c r="H349" s="42">
        <f t="shared" si="58"/>
        <v>729.4916187</v>
      </c>
      <c r="I349" s="36"/>
      <c r="L349" s="72"/>
      <c r="M349" s="72"/>
      <c r="N349" s="36"/>
      <c r="T349" s="21"/>
    </row>
    <row r="350" spans="1:20" s="37" customFormat="1" ht="15.75" customHeight="1" x14ac:dyDescent="0.3">
      <c r="A350" s="74">
        <f t="shared" si="60"/>
        <v>21</v>
      </c>
      <c r="B350" s="76"/>
      <c r="C350" s="42" t="s">
        <v>191</v>
      </c>
      <c r="D350" s="51">
        <f>(8.49*5.15)*(10.764)</f>
        <v>470.63975399999998</v>
      </c>
      <c r="E350" s="42">
        <v>0</v>
      </c>
      <c r="F350" s="42">
        <f t="shared" si="57"/>
        <v>470.63975399999998</v>
      </c>
      <c r="G350" s="42">
        <v>0</v>
      </c>
      <c r="H350" s="42">
        <f t="shared" si="58"/>
        <v>729.4916187</v>
      </c>
      <c r="I350" s="36"/>
      <c r="L350" s="72"/>
      <c r="M350" s="72"/>
      <c r="N350" s="36"/>
      <c r="T350" s="21"/>
    </row>
    <row r="351" spans="1:20" s="37" customFormat="1" x14ac:dyDescent="0.3">
      <c r="A351" s="78" t="s">
        <v>205</v>
      </c>
      <c r="B351" s="78"/>
      <c r="C351" s="78"/>
      <c r="D351" s="78"/>
      <c r="E351" s="78"/>
      <c r="F351" s="78"/>
      <c r="G351" s="78"/>
      <c r="H351" s="78"/>
      <c r="I351" s="36"/>
      <c r="L351" s="72"/>
      <c r="M351" s="72"/>
    </row>
    <row r="352" spans="1:20" s="37" customFormat="1" x14ac:dyDescent="0.3">
      <c r="A352" s="78" t="s">
        <v>206</v>
      </c>
      <c r="B352" s="78"/>
      <c r="C352" s="78"/>
      <c r="D352" s="78"/>
      <c r="E352" s="78"/>
      <c r="F352" s="78"/>
      <c r="G352" s="78"/>
      <c r="H352" s="78"/>
      <c r="I352" s="36"/>
      <c r="L352" s="72"/>
      <c r="M352" s="72"/>
    </row>
    <row r="353" spans="1:20" s="37" customFormat="1" ht="15.6" customHeight="1" x14ac:dyDescent="0.3">
      <c r="A353" s="85" t="s">
        <v>237</v>
      </c>
      <c r="B353" s="86"/>
      <c r="C353" s="86"/>
      <c r="D353" s="86"/>
      <c r="E353" s="86"/>
      <c r="F353" s="86"/>
      <c r="G353" s="86"/>
      <c r="H353" s="87"/>
      <c r="J353" s="36"/>
    </row>
    <row r="354" spans="1:20" s="37" customFormat="1" ht="15.6" customHeight="1" x14ac:dyDescent="0.3">
      <c r="A354" s="79" t="s">
        <v>249</v>
      </c>
      <c r="B354" s="80"/>
      <c r="C354" s="80"/>
      <c r="D354" s="80"/>
      <c r="E354" s="80"/>
      <c r="F354" s="80"/>
      <c r="G354" s="80"/>
      <c r="H354" s="81"/>
      <c r="J354" s="36"/>
    </row>
    <row r="355" spans="1:20" s="37" customFormat="1" ht="30.6" customHeight="1" x14ac:dyDescent="0.3">
      <c r="A355" s="79" t="s">
        <v>251</v>
      </c>
      <c r="B355" s="80"/>
      <c r="C355" s="80"/>
      <c r="D355" s="80"/>
      <c r="E355" s="80"/>
      <c r="F355" s="80"/>
      <c r="G355" s="80"/>
      <c r="H355" s="81"/>
      <c r="J355" s="51">
        <v>10.763999999999999</v>
      </c>
    </row>
    <row r="356" spans="1:20" s="37" customFormat="1" ht="31.2" customHeight="1" x14ac:dyDescent="0.3">
      <c r="A356" s="74">
        <v>1</v>
      </c>
      <c r="B356" s="76"/>
      <c r="C356" s="42" t="s">
        <v>188</v>
      </c>
      <c r="D356" s="51">
        <f>(9.45*10.54+3.05*8.53)*10.764</f>
        <v>1352.1682979999996</v>
      </c>
      <c r="E356" s="51">
        <f>(6.95*8.65)*10.764</f>
        <v>647.10477000000003</v>
      </c>
      <c r="F356" s="42">
        <f t="shared" ref="F356:F359" si="61">D356+E356</f>
        <v>1999.2730679999995</v>
      </c>
      <c r="G356" s="42">
        <v>0</v>
      </c>
      <c r="H356" s="42">
        <f t="shared" ref="H356:H359" si="62">F356*(($H$251)+1)+(IF(G356&lt;101,G356,IF(G356&lt;201,G356/2,IF(G356&lt;=301,G356/3,G356/4))))</f>
        <v>3098.8732553999994</v>
      </c>
      <c r="I356" s="36"/>
      <c r="L356" s="72"/>
      <c r="M356" s="72"/>
      <c r="N356" s="36"/>
    </row>
    <row r="357" spans="1:20" s="37" customFormat="1" ht="31.2" customHeight="1" x14ac:dyDescent="0.3">
      <c r="A357" s="74">
        <f>A356+1</f>
        <v>2</v>
      </c>
      <c r="B357" s="76"/>
      <c r="C357" s="42" t="s">
        <v>188</v>
      </c>
      <c r="D357" s="51">
        <f>(8.47*11.39+3.05*9.97)*10.764</f>
        <v>1365.7556952</v>
      </c>
      <c r="E357" s="51">
        <f>(6.95*9.73)*10.764</f>
        <v>727.89935400000002</v>
      </c>
      <c r="F357" s="42">
        <f t="shared" si="61"/>
        <v>2093.6550492000001</v>
      </c>
      <c r="G357" s="42">
        <v>0</v>
      </c>
      <c r="H357" s="42">
        <f t="shared" si="62"/>
        <v>3245.1653262600003</v>
      </c>
      <c r="I357" s="36"/>
      <c r="L357" s="72"/>
      <c r="M357" s="72"/>
      <c r="N357" s="36"/>
    </row>
    <row r="358" spans="1:20" s="37" customFormat="1" ht="31.2" customHeight="1" x14ac:dyDescent="0.3">
      <c r="A358" s="74">
        <f>A357+1</f>
        <v>3</v>
      </c>
      <c r="B358" s="76"/>
      <c r="C358" s="42" t="s">
        <v>188</v>
      </c>
      <c r="D358" s="51">
        <f>(7.64*8.93+3.05*6.8)*10.764</f>
        <v>957.62141279999992</v>
      </c>
      <c r="E358" s="51">
        <f>(6.95*6.93)*10.764</f>
        <v>518.43191400000001</v>
      </c>
      <c r="F358" s="42">
        <f t="shared" si="61"/>
        <v>1476.0533267999999</v>
      </c>
      <c r="G358" s="42">
        <v>0</v>
      </c>
      <c r="H358" s="42">
        <f t="shared" si="62"/>
        <v>2287.88265654</v>
      </c>
      <c r="I358" s="36"/>
      <c r="L358" s="72"/>
      <c r="M358" s="72"/>
      <c r="N358" s="36"/>
    </row>
    <row r="359" spans="1:20" s="37" customFormat="1" ht="31.2" customHeight="1" x14ac:dyDescent="0.3">
      <c r="A359" s="74">
        <f>A358+1</f>
        <v>4</v>
      </c>
      <c r="B359" s="76"/>
      <c r="C359" s="42" t="s">
        <v>188</v>
      </c>
      <c r="D359" s="51">
        <f>(7.42*8.63+3.05*6.77)*10.764</f>
        <v>911.52888840000003</v>
      </c>
      <c r="E359" s="51">
        <f>(6.95*6.79)*10.764</f>
        <v>507.95854199999997</v>
      </c>
      <c r="F359" s="42">
        <f t="shared" si="61"/>
        <v>1419.4874304</v>
      </c>
      <c r="G359" s="42">
        <v>0</v>
      </c>
      <c r="H359" s="42">
        <f t="shared" si="62"/>
        <v>2200.20551712</v>
      </c>
      <c r="I359" s="36"/>
      <c r="L359" s="72"/>
      <c r="M359" s="72"/>
      <c r="N359" s="36"/>
      <c r="T359" s="21"/>
    </row>
    <row r="360" spans="1:20" s="37" customFormat="1" ht="31.2" customHeight="1" x14ac:dyDescent="0.3">
      <c r="A360" s="74">
        <f t="shared" ref="A360:A363" si="63">A359+1</f>
        <v>5</v>
      </c>
      <c r="B360" s="76"/>
      <c r="C360" s="42" t="s">
        <v>188</v>
      </c>
      <c r="D360" s="51">
        <f>(7.5*9.73+3.09*8.02)*10.764</f>
        <v>1052.2541951999999</v>
      </c>
      <c r="E360" s="51">
        <f>(6.95*7.99)*10.764</f>
        <v>597.73030200000005</v>
      </c>
      <c r="F360" s="42">
        <f t="shared" ref="F360:F363" si="64">D360+E360</f>
        <v>1649.9844972000001</v>
      </c>
      <c r="G360" s="42">
        <v>0</v>
      </c>
      <c r="H360" s="42">
        <f t="shared" ref="H360:H363" si="65">F360*(($H$251)+1)+(IF(G360&lt;101,G360,IF(G360&lt;201,G360/2,IF(G360&lt;=301,G360/3,G360/4))))</f>
        <v>2557.4759706600003</v>
      </c>
      <c r="I360" s="36"/>
      <c r="L360" s="72"/>
      <c r="M360" s="72"/>
      <c r="N360" s="36"/>
      <c r="T360" s="21"/>
    </row>
    <row r="361" spans="1:20" s="37" customFormat="1" ht="31.2" customHeight="1" x14ac:dyDescent="0.3">
      <c r="A361" s="74">
        <f t="shared" si="63"/>
        <v>6</v>
      </c>
      <c r="B361" s="76"/>
      <c r="C361" s="42" t="s">
        <v>188</v>
      </c>
      <c r="D361" s="51">
        <f>(7.5*8.54+3.1*6.91)*10.764</f>
        <v>920.00984399999993</v>
      </c>
      <c r="E361" s="51">
        <f>(6.97*6.87)*10.764</f>
        <v>515.42229959999997</v>
      </c>
      <c r="F361" s="42">
        <f t="shared" si="64"/>
        <v>1435.4321436</v>
      </c>
      <c r="G361" s="42">
        <v>0</v>
      </c>
      <c r="H361" s="42">
        <f t="shared" si="65"/>
        <v>2224.9198225800001</v>
      </c>
      <c r="I361" s="36"/>
      <c r="L361" s="72"/>
      <c r="M361" s="72"/>
      <c r="N361" s="36"/>
      <c r="T361" s="21"/>
    </row>
    <row r="362" spans="1:20" s="37" customFormat="1" ht="31.2" customHeight="1" x14ac:dyDescent="0.3">
      <c r="A362" s="74">
        <f t="shared" si="63"/>
        <v>7</v>
      </c>
      <c r="B362" s="76"/>
      <c r="C362" s="42" t="s">
        <v>188</v>
      </c>
      <c r="D362" s="51">
        <f>(7.52*6.03+3.1*6)*10.764</f>
        <v>688.31043839999995</v>
      </c>
      <c r="E362" s="51">
        <f>(6.97*4.44)*10.764</f>
        <v>333.11135519999999</v>
      </c>
      <c r="F362" s="42">
        <f t="shared" si="64"/>
        <v>1021.4217936</v>
      </c>
      <c r="G362" s="42">
        <v>0</v>
      </c>
      <c r="H362" s="42">
        <f t="shared" si="65"/>
        <v>1583.2037800800001</v>
      </c>
      <c r="I362" s="36"/>
      <c r="L362" s="72"/>
      <c r="M362" s="72"/>
      <c r="N362" s="36"/>
      <c r="T362" s="21"/>
    </row>
    <row r="363" spans="1:20" s="37" customFormat="1" ht="31.2" customHeight="1" x14ac:dyDescent="0.3">
      <c r="A363" s="74">
        <f t="shared" si="63"/>
        <v>8</v>
      </c>
      <c r="B363" s="76"/>
      <c r="C363" s="42" t="s">
        <v>188</v>
      </c>
      <c r="D363" s="51">
        <f>(7.46*9.42+3.05*7.75+19.8*11.57+3.04*7.31+19.8*11.57)*10.764</f>
        <v>6181.8200963999998</v>
      </c>
      <c r="E363" s="51">
        <f>(6.8*9.18+6.95*8.97+16.29*4.35)*10.764</f>
        <v>2105.7290280000002</v>
      </c>
      <c r="F363" s="42">
        <f t="shared" si="64"/>
        <v>8287.5491244000004</v>
      </c>
      <c r="G363" s="42">
        <v>0</v>
      </c>
      <c r="H363" s="42">
        <f t="shared" si="65"/>
        <v>12845.70114282</v>
      </c>
      <c r="I363" s="36"/>
      <c r="L363" s="72"/>
      <c r="M363" s="72"/>
      <c r="N363" s="36"/>
      <c r="T363" s="21"/>
    </row>
    <row r="364" spans="1:20" s="37" customFormat="1" ht="15.6" customHeight="1" x14ac:dyDescent="0.3">
      <c r="A364" s="79" t="s">
        <v>253</v>
      </c>
      <c r="B364" s="80"/>
      <c r="C364" s="80"/>
      <c r="D364" s="80"/>
      <c r="E364" s="80"/>
      <c r="F364" s="80"/>
      <c r="G364" s="80"/>
      <c r="H364" s="81"/>
      <c r="I364" s="37">
        <v>1</v>
      </c>
      <c r="J364" s="36"/>
    </row>
    <row r="365" spans="1:20" s="37" customFormat="1" x14ac:dyDescent="0.3">
      <c r="A365" s="78" t="s">
        <v>254</v>
      </c>
      <c r="B365" s="78"/>
      <c r="C365" s="78"/>
      <c r="D365" s="78"/>
      <c r="E365" s="78"/>
      <c r="F365" s="78"/>
      <c r="G365" s="78"/>
      <c r="H365" s="78"/>
      <c r="I365" s="36">
        <v>1</v>
      </c>
      <c r="L365" s="72"/>
      <c r="M365" s="72"/>
    </row>
    <row r="366" spans="1:20" s="37" customFormat="1" x14ac:dyDescent="0.3">
      <c r="A366" s="78" t="s">
        <v>255</v>
      </c>
      <c r="B366" s="78"/>
      <c r="C366" s="78"/>
      <c r="D366" s="78"/>
      <c r="E366" s="78"/>
      <c r="F366" s="78"/>
      <c r="G366" s="78"/>
      <c r="H366" s="78"/>
      <c r="I366" s="36">
        <v>1</v>
      </c>
      <c r="L366" s="72"/>
      <c r="M366" s="72"/>
    </row>
    <row r="367" spans="1:20" s="37" customFormat="1" x14ac:dyDescent="0.3">
      <c r="A367" s="78" t="s">
        <v>256</v>
      </c>
      <c r="B367" s="78"/>
      <c r="C367" s="78"/>
      <c r="D367" s="78"/>
      <c r="E367" s="78"/>
      <c r="F367" s="78"/>
      <c r="G367" s="78"/>
      <c r="H367" s="78"/>
      <c r="I367" s="36">
        <v>1</v>
      </c>
      <c r="L367" s="72"/>
      <c r="M367" s="72"/>
    </row>
    <row r="368" spans="1:20" s="37" customFormat="1" x14ac:dyDescent="0.3">
      <c r="A368" s="78" t="s">
        <v>257</v>
      </c>
      <c r="B368" s="78"/>
      <c r="C368" s="78"/>
      <c r="D368" s="78"/>
      <c r="E368" s="78"/>
      <c r="F368" s="78"/>
      <c r="G368" s="78"/>
      <c r="H368" s="78"/>
      <c r="I368" s="36">
        <v>1</v>
      </c>
      <c r="L368" s="72"/>
      <c r="M368" s="72"/>
    </row>
    <row r="369" spans="1:14" s="37" customFormat="1" ht="39" customHeight="1" x14ac:dyDescent="0.3">
      <c r="A369" s="78" t="s">
        <v>258</v>
      </c>
      <c r="B369" s="78"/>
      <c r="C369" s="78"/>
      <c r="D369" s="78"/>
      <c r="E369" s="78"/>
      <c r="F369" s="78"/>
      <c r="G369" s="78"/>
      <c r="H369" s="78"/>
      <c r="I369" s="36">
        <v>1</v>
      </c>
      <c r="L369" s="72"/>
      <c r="M369" s="72"/>
    </row>
    <row r="370" spans="1:14" s="37" customFormat="1" x14ac:dyDescent="0.3">
      <c r="A370" s="73" t="s">
        <v>260</v>
      </c>
      <c r="B370" s="73"/>
      <c r="C370" s="82" t="s">
        <v>259</v>
      </c>
      <c r="D370" s="83"/>
      <c r="E370" s="83"/>
      <c r="F370" s="83"/>
      <c r="G370" s="83"/>
      <c r="H370" s="84"/>
      <c r="I370" s="36"/>
      <c r="N370" s="36"/>
    </row>
    <row r="371" spans="1:14" s="37" customFormat="1" x14ac:dyDescent="0.3">
      <c r="A371" s="73">
        <v>14</v>
      </c>
      <c r="B371" s="73"/>
      <c r="C371" s="42" t="s">
        <v>191</v>
      </c>
      <c r="D371" s="51">
        <f>(12.77*5.15+3.35*3.45+1.85*1.55)*10.764</f>
        <v>863.17054200000007</v>
      </c>
      <c r="E371" s="51">
        <v>0</v>
      </c>
      <c r="F371" s="42">
        <f>D371+E371</f>
        <v>863.17054200000007</v>
      </c>
      <c r="G371" s="42">
        <v>0</v>
      </c>
      <c r="H371" s="42">
        <f t="shared" ref="H371:H375" si="66">F371*(($H$251)+1)+(IF(G371&lt;101,G371,IF(G371&lt;201,G371/2,IF(G371&lt;=301,G371/3,G371/4))))</f>
        <v>1337.9143401000001</v>
      </c>
      <c r="I371" s="36"/>
      <c r="N371" s="36"/>
    </row>
    <row r="372" spans="1:14" s="37" customFormat="1" x14ac:dyDescent="0.3">
      <c r="A372" s="73">
        <f>A371+1</f>
        <v>15</v>
      </c>
      <c r="B372" s="73"/>
      <c r="C372" s="42" t="s">
        <v>191</v>
      </c>
      <c r="D372" s="51">
        <f>(12.93*6.75+3.35*5.05+1.35*1.55)*10.764</f>
        <v>1144.0786499999999</v>
      </c>
      <c r="E372" s="51">
        <v>0</v>
      </c>
      <c r="F372" s="42">
        <f>D372+E372</f>
        <v>1144.0786499999999</v>
      </c>
      <c r="G372" s="42">
        <v>0</v>
      </c>
      <c r="H372" s="42">
        <f t="shared" si="66"/>
        <v>1773.3219075</v>
      </c>
      <c r="I372" s="36"/>
      <c r="J372" s="37">
        <f>12.93*6.75+3.35*5.05+1.35*1.55</f>
        <v>106.28750000000001</v>
      </c>
      <c r="N372" s="36"/>
    </row>
    <row r="373" spans="1:14" s="37" customFormat="1" x14ac:dyDescent="0.3">
      <c r="A373" s="73">
        <f>A372+1</f>
        <v>16</v>
      </c>
      <c r="B373" s="73"/>
      <c r="C373" s="42" t="s">
        <v>191</v>
      </c>
      <c r="D373" s="51">
        <f>(4.93*3.35+8.88*4.92+12.23*5.87+6.94*3.89+12.54*10.87+1.2*2.55+1.55*2.4+1.85*1.55+1.85*1.55)*10.764</f>
        <v>3313.3378824000001</v>
      </c>
      <c r="E373" s="51">
        <f>(1.78*6.94+1.95*5.8)*10.764</f>
        <v>254.7106848</v>
      </c>
      <c r="F373" s="42">
        <f>D373+E373</f>
        <v>3568.0485672</v>
      </c>
      <c r="G373" s="42">
        <v>0</v>
      </c>
      <c r="H373" s="42">
        <f t="shared" si="66"/>
        <v>5530.4752791600004</v>
      </c>
      <c r="I373" s="36"/>
      <c r="N373" s="36"/>
    </row>
    <row r="374" spans="1:14" s="37" customFormat="1" x14ac:dyDescent="0.3">
      <c r="A374" s="73">
        <f>A373+1</f>
        <v>17</v>
      </c>
      <c r="B374" s="73"/>
      <c r="C374" s="42" t="s">
        <v>191</v>
      </c>
      <c r="D374" s="51">
        <f t="shared" ref="D374:D381" si="67">(5.15*10.79+3.45*3.35+1.55*1.85)*10.764</f>
        <v>753.41003400000011</v>
      </c>
      <c r="E374" s="51">
        <v>0</v>
      </c>
      <c r="F374" s="42">
        <f>D374+E374</f>
        <v>753.41003400000011</v>
      </c>
      <c r="G374" s="42">
        <v>0</v>
      </c>
      <c r="H374" s="42">
        <f t="shared" si="66"/>
        <v>1167.7855527000002</v>
      </c>
      <c r="I374" s="36"/>
      <c r="N374" s="36"/>
    </row>
    <row r="375" spans="1:14" s="37" customFormat="1" x14ac:dyDescent="0.3">
      <c r="A375" s="73">
        <f>A374+1</f>
        <v>18</v>
      </c>
      <c r="B375" s="73"/>
      <c r="C375" s="42" t="s">
        <v>191</v>
      </c>
      <c r="D375" s="51">
        <f t="shared" si="67"/>
        <v>753.41003400000011</v>
      </c>
      <c r="E375" s="51">
        <v>0</v>
      </c>
      <c r="F375" s="42">
        <f>D375+E375</f>
        <v>753.41003400000011</v>
      </c>
      <c r="G375" s="42">
        <v>0</v>
      </c>
      <c r="H375" s="42">
        <f t="shared" si="66"/>
        <v>1167.7855527000002</v>
      </c>
      <c r="I375" s="36"/>
      <c r="N375" s="36"/>
    </row>
    <row r="376" spans="1:14" s="37" customFormat="1" x14ac:dyDescent="0.3">
      <c r="A376" s="73">
        <f t="shared" ref="A376:A385" si="68">A375+1</f>
        <v>19</v>
      </c>
      <c r="B376" s="73"/>
      <c r="C376" s="42" t="s">
        <v>191</v>
      </c>
      <c r="D376" s="51">
        <f t="shared" si="67"/>
        <v>753.41003400000011</v>
      </c>
      <c r="E376" s="51">
        <v>0</v>
      </c>
      <c r="F376" s="42">
        <f t="shared" ref="F376:F384" si="69">D376+E376</f>
        <v>753.41003400000011</v>
      </c>
      <c r="G376" s="42">
        <v>0</v>
      </c>
      <c r="H376" s="42">
        <f t="shared" ref="H376:H384" si="70">F376*(($H$251)+1)+(IF(G376&lt;101,G376,IF(G376&lt;201,G376/2,IF(G376&lt;=301,G376/3,G376/4))))</f>
        <v>1167.7855527000002</v>
      </c>
      <c r="I376" s="36"/>
      <c r="N376" s="36"/>
    </row>
    <row r="377" spans="1:14" s="37" customFormat="1" x14ac:dyDescent="0.3">
      <c r="A377" s="73">
        <f t="shared" si="68"/>
        <v>20</v>
      </c>
      <c r="B377" s="73"/>
      <c r="C377" s="42" t="s">
        <v>191</v>
      </c>
      <c r="D377" s="51">
        <f t="shared" si="67"/>
        <v>753.41003400000011</v>
      </c>
      <c r="E377" s="51">
        <v>0</v>
      </c>
      <c r="F377" s="42">
        <f t="shared" si="69"/>
        <v>753.41003400000011</v>
      </c>
      <c r="G377" s="42">
        <v>0</v>
      </c>
      <c r="H377" s="42">
        <f t="shared" si="70"/>
        <v>1167.7855527000002</v>
      </c>
      <c r="I377" s="36"/>
      <c r="N377" s="36"/>
    </row>
    <row r="378" spans="1:14" s="37" customFormat="1" x14ac:dyDescent="0.3">
      <c r="A378" s="73">
        <f t="shared" si="68"/>
        <v>21</v>
      </c>
      <c r="B378" s="73"/>
      <c r="C378" s="42" t="s">
        <v>191</v>
      </c>
      <c r="D378" s="51">
        <f t="shared" si="67"/>
        <v>753.41003400000011</v>
      </c>
      <c r="E378" s="51">
        <v>0</v>
      </c>
      <c r="F378" s="42">
        <f t="shared" si="69"/>
        <v>753.41003400000011</v>
      </c>
      <c r="G378" s="42">
        <v>0</v>
      </c>
      <c r="H378" s="42">
        <f t="shared" si="70"/>
        <v>1167.7855527000002</v>
      </c>
      <c r="I378" s="36"/>
      <c r="N378" s="36"/>
    </row>
    <row r="379" spans="1:14" s="37" customFormat="1" x14ac:dyDescent="0.3">
      <c r="A379" s="73">
        <f t="shared" si="68"/>
        <v>22</v>
      </c>
      <c r="B379" s="73"/>
      <c r="C379" s="42" t="s">
        <v>191</v>
      </c>
      <c r="D379" s="51">
        <f t="shared" si="67"/>
        <v>753.41003400000011</v>
      </c>
      <c r="E379" s="51">
        <v>0</v>
      </c>
      <c r="F379" s="42">
        <f t="shared" si="69"/>
        <v>753.41003400000011</v>
      </c>
      <c r="G379" s="42">
        <v>0</v>
      </c>
      <c r="H379" s="42">
        <f t="shared" si="70"/>
        <v>1167.7855527000002</v>
      </c>
      <c r="I379" s="36"/>
      <c r="N379" s="36"/>
    </row>
    <row r="380" spans="1:14" s="37" customFormat="1" x14ac:dyDescent="0.3">
      <c r="A380" s="73">
        <f t="shared" si="68"/>
        <v>23</v>
      </c>
      <c r="B380" s="73"/>
      <c r="C380" s="42" t="s">
        <v>191</v>
      </c>
      <c r="D380" s="51">
        <f t="shared" si="67"/>
        <v>753.41003400000011</v>
      </c>
      <c r="E380" s="51">
        <v>0</v>
      </c>
      <c r="F380" s="42">
        <f t="shared" si="69"/>
        <v>753.41003400000011</v>
      </c>
      <c r="G380" s="42">
        <v>0</v>
      </c>
      <c r="H380" s="42">
        <f t="shared" si="70"/>
        <v>1167.7855527000002</v>
      </c>
      <c r="I380" s="36"/>
      <c r="N380" s="36"/>
    </row>
    <row r="381" spans="1:14" s="37" customFormat="1" x14ac:dyDescent="0.3">
      <c r="A381" s="73">
        <f t="shared" si="68"/>
        <v>24</v>
      </c>
      <c r="B381" s="73"/>
      <c r="C381" s="42" t="s">
        <v>191</v>
      </c>
      <c r="D381" s="51">
        <f t="shared" si="67"/>
        <v>753.41003400000011</v>
      </c>
      <c r="E381" s="51">
        <v>0</v>
      </c>
      <c r="F381" s="42">
        <f t="shared" si="69"/>
        <v>753.41003400000011</v>
      </c>
      <c r="G381" s="42">
        <v>0</v>
      </c>
      <c r="H381" s="42">
        <f t="shared" si="70"/>
        <v>1167.7855527000002</v>
      </c>
      <c r="I381" s="36"/>
      <c r="N381" s="36"/>
    </row>
    <row r="382" spans="1:14" s="37" customFormat="1" x14ac:dyDescent="0.3">
      <c r="A382" s="73">
        <f t="shared" si="68"/>
        <v>25</v>
      </c>
      <c r="B382" s="73"/>
      <c r="C382" s="42" t="s">
        <v>191</v>
      </c>
      <c r="D382" s="51">
        <f>(5.4*10.79+3.55*3.35+1.55*1.85)*10.764</f>
        <v>786.05186400000002</v>
      </c>
      <c r="E382" s="51">
        <v>0</v>
      </c>
      <c r="F382" s="42">
        <f t="shared" si="69"/>
        <v>786.05186400000002</v>
      </c>
      <c r="G382" s="42">
        <v>0</v>
      </c>
      <c r="H382" s="42">
        <f t="shared" si="70"/>
        <v>1218.3803892000001</v>
      </c>
      <c r="I382" s="36"/>
      <c r="N382" s="36"/>
    </row>
    <row r="383" spans="1:14" s="37" customFormat="1" x14ac:dyDescent="0.3">
      <c r="A383" s="73">
        <f t="shared" si="68"/>
        <v>26</v>
      </c>
      <c r="B383" s="73"/>
      <c r="C383" s="42" t="s">
        <v>191</v>
      </c>
      <c r="D383" s="51">
        <f>(5.15*8.4+3.45*3.35+1.55*1.85)*10.764</f>
        <v>620.9213400000001</v>
      </c>
      <c r="E383" s="51">
        <v>0</v>
      </c>
      <c r="F383" s="42">
        <f t="shared" si="69"/>
        <v>620.9213400000001</v>
      </c>
      <c r="G383" s="42">
        <v>0</v>
      </c>
      <c r="H383" s="42">
        <f t="shared" si="70"/>
        <v>962.42807700000014</v>
      </c>
      <c r="I383" s="36"/>
      <c r="N383" s="36"/>
    </row>
    <row r="384" spans="1:14" s="37" customFormat="1" x14ac:dyDescent="0.3">
      <c r="A384" s="73">
        <f t="shared" si="68"/>
        <v>27</v>
      </c>
      <c r="B384" s="73"/>
      <c r="C384" s="42" t="s">
        <v>191</v>
      </c>
      <c r="D384" s="51">
        <f>(5.15*8.4+3.45*3.35+1.55*1.85)*10.764</f>
        <v>620.9213400000001</v>
      </c>
      <c r="E384" s="51">
        <v>0</v>
      </c>
      <c r="F384" s="42">
        <f t="shared" si="69"/>
        <v>620.9213400000001</v>
      </c>
      <c r="G384" s="42">
        <v>0</v>
      </c>
      <c r="H384" s="42">
        <f t="shared" si="70"/>
        <v>962.42807700000014</v>
      </c>
      <c r="I384" s="36"/>
      <c r="N384" s="36"/>
    </row>
    <row r="385" spans="1:14" s="37" customFormat="1" x14ac:dyDescent="0.3">
      <c r="A385" s="73">
        <f t="shared" si="68"/>
        <v>28</v>
      </c>
      <c r="B385" s="73"/>
      <c r="C385" s="42" t="s">
        <v>191</v>
      </c>
      <c r="D385" s="51">
        <f>(5.15*8.4+3.45*3.35+1.55*1.85)*10.764</f>
        <v>620.9213400000001</v>
      </c>
      <c r="E385" s="51">
        <v>0</v>
      </c>
      <c r="F385" s="42">
        <f t="shared" ref="F385" si="71">D385+E385</f>
        <v>620.9213400000001</v>
      </c>
      <c r="G385" s="42">
        <v>0</v>
      </c>
      <c r="H385" s="42">
        <f t="shared" ref="H385" si="72">F385*(($H$251)+1)+(IF(G385&lt;101,G385,IF(G385&lt;201,G385/2,IF(G385&lt;=301,G385/3,G385/4))))</f>
        <v>962.42807700000014</v>
      </c>
      <c r="I385" s="36"/>
      <c r="N385" s="36"/>
    </row>
    <row r="386" spans="1:14" s="37" customFormat="1" x14ac:dyDescent="0.3">
      <c r="A386" s="73" t="s">
        <v>246</v>
      </c>
      <c r="B386" s="73"/>
      <c r="C386" s="74" t="s">
        <v>280</v>
      </c>
      <c r="D386" s="75"/>
      <c r="E386" s="75"/>
      <c r="F386" s="75"/>
      <c r="G386" s="75"/>
      <c r="H386" s="76"/>
      <c r="I386" s="36"/>
      <c r="N386" s="36"/>
    </row>
    <row r="387" spans="1:14" s="37" customFormat="1" x14ac:dyDescent="0.3">
      <c r="A387" s="78" t="s">
        <v>261</v>
      </c>
      <c r="B387" s="78"/>
      <c r="C387" s="78"/>
      <c r="D387" s="78"/>
      <c r="E387" s="78"/>
      <c r="F387" s="78"/>
      <c r="G387" s="78"/>
      <c r="H387" s="78"/>
      <c r="I387" s="36">
        <v>1</v>
      </c>
      <c r="L387" s="72"/>
      <c r="M387" s="72"/>
    </row>
    <row r="388" spans="1:14" s="37" customFormat="1" x14ac:dyDescent="0.3">
      <c r="A388" s="73">
        <v>1</v>
      </c>
      <c r="B388" s="73"/>
      <c r="C388" s="42" t="s">
        <v>191</v>
      </c>
      <c r="D388" s="51">
        <f>(6.55*5.15+3.35*3.45+1.85*1.55)*10.764</f>
        <v>518.36733000000004</v>
      </c>
      <c r="E388" s="51">
        <v>0</v>
      </c>
      <c r="F388" s="42">
        <f t="shared" ref="F388:F400" si="73">D388+E388</f>
        <v>518.36733000000004</v>
      </c>
      <c r="G388" s="42">
        <v>0</v>
      </c>
      <c r="H388" s="42">
        <f t="shared" ref="H388:H400" si="74">F388*(($H$251)+1)+(IF(G388&lt;101,G388,IF(G388&lt;201,G388/2,IF(G388&lt;=301,G388/3,G388/4))))</f>
        <v>803.4693615000001</v>
      </c>
      <c r="I388" s="36"/>
      <c r="N388" s="36"/>
    </row>
    <row r="389" spans="1:14" s="37" customFormat="1" x14ac:dyDescent="0.3">
      <c r="A389" s="73">
        <f>A388+1</f>
        <v>2</v>
      </c>
      <c r="B389" s="73"/>
      <c r="C389" s="42" t="s">
        <v>191</v>
      </c>
      <c r="D389" s="51">
        <f>(6.55*5.15+3.35*3.45+1.85*1.55)*10.764</f>
        <v>518.36733000000004</v>
      </c>
      <c r="E389" s="51">
        <v>0</v>
      </c>
      <c r="F389" s="42">
        <f t="shared" si="73"/>
        <v>518.36733000000004</v>
      </c>
      <c r="G389" s="42">
        <v>0</v>
      </c>
      <c r="H389" s="42">
        <f t="shared" si="74"/>
        <v>803.4693615000001</v>
      </c>
      <c r="I389" s="36"/>
      <c r="N389" s="36"/>
    </row>
    <row r="390" spans="1:14" s="37" customFormat="1" x14ac:dyDescent="0.3">
      <c r="A390" s="73">
        <f t="shared" ref="A390:A400" si="75">A389+1</f>
        <v>3</v>
      </c>
      <c r="B390" s="73"/>
      <c r="C390" s="42" t="s">
        <v>191</v>
      </c>
      <c r="D390" s="51">
        <f>(6.55*5.15+3.35*3.45+1.85*1.55)*10.764</f>
        <v>518.36733000000004</v>
      </c>
      <c r="E390" s="51">
        <v>0</v>
      </c>
      <c r="F390" s="42">
        <f t="shared" si="73"/>
        <v>518.36733000000004</v>
      </c>
      <c r="G390" s="42">
        <v>0</v>
      </c>
      <c r="H390" s="42">
        <f t="shared" si="74"/>
        <v>803.4693615000001</v>
      </c>
      <c r="I390" s="36"/>
      <c r="N390" s="36"/>
    </row>
    <row r="391" spans="1:14" s="37" customFormat="1" x14ac:dyDescent="0.3">
      <c r="A391" s="73">
        <f t="shared" si="75"/>
        <v>4</v>
      </c>
      <c r="B391" s="73"/>
      <c r="C391" s="42" t="s">
        <v>191</v>
      </c>
      <c r="D391" s="51">
        <f>(6.55*5.15+3.35*3.45+1.85*1.55)*10.764</f>
        <v>518.36733000000004</v>
      </c>
      <c r="E391" s="51">
        <v>0</v>
      </c>
      <c r="F391" s="42">
        <f t="shared" si="73"/>
        <v>518.36733000000004</v>
      </c>
      <c r="G391" s="42">
        <v>0</v>
      </c>
      <c r="H391" s="42">
        <f t="shared" si="74"/>
        <v>803.4693615000001</v>
      </c>
      <c r="I391" s="36"/>
      <c r="N391" s="36"/>
    </row>
    <row r="392" spans="1:14" s="37" customFormat="1" x14ac:dyDescent="0.3">
      <c r="A392" s="73">
        <f t="shared" si="75"/>
        <v>5</v>
      </c>
      <c r="B392" s="73"/>
      <c r="C392" s="42" t="s">
        <v>191</v>
      </c>
      <c r="D392" s="51">
        <f>(6.55*5.22+3.35*3.45+1.85*1.55)*10.764</f>
        <v>523.30262399999992</v>
      </c>
      <c r="E392" s="51">
        <v>0</v>
      </c>
      <c r="F392" s="42">
        <f t="shared" si="73"/>
        <v>523.30262399999992</v>
      </c>
      <c r="G392" s="42">
        <v>0</v>
      </c>
      <c r="H392" s="42">
        <f t="shared" si="74"/>
        <v>811.1190671999999</v>
      </c>
      <c r="I392" s="36"/>
      <c r="N392" s="36"/>
    </row>
    <row r="393" spans="1:14" s="37" customFormat="1" x14ac:dyDescent="0.3">
      <c r="A393" s="73">
        <f t="shared" si="75"/>
        <v>6</v>
      </c>
      <c r="B393" s="73"/>
      <c r="C393" s="74" t="s">
        <v>197</v>
      </c>
      <c r="D393" s="75"/>
      <c r="E393" s="75"/>
      <c r="F393" s="75"/>
      <c r="G393" s="75"/>
      <c r="H393" s="76"/>
      <c r="I393" s="36"/>
      <c r="N393" s="36"/>
    </row>
    <row r="394" spans="1:14" s="37" customFormat="1" x14ac:dyDescent="0.3">
      <c r="A394" s="73">
        <f t="shared" si="75"/>
        <v>7</v>
      </c>
      <c r="B394" s="73"/>
      <c r="C394" s="42" t="s">
        <v>191</v>
      </c>
      <c r="D394" s="51">
        <f>(9.46*6.01+3.35*4.31+1.85*1.55)*10.764</f>
        <v>798.26469840000016</v>
      </c>
      <c r="E394" s="51">
        <v>0</v>
      </c>
      <c r="F394" s="42">
        <f t="shared" si="73"/>
        <v>798.26469840000016</v>
      </c>
      <c r="G394" s="42">
        <v>0</v>
      </c>
      <c r="H394" s="42">
        <f t="shared" si="74"/>
        <v>1237.3102825200003</v>
      </c>
      <c r="I394" s="36"/>
      <c r="N394" s="36"/>
    </row>
    <row r="395" spans="1:14" s="37" customFormat="1" x14ac:dyDescent="0.3">
      <c r="A395" s="73">
        <f t="shared" si="75"/>
        <v>8</v>
      </c>
      <c r="B395" s="73"/>
      <c r="C395" s="42" t="s">
        <v>191</v>
      </c>
      <c r="D395" s="51">
        <f>(10.22*5.22+3.35*3.52+1.85*1.55)*10.764</f>
        <v>732.03703560000008</v>
      </c>
      <c r="E395" s="51">
        <v>0</v>
      </c>
      <c r="F395" s="42">
        <f t="shared" si="73"/>
        <v>732.03703560000008</v>
      </c>
      <c r="G395" s="42">
        <v>0</v>
      </c>
      <c r="H395" s="42">
        <f t="shared" si="74"/>
        <v>1134.6574051800001</v>
      </c>
      <c r="I395" s="36"/>
      <c r="N395" s="36"/>
    </row>
    <row r="396" spans="1:14" s="37" customFormat="1" x14ac:dyDescent="0.3">
      <c r="A396" s="73">
        <f t="shared" si="75"/>
        <v>9</v>
      </c>
      <c r="B396" s="73"/>
      <c r="C396" s="42" t="s">
        <v>191</v>
      </c>
      <c r="D396" s="51">
        <f>(10.85*5.15+3.35*3.45+1.85*1.55)*10.764</f>
        <v>756.73611000000005</v>
      </c>
      <c r="E396" s="51">
        <v>0</v>
      </c>
      <c r="F396" s="42">
        <f t="shared" si="73"/>
        <v>756.73611000000005</v>
      </c>
      <c r="G396" s="42">
        <v>0</v>
      </c>
      <c r="H396" s="42">
        <f t="shared" si="74"/>
        <v>1172.9409705</v>
      </c>
      <c r="I396" s="36"/>
      <c r="N396" s="36"/>
    </row>
    <row r="397" spans="1:14" s="37" customFormat="1" x14ac:dyDescent="0.3">
      <c r="A397" s="73">
        <f t="shared" si="75"/>
        <v>10</v>
      </c>
      <c r="B397" s="73"/>
      <c r="C397" s="42" t="s">
        <v>191</v>
      </c>
      <c r="D397" s="51">
        <f>(11.39*5.15+3.35*3.45+1.85*1.55)*10.764</f>
        <v>786.67079400000011</v>
      </c>
      <c r="E397" s="51">
        <v>0</v>
      </c>
      <c r="F397" s="42">
        <f t="shared" si="73"/>
        <v>786.67079400000011</v>
      </c>
      <c r="G397" s="42">
        <v>0</v>
      </c>
      <c r="H397" s="42">
        <f t="shared" si="74"/>
        <v>1219.3397307000002</v>
      </c>
      <c r="I397" s="36"/>
      <c r="N397" s="36"/>
    </row>
    <row r="398" spans="1:14" s="37" customFormat="1" x14ac:dyDescent="0.3">
      <c r="A398" s="73">
        <f t="shared" si="75"/>
        <v>11</v>
      </c>
      <c r="B398" s="73"/>
      <c r="C398" s="42" t="s">
        <v>191</v>
      </c>
      <c r="D398" s="51">
        <f>(11.85*5.15+3.35*3.45+1.85*1.55)*10.764</f>
        <v>812.1707100000001</v>
      </c>
      <c r="E398" s="51">
        <v>0</v>
      </c>
      <c r="F398" s="42">
        <f t="shared" si="73"/>
        <v>812.1707100000001</v>
      </c>
      <c r="G398" s="42">
        <v>0</v>
      </c>
      <c r="H398" s="42">
        <f t="shared" si="74"/>
        <v>1258.8646005000003</v>
      </c>
      <c r="I398" s="36"/>
      <c r="N398" s="36"/>
    </row>
    <row r="399" spans="1:14" s="37" customFormat="1" x14ac:dyDescent="0.3">
      <c r="A399" s="73">
        <f t="shared" si="75"/>
        <v>12</v>
      </c>
      <c r="B399" s="73"/>
      <c r="C399" s="42" t="s">
        <v>191</v>
      </c>
      <c r="D399" s="51">
        <f>(12.23*5.15+3.35*3.45+1.85*1.55)*10.764</f>
        <v>833.23585800000001</v>
      </c>
      <c r="E399" s="51">
        <v>0</v>
      </c>
      <c r="F399" s="42">
        <f t="shared" si="73"/>
        <v>833.23585800000001</v>
      </c>
      <c r="G399" s="42">
        <v>0</v>
      </c>
      <c r="H399" s="42">
        <f t="shared" si="74"/>
        <v>1291.5155799000001</v>
      </c>
      <c r="I399" s="36"/>
      <c r="N399" s="36"/>
    </row>
    <row r="400" spans="1:14" s="37" customFormat="1" x14ac:dyDescent="0.3">
      <c r="A400" s="73">
        <f t="shared" si="75"/>
        <v>13</v>
      </c>
      <c r="B400" s="73"/>
      <c r="C400" s="42" t="s">
        <v>191</v>
      </c>
      <c r="D400" s="51">
        <f>(12.54*5.15+3.35*3.45+1.85*1.55)*10.764</f>
        <v>850.42058400000008</v>
      </c>
      <c r="E400" s="51">
        <v>0</v>
      </c>
      <c r="F400" s="42">
        <f t="shared" si="73"/>
        <v>850.42058400000008</v>
      </c>
      <c r="G400" s="42">
        <v>0</v>
      </c>
      <c r="H400" s="42">
        <f t="shared" si="74"/>
        <v>1318.1519052000001</v>
      </c>
      <c r="I400" s="36"/>
      <c r="N400" s="36"/>
    </row>
    <row r="401" spans="1:14" s="37" customFormat="1" x14ac:dyDescent="0.3">
      <c r="A401" s="73">
        <v>14</v>
      </c>
      <c r="B401" s="73"/>
      <c r="C401" s="42" t="s">
        <v>191</v>
      </c>
      <c r="D401" s="51">
        <f>(12.77*5.15+3.35*3.45+1.85*1.55)*10.764</f>
        <v>863.17054200000007</v>
      </c>
      <c r="E401" s="51">
        <v>0</v>
      </c>
      <c r="F401" s="42">
        <f>D401+E401</f>
        <v>863.17054200000007</v>
      </c>
      <c r="G401" s="42">
        <v>0</v>
      </c>
      <c r="H401" s="42">
        <f t="shared" ref="H401:H414" si="76">F401*(($H$251)+1)+(IF(G401&lt;101,G401,IF(G401&lt;201,G401/2,IF(G401&lt;=301,G401/3,G401/4))))</f>
        <v>1337.9143401000001</v>
      </c>
      <c r="I401" s="36"/>
      <c r="N401" s="36"/>
    </row>
    <row r="402" spans="1:14" s="37" customFormat="1" x14ac:dyDescent="0.3">
      <c r="A402" s="73">
        <f>A401+1</f>
        <v>15</v>
      </c>
      <c r="B402" s="73"/>
      <c r="C402" s="42" t="s">
        <v>191</v>
      </c>
      <c r="D402" s="51">
        <f>(12.93*6.75+3.35*5.05+1.35*1.55)*10.764</f>
        <v>1144.0786499999999</v>
      </c>
      <c r="E402" s="51">
        <v>0</v>
      </c>
      <c r="F402" s="42">
        <f>D402+E402</f>
        <v>1144.0786499999999</v>
      </c>
      <c r="G402" s="42">
        <v>0</v>
      </c>
      <c r="H402" s="42">
        <f t="shared" si="76"/>
        <v>1773.3219075</v>
      </c>
      <c r="I402" s="36"/>
      <c r="J402" s="37">
        <f>12.93*6.75+3.35*5.05+1.35*1.55</f>
        <v>106.28750000000001</v>
      </c>
      <c r="N402" s="36"/>
    </row>
    <row r="403" spans="1:14" s="37" customFormat="1" x14ac:dyDescent="0.3">
      <c r="A403" s="73">
        <f>A402+1</f>
        <v>16</v>
      </c>
      <c r="B403" s="73"/>
      <c r="C403" s="42" t="s">
        <v>191</v>
      </c>
      <c r="D403" s="51">
        <f>(4.93*3.35+8.88*4.92+12.23*5.87+6.94*3.89+12.54*10.87+1.2*2.55+1.55*2.4+1.85*1.55+1.85*1.55)*10.764</f>
        <v>3313.3378824000001</v>
      </c>
      <c r="E403" s="51">
        <v>0</v>
      </c>
      <c r="F403" s="42">
        <f>D403+E403</f>
        <v>3313.3378824000001</v>
      </c>
      <c r="G403" s="42">
        <v>0</v>
      </c>
      <c r="H403" s="42">
        <f t="shared" si="76"/>
        <v>5135.6737177200002</v>
      </c>
      <c r="I403" s="36"/>
      <c r="N403" s="36"/>
    </row>
    <row r="404" spans="1:14" s="37" customFormat="1" x14ac:dyDescent="0.3">
      <c r="A404" s="73">
        <f>A403+1</f>
        <v>17</v>
      </c>
      <c r="B404" s="73"/>
      <c r="C404" s="42" t="s">
        <v>191</v>
      </c>
      <c r="D404" s="51">
        <f t="shared" ref="D404:D410" si="77">(5.15*10.79+3.45*3.35+1.55*1.85)*10.764</f>
        <v>753.41003400000011</v>
      </c>
      <c r="E404" s="51">
        <v>0</v>
      </c>
      <c r="F404" s="42">
        <f>D404+E404</f>
        <v>753.41003400000011</v>
      </c>
      <c r="G404" s="42">
        <v>0</v>
      </c>
      <c r="H404" s="42">
        <f t="shared" si="76"/>
        <v>1167.7855527000002</v>
      </c>
      <c r="I404" s="36"/>
      <c r="N404" s="36"/>
    </row>
    <row r="405" spans="1:14" s="37" customFormat="1" x14ac:dyDescent="0.3">
      <c r="A405" s="73">
        <f>A404+1</f>
        <v>18</v>
      </c>
      <c r="B405" s="73"/>
      <c r="C405" s="42" t="s">
        <v>191</v>
      </c>
      <c r="D405" s="51">
        <f t="shared" si="77"/>
        <v>753.41003400000011</v>
      </c>
      <c r="E405" s="51">
        <v>0</v>
      </c>
      <c r="F405" s="42">
        <f>D405+E405</f>
        <v>753.41003400000011</v>
      </c>
      <c r="G405" s="42">
        <v>0</v>
      </c>
      <c r="H405" s="42">
        <f t="shared" si="76"/>
        <v>1167.7855527000002</v>
      </c>
      <c r="I405" s="36"/>
      <c r="N405" s="36"/>
    </row>
    <row r="406" spans="1:14" s="37" customFormat="1" x14ac:dyDescent="0.3">
      <c r="A406" s="73">
        <f t="shared" ref="A406:A414" si="78">A405+1</f>
        <v>19</v>
      </c>
      <c r="B406" s="73"/>
      <c r="C406" s="42" t="s">
        <v>191</v>
      </c>
      <c r="D406" s="51">
        <f t="shared" si="77"/>
        <v>753.41003400000011</v>
      </c>
      <c r="E406" s="51">
        <v>0</v>
      </c>
      <c r="F406" s="42">
        <f t="shared" ref="F406:F414" si="79">D406+E406</f>
        <v>753.41003400000011</v>
      </c>
      <c r="G406" s="42">
        <v>0</v>
      </c>
      <c r="H406" s="42">
        <f t="shared" si="76"/>
        <v>1167.7855527000002</v>
      </c>
      <c r="I406" s="36"/>
      <c r="N406" s="36"/>
    </row>
    <row r="407" spans="1:14" s="37" customFormat="1" x14ac:dyDescent="0.3">
      <c r="A407" s="73">
        <f t="shared" si="78"/>
        <v>20</v>
      </c>
      <c r="B407" s="73"/>
      <c r="C407" s="42" t="s">
        <v>191</v>
      </c>
      <c r="D407" s="51">
        <f t="shared" si="77"/>
        <v>753.41003400000011</v>
      </c>
      <c r="E407" s="51">
        <v>0</v>
      </c>
      <c r="F407" s="42">
        <f t="shared" si="79"/>
        <v>753.41003400000011</v>
      </c>
      <c r="G407" s="42">
        <v>0</v>
      </c>
      <c r="H407" s="42">
        <f t="shared" si="76"/>
        <v>1167.7855527000002</v>
      </c>
      <c r="I407" s="36"/>
      <c r="N407" s="36"/>
    </row>
    <row r="408" spans="1:14" s="37" customFormat="1" x14ac:dyDescent="0.3">
      <c r="A408" s="73">
        <f t="shared" si="78"/>
        <v>21</v>
      </c>
      <c r="B408" s="73"/>
      <c r="C408" s="42" t="s">
        <v>191</v>
      </c>
      <c r="D408" s="51">
        <f t="shared" si="77"/>
        <v>753.41003400000011</v>
      </c>
      <c r="E408" s="51">
        <v>0</v>
      </c>
      <c r="F408" s="42">
        <f t="shared" si="79"/>
        <v>753.41003400000011</v>
      </c>
      <c r="G408" s="42">
        <v>0</v>
      </c>
      <c r="H408" s="42">
        <f t="shared" si="76"/>
        <v>1167.7855527000002</v>
      </c>
      <c r="I408" s="36"/>
      <c r="N408" s="36"/>
    </row>
    <row r="409" spans="1:14" s="37" customFormat="1" x14ac:dyDescent="0.3">
      <c r="A409" s="73">
        <f t="shared" si="78"/>
        <v>22</v>
      </c>
      <c r="B409" s="73"/>
      <c r="C409" s="42" t="s">
        <v>191</v>
      </c>
      <c r="D409" s="51">
        <f t="shared" si="77"/>
        <v>753.41003400000011</v>
      </c>
      <c r="E409" s="51">
        <v>0</v>
      </c>
      <c r="F409" s="42">
        <f t="shared" si="79"/>
        <v>753.41003400000011</v>
      </c>
      <c r="G409" s="42">
        <v>0</v>
      </c>
      <c r="H409" s="42">
        <f t="shared" si="76"/>
        <v>1167.7855527000002</v>
      </c>
      <c r="I409" s="36"/>
      <c r="N409" s="36"/>
    </row>
    <row r="410" spans="1:14" s="37" customFormat="1" x14ac:dyDescent="0.3">
      <c r="A410" s="73">
        <f t="shared" si="78"/>
        <v>23</v>
      </c>
      <c r="B410" s="73"/>
      <c r="C410" s="42" t="s">
        <v>191</v>
      </c>
      <c r="D410" s="51">
        <f t="shared" si="77"/>
        <v>753.41003400000011</v>
      </c>
      <c r="E410" s="51">
        <v>0</v>
      </c>
      <c r="F410" s="42">
        <f t="shared" si="79"/>
        <v>753.41003400000011</v>
      </c>
      <c r="G410" s="42">
        <v>0</v>
      </c>
      <c r="H410" s="42">
        <f t="shared" si="76"/>
        <v>1167.7855527000002</v>
      </c>
      <c r="I410" s="36"/>
      <c r="N410" s="36"/>
    </row>
    <row r="411" spans="1:14" s="37" customFormat="1" x14ac:dyDescent="0.3">
      <c r="A411" s="73">
        <f t="shared" si="78"/>
        <v>24</v>
      </c>
      <c r="B411" s="73"/>
      <c r="C411" s="42" t="s">
        <v>191</v>
      </c>
      <c r="D411" s="51">
        <f>(10.7*10.79+3.55*3.35+3.45*3.35+1.55*1.85+1.55*1.85)*10.764</f>
        <v>1556.8834319999999</v>
      </c>
      <c r="E411" s="51">
        <v>0</v>
      </c>
      <c r="F411" s="42">
        <f t="shared" si="79"/>
        <v>1556.8834319999999</v>
      </c>
      <c r="G411" s="42">
        <v>0</v>
      </c>
      <c r="H411" s="42">
        <f t="shared" si="76"/>
        <v>2413.1693195999997</v>
      </c>
      <c r="I411" s="36"/>
      <c r="N411" s="36"/>
    </row>
    <row r="412" spans="1:14" s="37" customFormat="1" x14ac:dyDescent="0.3">
      <c r="A412" s="73">
        <v>26</v>
      </c>
      <c r="B412" s="73"/>
      <c r="C412" s="42" t="s">
        <v>191</v>
      </c>
      <c r="D412" s="51">
        <f>(5.15*8.4+3.45*3.35+1.55*1.85)*10.764</f>
        <v>620.9213400000001</v>
      </c>
      <c r="E412" s="51">
        <v>0</v>
      </c>
      <c r="F412" s="42">
        <f t="shared" si="79"/>
        <v>620.9213400000001</v>
      </c>
      <c r="G412" s="42">
        <v>0</v>
      </c>
      <c r="H412" s="42">
        <f t="shared" si="76"/>
        <v>962.42807700000014</v>
      </c>
      <c r="I412" s="36"/>
      <c r="N412" s="36"/>
    </row>
    <row r="413" spans="1:14" s="37" customFormat="1" x14ac:dyDescent="0.3">
      <c r="A413" s="73">
        <f t="shared" si="78"/>
        <v>27</v>
      </c>
      <c r="B413" s="73"/>
      <c r="C413" s="42" t="s">
        <v>191</v>
      </c>
      <c r="D413" s="51">
        <f>(5.15*8.4+3.45*3.35+1.55*1.85)*10.764</f>
        <v>620.9213400000001</v>
      </c>
      <c r="E413" s="51">
        <v>0</v>
      </c>
      <c r="F413" s="42">
        <f t="shared" si="79"/>
        <v>620.9213400000001</v>
      </c>
      <c r="G413" s="42">
        <v>0</v>
      </c>
      <c r="H413" s="42">
        <f t="shared" si="76"/>
        <v>962.42807700000014</v>
      </c>
      <c r="I413" s="36"/>
      <c r="N413" s="36"/>
    </row>
    <row r="414" spans="1:14" s="37" customFormat="1" x14ac:dyDescent="0.3">
      <c r="A414" s="73">
        <f t="shared" si="78"/>
        <v>28</v>
      </c>
      <c r="B414" s="73"/>
      <c r="C414" s="42" t="s">
        <v>191</v>
      </c>
      <c r="D414" s="51">
        <f>(5.15*8.4+3.45*3.35+1.55*1.85)*10.764</f>
        <v>620.9213400000001</v>
      </c>
      <c r="E414" s="51">
        <v>0</v>
      </c>
      <c r="F414" s="42">
        <f t="shared" si="79"/>
        <v>620.9213400000001</v>
      </c>
      <c r="G414" s="42">
        <v>0</v>
      </c>
      <c r="H414" s="42">
        <f t="shared" si="76"/>
        <v>962.42807700000014</v>
      </c>
      <c r="I414" s="36"/>
      <c r="N414" s="36"/>
    </row>
    <row r="415" spans="1:14" s="37" customFormat="1" x14ac:dyDescent="0.3">
      <c r="A415" s="73" t="s">
        <v>246</v>
      </c>
      <c r="B415" s="73"/>
      <c r="C415" s="74" t="s">
        <v>280</v>
      </c>
      <c r="D415" s="75"/>
      <c r="E415" s="75"/>
      <c r="F415" s="75"/>
      <c r="G415" s="75"/>
      <c r="H415" s="76"/>
      <c r="I415" s="36"/>
      <c r="N415" s="36"/>
    </row>
    <row r="416" spans="1:14" s="37" customFormat="1" x14ac:dyDescent="0.3">
      <c r="A416" s="78" t="s">
        <v>262</v>
      </c>
      <c r="B416" s="78"/>
      <c r="C416" s="78"/>
      <c r="D416" s="78"/>
      <c r="E416" s="78"/>
      <c r="F416" s="78"/>
      <c r="G416" s="78"/>
      <c r="H416" s="78"/>
      <c r="I416" s="36">
        <v>1</v>
      </c>
      <c r="L416" s="72"/>
      <c r="M416" s="72"/>
    </row>
    <row r="417" spans="1:14" s="37" customFormat="1" x14ac:dyDescent="0.3">
      <c r="A417" s="73">
        <v>1</v>
      </c>
      <c r="B417" s="73"/>
      <c r="C417" s="42" t="s">
        <v>191</v>
      </c>
      <c r="D417" s="51">
        <f>(6.55*5.15+3.35*3.45+1.85*1.55)*10.764</f>
        <v>518.36733000000004</v>
      </c>
      <c r="E417" s="51">
        <v>0</v>
      </c>
      <c r="F417" s="42">
        <f t="shared" ref="F417:F421" si="80">D417+E417</f>
        <v>518.36733000000004</v>
      </c>
      <c r="G417" s="42">
        <v>0</v>
      </c>
      <c r="H417" s="42">
        <f t="shared" ref="H417:H421" si="81">F417*(($H$251)+1)+(IF(G417&lt;101,G417,IF(G417&lt;201,G417/2,IF(G417&lt;=301,G417/3,G417/4))))</f>
        <v>803.4693615000001</v>
      </c>
      <c r="I417" s="36"/>
      <c r="N417" s="36"/>
    </row>
    <row r="418" spans="1:14" s="37" customFormat="1" x14ac:dyDescent="0.3">
      <c r="A418" s="73">
        <f>A417+1</f>
        <v>2</v>
      </c>
      <c r="B418" s="73"/>
      <c r="C418" s="42" t="s">
        <v>191</v>
      </c>
      <c r="D418" s="51">
        <f>(6.55*5.15+3.35*3.45+1.85*1.55)*10.764</f>
        <v>518.36733000000004</v>
      </c>
      <c r="E418" s="51">
        <v>0</v>
      </c>
      <c r="F418" s="42">
        <f t="shared" si="80"/>
        <v>518.36733000000004</v>
      </c>
      <c r="G418" s="42">
        <v>0</v>
      </c>
      <c r="H418" s="42">
        <f t="shared" si="81"/>
        <v>803.4693615000001</v>
      </c>
      <c r="I418" s="36"/>
      <c r="N418" s="36"/>
    </row>
    <row r="419" spans="1:14" s="37" customFormat="1" x14ac:dyDescent="0.3">
      <c r="A419" s="73">
        <f t="shared" ref="A419:A429" si="82">A418+1</f>
        <v>3</v>
      </c>
      <c r="B419" s="73"/>
      <c r="C419" s="42" t="s">
        <v>191</v>
      </c>
      <c r="D419" s="51">
        <f>(6.55*5.15+3.35*3.45+1.85*1.55)*10.764</f>
        <v>518.36733000000004</v>
      </c>
      <c r="E419" s="51">
        <v>0</v>
      </c>
      <c r="F419" s="42">
        <f t="shared" si="80"/>
        <v>518.36733000000004</v>
      </c>
      <c r="G419" s="42">
        <v>0</v>
      </c>
      <c r="H419" s="42">
        <f t="shared" si="81"/>
        <v>803.4693615000001</v>
      </c>
      <c r="I419" s="36"/>
      <c r="N419" s="36"/>
    </row>
    <row r="420" spans="1:14" s="37" customFormat="1" x14ac:dyDescent="0.3">
      <c r="A420" s="73">
        <f t="shared" si="82"/>
        <v>4</v>
      </c>
      <c r="B420" s="73"/>
      <c r="C420" s="42" t="s">
        <v>191</v>
      </c>
      <c r="D420" s="51">
        <f>(6.55*5.15+3.35*3.45+1.85*1.55)*10.764</f>
        <v>518.36733000000004</v>
      </c>
      <c r="E420" s="51">
        <v>0</v>
      </c>
      <c r="F420" s="42">
        <f t="shared" si="80"/>
        <v>518.36733000000004</v>
      </c>
      <c r="G420" s="42">
        <v>0</v>
      </c>
      <c r="H420" s="42">
        <f t="shared" si="81"/>
        <v>803.4693615000001</v>
      </c>
      <c r="I420" s="36"/>
      <c r="N420" s="36"/>
    </row>
    <row r="421" spans="1:14" s="37" customFormat="1" x14ac:dyDescent="0.3">
      <c r="A421" s="73">
        <f t="shared" si="82"/>
        <v>5</v>
      </c>
      <c r="B421" s="73"/>
      <c r="C421" s="42" t="s">
        <v>191</v>
      </c>
      <c r="D421" s="51">
        <f>(6.55*5.22+3.35*3.45+1.85*1.55)*10.764</f>
        <v>523.30262399999992</v>
      </c>
      <c r="E421" s="51">
        <v>0</v>
      </c>
      <c r="F421" s="42">
        <f t="shared" si="80"/>
        <v>523.30262399999992</v>
      </c>
      <c r="G421" s="42">
        <v>0</v>
      </c>
      <c r="H421" s="42">
        <f t="shared" si="81"/>
        <v>811.1190671999999</v>
      </c>
      <c r="I421" s="36"/>
      <c r="N421" s="36"/>
    </row>
    <row r="422" spans="1:14" s="37" customFormat="1" x14ac:dyDescent="0.3">
      <c r="A422" s="73">
        <f t="shared" si="82"/>
        <v>6</v>
      </c>
      <c r="B422" s="73"/>
      <c r="C422" s="42" t="s">
        <v>191</v>
      </c>
      <c r="D422" s="51">
        <f>(8.39*7.85+3.35*6.15+11.09*9.44+1.85*1.55)*10.764</f>
        <v>2088.4431204000002</v>
      </c>
      <c r="E422" s="51">
        <v>0</v>
      </c>
      <c r="F422" s="42">
        <f t="shared" ref="F422" si="83">D422+E422</f>
        <v>2088.4431204000002</v>
      </c>
      <c r="G422" s="42">
        <v>0</v>
      </c>
      <c r="H422" s="42">
        <f t="shared" ref="H422" si="84">F422*(($H$251)+1)+(IF(G422&lt;101,G422,IF(G422&lt;201,G422/2,IF(G422&lt;=301,G422/3,G422/4))))</f>
        <v>3237.0868366200007</v>
      </c>
      <c r="I422" s="36"/>
      <c r="N422" s="36"/>
    </row>
    <row r="423" spans="1:14" s="37" customFormat="1" x14ac:dyDescent="0.3">
      <c r="A423" s="73">
        <f t="shared" si="82"/>
        <v>7</v>
      </c>
      <c r="B423" s="73"/>
      <c r="C423" s="42" t="s">
        <v>191</v>
      </c>
      <c r="D423" s="51">
        <f>(9.46*6.01+3.35*4.31+1.85*1.55)*10.764</f>
        <v>798.26469840000016</v>
      </c>
      <c r="E423" s="51">
        <v>0</v>
      </c>
      <c r="F423" s="42">
        <f t="shared" ref="F423:F429" si="85">D423+E423</f>
        <v>798.26469840000016</v>
      </c>
      <c r="G423" s="42">
        <v>0</v>
      </c>
      <c r="H423" s="42">
        <f t="shared" ref="H423:H444" si="86">F423*(($H$251)+1)+(IF(G423&lt;101,G423,IF(G423&lt;201,G423/2,IF(G423&lt;=301,G423/3,G423/4))))</f>
        <v>1237.3102825200003</v>
      </c>
      <c r="I423" s="36"/>
      <c r="N423" s="36"/>
    </row>
    <row r="424" spans="1:14" s="37" customFormat="1" x14ac:dyDescent="0.3">
      <c r="A424" s="73">
        <f t="shared" si="82"/>
        <v>8</v>
      </c>
      <c r="B424" s="73"/>
      <c r="C424" s="42" t="s">
        <v>191</v>
      </c>
      <c r="D424" s="51">
        <f>(10.22*5.22+3.35*3.52+1.85*1.55)*10.764</f>
        <v>732.03703560000008</v>
      </c>
      <c r="E424" s="51">
        <v>0</v>
      </c>
      <c r="F424" s="42">
        <f t="shared" si="85"/>
        <v>732.03703560000008</v>
      </c>
      <c r="G424" s="42">
        <v>0</v>
      </c>
      <c r="H424" s="42">
        <f t="shared" si="86"/>
        <v>1134.6574051800001</v>
      </c>
      <c r="I424" s="36"/>
      <c r="N424" s="36"/>
    </row>
    <row r="425" spans="1:14" s="37" customFormat="1" x14ac:dyDescent="0.3">
      <c r="A425" s="73">
        <f t="shared" si="82"/>
        <v>9</v>
      </c>
      <c r="B425" s="73"/>
      <c r="C425" s="42" t="s">
        <v>191</v>
      </c>
      <c r="D425" s="51">
        <f>(10.85*5.15+3.35*3.45+1.85*1.55)*10.764</f>
        <v>756.73611000000005</v>
      </c>
      <c r="E425" s="51">
        <v>0</v>
      </c>
      <c r="F425" s="42">
        <f t="shared" si="85"/>
        <v>756.73611000000005</v>
      </c>
      <c r="G425" s="42">
        <v>0</v>
      </c>
      <c r="H425" s="42">
        <f t="shared" si="86"/>
        <v>1172.9409705</v>
      </c>
      <c r="I425" s="36"/>
      <c r="N425" s="36"/>
    </row>
    <row r="426" spans="1:14" s="37" customFormat="1" x14ac:dyDescent="0.3">
      <c r="A426" s="73">
        <f t="shared" si="82"/>
        <v>10</v>
      </c>
      <c r="B426" s="73"/>
      <c r="C426" s="42" t="s">
        <v>191</v>
      </c>
      <c r="D426" s="51">
        <f>(11.39*5.15+3.35*3.45+1.85*1.55)*10.764</f>
        <v>786.67079400000011</v>
      </c>
      <c r="E426" s="51">
        <v>0</v>
      </c>
      <c r="F426" s="42">
        <f t="shared" si="85"/>
        <v>786.67079400000011</v>
      </c>
      <c r="G426" s="42">
        <v>0</v>
      </c>
      <c r="H426" s="42">
        <f t="shared" si="86"/>
        <v>1219.3397307000002</v>
      </c>
      <c r="I426" s="36"/>
      <c r="N426" s="36"/>
    </row>
    <row r="427" spans="1:14" s="37" customFormat="1" x14ac:dyDescent="0.3">
      <c r="A427" s="73">
        <f t="shared" si="82"/>
        <v>11</v>
      </c>
      <c r="B427" s="73"/>
      <c r="C427" s="42" t="s">
        <v>191</v>
      </c>
      <c r="D427" s="51">
        <f>(11.85*5.15+3.35*3.45+1.85*1.55)*10.764</f>
        <v>812.1707100000001</v>
      </c>
      <c r="E427" s="51">
        <v>0</v>
      </c>
      <c r="F427" s="42">
        <f t="shared" si="85"/>
        <v>812.1707100000001</v>
      </c>
      <c r="G427" s="42">
        <v>0</v>
      </c>
      <c r="H427" s="42">
        <f t="shared" si="86"/>
        <v>1258.8646005000003</v>
      </c>
      <c r="I427" s="36"/>
      <c r="N427" s="36"/>
    </row>
    <row r="428" spans="1:14" s="37" customFormat="1" x14ac:dyDescent="0.3">
      <c r="A428" s="73">
        <f t="shared" si="82"/>
        <v>12</v>
      </c>
      <c r="B428" s="73"/>
      <c r="C428" s="42" t="s">
        <v>191</v>
      </c>
      <c r="D428" s="51">
        <f>(12.23*5.15+3.35*3.45+1.85*1.55)*10.764</f>
        <v>833.23585800000001</v>
      </c>
      <c r="E428" s="51">
        <v>0</v>
      </c>
      <c r="F428" s="42">
        <f t="shared" si="85"/>
        <v>833.23585800000001</v>
      </c>
      <c r="G428" s="42">
        <v>0</v>
      </c>
      <c r="H428" s="42">
        <f t="shared" si="86"/>
        <v>1291.5155799000001</v>
      </c>
      <c r="I428" s="36"/>
      <c r="N428" s="36"/>
    </row>
    <row r="429" spans="1:14" s="37" customFormat="1" x14ac:dyDescent="0.3">
      <c r="A429" s="73">
        <f t="shared" si="82"/>
        <v>13</v>
      </c>
      <c r="B429" s="73"/>
      <c r="C429" s="42" t="s">
        <v>191</v>
      </c>
      <c r="D429" s="51">
        <f>(12.54*5.15+3.35*3.45+1.85*1.55)*10.764</f>
        <v>850.42058400000008</v>
      </c>
      <c r="E429" s="51">
        <v>0</v>
      </c>
      <c r="F429" s="42">
        <f t="shared" si="85"/>
        <v>850.42058400000008</v>
      </c>
      <c r="G429" s="42">
        <v>0</v>
      </c>
      <c r="H429" s="42">
        <f t="shared" si="86"/>
        <v>1318.1519052000001</v>
      </c>
      <c r="I429" s="36"/>
      <c r="N429" s="36"/>
    </row>
    <row r="430" spans="1:14" s="37" customFormat="1" x14ac:dyDescent="0.3">
      <c r="A430" s="73">
        <v>14</v>
      </c>
      <c r="B430" s="73"/>
      <c r="C430" s="42" t="s">
        <v>191</v>
      </c>
      <c r="D430" s="51">
        <f>(12.77*5.15+3.35*3.45+1.85*1.55)*10.764</f>
        <v>863.17054200000007</v>
      </c>
      <c r="E430" s="51">
        <v>0</v>
      </c>
      <c r="F430" s="42">
        <f>D430+E430</f>
        <v>863.17054200000007</v>
      </c>
      <c r="G430" s="42">
        <v>0</v>
      </c>
      <c r="H430" s="42">
        <f t="shared" si="86"/>
        <v>1337.9143401000001</v>
      </c>
      <c r="I430" s="36"/>
      <c r="N430" s="36"/>
    </row>
    <row r="431" spans="1:14" s="37" customFormat="1" x14ac:dyDescent="0.3">
      <c r="A431" s="73">
        <f>A430+1</f>
        <v>15</v>
      </c>
      <c r="B431" s="73"/>
      <c r="C431" s="42" t="s">
        <v>191</v>
      </c>
      <c r="D431" s="51">
        <f>(12.93*6.75+3.35*5.05+1.35*1.55)*10.764</f>
        <v>1144.0786499999999</v>
      </c>
      <c r="E431" s="51">
        <v>0</v>
      </c>
      <c r="F431" s="42">
        <f>D431+E431</f>
        <v>1144.0786499999999</v>
      </c>
      <c r="G431" s="42">
        <v>0</v>
      </c>
      <c r="H431" s="42">
        <f t="shared" si="86"/>
        <v>1773.3219075</v>
      </c>
      <c r="I431" s="36"/>
      <c r="N431" s="36"/>
    </row>
    <row r="432" spans="1:14" s="37" customFormat="1" x14ac:dyDescent="0.3">
      <c r="A432" s="73">
        <f>A431+1</f>
        <v>16</v>
      </c>
      <c r="B432" s="73"/>
      <c r="C432" s="42" t="s">
        <v>191</v>
      </c>
      <c r="D432" s="51">
        <f>(4.93*3.35+8.88*4.92+12.23*5.87+6.94*3.89+12.54*10.87+1.2*2.55+1.55*2.4+1.85*1.55+1.85*1.55)*10.764</f>
        <v>3313.3378824000001</v>
      </c>
      <c r="E432" s="51">
        <v>0</v>
      </c>
      <c r="F432" s="42">
        <f>D432+E432</f>
        <v>3313.3378824000001</v>
      </c>
      <c r="G432" s="42">
        <v>0</v>
      </c>
      <c r="H432" s="42">
        <f t="shared" si="86"/>
        <v>5135.6737177200002</v>
      </c>
      <c r="I432" s="36"/>
      <c r="N432" s="36"/>
    </row>
    <row r="433" spans="1:14" s="37" customFormat="1" x14ac:dyDescent="0.3">
      <c r="A433" s="73">
        <f>A432+1</f>
        <v>17</v>
      </c>
      <c r="B433" s="73"/>
      <c r="C433" s="42" t="s">
        <v>191</v>
      </c>
      <c r="D433" s="51">
        <f t="shared" ref="D433:D440" si="87">(5.15*10.79+3.45*3.35+1.55*1.85)*10.764</f>
        <v>753.41003400000011</v>
      </c>
      <c r="E433" s="51">
        <v>0</v>
      </c>
      <c r="F433" s="42">
        <f>D433+E433</f>
        <v>753.41003400000011</v>
      </c>
      <c r="G433" s="42">
        <v>0</v>
      </c>
      <c r="H433" s="42">
        <f t="shared" si="86"/>
        <v>1167.7855527000002</v>
      </c>
      <c r="I433" s="36"/>
      <c r="N433" s="36"/>
    </row>
    <row r="434" spans="1:14" s="37" customFormat="1" x14ac:dyDescent="0.3">
      <c r="A434" s="73">
        <f>A433+1</f>
        <v>18</v>
      </c>
      <c r="B434" s="73"/>
      <c r="C434" s="42" t="s">
        <v>191</v>
      </c>
      <c r="D434" s="51">
        <f t="shared" si="87"/>
        <v>753.41003400000011</v>
      </c>
      <c r="E434" s="51">
        <v>0</v>
      </c>
      <c r="F434" s="42">
        <f>D434+E434</f>
        <v>753.41003400000011</v>
      </c>
      <c r="G434" s="42">
        <v>0</v>
      </c>
      <c r="H434" s="42">
        <f t="shared" si="86"/>
        <v>1167.7855527000002</v>
      </c>
      <c r="I434" s="36"/>
      <c r="N434" s="36"/>
    </row>
    <row r="435" spans="1:14" s="37" customFormat="1" x14ac:dyDescent="0.3">
      <c r="A435" s="73">
        <f t="shared" ref="A435:A440" si="88">A434+1</f>
        <v>19</v>
      </c>
      <c r="B435" s="73"/>
      <c r="C435" s="42" t="s">
        <v>191</v>
      </c>
      <c r="D435" s="51">
        <f t="shared" si="87"/>
        <v>753.41003400000011</v>
      </c>
      <c r="E435" s="51">
        <v>0</v>
      </c>
      <c r="F435" s="42">
        <f t="shared" ref="F435:F444" si="89">D435+E435</f>
        <v>753.41003400000011</v>
      </c>
      <c r="G435" s="42">
        <v>0</v>
      </c>
      <c r="H435" s="42">
        <f t="shared" si="86"/>
        <v>1167.7855527000002</v>
      </c>
      <c r="I435" s="36"/>
      <c r="N435" s="36"/>
    </row>
    <row r="436" spans="1:14" s="37" customFormat="1" x14ac:dyDescent="0.3">
      <c r="A436" s="73">
        <f t="shared" si="88"/>
        <v>20</v>
      </c>
      <c r="B436" s="73"/>
      <c r="C436" s="42" t="s">
        <v>191</v>
      </c>
      <c r="D436" s="51">
        <f t="shared" si="87"/>
        <v>753.41003400000011</v>
      </c>
      <c r="E436" s="51">
        <v>0</v>
      </c>
      <c r="F436" s="42">
        <f t="shared" si="89"/>
        <v>753.41003400000011</v>
      </c>
      <c r="G436" s="42">
        <v>0</v>
      </c>
      <c r="H436" s="42">
        <f t="shared" si="86"/>
        <v>1167.7855527000002</v>
      </c>
      <c r="I436" s="36"/>
      <c r="N436" s="36"/>
    </row>
    <row r="437" spans="1:14" s="37" customFormat="1" x14ac:dyDescent="0.3">
      <c r="A437" s="73">
        <f t="shared" si="88"/>
        <v>21</v>
      </c>
      <c r="B437" s="73"/>
      <c r="C437" s="42" t="s">
        <v>191</v>
      </c>
      <c r="D437" s="51">
        <f t="shared" si="87"/>
        <v>753.41003400000011</v>
      </c>
      <c r="E437" s="51">
        <v>0</v>
      </c>
      <c r="F437" s="42">
        <f t="shared" si="89"/>
        <v>753.41003400000011</v>
      </c>
      <c r="G437" s="42">
        <v>0</v>
      </c>
      <c r="H437" s="42">
        <f t="shared" si="86"/>
        <v>1167.7855527000002</v>
      </c>
      <c r="I437" s="36"/>
      <c r="N437" s="36"/>
    </row>
    <row r="438" spans="1:14" s="37" customFormat="1" x14ac:dyDescent="0.3">
      <c r="A438" s="73">
        <f t="shared" si="88"/>
        <v>22</v>
      </c>
      <c r="B438" s="73"/>
      <c r="C438" s="42" t="s">
        <v>191</v>
      </c>
      <c r="D438" s="51">
        <f t="shared" si="87"/>
        <v>753.41003400000011</v>
      </c>
      <c r="E438" s="51">
        <v>0</v>
      </c>
      <c r="F438" s="42">
        <f t="shared" si="89"/>
        <v>753.41003400000011</v>
      </c>
      <c r="G438" s="42">
        <v>0</v>
      </c>
      <c r="H438" s="42">
        <f t="shared" si="86"/>
        <v>1167.7855527000002</v>
      </c>
      <c r="I438" s="36"/>
      <c r="N438" s="36"/>
    </row>
    <row r="439" spans="1:14" s="37" customFormat="1" x14ac:dyDescent="0.3">
      <c r="A439" s="73">
        <f t="shared" si="88"/>
        <v>23</v>
      </c>
      <c r="B439" s="73"/>
      <c r="C439" s="42" t="s">
        <v>191</v>
      </c>
      <c r="D439" s="51">
        <f t="shared" si="87"/>
        <v>753.41003400000011</v>
      </c>
      <c r="E439" s="51">
        <v>0</v>
      </c>
      <c r="F439" s="42">
        <f t="shared" si="89"/>
        <v>753.41003400000011</v>
      </c>
      <c r="G439" s="42">
        <v>0</v>
      </c>
      <c r="H439" s="42">
        <f t="shared" si="86"/>
        <v>1167.7855527000002</v>
      </c>
      <c r="I439" s="36"/>
      <c r="N439" s="36"/>
    </row>
    <row r="440" spans="1:14" s="37" customFormat="1" x14ac:dyDescent="0.3">
      <c r="A440" s="73">
        <f t="shared" si="88"/>
        <v>24</v>
      </c>
      <c r="B440" s="73"/>
      <c r="C440" s="42" t="s">
        <v>191</v>
      </c>
      <c r="D440" s="51">
        <f t="shared" si="87"/>
        <v>753.41003400000011</v>
      </c>
      <c r="E440" s="51">
        <v>0</v>
      </c>
      <c r="F440" s="42">
        <f t="shared" si="89"/>
        <v>753.41003400000011</v>
      </c>
      <c r="G440" s="42">
        <v>0</v>
      </c>
      <c r="H440" s="42">
        <f t="shared" si="86"/>
        <v>1167.7855527000002</v>
      </c>
      <c r="I440" s="36"/>
      <c r="N440" s="36"/>
    </row>
    <row r="441" spans="1:14" s="37" customFormat="1" x14ac:dyDescent="0.3">
      <c r="A441" s="73">
        <f t="shared" ref="A441" si="90">A440+1</f>
        <v>25</v>
      </c>
      <c r="B441" s="73"/>
      <c r="C441" s="42" t="s">
        <v>191</v>
      </c>
      <c r="D441" s="51">
        <f>(5.4*10.79+3.55*3.35+1.55*1.85)*10.764</f>
        <v>786.05186400000002</v>
      </c>
      <c r="E441" s="51">
        <v>0</v>
      </c>
      <c r="F441" s="42">
        <f t="shared" ref="F441" si="91">D441+E441</f>
        <v>786.05186400000002</v>
      </c>
      <c r="G441" s="42">
        <v>0</v>
      </c>
      <c r="H441" s="42">
        <f t="shared" ref="H441" si="92">F441*(($H$251)+1)+(IF(G441&lt;101,G441,IF(G441&lt;201,G441/2,IF(G441&lt;=301,G441/3,G441/4))))</f>
        <v>1218.3803892000001</v>
      </c>
      <c r="I441" s="36"/>
      <c r="N441" s="36"/>
    </row>
    <row r="442" spans="1:14" s="37" customFormat="1" x14ac:dyDescent="0.3">
      <c r="A442" s="73">
        <v>26</v>
      </c>
      <c r="B442" s="73"/>
      <c r="C442" s="42" t="s">
        <v>191</v>
      </c>
      <c r="D442" s="51">
        <f>(5.15*8.4+3.45*3.35+1.55*1.85)*10.764</f>
        <v>620.9213400000001</v>
      </c>
      <c r="E442" s="51">
        <v>0</v>
      </c>
      <c r="F442" s="42">
        <f t="shared" si="89"/>
        <v>620.9213400000001</v>
      </c>
      <c r="G442" s="42">
        <v>0</v>
      </c>
      <c r="H442" s="42">
        <f t="shared" si="86"/>
        <v>962.42807700000014</v>
      </c>
      <c r="I442" s="36"/>
      <c r="N442" s="36"/>
    </row>
    <row r="443" spans="1:14" s="37" customFormat="1" x14ac:dyDescent="0.3">
      <c r="A443" s="73">
        <f t="shared" ref="A443:A444" si="93">A442+1</f>
        <v>27</v>
      </c>
      <c r="B443" s="73"/>
      <c r="C443" s="42" t="s">
        <v>191</v>
      </c>
      <c r="D443" s="51">
        <f>(5.15*8.4+3.45*3.35+1.55*1.85)*10.764</f>
        <v>620.9213400000001</v>
      </c>
      <c r="E443" s="51">
        <v>0</v>
      </c>
      <c r="F443" s="42">
        <f t="shared" si="89"/>
        <v>620.9213400000001</v>
      </c>
      <c r="G443" s="42">
        <v>0</v>
      </c>
      <c r="H443" s="42">
        <f t="shared" si="86"/>
        <v>962.42807700000014</v>
      </c>
      <c r="I443" s="36"/>
      <c r="N443" s="36"/>
    </row>
    <row r="444" spans="1:14" s="37" customFormat="1" x14ac:dyDescent="0.3">
      <c r="A444" s="73">
        <f t="shared" si="93"/>
        <v>28</v>
      </c>
      <c r="B444" s="73"/>
      <c r="C444" s="42" t="s">
        <v>191</v>
      </c>
      <c r="D444" s="51">
        <f>(5.15*8.4+3.45*3.35+1.55*1.85)*10.764</f>
        <v>620.9213400000001</v>
      </c>
      <c r="E444" s="51">
        <v>0</v>
      </c>
      <c r="F444" s="42">
        <f t="shared" si="89"/>
        <v>620.9213400000001</v>
      </c>
      <c r="G444" s="42">
        <v>0</v>
      </c>
      <c r="H444" s="42">
        <f t="shared" si="86"/>
        <v>962.42807700000014</v>
      </c>
      <c r="I444" s="36"/>
      <c r="N444" s="36"/>
    </row>
    <row r="445" spans="1:14" s="37" customFormat="1" x14ac:dyDescent="0.3">
      <c r="A445" s="73" t="s">
        <v>246</v>
      </c>
      <c r="B445" s="73"/>
      <c r="C445" s="74" t="s">
        <v>280</v>
      </c>
      <c r="D445" s="75"/>
      <c r="E445" s="75"/>
      <c r="F445" s="75"/>
      <c r="G445" s="75"/>
      <c r="H445" s="76"/>
      <c r="I445" s="36"/>
      <c r="N445" s="36"/>
    </row>
    <row r="446" spans="1:14" s="37" customFormat="1" x14ac:dyDescent="0.3">
      <c r="A446" s="79" t="s">
        <v>263</v>
      </c>
      <c r="B446" s="80"/>
      <c r="C446" s="80"/>
      <c r="D446" s="80"/>
      <c r="E446" s="80"/>
      <c r="F446" s="80"/>
      <c r="G446" s="80"/>
      <c r="H446" s="81"/>
      <c r="I446" s="36">
        <v>4</v>
      </c>
      <c r="L446" s="72"/>
      <c r="M446" s="72"/>
    </row>
    <row r="447" spans="1:14" s="37" customFormat="1" x14ac:dyDescent="0.3">
      <c r="A447" s="73">
        <v>1</v>
      </c>
      <c r="B447" s="73"/>
      <c r="C447" s="42" t="s">
        <v>191</v>
      </c>
      <c r="D447" s="51">
        <f>(6.55*5.15+3.35*3.45+1.85*1.55)*10.764</f>
        <v>518.36733000000004</v>
      </c>
      <c r="E447" s="51">
        <v>0</v>
      </c>
      <c r="F447" s="42">
        <f t="shared" ref="F447:F459" si="94">D447+E447</f>
        <v>518.36733000000004</v>
      </c>
      <c r="G447" s="42">
        <v>0</v>
      </c>
      <c r="H447" s="42">
        <f t="shared" ref="H447:H474" si="95">F447*(($H$251)+1)+(IF(G447&lt;101,G447,IF(G447&lt;201,G447/2,IF(G447&lt;=301,G447/3,G447/4))))</f>
        <v>803.4693615000001</v>
      </c>
      <c r="I447" s="36"/>
      <c r="N447" s="36"/>
    </row>
    <row r="448" spans="1:14" s="37" customFormat="1" x14ac:dyDescent="0.3">
      <c r="A448" s="73">
        <f>A447+1</f>
        <v>2</v>
      </c>
      <c r="B448" s="73"/>
      <c r="C448" s="42" t="s">
        <v>191</v>
      </c>
      <c r="D448" s="51">
        <f>(6.55*5.15+3.35*3.45+1.85*1.55)*10.764</f>
        <v>518.36733000000004</v>
      </c>
      <c r="E448" s="51">
        <v>0</v>
      </c>
      <c r="F448" s="42">
        <f t="shared" si="94"/>
        <v>518.36733000000004</v>
      </c>
      <c r="G448" s="42">
        <v>0</v>
      </c>
      <c r="H448" s="42">
        <f t="shared" si="95"/>
        <v>803.4693615000001</v>
      </c>
      <c r="I448" s="36"/>
      <c r="N448" s="36"/>
    </row>
    <row r="449" spans="1:14" s="37" customFormat="1" x14ac:dyDescent="0.3">
      <c r="A449" s="73">
        <f t="shared" ref="A449:A459" si="96">A448+1</f>
        <v>3</v>
      </c>
      <c r="B449" s="73"/>
      <c r="C449" s="42" t="s">
        <v>191</v>
      </c>
      <c r="D449" s="51">
        <f>(6.55*5.15+3.35*3.45+1.85*1.55)*10.764</f>
        <v>518.36733000000004</v>
      </c>
      <c r="E449" s="51">
        <v>0</v>
      </c>
      <c r="F449" s="42">
        <f t="shared" si="94"/>
        <v>518.36733000000004</v>
      </c>
      <c r="G449" s="42">
        <v>0</v>
      </c>
      <c r="H449" s="42">
        <f t="shared" si="95"/>
        <v>803.4693615000001</v>
      </c>
      <c r="I449" s="36"/>
      <c r="N449" s="36"/>
    </row>
    <row r="450" spans="1:14" s="37" customFormat="1" x14ac:dyDescent="0.3">
      <c r="A450" s="73">
        <f t="shared" si="96"/>
        <v>4</v>
      </c>
      <c r="B450" s="73"/>
      <c r="C450" s="42" t="s">
        <v>191</v>
      </c>
      <c r="D450" s="51">
        <f>(6.55*5.15+3.35*3.45+1.85*1.55)*10.764</f>
        <v>518.36733000000004</v>
      </c>
      <c r="E450" s="51">
        <v>0</v>
      </c>
      <c r="F450" s="42">
        <f t="shared" si="94"/>
        <v>518.36733000000004</v>
      </c>
      <c r="G450" s="42">
        <v>0</v>
      </c>
      <c r="H450" s="42">
        <f t="shared" si="95"/>
        <v>803.4693615000001</v>
      </c>
      <c r="I450" s="36"/>
      <c r="N450" s="36"/>
    </row>
    <row r="451" spans="1:14" s="37" customFormat="1" x14ac:dyDescent="0.3">
      <c r="A451" s="73">
        <f t="shared" si="96"/>
        <v>5</v>
      </c>
      <c r="B451" s="73"/>
      <c r="C451" s="42" t="s">
        <v>191</v>
      </c>
      <c r="D451" s="51">
        <f>(6.55*5.22+3.35*3.45+1.85*1.55)*10.764</f>
        <v>523.30262399999992</v>
      </c>
      <c r="E451" s="51">
        <v>0</v>
      </c>
      <c r="F451" s="42">
        <f t="shared" si="94"/>
        <v>523.30262399999992</v>
      </c>
      <c r="G451" s="42">
        <v>0</v>
      </c>
      <c r="H451" s="42">
        <f t="shared" si="95"/>
        <v>811.1190671999999</v>
      </c>
      <c r="I451" s="36"/>
      <c r="N451" s="36"/>
    </row>
    <row r="452" spans="1:14" s="37" customFormat="1" x14ac:dyDescent="0.3">
      <c r="A452" s="73">
        <f t="shared" si="96"/>
        <v>6</v>
      </c>
      <c r="B452" s="73"/>
      <c r="C452" s="42" t="s">
        <v>191</v>
      </c>
      <c r="D452" s="51">
        <f>(8.39*7.85+3.35*6.15+11.09*9.44+1.85*1.55)*10.764</f>
        <v>2088.4431204000002</v>
      </c>
      <c r="E452" s="51">
        <v>0</v>
      </c>
      <c r="F452" s="42">
        <f t="shared" si="94"/>
        <v>2088.4431204000002</v>
      </c>
      <c r="G452" s="42">
        <v>0</v>
      </c>
      <c r="H452" s="42">
        <f t="shared" si="95"/>
        <v>3237.0868366200007</v>
      </c>
      <c r="I452" s="36"/>
      <c r="N452" s="36"/>
    </row>
    <row r="453" spans="1:14" s="37" customFormat="1" x14ac:dyDescent="0.3">
      <c r="A453" s="73">
        <f t="shared" si="96"/>
        <v>7</v>
      </c>
      <c r="B453" s="73"/>
      <c r="C453" s="42" t="s">
        <v>191</v>
      </c>
      <c r="D453" s="51">
        <f>(9.46*6.01+3.35*4.31+1.85*1.55)*10.764</f>
        <v>798.26469840000016</v>
      </c>
      <c r="E453" s="51">
        <v>0</v>
      </c>
      <c r="F453" s="42">
        <f t="shared" si="94"/>
        <v>798.26469840000016</v>
      </c>
      <c r="G453" s="42">
        <v>0</v>
      </c>
      <c r="H453" s="42">
        <f t="shared" si="95"/>
        <v>1237.3102825200003</v>
      </c>
      <c r="I453" s="36"/>
      <c r="N453" s="36"/>
    </row>
    <row r="454" spans="1:14" s="37" customFormat="1" x14ac:dyDescent="0.3">
      <c r="A454" s="73">
        <f t="shared" si="96"/>
        <v>8</v>
      </c>
      <c r="B454" s="73"/>
      <c r="C454" s="42" t="s">
        <v>191</v>
      </c>
      <c r="D454" s="51">
        <f>(10.22*5.22+3.35*3.52+1.85*1.55)*10.764</f>
        <v>732.03703560000008</v>
      </c>
      <c r="E454" s="51">
        <v>0</v>
      </c>
      <c r="F454" s="42">
        <f t="shared" si="94"/>
        <v>732.03703560000008</v>
      </c>
      <c r="G454" s="42">
        <v>0</v>
      </c>
      <c r="H454" s="42">
        <f t="shared" si="95"/>
        <v>1134.6574051800001</v>
      </c>
      <c r="I454" s="36"/>
      <c r="N454" s="36"/>
    </row>
    <row r="455" spans="1:14" s="37" customFormat="1" x14ac:dyDescent="0.3">
      <c r="A455" s="73">
        <f t="shared" si="96"/>
        <v>9</v>
      </c>
      <c r="B455" s="73"/>
      <c r="C455" s="42" t="s">
        <v>191</v>
      </c>
      <c r="D455" s="51">
        <f>(10.85*5.15+3.35*3.45+1.85*1.55)*10.764</f>
        <v>756.73611000000005</v>
      </c>
      <c r="E455" s="51">
        <v>0</v>
      </c>
      <c r="F455" s="42">
        <f t="shared" si="94"/>
        <v>756.73611000000005</v>
      </c>
      <c r="G455" s="42">
        <v>0</v>
      </c>
      <c r="H455" s="42">
        <f t="shared" si="95"/>
        <v>1172.9409705</v>
      </c>
      <c r="I455" s="36"/>
      <c r="N455" s="36"/>
    </row>
    <row r="456" spans="1:14" s="37" customFormat="1" x14ac:dyDescent="0.3">
      <c r="A456" s="73">
        <f t="shared" si="96"/>
        <v>10</v>
      </c>
      <c r="B456" s="73"/>
      <c r="C456" s="42" t="s">
        <v>191</v>
      </c>
      <c r="D456" s="51">
        <f>(11.39*5.15+3.35*3.45+1.85*1.55)*10.764</f>
        <v>786.67079400000011</v>
      </c>
      <c r="E456" s="51">
        <v>0</v>
      </c>
      <c r="F456" s="42">
        <f t="shared" si="94"/>
        <v>786.67079400000011</v>
      </c>
      <c r="G456" s="42">
        <v>0</v>
      </c>
      <c r="H456" s="42">
        <f t="shared" si="95"/>
        <v>1219.3397307000002</v>
      </c>
      <c r="I456" s="36"/>
      <c r="N456" s="36"/>
    </row>
    <row r="457" spans="1:14" s="37" customFormat="1" x14ac:dyDescent="0.3">
      <c r="A457" s="73">
        <f t="shared" si="96"/>
        <v>11</v>
      </c>
      <c r="B457" s="73"/>
      <c r="C457" s="42" t="s">
        <v>191</v>
      </c>
      <c r="D457" s="51">
        <f>(11.85*5.15+3.35*3.45+1.85*1.55)*10.764</f>
        <v>812.1707100000001</v>
      </c>
      <c r="E457" s="51">
        <v>0</v>
      </c>
      <c r="F457" s="42">
        <f t="shared" si="94"/>
        <v>812.1707100000001</v>
      </c>
      <c r="G457" s="42">
        <v>0</v>
      </c>
      <c r="H457" s="42">
        <f t="shared" si="95"/>
        <v>1258.8646005000003</v>
      </c>
      <c r="I457" s="36"/>
      <c r="N457" s="36"/>
    </row>
    <row r="458" spans="1:14" s="37" customFormat="1" x14ac:dyDescent="0.3">
      <c r="A458" s="73">
        <f t="shared" si="96"/>
        <v>12</v>
      </c>
      <c r="B458" s="73"/>
      <c r="C458" s="42" t="s">
        <v>191</v>
      </c>
      <c r="D458" s="51">
        <f>(12.23*5.15+3.35*3.45+1.85*1.55)*10.764</f>
        <v>833.23585800000001</v>
      </c>
      <c r="E458" s="51">
        <v>0</v>
      </c>
      <c r="F458" s="42">
        <f t="shared" si="94"/>
        <v>833.23585800000001</v>
      </c>
      <c r="G458" s="42">
        <v>0</v>
      </c>
      <c r="H458" s="42">
        <f t="shared" si="95"/>
        <v>1291.5155799000001</v>
      </c>
      <c r="I458" s="36"/>
      <c r="N458" s="36"/>
    </row>
    <row r="459" spans="1:14" s="37" customFormat="1" x14ac:dyDescent="0.3">
      <c r="A459" s="73">
        <f t="shared" si="96"/>
        <v>13</v>
      </c>
      <c r="B459" s="73"/>
      <c r="C459" s="42" t="s">
        <v>191</v>
      </c>
      <c r="D459" s="51">
        <f>(12.54*5.15+3.35*3.45+1.85*1.55)*10.764</f>
        <v>850.42058400000008</v>
      </c>
      <c r="E459" s="51">
        <v>0</v>
      </c>
      <c r="F459" s="42">
        <f t="shared" si="94"/>
        <v>850.42058400000008</v>
      </c>
      <c r="G459" s="42">
        <v>0</v>
      </c>
      <c r="H459" s="42">
        <f t="shared" si="95"/>
        <v>1318.1519052000001</v>
      </c>
      <c r="I459" s="36"/>
      <c r="N459" s="36"/>
    </row>
    <row r="460" spans="1:14" s="37" customFormat="1" x14ac:dyDescent="0.3">
      <c r="A460" s="73">
        <v>14</v>
      </c>
      <c r="B460" s="73"/>
      <c r="C460" s="42" t="s">
        <v>191</v>
      </c>
      <c r="D460" s="51">
        <f>(12.77*5.15+3.35*3.45+1.85*1.55)*10.764</f>
        <v>863.17054200000007</v>
      </c>
      <c r="E460" s="51">
        <v>0</v>
      </c>
      <c r="F460" s="42">
        <f>D460+E460</f>
        <v>863.17054200000007</v>
      </c>
      <c r="G460" s="42">
        <v>0</v>
      </c>
      <c r="H460" s="42">
        <f t="shared" si="95"/>
        <v>1337.9143401000001</v>
      </c>
      <c r="I460" s="36"/>
      <c r="N460" s="36"/>
    </row>
    <row r="461" spans="1:14" s="37" customFormat="1" x14ac:dyDescent="0.3">
      <c r="A461" s="73">
        <f>A460+1</f>
        <v>15</v>
      </c>
      <c r="B461" s="73"/>
      <c r="C461" s="42" t="s">
        <v>191</v>
      </c>
      <c r="D461" s="51">
        <f>(12.93*6.75+3.35*5.05+1.35*1.55)*10.764</f>
        <v>1144.0786499999999</v>
      </c>
      <c r="E461" s="51">
        <v>0</v>
      </c>
      <c r="F461" s="42">
        <f>D461+E461</f>
        <v>1144.0786499999999</v>
      </c>
      <c r="G461" s="42">
        <v>0</v>
      </c>
      <c r="H461" s="42">
        <f t="shared" si="95"/>
        <v>1773.3219075</v>
      </c>
      <c r="I461" s="36"/>
      <c r="N461" s="36"/>
    </row>
    <row r="462" spans="1:14" s="37" customFormat="1" x14ac:dyDescent="0.3">
      <c r="A462" s="73">
        <f>A461+1</f>
        <v>16</v>
      </c>
      <c r="B462" s="73"/>
      <c r="C462" s="42" t="s">
        <v>191</v>
      </c>
      <c r="D462" s="51">
        <f>(4.93*3.35+8.88*4.92+12.23*5.87+6.94*3.89+12.54*10.87+1.2*2.55+1.55*2.4+1.85*1.55+1.85*1.55)*10.764</f>
        <v>3313.3378824000001</v>
      </c>
      <c r="E462" s="51">
        <f>(1.78*6.94+1.95*5.8)*10.764</f>
        <v>254.7106848</v>
      </c>
      <c r="F462" s="42">
        <f>D462+E462</f>
        <v>3568.0485672</v>
      </c>
      <c r="G462" s="42">
        <v>0</v>
      </c>
      <c r="H462" s="42">
        <f t="shared" si="95"/>
        <v>5530.4752791600004</v>
      </c>
      <c r="I462" s="36"/>
      <c r="N462" s="36"/>
    </row>
    <row r="463" spans="1:14" s="37" customFormat="1" x14ac:dyDescent="0.3">
      <c r="A463" s="73">
        <f>A462+1</f>
        <v>17</v>
      </c>
      <c r="B463" s="73"/>
      <c r="C463" s="42" t="s">
        <v>191</v>
      </c>
      <c r="D463" s="51">
        <f t="shared" ref="D463:D470" si="97">(5.15*10.79+3.45*3.35+1.55*1.85)*10.764</f>
        <v>753.41003400000011</v>
      </c>
      <c r="E463" s="51">
        <v>0</v>
      </c>
      <c r="F463" s="42">
        <f>D463+E463</f>
        <v>753.41003400000011</v>
      </c>
      <c r="G463" s="42">
        <v>0</v>
      </c>
      <c r="H463" s="42">
        <f t="shared" si="95"/>
        <v>1167.7855527000002</v>
      </c>
      <c r="I463" s="36"/>
      <c r="N463" s="36"/>
    </row>
    <row r="464" spans="1:14" s="37" customFormat="1" x14ac:dyDescent="0.3">
      <c r="A464" s="73">
        <f>A463+1</f>
        <v>18</v>
      </c>
      <c r="B464" s="73"/>
      <c r="C464" s="42" t="s">
        <v>191</v>
      </c>
      <c r="D464" s="51">
        <f t="shared" si="97"/>
        <v>753.41003400000011</v>
      </c>
      <c r="E464" s="51">
        <v>0</v>
      </c>
      <c r="F464" s="42">
        <f>D464+E464</f>
        <v>753.41003400000011</v>
      </c>
      <c r="G464" s="42">
        <v>0</v>
      </c>
      <c r="H464" s="42">
        <f t="shared" si="95"/>
        <v>1167.7855527000002</v>
      </c>
      <c r="I464" s="36"/>
      <c r="N464" s="36"/>
    </row>
    <row r="465" spans="1:14" s="37" customFormat="1" x14ac:dyDescent="0.3">
      <c r="A465" s="73">
        <f t="shared" ref="A465:A471" si="98">A464+1</f>
        <v>19</v>
      </c>
      <c r="B465" s="73"/>
      <c r="C465" s="42" t="s">
        <v>191</v>
      </c>
      <c r="D465" s="51">
        <f t="shared" si="97"/>
        <v>753.41003400000011</v>
      </c>
      <c r="E465" s="51">
        <v>0</v>
      </c>
      <c r="F465" s="42">
        <f t="shared" ref="F465:F474" si="99">D465+E465</f>
        <v>753.41003400000011</v>
      </c>
      <c r="G465" s="42">
        <v>0</v>
      </c>
      <c r="H465" s="42">
        <f t="shared" si="95"/>
        <v>1167.7855527000002</v>
      </c>
      <c r="I465" s="36"/>
      <c r="N465" s="36"/>
    </row>
    <row r="466" spans="1:14" s="37" customFormat="1" x14ac:dyDescent="0.3">
      <c r="A466" s="73">
        <f t="shared" si="98"/>
        <v>20</v>
      </c>
      <c r="B466" s="73"/>
      <c r="C466" s="42" t="s">
        <v>191</v>
      </c>
      <c r="D466" s="51">
        <f t="shared" si="97"/>
        <v>753.41003400000011</v>
      </c>
      <c r="E466" s="51">
        <v>0</v>
      </c>
      <c r="F466" s="42">
        <f t="shared" si="99"/>
        <v>753.41003400000011</v>
      </c>
      <c r="G466" s="42">
        <v>0</v>
      </c>
      <c r="H466" s="42">
        <f t="shared" si="95"/>
        <v>1167.7855527000002</v>
      </c>
      <c r="I466" s="36"/>
      <c r="N466" s="36"/>
    </row>
    <row r="467" spans="1:14" s="37" customFormat="1" x14ac:dyDescent="0.3">
      <c r="A467" s="73">
        <f t="shared" si="98"/>
        <v>21</v>
      </c>
      <c r="B467" s="73"/>
      <c r="C467" s="42" t="s">
        <v>191</v>
      </c>
      <c r="D467" s="51">
        <f t="shared" si="97"/>
        <v>753.41003400000011</v>
      </c>
      <c r="E467" s="51">
        <v>0</v>
      </c>
      <c r="F467" s="42">
        <f t="shared" si="99"/>
        <v>753.41003400000011</v>
      </c>
      <c r="G467" s="42">
        <v>0</v>
      </c>
      <c r="H467" s="42">
        <f t="shared" si="95"/>
        <v>1167.7855527000002</v>
      </c>
      <c r="I467" s="36"/>
      <c r="N467" s="36"/>
    </row>
    <row r="468" spans="1:14" s="37" customFormat="1" x14ac:dyDescent="0.3">
      <c r="A468" s="73">
        <f t="shared" si="98"/>
        <v>22</v>
      </c>
      <c r="B468" s="73"/>
      <c r="C468" s="42" t="s">
        <v>191</v>
      </c>
      <c r="D468" s="51">
        <f t="shared" si="97"/>
        <v>753.41003400000011</v>
      </c>
      <c r="E468" s="51">
        <v>0</v>
      </c>
      <c r="F468" s="42">
        <f t="shared" si="99"/>
        <v>753.41003400000011</v>
      </c>
      <c r="G468" s="42">
        <v>0</v>
      </c>
      <c r="H468" s="42">
        <f t="shared" si="95"/>
        <v>1167.7855527000002</v>
      </c>
      <c r="I468" s="36"/>
      <c r="N468" s="36"/>
    </row>
    <row r="469" spans="1:14" s="37" customFormat="1" x14ac:dyDescent="0.3">
      <c r="A469" s="73">
        <f t="shared" si="98"/>
        <v>23</v>
      </c>
      <c r="B469" s="73"/>
      <c r="C469" s="42" t="s">
        <v>191</v>
      </c>
      <c r="D469" s="51">
        <f t="shared" si="97"/>
        <v>753.41003400000011</v>
      </c>
      <c r="E469" s="51">
        <v>0</v>
      </c>
      <c r="F469" s="42">
        <f t="shared" si="99"/>
        <v>753.41003400000011</v>
      </c>
      <c r="G469" s="42">
        <v>0</v>
      </c>
      <c r="H469" s="42">
        <f t="shared" si="95"/>
        <v>1167.7855527000002</v>
      </c>
      <c r="I469" s="36"/>
      <c r="N469" s="36"/>
    </row>
    <row r="470" spans="1:14" s="37" customFormat="1" x14ac:dyDescent="0.3">
      <c r="A470" s="73">
        <f t="shared" si="98"/>
        <v>24</v>
      </c>
      <c r="B470" s="73"/>
      <c r="C470" s="42" t="s">
        <v>191</v>
      </c>
      <c r="D470" s="51">
        <f t="shared" si="97"/>
        <v>753.41003400000011</v>
      </c>
      <c r="E470" s="51">
        <v>0</v>
      </c>
      <c r="F470" s="42">
        <f t="shared" si="99"/>
        <v>753.41003400000011</v>
      </c>
      <c r="G470" s="42">
        <v>0</v>
      </c>
      <c r="H470" s="42">
        <f t="shared" si="95"/>
        <v>1167.7855527000002</v>
      </c>
      <c r="I470" s="36"/>
      <c r="N470" s="36"/>
    </row>
    <row r="471" spans="1:14" s="37" customFormat="1" x14ac:dyDescent="0.3">
      <c r="A471" s="73">
        <f t="shared" si="98"/>
        <v>25</v>
      </c>
      <c r="B471" s="73"/>
      <c r="C471" s="42" t="s">
        <v>191</v>
      </c>
      <c r="D471" s="51">
        <f>(5.4*10.79+3.55*3.35+1.55*1.85)*10.764</f>
        <v>786.05186400000002</v>
      </c>
      <c r="E471" s="51">
        <v>0</v>
      </c>
      <c r="F471" s="42">
        <f t="shared" si="99"/>
        <v>786.05186400000002</v>
      </c>
      <c r="G471" s="42">
        <v>0</v>
      </c>
      <c r="H471" s="42">
        <f t="shared" si="95"/>
        <v>1218.3803892000001</v>
      </c>
      <c r="I471" s="36"/>
      <c r="N471" s="36"/>
    </row>
    <row r="472" spans="1:14" s="37" customFormat="1" x14ac:dyDescent="0.3">
      <c r="A472" s="73">
        <v>26</v>
      </c>
      <c r="B472" s="73"/>
      <c r="C472" s="42" t="s">
        <v>191</v>
      </c>
      <c r="D472" s="51">
        <f>(5.15*8.4+3.45*3.35+1.55*1.85)*10.764</f>
        <v>620.9213400000001</v>
      </c>
      <c r="E472" s="51">
        <v>0</v>
      </c>
      <c r="F472" s="42">
        <f t="shared" si="99"/>
        <v>620.9213400000001</v>
      </c>
      <c r="G472" s="42">
        <v>0</v>
      </c>
      <c r="H472" s="42">
        <f t="shared" si="95"/>
        <v>962.42807700000014</v>
      </c>
      <c r="I472" s="36"/>
      <c r="N472" s="36"/>
    </row>
    <row r="473" spans="1:14" s="37" customFormat="1" x14ac:dyDescent="0.3">
      <c r="A473" s="73">
        <f t="shared" ref="A473:A474" si="100">A472+1</f>
        <v>27</v>
      </c>
      <c r="B473" s="73"/>
      <c r="C473" s="42" t="s">
        <v>191</v>
      </c>
      <c r="D473" s="51">
        <f>(5.15*8.4+3.45*3.35+1.55*1.85)*10.764</f>
        <v>620.9213400000001</v>
      </c>
      <c r="E473" s="51">
        <v>0</v>
      </c>
      <c r="F473" s="42">
        <f t="shared" si="99"/>
        <v>620.9213400000001</v>
      </c>
      <c r="G473" s="42">
        <v>0</v>
      </c>
      <c r="H473" s="42">
        <f t="shared" si="95"/>
        <v>962.42807700000014</v>
      </c>
      <c r="I473" s="36"/>
      <c r="N473" s="36"/>
    </row>
    <row r="474" spans="1:14" s="37" customFormat="1" x14ac:dyDescent="0.3">
      <c r="A474" s="73">
        <f t="shared" si="100"/>
        <v>28</v>
      </c>
      <c r="B474" s="73"/>
      <c r="C474" s="42" t="s">
        <v>191</v>
      </c>
      <c r="D474" s="51">
        <f>(5.15*8.4+3.45*3.35+1.55*1.85)*10.764</f>
        <v>620.9213400000001</v>
      </c>
      <c r="E474" s="51">
        <v>0</v>
      </c>
      <c r="F474" s="42">
        <f t="shared" si="99"/>
        <v>620.9213400000001</v>
      </c>
      <c r="G474" s="42">
        <v>0</v>
      </c>
      <c r="H474" s="42">
        <f t="shared" si="95"/>
        <v>962.42807700000014</v>
      </c>
      <c r="I474" s="36"/>
      <c r="N474" s="36"/>
    </row>
    <row r="475" spans="1:14" s="37" customFormat="1" x14ac:dyDescent="0.3">
      <c r="A475" s="73" t="s">
        <v>246</v>
      </c>
      <c r="B475" s="73"/>
      <c r="C475" s="74" t="s">
        <v>280</v>
      </c>
      <c r="D475" s="75"/>
      <c r="E475" s="75"/>
      <c r="F475" s="75"/>
      <c r="G475" s="75"/>
      <c r="H475" s="76"/>
      <c r="I475" s="36"/>
      <c r="N475" s="36"/>
    </row>
    <row r="476" spans="1:14" s="37" customFormat="1" x14ac:dyDescent="0.3">
      <c r="A476" s="78" t="s">
        <v>264</v>
      </c>
      <c r="B476" s="78"/>
      <c r="C476" s="78"/>
      <c r="D476" s="78"/>
      <c r="E476" s="78"/>
      <c r="F476" s="78"/>
      <c r="G476" s="78"/>
      <c r="H476" s="78"/>
      <c r="I476" s="36">
        <v>7</v>
      </c>
      <c r="L476" s="72"/>
      <c r="M476" s="72"/>
    </row>
    <row r="477" spans="1:14" s="37" customFormat="1" x14ac:dyDescent="0.3">
      <c r="A477" s="73">
        <v>1</v>
      </c>
      <c r="B477" s="73"/>
      <c r="C477" s="42" t="s">
        <v>191</v>
      </c>
      <c r="D477" s="51">
        <f>(6.55*5.15+3.35*3.45+1.85*1.55)*10.764</f>
        <v>518.36733000000004</v>
      </c>
      <c r="E477" s="51">
        <v>0</v>
      </c>
      <c r="F477" s="42">
        <f t="shared" ref="F477:F489" si="101">D477+E477</f>
        <v>518.36733000000004</v>
      </c>
      <c r="G477" s="42">
        <v>0</v>
      </c>
      <c r="H477" s="42">
        <f t="shared" ref="H477:H504" si="102">F477*(($H$251)+1)+(IF(G477&lt;101,G477,IF(G477&lt;201,G477/2,IF(G477&lt;=301,G477/3,G477/4))))</f>
        <v>803.4693615000001</v>
      </c>
      <c r="I477" s="36"/>
      <c r="N477" s="36"/>
    </row>
    <row r="478" spans="1:14" s="37" customFormat="1" x14ac:dyDescent="0.3">
      <c r="A478" s="73">
        <f>A477+1</f>
        <v>2</v>
      </c>
      <c r="B478" s="73"/>
      <c r="C478" s="42" t="s">
        <v>191</v>
      </c>
      <c r="D478" s="51">
        <f>(6.55*5.15+3.35*3.45+1.85*1.55)*10.764</f>
        <v>518.36733000000004</v>
      </c>
      <c r="E478" s="51">
        <v>0</v>
      </c>
      <c r="F478" s="42">
        <f t="shared" si="101"/>
        <v>518.36733000000004</v>
      </c>
      <c r="G478" s="42">
        <v>0</v>
      </c>
      <c r="H478" s="42">
        <f t="shared" si="102"/>
        <v>803.4693615000001</v>
      </c>
      <c r="I478" s="36"/>
      <c r="N478" s="36"/>
    </row>
    <row r="479" spans="1:14" s="37" customFormat="1" x14ac:dyDescent="0.3">
      <c r="A479" s="73">
        <f t="shared" ref="A479:A489" si="103">A478+1</f>
        <v>3</v>
      </c>
      <c r="B479" s="73"/>
      <c r="C479" s="42" t="s">
        <v>191</v>
      </c>
      <c r="D479" s="51">
        <f>(6.55*5.15+3.35*3.45+1.85*1.55)*10.764</f>
        <v>518.36733000000004</v>
      </c>
      <c r="E479" s="51">
        <v>0</v>
      </c>
      <c r="F479" s="42">
        <f t="shared" si="101"/>
        <v>518.36733000000004</v>
      </c>
      <c r="G479" s="42">
        <v>0</v>
      </c>
      <c r="H479" s="42">
        <f t="shared" si="102"/>
        <v>803.4693615000001</v>
      </c>
      <c r="I479" s="36"/>
      <c r="N479" s="36"/>
    </row>
    <row r="480" spans="1:14" s="37" customFormat="1" x14ac:dyDescent="0.3">
      <c r="A480" s="73">
        <f t="shared" si="103"/>
        <v>4</v>
      </c>
      <c r="B480" s="73"/>
      <c r="C480" s="42" t="s">
        <v>191</v>
      </c>
      <c r="D480" s="51">
        <f>(6.55*5.15+3.35*3.45+1.85*1.55)*10.764</f>
        <v>518.36733000000004</v>
      </c>
      <c r="E480" s="51">
        <v>0</v>
      </c>
      <c r="F480" s="42">
        <f t="shared" si="101"/>
        <v>518.36733000000004</v>
      </c>
      <c r="G480" s="42">
        <v>0</v>
      </c>
      <c r="H480" s="42">
        <f t="shared" si="102"/>
        <v>803.4693615000001</v>
      </c>
      <c r="I480" s="36"/>
      <c r="N480" s="36"/>
    </row>
    <row r="481" spans="1:14" s="37" customFormat="1" x14ac:dyDescent="0.3">
      <c r="A481" s="73">
        <f t="shared" si="103"/>
        <v>5</v>
      </c>
      <c r="B481" s="73"/>
      <c r="C481" s="42" t="s">
        <v>191</v>
      </c>
      <c r="D481" s="51">
        <f>(6.55*5.22+3.35*3.45+1.85*1.55)*10.764</f>
        <v>523.30262399999992</v>
      </c>
      <c r="E481" s="51">
        <v>0</v>
      </c>
      <c r="F481" s="42">
        <f t="shared" si="101"/>
        <v>523.30262399999992</v>
      </c>
      <c r="G481" s="42">
        <v>0</v>
      </c>
      <c r="H481" s="42">
        <f t="shared" si="102"/>
        <v>811.1190671999999</v>
      </c>
      <c r="I481" s="36"/>
      <c r="N481" s="36"/>
    </row>
    <row r="482" spans="1:14" s="37" customFormat="1" x14ac:dyDescent="0.3">
      <c r="A482" s="73">
        <f t="shared" si="103"/>
        <v>6</v>
      </c>
      <c r="B482" s="73"/>
      <c r="C482" s="42" t="s">
        <v>191</v>
      </c>
      <c r="D482" s="51">
        <f>(8.39*7.85+3.35*6.15+11.09*9.44+1.85*1.55)*10.764</f>
        <v>2088.4431204000002</v>
      </c>
      <c r="E482" s="51">
        <v>0</v>
      </c>
      <c r="F482" s="42">
        <f t="shared" si="101"/>
        <v>2088.4431204000002</v>
      </c>
      <c r="G482" s="42">
        <v>0</v>
      </c>
      <c r="H482" s="42">
        <f t="shared" si="102"/>
        <v>3237.0868366200007</v>
      </c>
      <c r="I482" s="36"/>
      <c r="N482" s="36"/>
    </row>
    <row r="483" spans="1:14" s="37" customFormat="1" x14ac:dyDescent="0.3">
      <c r="A483" s="73">
        <f t="shared" si="103"/>
        <v>7</v>
      </c>
      <c r="B483" s="73"/>
      <c r="C483" s="42" t="s">
        <v>191</v>
      </c>
      <c r="D483" s="51">
        <f>(9.46*6.01+3.35*4.31+1.85*1.55)*10.764</f>
        <v>798.26469840000016</v>
      </c>
      <c r="E483" s="51">
        <v>0</v>
      </c>
      <c r="F483" s="42">
        <f t="shared" si="101"/>
        <v>798.26469840000016</v>
      </c>
      <c r="G483" s="42">
        <v>0</v>
      </c>
      <c r="H483" s="42">
        <f t="shared" si="102"/>
        <v>1237.3102825200003</v>
      </c>
      <c r="I483" s="36"/>
      <c r="N483" s="36"/>
    </row>
    <row r="484" spans="1:14" s="37" customFormat="1" x14ac:dyDescent="0.3">
      <c r="A484" s="73">
        <f t="shared" si="103"/>
        <v>8</v>
      </c>
      <c r="B484" s="73"/>
      <c r="C484" s="42" t="s">
        <v>191</v>
      </c>
      <c r="D484" s="51">
        <f>(10.22*5.22+3.35*3.52+1.85*1.55)*10.764</f>
        <v>732.03703560000008</v>
      </c>
      <c r="E484" s="51">
        <v>0</v>
      </c>
      <c r="F484" s="42">
        <f t="shared" si="101"/>
        <v>732.03703560000008</v>
      </c>
      <c r="G484" s="42">
        <v>0</v>
      </c>
      <c r="H484" s="42">
        <f t="shared" si="102"/>
        <v>1134.6574051800001</v>
      </c>
      <c r="I484" s="36"/>
      <c r="N484" s="36"/>
    </row>
    <row r="485" spans="1:14" s="37" customFormat="1" x14ac:dyDescent="0.3">
      <c r="A485" s="73">
        <f t="shared" si="103"/>
        <v>9</v>
      </c>
      <c r="B485" s="73"/>
      <c r="C485" s="42" t="s">
        <v>191</v>
      </c>
      <c r="D485" s="51">
        <f>(10.85*5.15+3.35*3.45+1.85*1.55)*10.764</f>
        <v>756.73611000000005</v>
      </c>
      <c r="E485" s="51">
        <v>0</v>
      </c>
      <c r="F485" s="42">
        <f t="shared" si="101"/>
        <v>756.73611000000005</v>
      </c>
      <c r="G485" s="42">
        <v>0</v>
      </c>
      <c r="H485" s="42">
        <f t="shared" si="102"/>
        <v>1172.9409705</v>
      </c>
      <c r="I485" s="36"/>
      <c r="N485" s="36"/>
    </row>
    <row r="486" spans="1:14" s="37" customFormat="1" x14ac:dyDescent="0.3">
      <c r="A486" s="73">
        <f t="shared" si="103"/>
        <v>10</v>
      </c>
      <c r="B486" s="73"/>
      <c r="C486" s="42" t="s">
        <v>191</v>
      </c>
      <c r="D486" s="51">
        <f>(11.39*5.15+3.35*3.45+1.85*1.55)*10.764</f>
        <v>786.67079400000011</v>
      </c>
      <c r="E486" s="51">
        <v>0</v>
      </c>
      <c r="F486" s="42">
        <f t="shared" si="101"/>
        <v>786.67079400000011</v>
      </c>
      <c r="G486" s="42">
        <v>0</v>
      </c>
      <c r="H486" s="42">
        <f t="shared" si="102"/>
        <v>1219.3397307000002</v>
      </c>
      <c r="I486" s="36"/>
      <c r="N486" s="36"/>
    </row>
    <row r="487" spans="1:14" s="37" customFormat="1" x14ac:dyDescent="0.3">
      <c r="A487" s="73">
        <f t="shared" si="103"/>
        <v>11</v>
      </c>
      <c r="B487" s="73"/>
      <c r="C487" s="42" t="s">
        <v>191</v>
      </c>
      <c r="D487" s="51">
        <f>(11.85*5.15+3.35*3.45+1.85*1.55)*10.764</f>
        <v>812.1707100000001</v>
      </c>
      <c r="E487" s="51">
        <v>0</v>
      </c>
      <c r="F487" s="42">
        <f t="shared" si="101"/>
        <v>812.1707100000001</v>
      </c>
      <c r="G487" s="42">
        <v>0</v>
      </c>
      <c r="H487" s="42">
        <f t="shared" si="102"/>
        <v>1258.8646005000003</v>
      </c>
      <c r="I487" s="36"/>
      <c r="N487" s="36"/>
    </row>
    <row r="488" spans="1:14" s="37" customFormat="1" x14ac:dyDescent="0.3">
      <c r="A488" s="73">
        <f t="shared" si="103"/>
        <v>12</v>
      </c>
      <c r="B488" s="73"/>
      <c r="C488" s="42" t="s">
        <v>191</v>
      </c>
      <c r="D488" s="51">
        <f>(12.23*5.15+3.35*3.45+1.85*1.55)*10.764</f>
        <v>833.23585800000001</v>
      </c>
      <c r="E488" s="51">
        <v>0</v>
      </c>
      <c r="F488" s="42">
        <f t="shared" si="101"/>
        <v>833.23585800000001</v>
      </c>
      <c r="G488" s="42">
        <v>0</v>
      </c>
      <c r="H488" s="42">
        <f t="shared" si="102"/>
        <v>1291.5155799000001</v>
      </c>
      <c r="I488" s="36"/>
      <c r="N488" s="36"/>
    </row>
    <row r="489" spans="1:14" s="37" customFormat="1" x14ac:dyDescent="0.3">
      <c r="A489" s="73">
        <f t="shared" si="103"/>
        <v>13</v>
      </c>
      <c r="B489" s="73"/>
      <c r="C489" s="42" t="s">
        <v>191</v>
      </c>
      <c r="D489" s="51">
        <f>(12.54*5.15+3.35*3.45+1.85*1.55)*10.764</f>
        <v>850.42058400000008</v>
      </c>
      <c r="E489" s="51">
        <v>0</v>
      </c>
      <c r="F489" s="42">
        <f t="shared" si="101"/>
        <v>850.42058400000008</v>
      </c>
      <c r="G489" s="42">
        <v>0</v>
      </c>
      <c r="H489" s="42">
        <f t="shared" si="102"/>
        <v>1318.1519052000001</v>
      </c>
      <c r="I489" s="36"/>
      <c r="N489" s="36"/>
    </row>
    <row r="490" spans="1:14" s="37" customFormat="1" x14ac:dyDescent="0.3">
      <c r="A490" s="73">
        <v>14</v>
      </c>
      <c r="B490" s="73"/>
      <c r="C490" s="42" t="s">
        <v>191</v>
      </c>
      <c r="D490" s="51">
        <f>(12.77*5.15+3.35*3.45+1.85*1.55)*10.764</f>
        <v>863.17054200000007</v>
      </c>
      <c r="E490" s="51">
        <v>0</v>
      </c>
      <c r="F490" s="42">
        <f>D490+E490</f>
        <v>863.17054200000007</v>
      </c>
      <c r="G490" s="42">
        <v>0</v>
      </c>
      <c r="H490" s="42">
        <f t="shared" si="102"/>
        <v>1337.9143401000001</v>
      </c>
      <c r="I490" s="36"/>
      <c r="N490" s="36"/>
    </row>
    <row r="491" spans="1:14" s="37" customFormat="1" x14ac:dyDescent="0.3">
      <c r="A491" s="73">
        <f>A490+1</f>
        <v>15</v>
      </c>
      <c r="B491" s="73"/>
      <c r="C491" s="42" t="s">
        <v>191</v>
      </c>
      <c r="D491" s="51">
        <f>(12.93*6.75+3.35*5.05+1.35*1.55)*10.764</f>
        <v>1144.0786499999999</v>
      </c>
      <c r="E491" s="51">
        <v>0</v>
      </c>
      <c r="F491" s="42">
        <f>D491+E491</f>
        <v>1144.0786499999999</v>
      </c>
      <c r="G491" s="42">
        <v>0</v>
      </c>
      <c r="H491" s="42">
        <f t="shared" si="102"/>
        <v>1773.3219075</v>
      </c>
      <c r="I491" s="36"/>
      <c r="N491" s="36"/>
    </row>
    <row r="492" spans="1:14" s="37" customFormat="1" x14ac:dyDescent="0.3">
      <c r="A492" s="73">
        <f>A491+1</f>
        <v>16</v>
      </c>
      <c r="B492" s="73"/>
      <c r="C492" s="42" t="s">
        <v>191</v>
      </c>
      <c r="D492" s="51">
        <f>(4.93*3.35+8.88*4.92+12.23*5.87+6.94*3.89+12.54*10.87+1.2*2.55+1.55*2.4+1.85*1.55+1.85*1.55)*10.764</f>
        <v>3313.3378824000001</v>
      </c>
      <c r="E492" s="51">
        <v>0</v>
      </c>
      <c r="F492" s="42">
        <f>D492+E492</f>
        <v>3313.3378824000001</v>
      </c>
      <c r="G492" s="42">
        <v>0</v>
      </c>
      <c r="H492" s="42">
        <f t="shared" si="102"/>
        <v>5135.6737177200002</v>
      </c>
      <c r="I492" s="36"/>
      <c r="N492" s="36"/>
    </row>
    <row r="493" spans="1:14" s="37" customFormat="1" x14ac:dyDescent="0.3">
      <c r="A493" s="73">
        <f>A492+1</f>
        <v>17</v>
      </c>
      <c r="B493" s="73"/>
      <c r="C493" s="42" t="s">
        <v>191</v>
      </c>
      <c r="D493" s="51">
        <f t="shared" ref="D493:D500" si="104">(5.15*10.79+3.45*3.35+1.55*1.85)*10.764</f>
        <v>753.41003400000011</v>
      </c>
      <c r="E493" s="51">
        <v>0</v>
      </c>
      <c r="F493" s="42">
        <f>D493+E493</f>
        <v>753.41003400000011</v>
      </c>
      <c r="G493" s="42">
        <v>0</v>
      </c>
      <c r="H493" s="42">
        <f t="shared" si="102"/>
        <v>1167.7855527000002</v>
      </c>
      <c r="I493" s="36"/>
      <c r="N493" s="36"/>
    </row>
    <row r="494" spans="1:14" s="37" customFormat="1" x14ac:dyDescent="0.3">
      <c r="A494" s="73">
        <f>A493+1</f>
        <v>18</v>
      </c>
      <c r="B494" s="73"/>
      <c r="C494" s="42" t="s">
        <v>191</v>
      </c>
      <c r="D494" s="51">
        <f t="shared" si="104"/>
        <v>753.41003400000011</v>
      </c>
      <c r="E494" s="51">
        <v>0</v>
      </c>
      <c r="F494" s="42">
        <f>D494+E494</f>
        <v>753.41003400000011</v>
      </c>
      <c r="G494" s="42">
        <v>0</v>
      </c>
      <c r="H494" s="42">
        <f t="shared" si="102"/>
        <v>1167.7855527000002</v>
      </c>
      <c r="I494" s="36"/>
      <c r="N494" s="36"/>
    </row>
    <row r="495" spans="1:14" s="37" customFormat="1" x14ac:dyDescent="0.3">
      <c r="A495" s="73">
        <f t="shared" ref="A495:A501" si="105">A494+1</f>
        <v>19</v>
      </c>
      <c r="B495" s="73"/>
      <c r="C495" s="42" t="s">
        <v>191</v>
      </c>
      <c r="D495" s="51">
        <f t="shared" si="104"/>
        <v>753.41003400000011</v>
      </c>
      <c r="E495" s="51">
        <v>0</v>
      </c>
      <c r="F495" s="42">
        <f t="shared" ref="F495:F504" si="106">D495+E495</f>
        <v>753.41003400000011</v>
      </c>
      <c r="G495" s="42">
        <v>0</v>
      </c>
      <c r="H495" s="42">
        <f t="shared" si="102"/>
        <v>1167.7855527000002</v>
      </c>
      <c r="I495" s="36"/>
      <c r="N495" s="36"/>
    </row>
    <row r="496" spans="1:14" s="37" customFormat="1" x14ac:dyDescent="0.3">
      <c r="A496" s="73">
        <f t="shared" si="105"/>
        <v>20</v>
      </c>
      <c r="B496" s="73"/>
      <c r="C496" s="42" t="s">
        <v>191</v>
      </c>
      <c r="D496" s="51">
        <f t="shared" si="104"/>
        <v>753.41003400000011</v>
      </c>
      <c r="E496" s="51">
        <v>0</v>
      </c>
      <c r="F496" s="42">
        <f t="shared" si="106"/>
        <v>753.41003400000011</v>
      </c>
      <c r="G496" s="42">
        <v>0</v>
      </c>
      <c r="H496" s="42">
        <f t="shared" si="102"/>
        <v>1167.7855527000002</v>
      </c>
      <c r="I496" s="36"/>
      <c r="N496" s="36"/>
    </row>
    <row r="497" spans="1:14" s="37" customFormat="1" x14ac:dyDescent="0.3">
      <c r="A497" s="73">
        <f t="shared" si="105"/>
        <v>21</v>
      </c>
      <c r="B497" s="73"/>
      <c r="C497" s="42" t="s">
        <v>191</v>
      </c>
      <c r="D497" s="51">
        <f t="shared" si="104"/>
        <v>753.41003400000011</v>
      </c>
      <c r="E497" s="51">
        <v>0</v>
      </c>
      <c r="F497" s="42">
        <f t="shared" si="106"/>
        <v>753.41003400000011</v>
      </c>
      <c r="G497" s="42">
        <v>0</v>
      </c>
      <c r="H497" s="42">
        <f t="shared" si="102"/>
        <v>1167.7855527000002</v>
      </c>
      <c r="I497" s="36"/>
      <c r="N497" s="36"/>
    </row>
    <row r="498" spans="1:14" s="37" customFormat="1" x14ac:dyDescent="0.3">
      <c r="A498" s="73">
        <f t="shared" si="105"/>
        <v>22</v>
      </c>
      <c r="B498" s="73"/>
      <c r="C498" s="42" t="s">
        <v>191</v>
      </c>
      <c r="D498" s="51">
        <f t="shared" si="104"/>
        <v>753.41003400000011</v>
      </c>
      <c r="E498" s="51">
        <v>0</v>
      </c>
      <c r="F498" s="42">
        <f t="shared" si="106"/>
        <v>753.41003400000011</v>
      </c>
      <c r="G498" s="42">
        <v>0</v>
      </c>
      <c r="H498" s="42">
        <f t="shared" si="102"/>
        <v>1167.7855527000002</v>
      </c>
      <c r="I498" s="36"/>
      <c r="N498" s="36"/>
    </row>
    <row r="499" spans="1:14" s="37" customFormat="1" x14ac:dyDescent="0.3">
      <c r="A499" s="73">
        <f t="shared" si="105"/>
        <v>23</v>
      </c>
      <c r="B499" s="73"/>
      <c r="C499" s="42" t="s">
        <v>191</v>
      </c>
      <c r="D499" s="51">
        <f t="shared" si="104"/>
        <v>753.41003400000011</v>
      </c>
      <c r="E499" s="51">
        <v>0</v>
      </c>
      <c r="F499" s="42">
        <f t="shared" si="106"/>
        <v>753.41003400000011</v>
      </c>
      <c r="G499" s="42">
        <v>0</v>
      </c>
      <c r="H499" s="42">
        <f t="shared" si="102"/>
        <v>1167.7855527000002</v>
      </c>
      <c r="I499" s="36"/>
      <c r="N499" s="36"/>
    </row>
    <row r="500" spans="1:14" s="37" customFormat="1" x14ac:dyDescent="0.3">
      <c r="A500" s="73">
        <f t="shared" si="105"/>
        <v>24</v>
      </c>
      <c r="B500" s="73"/>
      <c r="C500" s="42" t="s">
        <v>191</v>
      </c>
      <c r="D500" s="51">
        <f t="shared" si="104"/>
        <v>753.41003400000011</v>
      </c>
      <c r="E500" s="51">
        <v>0</v>
      </c>
      <c r="F500" s="42">
        <f t="shared" si="106"/>
        <v>753.41003400000011</v>
      </c>
      <c r="G500" s="42">
        <v>0</v>
      </c>
      <c r="H500" s="42">
        <f t="shared" si="102"/>
        <v>1167.7855527000002</v>
      </c>
      <c r="I500" s="36"/>
      <c r="N500" s="36"/>
    </row>
    <row r="501" spans="1:14" s="37" customFormat="1" x14ac:dyDescent="0.3">
      <c r="A501" s="73">
        <f t="shared" si="105"/>
        <v>25</v>
      </c>
      <c r="B501" s="73"/>
      <c r="C501" s="42" t="s">
        <v>191</v>
      </c>
      <c r="D501" s="51">
        <f>(5.4*10.79+3.55*3.35+1.55*1.85)*10.764</f>
        <v>786.05186400000002</v>
      </c>
      <c r="E501" s="51">
        <v>0</v>
      </c>
      <c r="F501" s="42">
        <f t="shared" si="106"/>
        <v>786.05186400000002</v>
      </c>
      <c r="G501" s="42">
        <v>0</v>
      </c>
      <c r="H501" s="42">
        <f t="shared" si="102"/>
        <v>1218.3803892000001</v>
      </c>
      <c r="I501" s="36"/>
      <c r="N501" s="36"/>
    </row>
    <row r="502" spans="1:14" s="37" customFormat="1" x14ac:dyDescent="0.3">
      <c r="A502" s="73">
        <v>26</v>
      </c>
      <c r="B502" s="73"/>
      <c r="C502" s="42" t="s">
        <v>191</v>
      </c>
      <c r="D502" s="51">
        <f>(5.15*8.4+3.45*3.35+1.55*1.85)*10.764</f>
        <v>620.9213400000001</v>
      </c>
      <c r="E502" s="51">
        <v>0</v>
      </c>
      <c r="F502" s="42">
        <f t="shared" si="106"/>
        <v>620.9213400000001</v>
      </c>
      <c r="G502" s="42">
        <v>0</v>
      </c>
      <c r="H502" s="42">
        <f t="shared" si="102"/>
        <v>962.42807700000014</v>
      </c>
      <c r="I502" s="36"/>
      <c r="N502" s="36"/>
    </row>
    <row r="503" spans="1:14" s="37" customFormat="1" x14ac:dyDescent="0.3">
      <c r="A503" s="73">
        <f t="shared" ref="A503:A504" si="107">A502+1</f>
        <v>27</v>
      </c>
      <c r="B503" s="73"/>
      <c r="C503" s="42" t="s">
        <v>191</v>
      </c>
      <c r="D503" s="51">
        <f>(5.15*8.4+3.45*3.35+1.55*1.85)*10.764</f>
        <v>620.9213400000001</v>
      </c>
      <c r="E503" s="51">
        <v>0</v>
      </c>
      <c r="F503" s="42">
        <f t="shared" si="106"/>
        <v>620.9213400000001</v>
      </c>
      <c r="G503" s="42">
        <v>0</v>
      </c>
      <c r="H503" s="42">
        <f t="shared" si="102"/>
        <v>962.42807700000014</v>
      </c>
      <c r="I503" s="36"/>
      <c r="N503" s="36"/>
    </row>
    <row r="504" spans="1:14" s="37" customFormat="1" x14ac:dyDescent="0.3">
      <c r="A504" s="73">
        <f t="shared" si="107"/>
        <v>28</v>
      </c>
      <c r="B504" s="73"/>
      <c r="C504" s="42" t="s">
        <v>191</v>
      </c>
      <c r="D504" s="51">
        <f>(5.15*8.4+3.45*3.35+1.55*1.85)*10.764</f>
        <v>620.9213400000001</v>
      </c>
      <c r="E504" s="51">
        <v>0</v>
      </c>
      <c r="F504" s="42">
        <f t="shared" si="106"/>
        <v>620.9213400000001</v>
      </c>
      <c r="G504" s="42">
        <v>0</v>
      </c>
      <c r="H504" s="42">
        <f t="shared" si="102"/>
        <v>962.42807700000014</v>
      </c>
      <c r="I504" s="36"/>
      <c r="N504" s="36"/>
    </row>
    <row r="505" spans="1:14" s="37" customFormat="1" x14ac:dyDescent="0.3">
      <c r="A505" s="73" t="s">
        <v>246</v>
      </c>
      <c r="B505" s="73"/>
      <c r="C505" s="74" t="s">
        <v>280</v>
      </c>
      <c r="D505" s="75"/>
      <c r="E505" s="75"/>
      <c r="F505" s="75"/>
      <c r="G505" s="75"/>
      <c r="H505" s="76"/>
      <c r="I505" s="36"/>
      <c r="N505" s="36"/>
    </row>
    <row r="506" spans="1:14" s="37" customFormat="1" x14ac:dyDescent="0.3">
      <c r="A506" s="78" t="s">
        <v>265</v>
      </c>
      <c r="B506" s="78"/>
      <c r="C506" s="78"/>
      <c r="D506" s="78"/>
      <c r="E506" s="78"/>
      <c r="F506" s="78"/>
      <c r="G506" s="78"/>
      <c r="H506" s="78"/>
      <c r="I506" s="36">
        <v>2</v>
      </c>
      <c r="L506" s="72"/>
      <c r="M506" s="72"/>
    </row>
    <row r="507" spans="1:14" s="37" customFormat="1" x14ac:dyDescent="0.3">
      <c r="A507" s="73">
        <v>1</v>
      </c>
      <c r="B507" s="73"/>
      <c r="C507" s="42" t="s">
        <v>191</v>
      </c>
      <c r="D507" s="51">
        <f>(6.55*5.15+3.35*3.45+1.85*1.55)*10.764</f>
        <v>518.36733000000004</v>
      </c>
      <c r="E507" s="51">
        <v>0</v>
      </c>
      <c r="F507" s="42">
        <f t="shared" ref="F507:F511" si="108">D507+E507</f>
        <v>518.36733000000004</v>
      </c>
      <c r="G507" s="42">
        <v>0</v>
      </c>
      <c r="H507" s="42">
        <f t="shared" ref="H507:H511" si="109">F507*(($H$251)+1)+(IF(G507&lt;101,G507,IF(G507&lt;201,G507/2,IF(G507&lt;=301,G507/3,G507/4))))</f>
        <v>803.4693615000001</v>
      </c>
      <c r="I507" s="36"/>
      <c r="N507" s="36"/>
    </row>
    <row r="508" spans="1:14" s="37" customFormat="1" x14ac:dyDescent="0.3">
      <c r="A508" s="73">
        <f>A507+1</f>
        <v>2</v>
      </c>
      <c r="B508" s="73"/>
      <c r="C508" s="42" t="s">
        <v>191</v>
      </c>
      <c r="D508" s="51">
        <f>(6.55*5.15+3.35*3.45+1.85*1.55)*10.764</f>
        <v>518.36733000000004</v>
      </c>
      <c r="E508" s="51">
        <v>0</v>
      </c>
      <c r="F508" s="42">
        <f t="shared" si="108"/>
        <v>518.36733000000004</v>
      </c>
      <c r="G508" s="42">
        <v>0</v>
      </c>
      <c r="H508" s="42">
        <f t="shared" si="109"/>
        <v>803.4693615000001</v>
      </c>
      <c r="I508" s="36"/>
      <c r="N508" s="36"/>
    </row>
    <row r="509" spans="1:14" s="37" customFormat="1" x14ac:dyDescent="0.3">
      <c r="A509" s="73">
        <f t="shared" ref="A509:A519" si="110">A508+1</f>
        <v>3</v>
      </c>
      <c r="B509" s="73"/>
      <c r="C509" s="42" t="s">
        <v>191</v>
      </c>
      <c r="D509" s="51">
        <f>(6.55*5.15+3.35*3.45+1.85*1.55)*10.764</f>
        <v>518.36733000000004</v>
      </c>
      <c r="E509" s="51">
        <v>0</v>
      </c>
      <c r="F509" s="42">
        <f t="shared" si="108"/>
        <v>518.36733000000004</v>
      </c>
      <c r="G509" s="42">
        <v>0</v>
      </c>
      <c r="H509" s="42">
        <f t="shared" si="109"/>
        <v>803.4693615000001</v>
      </c>
      <c r="I509" s="36"/>
      <c r="N509" s="36"/>
    </row>
    <row r="510" spans="1:14" s="37" customFormat="1" x14ac:dyDescent="0.3">
      <c r="A510" s="73">
        <f t="shared" si="110"/>
        <v>4</v>
      </c>
      <c r="B510" s="73"/>
      <c r="C510" s="42" t="s">
        <v>191</v>
      </c>
      <c r="D510" s="51">
        <f>(6.55*5.15+3.35*3.45+1.85*1.55)*10.764</f>
        <v>518.36733000000004</v>
      </c>
      <c r="E510" s="51">
        <v>0</v>
      </c>
      <c r="F510" s="42">
        <f t="shared" si="108"/>
        <v>518.36733000000004</v>
      </c>
      <c r="G510" s="42">
        <v>0</v>
      </c>
      <c r="H510" s="42">
        <f t="shared" si="109"/>
        <v>803.4693615000001</v>
      </c>
      <c r="I510" s="36"/>
      <c r="N510" s="36"/>
    </row>
    <row r="511" spans="1:14" s="37" customFormat="1" x14ac:dyDescent="0.3">
      <c r="A511" s="73">
        <f t="shared" si="110"/>
        <v>5</v>
      </c>
      <c r="B511" s="73"/>
      <c r="C511" s="42" t="s">
        <v>191</v>
      </c>
      <c r="D511" s="51">
        <f>(6.55*5.22+3.35*3.45+1.85*1.55)*10.764</f>
        <v>523.30262399999992</v>
      </c>
      <c r="E511" s="51">
        <v>0</v>
      </c>
      <c r="F511" s="42">
        <f t="shared" si="108"/>
        <v>523.30262399999992</v>
      </c>
      <c r="G511" s="42">
        <v>0</v>
      </c>
      <c r="H511" s="42">
        <f t="shared" si="109"/>
        <v>811.1190671999999</v>
      </c>
      <c r="I511" s="36"/>
      <c r="N511" s="36"/>
    </row>
    <row r="512" spans="1:14" s="37" customFormat="1" x14ac:dyDescent="0.3">
      <c r="A512" s="73">
        <f t="shared" si="110"/>
        <v>6</v>
      </c>
      <c r="B512" s="73"/>
      <c r="C512" s="74" t="s">
        <v>197</v>
      </c>
      <c r="D512" s="75"/>
      <c r="E512" s="75"/>
      <c r="F512" s="75"/>
      <c r="G512" s="75"/>
      <c r="H512" s="76"/>
      <c r="I512" s="36"/>
      <c r="N512" s="36"/>
    </row>
    <row r="513" spans="1:14" s="37" customFormat="1" x14ac:dyDescent="0.3">
      <c r="A513" s="73">
        <f t="shared" si="110"/>
        <v>7</v>
      </c>
      <c r="B513" s="73"/>
      <c r="C513" s="42" t="s">
        <v>191</v>
      </c>
      <c r="D513" s="51">
        <f>(9.46*6.01+3.35*4.31+1.85*1.55)*10.764</f>
        <v>798.26469840000016</v>
      </c>
      <c r="E513" s="51">
        <v>0</v>
      </c>
      <c r="F513" s="42">
        <f t="shared" ref="F513:F519" si="111">D513+E513</f>
        <v>798.26469840000016</v>
      </c>
      <c r="G513" s="42">
        <v>0</v>
      </c>
      <c r="H513" s="42">
        <f t="shared" ref="H513:H533" si="112">F513*(($H$251)+1)+(IF(G513&lt;101,G513,IF(G513&lt;201,G513/2,IF(G513&lt;=301,G513/3,G513/4))))</f>
        <v>1237.3102825200003</v>
      </c>
      <c r="I513" s="36"/>
      <c r="N513" s="36"/>
    </row>
    <row r="514" spans="1:14" s="37" customFormat="1" x14ac:dyDescent="0.3">
      <c r="A514" s="73">
        <f t="shared" si="110"/>
        <v>8</v>
      </c>
      <c r="B514" s="73"/>
      <c r="C514" s="42" t="s">
        <v>191</v>
      </c>
      <c r="D514" s="51">
        <f>(10.22*5.22+3.35*3.52+1.85*1.55)*10.764</f>
        <v>732.03703560000008</v>
      </c>
      <c r="E514" s="51">
        <v>0</v>
      </c>
      <c r="F514" s="42">
        <f t="shared" si="111"/>
        <v>732.03703560000008</v>
      </c>
      <c r="G514" s="42">
        <v>0</v>
      </c>
      <c r="H514" s="42">
        <f t="shared" si="112"/>
        <v>1134.6574051800001</v>
      </c>
      <c r="I514" s="36"/>
      <c r="N514" s="36"/>
    </row>
    <row r="515" spans="1:14" s="37" customFormat="1" x14ac:dyDescent="0.3">
      <c r="A515" s="73">
        <f t="shared" si="110"/>
        <v>9</v>
      </c>
      <c r="B515" s="73"/>
      <c r="C515" s="42" t="s">
        <v>191</v>
      </c>
      <c r="D515" s="51">
        <f>(10.85*5.15+3.35*3.45+1.85*1.55)*10.764</f>
        <v>756.73611000000005</v>
      </c>
      <c r="E515" s="51">
        <v>0</v>
      </c>
      <c r="F515" s="42">
        <f t="shared" si="111"/>
        <v>756.73611000000005</v>
      </c>
      <c r="G515" s="42">
        <v>0</v>
      </c>
      <c r="H515" s="42">
        <f t="shared" si="112"/>
        <v>1172.9409705</v>
      </c>
      <c r="I515" s="36"/>
      <c r="N515" s="36"/>
    </row>
    <row r="516" spans="1:14" s="37" customFormat="1" x14ac:dyDescent="0.3">
      <c r="A516" s="73">
        <f t="shared" si="110"/>
        <v>10</v>
      </c>
      <c r="B516" s="73"/>
      <c r="C516" s="42" t="s">
        <v>191</v>
      </c>
      <c r="D516" s="51">
        <f>(11.39*5.15+3.35*3.45+1.85*1.55)*10.764</f>
        <v>786.67079400000011</v>
      </c>
      <c r="E516" s="51">
        <v>0</v>
      </c>
      <c r="F516" s="42">
        <f t="shared" si="111"/>
        <v>786.67079400000011</v>
      </c>
      <c r="G516" s="42">
        <v>0</v>
      </c>
      <c r="H516" s="42">
        <f t="shared" si="112"/>
        <v>1219.3397307000002</v>
      </c>
      <c r="I516" s="36"/>
      <c r="N516" s="36"/>
    </row>
    <row r="517" spans="1:14" s="37" customFormat="1" x14ac:dyDescent="0.3">
      <c r="A517" s="73">
        <f t="shared" si="110"/>
        <v>11</v>
      </c>
      <c r="B517" s="73"/>
      <c r="C517" s="42" t="s">
        <v>191</v>
      </c>
      <c r="D517" s="51">
        <f>(11.85*5.15+3.35*3.45+1.85*1.55)*10.764</f>
        <v>812.1707100000001</v>
      </c>
      <c r="E517" s="51">
        <v>0</v>
      </c>
      <c r="F517" s="42">
        <f t="shared" si="111"/>
        <v>812.1707100000001</v>
      </c>
      <c r="G517" s="42">
        <v>0</v>
      </c>
      <c r="H517" s="42">
        <f t="shared" si="112"/>
        <v>1258.8646005000003</v>
      </c>
      <c r="I517" s="36"/>
      <c r="N517" s="36"/>
    </row>
    <row r="518" spans="1:14" s="37" customFormat="1" x14ac:dyDescent="0.3">
      <c r="A518" s="73">
        <f t="shared" si="110"/>
        <v>12</v>
      </c>
      <c r="B518" s="73"/>
      <c r="C518" s="42" t="s">
        <v>191</v>
      </c>
      <c r="D518" s="51">
        <f>(12.23*5.15+3.35*3.45+1.85*1.55)*10.764</f>
        <v>833.23585800000001</v>
      </c>
      <c r="E518" s="51">
        <v>0</v>
      </c>
      <c r="F518" s="42">
        <f t="shared" si="111"/>
        <v>833.23585800000001</v>
      </c>
      <c r="G518" s="42">
        <v>0</v>
      </c>
      <c r="H518" s="42">
        <f t="shared" si="112"/>
        <v>1291.5155799000001</v>
      </c>
      <c r="I518" s="36"/>
      <c r="N518" s="36"/>
    </row>
    <row r="519" spans="1:14" s="37" customFormat="1" x14ac:dyDescent="0.3">
      <c r="A519" s="73">
        <f t="shared" si="110"/>
        <v>13</v>
      </c>
      <c r="B519" s="73"/>
      <c r="C519" s="42" t="s">
        <v>191</v>
      </c>
      <c r="D519" s="51">
        <f>(12.54*5.15+3.35*3.45+1.85*1.55)*10.764</f>
        <v>850.42058400000008</v>
      </c>
      <c r="E519" s="51">
        <v>0</v>
      </c>
      <c r="F519" s="42">
        <f t="shared" si="111"/>
        <v>850.42058400000008</v>
      </c>
      <c r="G519" s="42">
        <v>0</v>
      </c>
      <c r="H519" s="42">
        <f t="shared" si="112"/>
        <v>1318.1519052000001</v>
      </c>
      <c r="I519" s="36"/>
      <c r="N519" s="36"/>
    </row>
    <row r="520" spans="1:14" s="37" customFormat="1" x14ac:dyDescent="0.3">
      <c r="A520" s="73">
        <v>14</v>
      </c>
      <c r="B520" s="73"/>
      <c r="C520" s="42" t="s">
        <v>191</v>
      </c>
      <c r="D520" s="51">
        <f>(12.77*5.15+3.35*3.45+1.85*1.55)*10.764</f>
        <v>863.17054200000007</v>
      </c>
      <c r="E520" s="51">
        <v>0</v>
      </c>
      <c r="F520" s="42">
        <f>D520+E520</f>
        <v>863.17054200000007</v>
      </c>
      <c r="G520" s="42">
        <v>0</v>
      </c>
      <c r="H520" s="42">
        <f t="shared" si="112"/>
        <v>1337.9143401000001</v>
      </c>
      <c r="I520" s="36"/>
      <c r="N520" s="36"/>
    </row>
    <row r="521" spans="1:14" s="37" customFormat="1" x14ac:dyDescent="0.3">
      <c r="A521" s="73">
        <f>A520+1</f>
        <v>15</v>
      </c>
      <c r="B521" s="73"/>
      <c r="C521" s="42" t="s">
        <v>191</v>
      </c>
      <c r="D521" s="51">
        <f>(12.93*6.75+3.35*5.05+1.35*1.55)*10.764</f>
        <v>1144.0786499999999</v>
      </c>
      <c r="E521" s="51">
        <v>0</v>
      </c>
      <c r="F521" s="42">
        <f>D521+E521</f>
        <v>1144.0786499999999</v>
      </c>
      <c r="G521" s="42">
        <v>0</v>
      </c>
      <c r="H521" s="42">
        <f t="shared" si="112"/>
        <v>1773.3219075</v>
      </c>
      <c r="I521" s="36"/>
      <c r="N521" s="36"/>
    </row>
    <row r="522" spans="1:14" s="37" customFormat="1" x14ac:dyDescent="0.3">
      <c r="A522" s="73">
        <f>A521+1</f>
        <v>16</v>
      </c>
      <c r="B522" s="73"/>
      <c r="C522" s="42" t="s">
        <v>191</v>
      </c>
      <c r="D522" s="51">
        <f>(4.93*3.35+8.88*4.92+12.23*5.87+6.94*3.89+12.54*10.87+1.2*2.55+1.55*2.4+1.85*1.55+1.85*1.55)*10.764</f>
        <v>3313.3378824000001</v>
      </c>
      <c r="E522" s="51">
        <v>0</v>
      </c>
      <c r="F522" s="42">
        <f>D522+E522</f>
        <v>3313.3378824000001</v>
      </c>
      <c r="G522" s="42">
        <v>0</v>
      </c>
      <c r="H522" s="42">
        <f t="shared" si="112"/>
        <v>5135.6737177200002</v>
      </c>
      <c r="I522" s="36"/>
      <c r="N522" s="36"/>
    </row>
    <row r="523" spans="1:14" s="37" customFormat="1" x14ac:dyDescent="0.3">
      <c r="A523" s="73">
        <f>A522+1</f>
        <v>17</v>
      </c>
      <c r="B523" s="73"/>
      <c r="C523" s="42" t="s">
        <v>191</v>
      </c>
      <c r="D523" s="51">
        <f t="shared" ref="D523:D529" si="113">(5.15*10.79+3.45*3.35+1.55*1.85)*10.764</f>
        <v>753.41003400000011</v>
      </c>
      <c r="E523" s="51">
        <v>0</v>
      </c>
      <c r="F523" s="42">
        <f>D523+E523</f>
        <v>753.41003400000011</v>
      </c>
      <c r="G523" s="42">
        <v>0</v>
      </c>
      <c r="H523" s="42">
        <f t="shared" si="112"/>
        <v>1167.7855527000002</v>
      </c>
      <c r="I523" s="36"/>
      <c r="N523" s="36"/>
    </row>
    <row r="524" spans="1:14" s="37" customFormat="1" x14ac:dyDescent="0.3">
      <c r="A524" s="73">
        <f>A523+1</f>
        <v>18</v>
      </c>
      <c r="B524" s="73"/>
      <c r="C524" s="42" t="s">
        <v>191</v>
      </c>
      <c r="D524" s="51">
        <f t="shared" si="113"/>
        <v>753.41003400000011</v>
      </c>
      <c r="E524" s="51">
        <v>0</v>
      </c>
      <c r="F524" s="42">
        <f>D524+E524</f>
        <v>753.41003400000011</v>
      </c>
      <c r="G524" s="42">
        <v>0</v>
      </c>
      <c r="H524" s="42">
        <f t="shared" si="112"/>
        <v>1167.7855527000002</v>
      </c>
      <c r="I524" s="36"/>
      <c r="N524" s="36"/>
    </row>
    <row r="525" spans="1:14" s="37" customFormat="1" x14ac:dyDescent="0.3">
      <c r="A525" s="73">
        <f t="shared" ref="A525:A530" si="114">A524+1</f>
        <v>19</v>
      </c>
      <c r="B525" s="73"/>
      <c r="C525" s="42" t="s">
        <v>191</v>
      </c>
      <c r="D525" s="51">
        <f t="shared" si="113"/>
        <v>753.41003400000011</v>
      </c>
      <c r="E525" s="51">
        <v>0</v>
      </c>
      <c r="F525" s="42">
        <f t="shared" ref="F525:F533" si="115">D525+E525</f>
        <v>753.41003400000011</v>
      </c>
      <c r="G525" s="42">
        <v>0</v>
      </c>
      <c r="H525" s="42">
        <f t="shared" si="112"/>
        <v>1167.7855527000002</v>
      </c>
      <c r="I525" s="36"/>
      <c r="N525" s="36"/>
    </row>
    <row r="526" spans="1:14" s="37" customFormat="1" x14ac:dyDescent="0.3">
      <c r="A526" s="73">
        <f t="shared" si="114"/>
        <v>20</v>
      </c>
      <c r="B526" s="73"/>
      <c r="C526" s="42" t="s">
        <v>191</v>
      </c>
      <c r="D526" s="51">
        <f t="shared" si="113"/>
        <v>753.41003400000011</v>
      </c>
      <c r="E526" s="51">
        <v>0</v>
      </c>
      <c r="F526" s="42">
        <f t="shared" si="115"/>
        <v>753.41003400000011</v>
      </c>
      <c r="G526" s="42">
        <v>0</v>
      </c>
      <c r="H526" s="42">
        <f t="shared" si="112"/>
        <v>1167.7855527000002</v>
      </c>
      <c r="I526" s="36"/>
      <c r="N526" s="36"/>
    </row>
    <row r="527" spans="1:14" s="37" customFormat="1" x14ac:dyDescent="0.3">
      <c r="A527" s="73">
        <f t="shared" si="114"/>
        <v>21</v>
      </c>
      <c r="B527" s="73"/>
      <c r="C527" s="42" t="s">
        <v>191</v>
      </c>
      <c r="D527" s="51">
        <f t="shared" si="113"/>
        <v>753.41003400000011</v>
      </c>
      <c r="E527" s="51">
        <v>0</v>
      </c>
      <c r="F527" s="42">
        <f t="shared" si="115"/>
        <v>753.41003400000011</v>
      </c>
      <c r="G527" s="42">
        <v>0</v>
      </c>
      <c r="H527" s="42">
        <f t="shared" si="112"/>
        <v>1167.7855527000002</v>
      </c>
      <c r="I527" s="36"/>
      <c r="N527" s="36"/>
    </row>
    <row r="528" spans="1:14" s="37" customFormat="1" x14ac:dyDescent="0.3">
      <c r="A528" s="73">
        <f t="shared" si="114"/>
        <v>22</v>
      </c>
      <c r="B528" s="73"/>
      <c r="C528" s="42" t="s">
        <v>191</v>
      </c>
      <c r="D528" s="51">
        <f t="shared" si="113"/>
        <v>753.41003400000011</v>
      </c>
      <c r="E528" s="51">
        <v>0</v>
      </c>
      <c r="F528" s="42">
        <f t="shared" si="115"/>
        <v>753.41003400000011</v>
      </c>
      <c r="G528" s="42">
        <v>0</v>
      </c>
      <c r="H528" s="42">
        <f t="shared" si="112"/>
        <v>1167.7855527000002</v>
      </c>
      <c r="I528" s="36"/>
      <c r="N528" s="36"/>
    </row>
    <row r="529" spans="1:14" s="37" customFormat="1" x14ac:dyDescent="0.3">
      <c r="A529" s="73">
        <f t="shared" si="114"/>
        <v>23</v>
      </c>
      <c r="B529" s="73"/>
      <c r="C529" s="42" t="s">
        <v>191</v>
      </c>
      <c r="D529" s="51">
        <f t="shared" si="113"/>
        <v>753.41003400000011</v>
      </c>
      <c r="E529" s="51">
        <v>0</v>
      </c>
      <c r="F529" s="42">
        <f t="shared" si="115"/>
        <v>753.41003400000011</v>
      </c>
      <c r="G529" s="42">
        <v>0</v>
      </c>
      <c r="H529" s="42">
        <f t="shared" si="112"/>
        <v>1167.7855527000002</v>
      </c>
      <c r="I529" s="36"/>
      <c r="N529" s="36"/>
    </row>
    <row r="530" spans="1:14" s="37" customFormat="1" x14ac:dyDescent="0.3">
      <c r="A530" s="73">
        <f t="shared" si="114"/>
        <v>24</v>
      </c>
      <c r="B530" s="73"/>
      <c r="C530" s="42" t="s">
        <v>191</v>
      </c>
      <c r="D530" s="51">
        <f>(10.7*10.79+3.55*3.35+3.45*3.35+1.55*1.85+1.55*1.85)*10.764</f>
        <v>1556.8834319999999</v>
      </c>
      <c r="E530" s="51">
        <v>0</v>
      </c>
      <c r="F530" s="42">
        <f t="shared" si="115"/>
        <v>1556.8834319999999</v>
      </c>
      <c r="G530" s="42">
        <v>0</v>
      </c>
      <c r="H530" s="42">
        <f t="shared" si="112"/>
        <v>2413.1693195999997</v>
      </c>
      <c r="I530" s="36"/>
      <c r="N530" s="36"/>
    </row>
    <row r="531" spans="1:14" s="37" customFormat="1" x14ac:dyDescent="0.3">
      <c r="A531" s="73">
        <v>26</v>
      </c>
      <c r="B531" s="73"/>
      <c r="C531" s="42" t="s">
        <v>191</v>
      </c>
      <c r="D531" s="51">
        <f>(5.15*8.4+3.45*3.35+1.55*1.85)*10.764</f>
        <v>620.9213400000001</v>
      </c>
      <c r="E531" s="51">
        <v>0</v>
      </c>
      <c r="F531" s="42">
        <f t="shared" si="115"/>
        <v>620.9213400000001</v>
      </c>
      <c r="G531" s="42">
        <v>0</v>
      </c>
      <c r="H531" s="42">
        <f t="shared" si="112"/>
        <v>962.42807700000014</v>
      </c>
      <c r="I531" s="36"/>
      <c r="N531" s="36"/>
    </row>
    <row r="532" spans="1:14" s="37" customFormat="1" x14ac:dyDescent="0.3">
      <c r="A532" s="73">
        <f t="shared" ref="A532:A533" si="116">A531+1</f>
        <v>27</v>
      </c>
      <c r="B532" s="73"/>
      <c r="C532" s="42" t="s">
        <v>191</v>
      </c>
      <c r="D532" s="51">
        <f>(5.15*8.4+3.45*3.35+1.55*1.85)*10.764</f>
        <v>620.9213400000001</v>
      </c>
      <c r="E532" s="51">
        <v>0</v>
      </c>
      <c r="F532" s="42">
        <f t="shared" si="115"/>
        <v>620.9213400000001</v>
      </c>
      <c r="G532" s="42">
        <v>0</v>
      </c>
      <c r="H532" s="42">
        <f t="shared" si="112"/>
        <v>962.42807700000014</v>
      </c>
      <c r="I532" s="36"/>
      <c r="N532" s="36"/>
    </row>
    <row r="533" spans="1:14" s="37" customFormat="1" x14ac:dyDescent="0.3">
      <c r="A533" s="73">
        <f t="shared" si="116"/>
        <v>28</v>
      </c>
      <c r="B533" s="73"/>
      <c r="C533" s="42" t="s">
        <v>191</v>
      </c>
      <c r="D533" s="51">
        <f>(5.15*8.4+3.45*3.35+1.55*1.85)*10.764</f>
        <v>620.9213400000001</v>
      </c>
      <c r="E533" s="51">
        <v>0</v>
      </c>
      <c r="F533" s="42">
        <f t="shared" si="115"/>
        <v>620.9213400000001</v>
      </c>
      <c r="G533" s="42">
        <v>0</v>
      </c>
      <c r="H533" s="42">
        <f t="shared" si="112"/>
        <v>962.42807700000014</v>
      </c>
      <c r="I533" s="36"/>
      <c r="N533" s="36"/>
    </row>
    <row r="534" spans="1:14" s="37" customFormat="1" x14ac:dyDescent="0.3">
      <c r="A534" s="78" t="s">
        <v>266</v>
      </c>
      <c r="B534" s="78"/>
      <c r="C534" s="78"/>
      <c r="D534" s="78"/>
      <c r="E534" s="78"/>
      <c r="F534" s="78"/>
      <c r="G534" s="78"/>
      <c r="H534" s="78"/>
      <c r="I534" s="36">
        <v>1</v>
      </c>
      <c r="L534" s="72"/>
      <c r="M534" s="72"/>
    </row>
    <row r="535" spans="1:14" s="37" customFormat="1" x14ac:dyDescent="0.3">
      <c r="A535" s="73">
        <v>1</v>
      </c>
      <c r="B535" s="73"/>
      <c r="C535" s="42" t="s">
        <v>191</v>
      </c>
      <c r="D535" s="51">
        <f>(6.55*5.15+3.35*3.45+1.85*1.55)*10.764</f>
        <v>518.36733000000004</v>
      </c>
      <c r="E535" s="51">
        <v>0</v>
      </c>
      <c r="F535" s="42">
        <f t="shared" ref="F535:F539" si="117">D535+E535</f>
        <v>518.36733000000004</v>
      </c>
      <c r="G535" s="42">
        <v>0</v>
      </c>
      <c r="H535" s="42">
        <f t="shared" ref="H535:H539" si="118">F535*(($H$251)+1)+(IF(G535&lt;101,G535,IF(G535&lt;201,G535/2,IF(G535&lt;=301,G535/3,G535/4))))</f>
        <v>803.4693615000001</v>
      </c>
      <c r="I535" s="36"/>
      <c r="N535" s="36"/>
    </row>
    <row r="536" spans="1:14" s="37" customFormat="1" x14ac:dyDescent="0.3">
      <c r="A536" s="73">
        <f>A535+1</f>
        <v>2</v>
      </c>
      <c r="B536" s="73"/>
      <c r="C536" s="42" t="s">
        <v>191</v>
      </c>
      <c r="D536" s="51">
        <f>(6.55*5.15+3.35*3.45+1.85*1.55)*10.764</f>
        <v>518.36733000000004</v>
      </c>
      <c r="E536" s="51">
        <v>0</v>
      </c>
      <c r="F536" s="42">
        <f t="shared" si="117"/>
        <v>518.36733000000004</v>
      </c>
      <c r="G536" s="42">
        <v>0</v>
      </c>
      <c r="H536" s="42">
        <f t="shared" si="118"/>
        <v>803.4693615000001</v>
      </c>
      <c r="I536" s="36"/>
      <c r="N536" s="36"/>
    </row>
    <row r="537" spans="1:14" s="37" customFormat="1" x14ac:dyDescent="0.3">
      <c r="A537" s="73">
        <f t="shared" ref="A537:A547" si="119">A536+1</f>
        <v>3</v>
      </c>
      <c r="B537" s="73"/>
      <c r="C537" s="42" t="s">
        <v>191</v>
      </c>
      <c r="D537" s="51">
        <f>(6.55*5.15+3.35*3.45+1.85*1.55)*10.764</f>
        <v>518.36733000000004</v>
      </c>
      <c r="E537" s="51">
        <v>0</v>
      </c>
      <c r="F537" s="42">
        <f t="shared" si="117"/>
        <v>518.36733000000004</v>
      </c>
      <c r="G537" s="42">
        <v>0</v>
      </c>
      <c r="H537" s="42">
        <f t="shared" si="118"/>
        <v>803.4693615000001</v>
      </c>
      <c r="I537" s="36"/>
      <c r="N537" s="36"/>
    </row>
    <row r="538" spans="1:14" s="37" customFormat="1" x14ac:dyDescent="0.3">
      <c r="A538" s="73">
        <f t="shared" si="119"/>
        <v>4</v>
      </c>
      <c r="B538" s="73"/>
      <c r="C538" s="42" t="s">
        <v>191</v>
      </c>
      <c r="D538" s="51">
        <f>(6.55*5.15+3.35*3.45+1.85*1.55)*10.764</f>
        <v>518.36733000000004</v>
      </c>
      <c r="E538" s="51">
        <v>0</v>
      </c>
      <c r="F538" s="42">
        <f t="shared" si="117"/>
        <v>518.36733000000004</v>
      </c>
      <c r="G538" s="42">
        <v>0</v>
      </c>
      <c r="H538" s="42">
        <f t="shared" si="118"/>
        <v>803.4693615000001</v>
      </c>
      <c r="I538" s="36"/>
      <c r="N538" s="36"/>
    </row>
    <row r="539" spans="1:14" s="37" customFormat="1" x14ac:dyDescent="0.3">
      <c r="A539" s="73">
        <f t="shared" si="119"/>
        <v>5</v>
      </c>
      <c r="B539" s="73"/>
      <c r="C539" s="42" t="s">
        <v>191</v>
      </c>
      <c r="D539" s="51">
        <f>(6.55*5.22+3.35*3.45+1.85*1.55)*10.764</f>
        <v>523.30262399999992</v>
      </c>
      <c r="E539" s="51">
        <v>0</v>
      </c>
      <c r="F539" s="42">
        <f t="shared" si="117"/>
        <v>523.30262399999992</v>
      </c>
      <c r="G539" s="42">
        <v>0</v>
      </c>
      <c r="H539" s="42">
        <f t="shared" si="118"/>
        <v>811.1190671999999</v>
      </c>
      <c r="I539" s="36"/>
      <c r="N539" s="36"/>
    </row>
    <row r="540" spans="1:14" s="37" customFormat="1" x14ac:dyDescent="0.3">
      <c r="A540" s="73">
        <f t="shared" si="119"/>
        <v>6</v>
      </c>
      <c r="B540" s="73"/>
      <c r="C540" s="74" t="s">
        <v>197</v>
      </c>
      <c r="D540" s="75"/>
      <c r="E540" s="75"/>
      <c r="F540" s="75"/>
      <c r="G540" s="75"/>
      <c r="H540" s="76"/>
      <c r="I540" s="36"/>
      <c r="N540" s="36"/>
    </row>
    <row r="541" spans="1:14" s="37" customFormat="1" x14ac:dyDescent="0.3">
      <c r="A541" s="73">
        <f t="shared" si="119"/>
        <v>7</v>
      </c>
      <c r="B541" s="73"/>
      <c r="C541" s="42" t="s">
        <v>191</v>
      </c>
      <c r="D541" s="51">
        <f>(9.46*6.01+3.35*4.31+1.85*1.55)*10.764</f>
        <v>798.26469840000016</v>
      </c>
      <c r="E541" s="51">
        <v>0</v>
      </c>
      <c r="F541" s="42">
        <f t="shared" ref="F541:F547" si="120">D541+E541</f>
        <v>798.26469840000016</v>
      </c>
      <c r="G541" s="42">
        <v>0</v>
      </c>
      <c r="H541" s="42">
        <f t="shared" ref="H541:H561" si="121">F541*(($H$251)+1)+(IF(G541&lt;101,G541,IF(G541&lt;201,G541/2,IF(G541&lt;=301,G541/3,G541/4))))</f>
        <v>1237.3102825200003</v>
      </c>
      <c r="I541" s="36"/>
      <c r="N541" s="36"/>
    </row>
    <row r="542" spans="1:14" s="37" customFormat="1" x14ac:dyDescent="0.3">
      <c r="A542" s="73">
        <f t="shared" si="119"/>
        <v>8</v>
      </c>
      <c r="B542" s="73"/>
      <c r="C542" s="42" t="s">
        <v>191</v>
      </c>
      <c r="D542" s="51">
        <f>(10.22*5.22+3.35*3.52+1.85*1.55)*10.764</f>
        <v>732.03703560000008</v>
      </c>
      <c r="E542" s="51">
        <v>0</v>
      </c>
      <c r="F542" s="42">
        <f t="shared" si="120"/>
        <v>732.03703560000008</v>
      </c>
      <c r="G542" s="42">
        <v>0</v>
      </c>
      <c r="H542" s="42">
        <f t="shared" si="121"/>
        <v>1134.6574051800001</v>
      </c>
      <c r="I542" s="36"/>
      <c r="N542" s="36"/>
    </row>
    <row r="543" spans="1:14" s="37" customFormat="1" x14ac:dyDescent="0.3">
      <c r="A543" s="73">
        <f t="shared" si="119"/>
        <v>9</v>
      </c>
      <c r="B543" s="73"/>
      <c r="C543" s="42" t="s">
        <v>191</v>
      </c>
      <c r="D543" s="51">
        <f>(10.85*5.15+3.35*3.45+1.85*1.55)*10.764</f>
        <v>756.73611000000005</v>
      </c>
      <c r="E543" s="51">
        <v>0</v>
      </c>
      <c r="F543" s="42">
        <f t="shared" si="120"/>
        <v>756.73611000000005</v>
      </c>
      <c r="G543" s="42">
        <v>0</v>
      </c>
      <c r="H543" s="42">
        <f t="shared" si="121"/>
        <v>1172.9409705</v>
      </c>
      <c r="I543" s="36"/>
      <c r="N543" s="36"/>
    </row>
    <row r="544" spans="1:14" s="37" customFormat="1" x14ac:dyDescent="0.3">
      <c r="A544" s="73">
        <f t="shared" si="119"/>
        <v>10</v>
      </c>
      <c r="B544" s="73"/>
      <c r="C544" s="42" t="s">
        <v>191</v>
      </c>
      <c r="D544" s="51">
        <f>(11.39*5.15+3.35*3.45+1.85*1.55)*10.764</f>
        <v>786.67079400000011</v>
      </c>
      <c r="E544" s="51">
        <v>0</v>
      </c>
      <c r="F544" s="42">
        <f t="shared" si="120"/>
        <v>786.67079400000011</v>
      </c>
      <c r="G544" s="42">
        <v>0</v>
      </c>
      <c r="H544" s="42">
        <f t="shared" si="121"/>
        <v>1219.3397307000002</v>
      </c>
      <c r="I544" s="36"/>
      <c r="N544" s="36"/>
    </row>
    <row r="545" spans="1:14" s="37" customFormat="1" x14ac:dyDescent="0.3">
      <c r="A545" s="73">
        <f t="shared" si="119"/>
        <v>11</v>
      </c>
      <c r="B545" s="73"/>
      <c r="C545" s="42" t="s">
        <v>191</v>
      </c>
      <c r="D545" s="51">
        <f>(11.85*5.15+3.35*3.45+1.85*1.55)*10.764</f>
        <v>812.1707100000001</v>
      </c>
      <c r="E545" s="51">
        <v>0</v>
      </c>
      <c r="F545" s="42">
        <f t="shared" si="120"/>
        <v>812.1707100000001</v>
      </c>
      <c r="G545" s="42">
        <v>0</v>
      </c>
      <c r="H545" s="42">
        <f t="shared" si="121"/>
        <v>1258.8646005000003</v>
      </c>
      <c r="I545" s="36"/>
      <c r="N545" s="36"/>
    </row>
    <row r="546" spans="1:14" s="37" customFormat="1" x14ac:dyDescent="0.3">
      <c r="A546" s="73">
        <f t="shared" si="119"/>
        <v>12</v>
      </c>
      <c r="B546" s="73"/>
      <c r="C546" s="42" t="s">
        <v>191</v>
      </c>
      <c r="D546" s="51">
        <f>(12.23*5.15+3.35*3.45+1.85*1.55)*10.764</f>
        <v>833.23585800000001</v>
      </c>
      <c r="E546" s="51">
        <v>0</v>
      </c>
      <c r="F546" s="42">
        <f t="shared" si="120"/>
        <v>833.23585800000001</v>
      </c>
      <c r="G546" s="42">
        <v>0</v>
      </c>
      <c r="H546" s="42">
        <f t="shared" si="121"/>
        <v>1291.5155799000001</v>
      </c>
      <c r="I546" s="36"/>
      <c r="N546" s="36"/>
    </row>
    <row r="547" spans="1:14" s="37" customFormat="1" x14ac:dyDescent="0.3">
      <c r="A547" s="73">
        <f t="shared" si="119"/>
        <v>13</v>
      </c>
      <c r="B547" s="73"/>
      <c r="C547" s="42" t="s">
        <v>191</v>
      </c>
      <c r="D547" s="51">
        <f>(12.54*5.15+3.35*3.45+1.85*1.55)*10.764</f>
        <v>850.42058400000008</v>
      </c>
      <c r="E547" s="51">
        <v>0</v>
      </c>
      <c r="F547" s="42">
        <f t="shared" si="120"/>
        <v>850.42058400000008</v>
      </c>
      <c r="G547" s="42">
        <v>0</v>
      </c>
      <c r="H547" s="42">
        <f t="shared" si="121"/>
        <v>1318.1519052000001</v>
      </c>
      <c r="I547" s="36"/>
      <c r="N547" s="36"/>
    </row>
    <row r="548" spans="1:14" s="37" customFormat="1" x14ac:dyDescent="0.3">
      <c r="A548" s="73">
        <v>14</v>
      </c>
      <c r="B548" s="73"/>
      <c r="C548" s="42" t="s">
        <v>191</v>
      </c>
      <c r="D548" s="51">
        <f>(12.77*5.15+3.35*3.45+1.85*1.55)*10.764</f>
        <v>863.17054200000007</v>
      </c>
      <c r="E548" s="51">
        <v>0</v>
      </c>
      <c r="F548" s="42">
        <f>D548+E548</f>
        <v>863.17054200000007</v>
      </c>
      <c r="G548" s="42">
        <v>0</v>
      </c>
      <c r="H548" s="42">
        <f t="shared" si="121"/>
        <v>1337.9143401000001</v>
      </c>
      <c r="I548" s="36"/>
      <c r="N548" s="36"/>
    </row>
    <row r="549" spans="1:14" s="37" customFormat="1" x14ac:dyDescent="0.3">
      <c r="A549" s="73">
        <f>A548+1</f>
        <v>15</v>
      </c>
      <c r="B549" s="73"/>
      <c r="C549" s="42" t="s">
        <v>191</v>
      </c>
      <c r="D549" s="51">
        <f>(12.93*6.75+3.35*5.05+1.35*1.55)*10.764</f>
        <v>1144.0786499999999</v>
      </c>
      <c r="E549" s="51">
        <v>0</v>
      </c>
      <c r="F549" s="42">
        <f>D549+E549</f>
        <v>1144.0786499999999</v>
      </c>
      <c r="G549" s="42">
        <v>0</v>
      </c>
      <c r="H549" s="42">
        <f t="shared" si="121"/>
        <v>1773.3219075</v>
      </c>
      <c r="I549" s="36"/>
      <c r="N549" s="36"/>
    </row>
    <row r="550" spans="1:14" s="37" customFormat="1" x14ac:dyDescent="0.3">
      <c r="A550" s="73">
        <f>A549+1</f>
        <v>16</v>
      </c>
      <c r="B550" s="73"/>
      <c r="C550" s="42" t="s">
        <v>191</v>
      </c>
      <c r="D550" s="51">
        <f>(4.93*3.35+8.88*4.92+12.23*5.87+6.94*3.89+12.54*10.87+1.2*2.55+1.55*2.4+1.85*1.55+1.85*1.55)*10.764</f>
        <v>3313.3378824000001</v>
      </c>
      <c r="E550" s="51">
        <v>0</v>
      </c>
      <c r="F550" s="42">
        <f>D550+E550</f>
        <v>3313.3378824000001</v>
      </c>
      <c r="G550" s="42">
        <v>0</v>
      </c>
      <c r="H550" s="42">
        <f t="shared" si="121"/>
        <v>5135.6737177200002</v>
      </c>
      <c r="I550" s="36"/>
      <c r="N550" s="36"/>
    </row>
    <row r="551" spans="1:14" s="37" customFormat="1" x14ac:dyDescent="0.3">
      <c r="A551" s="73">
        <f>A550+1</f>
        <v>17</v>
      </c>
      <c r="B551" s="73"/>
      <c r="C551" s="42" t="s">
        <v>191</v>
      </c>
      <c r="D551" s="51">
        <f t="shared" ref="D551:D557" si="122">(5.15*10.79+3.45*3.35+1.55*1.85)*10.764</f>
        <v>753.41003400000011</v>
      </c>
      <c r="E551" s="51">
        <v>0</v>
      </c>
      <c r="F551" s="42">
        <f>D551+E551</f>
        <v>753.41003400000011</v>
      </c>
      <c r="G551" s="42">
        <v>0</v>
      </c>
      <c r="H551" s="42">
        <f t="shared" si="121"/>
        <v>1167.7855527000002</v>
      </c>
      <c r="I551" s="36"/>
      <c r="N551" s="36"/>
    </row>
    <row r="552" spans="1:14" s="37" customFormat="1" x14ac:dyDescent="0.3">
      <c r="A552" s="73">
        <f>A551+1</f>
        <v>18</v>
      </c>
      <c r="B552" s="73"/>
      <c r="C552" s="42" t="s">
        <v>191</v>
      </c>
      <c r="D552" s="51">
        <f t="shared" si="122"/>
        <v>753.41003400000011</v>
      </c>
      <c r="E552" s="51">
        <v>0</v>
      </c>
      <c r="F552" s="42">
        <f>D552+E552</f>
        <v>753.41003400000011</v>
      </c>
      <c r="G552" s="42">
        <v>0</v>
      </c>
      <c r="H552" s="42">
        <f t="shared" si="121"/>
        <v>1167.7855527000002</v>
      </c>
      <c r="I552" s="36"/>
      <c r="N552" s="36"/>
    </row>
    <row r="553" spans="1:14" s="37" customFormat="1" x14ac:dyDescent="0.3">
      <c r="A553" s="73">
        <f t="shared" ref="A553:A558" si="123">A552+1</f>
        <v>19</v>
      </c>
      <c r="B553" s="73"/>
      <c r="C553" s="42" t="s">
        <v>191</v>
      </c>
      <c r="D553" s="51">
        <f t="shared" si="122"/>
        <v>753.41003400000011</v>
      </c>
      <c r="E553" s="51">
        <v>0</v>
      </c>
      <c r="F553" s="42">
        <f t="shared" ref="F553:F561" si="124">D553+E553</f>
        <v>753.41003400000011</v>
      </c>
      <c r="G553" s="42">
        <v>0</v>
      </c>
      <c r="H553" s="42">
        <f t="shared" si="121"/>
        <v>1167.7855527000002</v>
      </c>
      <c r="I553" s="36"/>
      <c r="N553" s="36"/>
    </row>
    <row r="554" spans="1:14" s="37" customFormat="1" x14ac:dyDescent="0.3">
      <c r="A554" s="73">
        <f t="shared" si="123"/>
        <v>20</v>
      </c>
      <c r="B554" s="73"/>
      <c r="C554" s="42" t="s">
        <v>191</v>
      </c>
      <c r="D554" s="51">
        <f t="shared" si="122"/>
        <v>753.41003400000011</v>
      </c>
      <c r="E554" s="51">
        <v>0</v>
      </c>
      <c r="F554" s="42">
        <f t="shared" si="124"/>
        <v>753.41003400000011</v>
      </c>
      <c r="G554" s="42">
        <v>0</v>
      </c>
      <c r="H554" s="42">
        <f t="shared" si="121"/>
        <v>1167.7855527000002</v>
      </c>
      <c r="I554" s="36"/>
      <c r="N554" s="36"/>
    </row>
    <row r="555" spans="1:14" s="37" customFormat="1" x14ac:dyDescent="0.3">
      <c r="A555" s="73">
        <f t="shared" si="123"/>
        <v>21</v>
      </c>
      <c r="B555" s="73"/>
      <c r="C555" s="42" t="s">
        <v>191</v>
      </c>
      <c r="D555" s="51">
        <f t="shared" si="122"/>
        <v>753.41003400000011</v>
      </c>
      <c r="E555" s="51">
        <v>0</v>
      </c>
      <c r="F555" s="42">
        <f t="shared" si="124"/>
        <v>753.41003400000011</v>
      </c>
      <c r="G555" s="42">
        <v>0</v>
      </c>
      <c r="H555" s="42">
        <f t="shared" si="121"/>
        <v>1167.7855527000002</v>
      </c>
      <c r="I555" s="36"/>
      <c r="N555" s="36"/>
    </row>
    <row r="556" spans="1:14" s="37" customFormat="1" x14ac:dyDescent="0.3">
      <c r="A556" s="73">
        <f t="shared" si="123"/>
        <v>22</v>
      </c>
      <c r="B556" s="73"/>
      <c r="C556" s="42" t="s">
        <v>191</v>
      </c>
      <c r="D556" s="51">
        <f t="shared" si="122"/>
        <v>753.41003400000011</v>
      </c>
      <c r="E556" s="51">
        <v>0</v>
      </c>
      <c r="F556" s="42">
        <f t="shared" si="124"/>
        <v>753.41003400000011</v>
      </c>
      <c r="G556" s="42">
        <v>0</v>
      </c>
      <c r="H556" s="42">
        <f t="shared" si="121"/>
        <v>1167.7855527000002</v>
      </c>
      <c r="I556" s="36"/>
      <c r="N556" s="36"/>
    </row>
    <row r="557" spans="1:14" s="37" customFormat="1" x14ac:dyDescent="0.3">
      <c r="A557" s="73">
        <f t="shared" si="123"/>
        <v>23</v>
      </c>
      <c r="B557" s="73"/>
      <c r="C557" s="42" t="s">
        <v>191</v>
      </c>
      <c r="D557" s="51">
        <f t="shared" si="122"/>
        <v>753.41003400000011</v>
      </c>
      <c r="E557" s="51">
        <v>0</v>
      </c>
      <c r="F557" s="42">
        <f t="shared" si="124"/>
        <v>753.41003400000011</v>
      </c>
      <c r="G557" s="42">
        <v>0</v>
      </c>
      <c r="H557" s="42">
        <f t="shared" si="121"/>
        <v>1167.7855527000002</v>
      </c>
      <c r="I557" s="36"/>
      <c r="N557" s="36"/>
    </row>
    <row r="558" spans="1:14" s="37" customFormat="1" x14ac:dyDescent="0.3">
      <c r="A558" s="73">
        <f t="shared" si="123"/>
        <v>24</v>
      </c>
      <c r="B558" s="73"/>
      <c r="C558" s="42" t="s">
        <v>191</v>
      </c>
      <c r="D558" s="51">
        <f>(10.7*10.79+3.55*3.35+3.45*3.35+1.55*1.85+1.55*1.85)*10.764</f>
        <v>1556.8834319999999</v>
      </c>
      <c r="E558" s="51">
        <v>0</v>
      </c>
      <c r="F558" s="42">
        <f t="shared" si="124"/>
        <v>1556.8834319999999</v>
      </c>
      <c r="G558" s="42">
        <v>0</v>
      </c>
      <c r="H558" s="42">
        <f t="shared" si="121"/>
        <v>2413.1693195999997</v>
      </c>
      <c r="I558" s="36"/>
      <c r="N558" s="36"/>
    </row>
    <row r="559" spans="1:14" s="37" customFormat="1" x14ac:dyDescent="0.3">
      <c r="A559" s="73">
        <v>26</v>
      </c>
      <c r="B559" s="73"/>
      <c r="C559" s="42" t="s">
        <v>191</v>
      </c>
      <c r="D559" s="51">
        <f>(5.15*8.4+3.45*3.35+1.55*1.85)*10.764</f>
        <v>620.9213400000001</v>
      </c>
      <c r="E559" s="51">
        <v>0</v>
      </c>
      <c r="F559" s="42">
        <f t="shared" si="124"/>
        <v>620.9213400000001</v>
      </c>
      <c r="G559" s="42">
        <v>0</v>
      </c>
      <c r="H559" s="42">
        <f t="shared" si="121"/>
        <v>962.42807700000014</v>
      </c>
      <c r="I559" s="36"/>
      <c r="N559" s="36"/>
    </row>
    <row r="560" spans="1:14" s="37" customFormat="1" x14ac:dyDescent="0.3">
      <c r="A560" s="73">
        <f t="shared" ref="A560:A561" si="125">A559+1</f>
        <v>27</v>
      </c>
      <c r="B560" s="73"/>
      <c r="C560" s="42" t="s">
        <v>191</v>
      </c>
      <c r="D560" s="51">
        <f>(5.15*8.4+3.45*3.35+1.55*1.85)*10.764</f>
        <v>620.9213400000001</v>
      </c>
      <c r="E560" s="51">
        <v>0</v>
      </c>
      <c r="F560" s="42">
        <f t="shared" si="124"/>
        <v>620.9213400000001</v>
      </c>
      <c r="G560" s="42">
        <v>0</v>
      </c>
      <c r="H560" s="42">
        <f t="shared" si="121"/>
        <v>962.42807700000014</v>
      </c>
      <c r="I560" s="36"/>
      <c r="N560" s="36"/>
    </row>
    <row r="561" spans="1:14" s="37" customFormat="1" x14ac:dyDescent="0.3">
      <c r="A561" s="73">
        <f t="shared" si="125"/>
        <v>28</v>
      </c>
      <c r="B561" s="73"/>
      <c r="C561" s="42" t="s">
        <v>191</v>
      </c>
      <c r="D561" s="51">
        <f>(5.15*8.4+3.45*3.35+1.55*1.85)*10.764</f>
        <v>620.9213400000001</v>
      </c>
      <c r="E561" s="51">
        <v>0</v>
      </c>
      <c r="F561" s="42">
        <f t="shared" si="124"/>
        <v>620.9213400000001</v>
      </c>
      <c r="G561" s="42">
        <v>0</v>
      </c>
      <c r="H561" s="42">
        <f t="shared" si="121"/>
        <v>962.42807700000014</v>
      </c>
      <c r="I561" s="36"/>
      <c r="N561" s="36"/>
    </row>
    <row r="562" spans="1:14" s="37" customFormat="1" x14ac:dyDescent="0.3">
      <c r="A562" s="73" t="s">
        <v>246</v>
      </c>
      <c r="B562" s="73"/>
      <c r="C562" s="74" t="s">
        <v>280</v>
      </c>
      <c r="D562" s="75"/>
      <c r="E562" s="75"/>
      <c r="F562" s="75"/>
      <c r="G562" s="75"/>
      <c r="H562" s="76"/>
      <c r="I562" s="36"/>
      <c r="N562" s="36"/>
    </row>
    <row r="563" spans="1:14" s="37" customFormat="1" x14ac:dyDescent="0.3">
      <c r="A563" s="78" t="s">
        <v>267</v>
      </c>
      <c r="B563" s="78"/>
      <c r="C563" s="78"/>
      <c r="D563" s="78"/>
      <c r="E563" s="78"/>
      <c r="F563" s="78"/>
      <c r="G563" s="78"/>
      <c r="H563" s="78"/>
      <c r="I563" s="36">
        <v>1</v>
      </c>
      <c r="L563" s="72"/>
      <c r="M563" s="72"/>
    </row>
    <row r="564" spans="1:14" s="37" customFormat="1" x14ac:dyDescent="0.3">
      <c r="A564" s="73">
        <v>1</v>
      </c>
      <c r="B564" s="73"/>
      <c r="C564" s="42" t="s">
        <v>191</v>
      </c>
      <c r="D564" s="51">
        <f>(6.55*5.15+3.35*3.45+1.85*1.55)*10.764</f>
        <v>518.36733000000004</v>
      </c>
      <c r="E564" s="51">
        <v>0</v>
      </c>
      <c r="F564" s="42">
        <f t="shared" ref="F564:F568" si="126">D564+E564</f>
        <v>518.36733000000004</v>
      </c>
      <c r="G564" s="42">
        <v>0</v>
      </c>
      <c r="H564" s="42">
        <f t="shared" ref="H564:H568" si="127">F564*(($H$251)+1)+(IF(G564&lt;101,G564,IF(G564&lt;201,G564/2,IF(G564&lt;=301,G564/3,G564/4))))</f>
        <v>803.4693615000001</v>
      </c>
      <c r="I564" s="36"/>
      <c r="N564" s="36"/>
    </row>
    <row r="565" spans="1:14" s="37" customFormat="1" x14ac:dyDescent="0.3">
      <c r="A565" s="73">
        <f>A564+1</f>
        <v>2</v>
      </c>
      <c r="B565" s="73"/>
      <c r="C565" s="42" t="s">
        <v>191</v>
      </c>
      <c r="D565" s="51">
        <f>(6.55*5.15+3.35*3.45+1.85*1.55)*10.764</f>
        <v>518.36733000000004</v>
      </c>
      <c r="E565" s="51">
        <v>0</v>
      </c>
      <c r="F565" s="42">
        <f t="shared" si="126"/>
        <v>518.36733000000004</v>
      </c>
      <c r="G565" s="42">
        <v>0</v>
      </c>
      <c r="H565" s="42">
        <f t="shared" si="127"/>
        <v>803.4693615000001</v>
      </c>
      <c r="I565" s="36"/>
      <c r="N565" s="36"/>
    </row>
    <row r="566" spans="1:14" s="37" customFormat="1" x14ac:dyDescent="0.3">
      <c r="A566" s="73">
        <f t="shared" ref="A566:A576" si="128">A565+1</f>
        <v>3</v>
      </c>
      <c r="B566" s="73"/>
      <c r="C566" s="42" t="s">
        <v>191</v>
      </c>
      <c r="D566" s="51">
        <f>(6.55*5.15+3.35*3.45+1.85*1.55)*10.764</f>
        <v>518.36733000000004</v>
      </c>
      <c r="E566" s="51">
        <v>0</v>
      </c>
      <c r="F566" s="42">
        <f t="shared" si="126"/>
        <v>518.36733000000004</v>
      </c>
      <c r="G566" s="42">
        <v>0</v>
      </c>
      <c r="H566" s="42">
        <f t="shared" si="127"/>
        <v>803.4693615000001</v>
      </c>
      <c r="I566" s="36"/>
      <c r="N566" s="36"/>
    </row>
    <row r="567" spans="1:14" s="37" customFormat="1" x14ac:dyDescent="0.3">
      <c r="A567" s="73">
        <f t="shared" si="128"/>
        <v>4</v>
      </c>
      <c r="B567" s="73"/>
      <c r="C567" s="42" t="s">
        <v>191</v>
      </c>
      <c r="D567" s="51">
        <f>(6.55*5.15+3.35*3.45+1.85*1.55)*10.764</f>
        <v>518.36733000000004</v>
      </c>
      <c r="E567" s="51">
        <v>0</v>
      </c>
      <c r="F567" s="42">
        <f t="shared" si="126"/>
        <v>518.36733000000004</v>
      </c>
      <c r="G567" s="42">
        <v>0</v>
      </c>
      <c r="H567" s="42">
        <f t="shared" si="127"/>
        <v>803.4693615000001</v>
      </c>
      <c r="I567" s="36"/>
      <c r="N567" s="36"/>
    </row>
    <row r="568" spans="1:14" s="37" customFormat="1" x14ac:dyDescent="0.3">
      <c r="A568" s="73">
        <f t="shared" si="128"/>
        <v>5</v>
      </c>
      <c r="B568" s="73"/>
      <c r="C568" s="42" t="s">
        <v>191</v>
      </c>
      <c r="D568" s="51">
        <f>(6.55*5.22+3.35*3.45+1.85*1.55)*10.764</f>
        <v>523.30262399999992</v>
      </c>
      <c r="E568" s="51">
        <v>0</v>
      </c>
      <c r="F568" s="42">
        <f t="shared" si="126"/>
        <v>523.30262399999992</v>
      </c>
      <c r="G568" s="42">
        <v>0</v>
      </c>
      <c r="H568" s="42">
        <f t="shared" si="127"/>
        <v>811.1190671999999</v>
      </c>
      <c r="I568" s="36"/>
      <c r="N568" s="36"/>
    </row>
    <row r="569" spans="1:14" s="37" customFormat="1" x14ac:dyDescent="0.3">
      <c r="A569" s="73">
        <f t="shared" si="128"/>
        <v>6</v>
      </c>
      <c r="B569" s="73"/>
      <c r="C569" s="74" t="s">
        <v>197</v>
      </c>
      <c r="D569" s="75"/>
      <c r="E569" s="75"/>
      <c r="F569" s="75"/>
      <c r="G569" s="75"/>
      <c r="H569" s="76"/>
      <c r="I569" s="36"/>
      <c r="N569" s="36"/>
    </row>
    <row r="570" spans="1:14" s="37" customFormat="1" x14ac:dyDescent="0.3">
      <c r="A570" s="73">
        <f t="shared" si="128"/>
        <v>7</v>
      </c>
      <c r="B570" s="73"/>
      <c r="C570" s="42" t="s">
        <v>191</v>
      </c>
      <c r="D570" s="51">
        <f>(9.46*6.01+3.35*4.31+1.85*1.55)*10.764</f>
        <v>798.26469840000016</v>
      </c>
      <c r="E570" s="51">
        <v>0</v>
      </c>
      <c r="F570" s="42">
        <f t="shared" ref="F570:F576" si="129">D570+E570</f>
        <v>798.26469840000016</v>
      </c>
      <c r="G570" s="42">
        <v>0</v>
      </c>
      <c r="H570" s="42">
        <f t="shared" ref="H570:H590" si="130">F570*(($H$251)+1)+(IF(G570&lt;101,G570,IF(G570&lt;201,G570/2,IF(G570&lt;=301,G570/3,G570/4))))</f>
        <v>1237.3102825200003</v>
      </c>
      <c r="I570" s="36"/>
      <c r="N570" s="36"/>
    </row>
    <row r="571" spans="1:14" s="37" customFormat="1" x14ac:dyDescent="0.3">
      <c r="A571" s="73">
        <f t="shared" si="128"/>
        <v>8</v>
      </c>
      <c r="B571" s="73"/>
      <c r="C571" s="42" t="s">
        <v>191</v>
      </c>
      <c r="D571" s="51">
        <f>(10.22*5.22+3.35*3.52+1.85*1.55)*10.764</f>
        <v>732.03703560000008</v>
      </c>
      <c r="E571" s="51">
        <v>0</v>
      </c>
      <c r="F571" s="42">
        <f t="shared" si="129"/>
        <v>732.03703560000008</v>
      </c>
      <c r="G571" s="42">
        <v>0</v>
      </c>
      <c r="H571" s="42">
        <f t="shared" si="130"/>
        <v>1134.6574051800001</v>
      </c>
      <c r="I571" s="36"/>
      <c r="N571" s="36"/>
    </row>
    <row r="572" spans="1:14" s="37" customFormat="1" x14ac:dyDescent="0.3">
      <c r="A572" s="73">
        <f t="shared" si="128"/>
        <v>9</v>
      </c>
      <c r="B572" s="73"/>
      <c r="C572" s="42" t="s">
        <v>191</v>
      </c>
      <c r="D572" s="51">
        <f>(10.85*5.15+3.35*3.45+1.85*1.55)*10.764</f>
        <v>756.73611000000005</v>
      </c>
      <c r="E572" s="51">
        <v>0</v>
      </c>
      <c r="F572" s="42">
        <f t="shared" si="129"/>
        <v>756.73611000000005</v>
      </c>
      <c r="G572" s="42">
        <v>0</v>
      </c>
      <c r="H572" s="42">
        <f t="shared" si="130"/>
        <v>1172.9409705</v>
      </c>
      <c r="I572" s="36"/>
      <c r="N572" s="36"/>
    </row>
    <row r="573" spans="1:14" s="37" customFormat="1" x14ac:dyDescent="0.3">
      <c r="A573" s="73">
        <f t="shared" si="128"/>
        <v>10</v>
      </c>
      <c r="B573" s="73"/>
      <c r="C573" s="42" t="s">
        <v>191</v>
      </c>
      <c r="D573" s="51">
        <f>(11.39*5.15+3.35*3.45+1.85*1.55)*10.764</f>
        <v>786.67079400000011</v>
      </c>
      <c r="E573" s="51">
        <v>0</v>
      </c>
      <c r="F573" s="42">
        <f t="shared" si="129"/>
        <v>786.67079400000011</v>
      </c>
      <c r="G573" s="42">
        <v>0</v>
      </c>
      <c r="H573" s="42">
        <f t="shared" si="130"/>
        <v>1219.3397307000002</v>
      </c>
      <c r="I573" s="36"/>
      <c r="N573" s="36"/>
    </row>
    <row r="574" spans="1:14" s="37" customFormat="1" x14ac:dyDescent="0.3">
      <c r="A574" s="73">
        <f t="shared" si="128"/>
        <v>11</v>
      </c>
      <c r="B574" s="73"/>
      <c r="C574" s="42" t="s">
        <v>191</v>
      </c>
      <c r="D574" s="51">
        <f>(11.85*5.15+3.35*3.45+1.85*1.55)*10.764</f>
        <v>812.1707100000001</v>
      </c>
      <c r="E574" s="51">
        <v>0</v>
      </c>
      <c r="F574" s="42">
        <f t="shared" si="129"/>
        <v>812.1707100000001</v>
      </c>
      <c r="G574" s="42">
        <v>0</v>
      </c>
      <c r="H574" s="42">
        <f t="shared" si="130"/>
        <v>1258.8646005000003</v>
      </c>
      <c r="I574" s="36"/>
      <c r="N574" s="36"/>
    </row>
    <row r="575" spans="1:14" s="37" customFormat="1" x14ac:dyDescent="0.3">
      <c r="A575" s="73">
        <f t="shared" si="128"/>
        <v>12</v>
      </c>
      <c r="B575" s="73"/>
      <c r="C575" s="42" t="s">
        <v>191</v>
      </c>
      <c r="D575" s="51">
        <f>(12.23*5.15+3.35*3.45+1.85*1.55)*10.764</f>
        <v>833.23585800000001</v>
      </c>
      <c r="E575" s="51">
        <v>0</v>
      </c>
      <c r="F575" s="42">
        <f t="shared" si="129"/>
        <v>833.23585800000001</v>
      </c>
      <c r="G575" s="42">
        <v>0</v>
      </c>
      <c r="H575" s="42">
        <f t="shared" si="130"/>
        <v>1291.5155799000001</v>
      </c>
      <c r="I575" s="36"/>
      <c r="N575" s="36"/>
    </row>
    <row r="576" spans="1:14" s="37" customFormat="1" x14ac:dyDescent="0.3">
      <c r="A576" s="73">
        <f t="shared" si="128"/>
        <v>13</v>
      </c>
      <c r="B576" s="73"/>
      <c r="C576" s="42" t="s">
        <v>191</v>
      </c>
      <c r="D576" s="51">
        <f>(12.54*5.15+3.35*3.45+1.85*1.55)*10.764</f>
        <v>850.42058400000008</v>
      </c>
      <c r="E576" s="51">
        <v>0</v>
      </c>
      <c r="F576" s="42">
        <f t="shared" si="129"/>
        <v>850.42058400000008</v>
      </c>
      <c r="G576" s="42">
        <v>0</v>
      </c>
      <c r="H576" s="42">
        <f t="shared" si="130"/>
        <v>1318.1519052000001</v>
      </c>
      <c r="I576" s="36"/>
      <c r="N576" s="36"/>
    </row>
    <row r="577" spans="1:14" s="37" customFormat="1" x14ac:dyDescent="0.3">
      <c r="A577" s="73">
        <v>14</v>
      </c>
      <c r="B577" s="73"/>
      <c r="C577" s="42" t="s">
        <v>191</v>
      </c>
      <c r="D577" s="51">
        <f>(12.77*5.15+3.35*3.45+1.85*1.55)*10.764</f>
        <v>863.17054200000007</v>
      </c>
      <c r="E577" s="51">
        <v>0</v>
      </c>
      <c r="F577" s="42">
        <f>D577+E577</f>
        <v>863.17054200000007</v>
      </c>
      <c r="G577" s="42">
        <v>0</v>
      </c>
      <c r="H577" s="42">
        <f t="shared" si="130"/>
        <v>1337.9143401000001</v>
      </c>
      <c r="I577" s="36"/>
      <c r="N577" s="36"/>
    </row>
    <row r="578" spans="1:14" s="37" customFormat="1" x14ac:dyDescent="0.3">
      <c r="A578" s="73">
        <f>A577+1</f>
        <v>15</v>
      </c>
      <c r="B578" s="73"/>
      <c r="C578" s="42" t="s">
        <v>191</v>
      </c>
      <c r="D578" s="51">
        <f>(12.93*6.75+3.35*5.05+1.35*1.55)*10.764</f>
        <v>1144.0786499999999</v>
      </c>
      <c r="E578" s="51">
        <v>0</v>
      </c>
      <c r="F578" s="42">
        <f>D578+E578</f>
        <v>1144.0786499999999</v>
      </c>
      <c r="G578" s="42">
        <v>0</v>
      </c>
      <c r="H578" s="42">
        <f t="shared" si="130"/>
        <v>1773.3219075</v>
      </c>
      <c r="I578" s="36"/>
      <c r="N578" s="36"/>
    </row>
    <row r="579" spans="1:14" s="37" customFormat="1" x14ac:dyDescent="0.3">
      <c r="A579" s="73">
        <f>A578+1</f>
        <v>16</v>
      </c>
      <c r="B579" s="73"/>
      <c r="C579" s="42" t="s">
        <v>191</v>
      </c>
      <c r="D579" s="51">
        <f>(4.93*3.35+8.88*4.92+12.23*5.87+6.94*3.89+12.54*10.87+1.2*2.55+1.55*2.4+1.85*1.55+1.85*1.55)*10.764</f>
        <v>3313.3378824000001</v>
      </c>
      <c r="E579" s="51">
        <v>0</v>
      </c>
      <c r="F579" s="42">
        <f>D579+E579</f>
        <v>3313.3378824000001</v>
      </c>
      <c r="G579" s="42">
        <v>0</v>
      </c>
      <c r="H579" s="42">
        <f t="shared" si="130"/>
        <v>5135.6737177200002</v>
      </c>
      <c r="I579" s="36"/>
      <c r="N579" s="36"/>
    </row>
    <row r="580" spans="1:14" s="37" customFormat="1" x14ac:dyDescent="0.3">
      <c r="A580" s="73">
        <f>A579+1</f>
        <v>17</v>
      </c>
      <c r="B580" s="73"/>
      <c r="C580" s="42" t="s">
        <v>191</v>
      </c>
      <c r="D580" s="51">
        <f t="shared" ref="D580:D586" si="131">(5.15*10.79+3.45*3.35+1.55*1.85)*10.764</f>
        <v>753.41003400000011</v>
      </c>
      <c r="E580" s="51">
        <v>0</v>
      </c>
      <c r="F580" s="42">
        <f>D580+E580</f>
        <v>753.41003400000011</v>
      </c>
      <c r="G580" s="42">
        <v>0</v>
      </c>
      <c r="H580" s="42">
        <f t="shared" si="130"/>
        <v>1167.7855527000002</v>
      </c>
      <c r="I580" s="36"/>
      <c r="N580" s="36"/>
    </row>
    <row r="581" spans="1:14" s="37" customFormat="1" x14ac:dyDescent="0.3">
      <c r="A581" s="73">
        <f>A580+1</f>
        <v>18</v>
      </c>
      <c r="B581" s="73"/>
      <c r="C581" s="42" t="s">
        <v>191</v>
      </c>
      <c r="D581" s="51">
        <f t="shared" si="131"/>
        <v>753.41003400000011</v>
      </c>
      <c r="E581" s="51">
        <v>0</v>
      </c>
      <c r="F581" s="42">
        <f>D581+E581</f>
        <v>753.41003400000011</v>
      </c>
      <c r="G581" s="42">
        <v>0</v>
      </c>
      <c r="H581" s="42">
        <f t="shared" si="130"/>
        <v>1167.7855527000002</v>
      </c>
      <c r="I581" s="36"/>
      <c r="N581" s="36"/>
    </row>
    <row r="582" spans="1:14" s="37" customFormat="1" x14ac:dyDescent="0.3">
      <c r="A582" s="73">
        <f t="shared" ref="A582:A587" si="132">A581+1</f>
        <v>19</v>
      </c>
      <c r="B582" s="73"/>
      <c r="C582" s="42" t="s">
        <v>191</v>
      </c>
      <c r="D582" s="51">
        <f t="shared" si="131"/>
        <v>753.41003400000011</v>
      </c>
      <c r="E582" s="51">
        <v>0</v>
      </c>
      <c r="F582" s="42">
        <f t="shared" ref="F582:F590" si="133">D582+E582</f>
        <v>753.41003400000011</v>
      </c>
      <c r="G582" s="42">
        <v>0</v>
      </c>
      <c r="H582" s="42">
        <f t="shared" si="130"/>
        <v>1167.7855527000002</v>
      </c>
      <c r="I582" s="36"/>
      <c r="N582" s="36"/>
    </row>
    <row r="583" spans="1:14" s="37" customFormat="1" x14ac:dyDescent="0.3">
      <c r="A583" s="73">
        <f t="shared" si="132"/>
        <v>20</v>
      </c>
      <c r="B583" s="73"/>
      <c r="C583" s="42" t="s">
        <v>191</v>
      </c>
      <c r="D583" s="51">
        <f t="shared" si="131"/>
        <v>753.41003400000011</v>
      </c>
      <c r="E583" s="51">
        <v>0</v>
      </c>
      <c r="F583" s="42">
        <f t="shared" si="133"/>
        <v>753.41003400000011</v>
      </c>
      <c r="G583" s="42">
        <v>0</v>
      </c>
      <c r="H583" s="42">
        <f t="shared" si="130"/>
        <v>1167.7855527000002</v>
      </c>
      <c r="I583" s="36"/>
      <c r="N583" s="36"/>
    </row>
    <row r="584" spans="1:14" s="37" customFormat="1" x14ac:dyDescent="0.3">
      <c r="A584" s="73">
        <f t="shared" si="132"/>
        <v>21</v>
      </c>
      <c r="B584" s="73"/>
      <c r="C584" s="42" t="s">
        <v>191</v>
      </c>
      <c r="D584" s="51">
        <f t="shared" si="131"/>
        <v>753.41003400000011</v>
      </c>
      <c r="E584" s="51">
        <v>0</v>
      </c>
      <c r="F584" s="42">
        <f t="shared" si="133"/>
        <v>753.41003400000011</v>
      </c>
      <c r="G584" s="42">
        <v>0</v>
      </c>
      <c r="H584" s="42">
        <f t="shared" si="130"/>
        <v>1167.7855527000002</v>
      </c>
      <c r="I584" s="36"/>
      <c r="N584" s="36"/>
    </row>
    <row r="585" spans="1:14" s="37" customFormat="1" x14ac:dyDescent="0.3">
      <c r="A585" s="73">
        <f t="shared" si="132"/>
        <v>22</v>
      </c>
      <c r="B585" s="73"/>
      <c r="C585" s="42" t="s">
        <v>191</v>
      </c>
      <c r="D585" s="51">
        <f t="shared" si="131"/>
        <v>753.41003400000011</v>
      </c>
      <c r="E585" s="51">
        <v>0</v>
      </c>
      <c r="F585" s="42">
        <f t="shared" si="133"/>
        <v>753.41003400000011</v>
      </c>
      <c r="G585" s="42">
        <v>0</v>
      </c>
      <c r="H585" s="42">
        <f t="shared" si="130"/>
        <v>1167.7855527000002</v>
      </c>
      <c r="I585" s="36"/>
      <c r="N585" s="36"/>
    </row>
    <row r="586" spans="1:14" s="37" customFormat="1" x14ac:dyDescent="0.3">
      <c r="A586" s="73">
        <f t="shared" si="132"/>
        <v>23</v>
      </c>
      <c r="B586" s="73"/>
      <c r="C586" s="42" t="s">
        <v>191</v>
      </c>
      <c r="D586" s="51">
        <f t="shared" si="131"/>
        <v>753.41003400000011</v>
      </c>
      <c r="E586" s="51">
        <v>0</v>
      </c>
      <c r="F586" s="42">
        <f t="shared" si="133"/>
        <v>753.41003400000011</v>
      </c>
      <c r="G586" s="42">
        <v>0</v>
      </c>
      <c r="H586" s="42">
        <f t="shared" si="130"/>
        <v>1167.7855527000002</v>
      </c>
      <c r="I586" s="36"/>
      <c r="N586" s="36"/>
    </row>
    <row r="587" spans="1:14" s="37" customFormat="1" x14ac:dyDescent="0.3">
      <c r="A587" s="73">
        <f t="shared" si="132"/>
        <v>24</v>
      </c>
      <c r="B587" s="73"/>
      <c r="C587" s="42" t="s">
        <v>191</v>
      </c>
      <c r="D587" s="51">
        <f>(10.7*10.79+3.55*3.35+3.45*3.35+1.55*1.85+1.55*1.85)*10.764</f>
        <v>1556.8834319999999</v>
      </c>
      <c r="E587" s="51">
        <v>0</v>
      </c>
      <c r="F587" s="42">
        <f t="shared" si="133"/>
        <v>1556.8834319999999</v>
      </c>
      <c r="G587" s="42">
        <v>0</v>
      </c>
      <c r="H587" s="42">
        <f t="shared" si="130"/>
        <v>2413.1693195999997</v>
      </c>
      <c r="I587" s="36"/>
      <c r="N587" s="36"/>
    </row>
    <row r="588" spans="1:14" s="37" customFormat="1" x14ac:dyDescent="0.3">
      <c r="A588" s="73">
        <v>26</v>
      </c>
      <c r="B588" s="73"/>
      <c r="C588" s="42" t="s">
        <v>191</v>
      </c>
      <c r="D588" s="51">
        <f>(5.15*8.4+3.45*3.35+1.55*1.85)*10.764</f>
        <v>620.9213400000001</v>
      </c>
      <c r="E588" s="51">
        <v>0</v>
      </c>
      <c r="F588" s="42">
        <f t="shared" si="133"/>
        <v>620.9213400000001</v>
      </c>
      <c r="G588" s="42">
        <v>0</v>
      </c>
      <c r="H588" s="42">
        <f t="shared" si="130"/>
        <v>962.42807700000014</v>
      </c>
      <c r="I588" s="36"/>
      <c r="N588" s="36"/>
    </row>
    <row r="589" spans="1:14" s="37" customFormat="1" x14ac:dyDescent="0.3">
      <c r="A589" s="73">
        <f t="shared" ref="A589:A590" si="134">A588+1</f>
        <v>27</v>
      </c>
      <c r="B589" s="73"/>
      <c r="C589" s="42" t="s">
        <v>191</v>
      </c>
      <c r="D589" s="51">
        <f>(5.15*8.4+3.45*3.35+1.55*1.85)*10.764</f>
        <v>620.9213400000001</v>
      </c>
      <c r="E589" s="51">
        <v>0</v>
      </c>
      <c r="F589" s="42">
        <f t="shared" si="133"/>
        <v>620.9213400000001</v>
      </c>
      <c r="G589" s="42">
        <v>0</v>
      </c>
      <c r="H589" s="42">
        <f t="shared" si="130"/>
        <v>962.42807700000014</v>
      </c>
      <c r="I589" s="36"/>
      <c r="N589" s="36"/>
    </row>
    <row r="590" spans="1:14" s="37" customFormat="1" x14ac:dyDescent="0.3">
      <c r="A590" s="73">
        <f t="shared" si="134"/>
        <v>28</v>
      </c>
      <c r="B590" s="73"/>
      <c r="C590" s="42" t="s">
        <v>191</v>
      </c>
      <c r="D590" s="51">
        <f>(5.15*8.4+3.45*3.35+1.55*1.85)*10.764</f>
        <v>620.9213400000001</v>
      </c>
      <c r="E590" s="51">
        <v>0</v>
      </c>
      <c r="F590" s="42">
        <f t="shared" si="133"/>
        <v>620.9213400000001</v>
      </c>
      <c r="G590" s="42">
        <v>0</v>
      </c>
      <c r="H590" s="42">
        <f t="shared" si="130"/>
        <v>962.42807700000014</v>
      </c>
      <c r="I590" s="36"/>
      <c r="N590" s="36"/>
    </row>
    <row r="591" spans="1:14" s="37" customFormat="1" x14ac:dyDescent="0.3">
      <c r="A591" s="73" t="s">
        <v>246</v>
      </c>
      <c r="B591" s="73"/>
      <c r="C591" s="74" t="s">
        <v>279</v>
      </c>
      <c r="D591" s="75"/>
      <c r="E591" s="75"/>
      <c r="F591" s="75"/>
      <c r="G591" s="75"/>
      <c r="H591" s="76"/>
      <c r="I591" s="36"/>
      <c r="N591" s="36"/>
    </row>
    <row r="592" spans="1:14" s="37" customFormat="1" x14ac:dyDescent="0.3">
      <c r="A592" s="78" t="s">
        <v>268</v>
      </c>
      <c r="B592" s="78"/>
      <c r="C592" s="78"/>
      <c r="D592" s="78"/>
      <c r="E592" s="78"/>
      <c r="F592" s="78"/>
      <c r="G592" s="78"/>
      <c r="H592" s="78"/>
      <c r="I592" s="36">
        <v>3</v>
      </c>
      <c r="L592" s="72"/>
      <c r="M592" s="72"/>
    </row>
    <row r="593" spans="1:14" s="37" customFormat="1" x14ac:dyDescent="0.3">
      <c r="A593" s="73">
        <v>1</v>
      </c>
      <c r="B593" s="73"/>
      <c r="C593" s="42" t="s">
        <v>191</v>
      </c>
      <c r="D593" s="51">
        <f>(6.55*5.15+3.35*3.45+1.85*1.55)*10.764</f>
        <v>518.36733000000004</v>
      </c>
      <c r="E593" s="51">
        <v>0</v>
      </c>
      <c r="F593" s="42">
        <f t="shared" ref="F593:F605" si="135">D593+E593</f>
        <v>518.36733000000004</v>
      </c>
      <c r="G593" s="42">
        <v>0</v>
      </c>
      <c r="H593" s="42">
        <f t="shared" ref="H593:H620" si="136">F593*(($H$251)+1)+(IF(G593&lt;101,G593,IF(G593&lt;201,G593/2,IF(G593&lt;=301,G593/3,G593/4))))</f>
        <v>803.4693615000001</v>
      </c>
      <c r="I593" s="36"/>
      <c r="N593" s="36"/>
    </row>
    <row r="594" spans="1:14" s="37" customFormat="1" x14ac:dyDescent="0.3">
      <c r="A594" s="73">
        <f>A593+1</f>
        <v>2</v>
      </c>
      <c r="B594" s="73"/>
      <c r="C594" s="42" t="s">
        <v>191</v>
      </c>
      <c r="D594" s="51">
        <f>(6.55*5.15+3.35*3.45+1.85*1.55)*10.764</f>
        <v>518.36733000000004</v>
      </c>
      <c r="E594" s="51">
        <v>0</v>
      </c>
      <c r="F594" s="42">
        <f t="shared" si="135"/>
        <v>518.36733000000004</v>
      </c>
      <c r="G594" s="42">
        <v>0</v>
      </c>
      <c r="H594" s="42">
        <f t="shared" si="136"/>
        <v>803.4693615000001</v>
      </c>
      <c r="I594" s="36"/>
      <c r="N594" s="36"/>
    </row>
    <row r="595" spans="1:14" s="37" customFormat="1" x14ac:dyDescent="0.3">
      <c r="A595" s="73">
        <f t="shared" ref="A595:A605" si="137">A594+1</f>
        <v>3</v>
      </c>
      <c r="B595" s="73"/>
      <c r="C595" s="42" t="s">
        <v>191</v>
      </c>
      <c r="D595" s="51">
        <f>(6.55*5.15+3.35*3.45+1.85*1.55)*10.764</f>
        <v>518.36733000000004</v>
      </c>
      <c r="E595" s="51">
        <v>0</v>
      </c>
      <c r="F595" s="42">
        <f t="shared" si="135"/>
        <v>518.36733000000004</v>
      </c>
      <c r="G595" s="42">
        <v>0</v>
      </c>
      <c r="H595" s="42">
        <f t="shared" si="136"/>
        <v>803.4693615000001</v>
      </c>
      <c r="I595" s="36"/>
      <c r="N595" s="36"/>
    </row>
    <row r="596" spans="1:14" s="37" customFormat="1" x14ac:dyDescent="0.3">
      <c r="A596" s="73">
        <f t="shared" si="137"/>
        <v>4</v>
      </c>
      <c r="B596" s="73"/>
      <c r="C596" s="42" t="s">
        <v>191</v>
      </c>
      <c r="D596" s="51">
        <f>(6.55*5.15+3.35*3.45+1.85*1.55)*10.764</f>
        <v>518.36733000000004</v>
      </c>
      <c r="E596" s="51">
        <v>0</v>
      </c>
      <c r="F596" s="42">
        <f t="shared" si="135"/>
        <v>518.36733000000004</v>
      </c>
      <c r="G596" s="42">
        <v>0</v>
      </c>
      <c r="H596" s="42">
        <f t="shared" si="136"/>
        <v>803.4693615000001</v>
      </c>
      <c r="I596" s="36"/>
      <c r="N596" s="36"/>
    </row>
    <row r="597" spans="1:14" s="37" customFormat="1" x14ac:dyDescent="0.3">
      <c r="A597" s="73">
        <f t="shared" si="137"/>
        <v>5</v>
      </c>
      <c r="B597" s="73"/>
      <c r="C597" s="42" t="s">
        <v>191</v>
      </c>
      <c r="D597" s="51">
        <f>(6.55*5.22+3.35*3.45+1.85*1.55)*10.764</f>
        <v>523.30262399999992</v>
      </c>
      <c r="E597" s="51">
        <v>0</v>
      </c>
      <c r="F597" s="42">
        <f t="shared" si="135"/>
        <v>523.30262399999992</v>
      </c>
      <c r="G597" s="42">
        <v>0</v>
      </c>
      <c r="H597" s="42">
        <f t="shared" si="136"/>
        <v>811.1190671999999</v>
      </c>
      <c r="I597" s="36"/>
      <c r="N597" s="36"/>
    </row>
    <row r="598" spans="1:14" s="37" customFormat="1" x14ac:dyDescent="0.3">
      <c r="A598" s="73">
        <f t="shared" si="137"/>
        <v>6</v>
      </c>
      <c r="B598" s="73"/>
      <c r="C598" s="42" t="s">
        <v>191</v>
      </c>
      <c r="D598" s="51">
        <f>(8.39*7.85+3.35*6.15+11.09*9.44+1.85*1.55)*10.764</f>
        <v>2088.4431204000002</v>
      </c>
      <c r="E598" s="51">
        <v>0</v>
      </c>
      <c r="F598" s="42">
        <f t="shared" si="135"/>
        <v>2088.4431204000002</v>
      </c>
      <c r="G598" s="42">
        <v>0</v>
      </c>
      <c r="H598" s="42">
        <f t="shared" si="136"/>
        <v>3237.0868366200007</v>
      </c>
      <c r="I598" s="36"/>
      <c r="N598" s="36"/>
    </row>
    <row r="599" spans="1:14" s="37" customFormat="1" x14ac:dyDescent="0.3">
      <c r="A599" s="73">
        <f t="shared" si="137"/>
        <v>7</v>
      </c>
      <c r="B599" s="73"/>
      <c r="C599" s="42" t="s">
        <v>191</v>
      </c>
      <c r="D599" s="51">
        <f>(9.46*6.01+3.35*4.31+1.85*1.55)*10.764</f>
        <v>798.26469840000016</v>
      </c>
      <c r="E599" s="51">
        <v>0</v>
      </c>
      <c r="F599" s="42">
        <f t="shared" si="135"/>
        <v>798.26469840000016</v>
      </c>
      <c r="G599" s="42">
        <v>0</v>
      </c>
      <c r="H599" s="42">
        <f t="shared" si="136"/>
        <v>1237.3102825200003</v>
      </c>
      <c r="I599" s="36"/>
      <c r="N599" s="36"/>
    </row>
    <row r="600" spans="1:14" s="37" customFormat="1" x14ac:dyDescent="0.3">
      <c r="A600" s="73">
        <f t="shared" si="137"/>
        <v>8</v>
      </c>
      <c r="B600" s="73"/>
      <c r="C600" s="42" t="s">
        <v>191</v>
      </c>
      <c r="D600" s="51">
        <f>(10.22*5.22+3.35*3.52+1.85*1.55)*10.764</f>
        <v>732.03703560000008</v>
      </c>
      <c r="E600" s="51">
        <v>0</v>
      </c>
      <c r="F600" s="42">
        <f t="shared" si="135"/>
        <v>732.03703560000008</v>
      </c>
      <c r="G600" s="42">
        <v>0</v>
      </c>
      <c r="H600" s="42">
        <f t="shared" si="136"/>
        <v>1134.6574051800001</v>
      </c>
      <c r="I600" s="36"/>
      <c r="N600" s="36"/>
    </row>
    <row r="601" spans="1:14" s="37" customFormat="1" x14ac:dyDescent="0.3">
      <c r="A601" s="73">
        <f t="shared" si="137"/>
        <v>9</v>
      </c>
      <c r="B601" s="73"/>
      <c r="C601" s="42" t="s">
        <v>191</v>
      </c>
      <c r="D601" s="51">
        <f>(10.85*5.15+3.35*3.45+1.85*1.55)*10.764</f>
        <v>756.73611000000005</v>
      </c>
      <c r="E601" s="51">
        <v>0</v>
      </c>
      <c r="F601" s="42">
        <f t="shared" si="135"/>
        <v>756.73611000000005</v>
      </c>
      <c r="G601" s="42">
        <v>0</v>
      </c>
      <c r="H601" s="42">
        <f t="shared" si="136"/>
        <v>1172.9409705</v>
      </c>
      <c r="I601" s="36"/>
      <c r="N601" s="36"/>
    </row>
    <row r="602" spans="1:14" s="37" customFormat="1" x14ac:dyDescent="0.3">
      <c r="A602" s="73">
        <f t="shared" si="137"/>
        <v>10</v>
      </c>
      <c r="B602" s="73"/>
      <c r="C602" s="42" t="s">
        <v>191</v>
      </c>
      <c r="D602" s="51">
        <f>(11.39*5.15+3.35*3.45+1.85*1.55)*10.764</f>
        <v>786.67079400000011</v>
      </c>
      <c r="E602" s="51">
        <v>0</v>
      </c>
      <c r="F602" s="42">
        <f t="shared" si="135"/>
        <v>786.67079400000011</v>
      </c>
      <c r="G602" s="42">
        <v>0</v>
      </c>
      <c r="H602" s="42">
        <f t="shared" si="136"/>
        <v>1219.3397307000002</v>
      </c>
      <c r="I602" s="36"/>
      <c r="N602" s="36"/>
    </row>
    <row r="603" spans="1:14" s="37" customFormat="1" x14ac:dyDescent="0.3">
      <c r="A603" s="73">
        <f t="shared" si="137"/>
        <v>11</v>
      </c>
      <c r="B603" s="73"/>
      <c r="C603" s="42" t="s">
        <v>191</v>
      </c>
      <c r="D603" s="51">
        <f>(11.85*5.15+3.35*3.45+1.85*1.55)*10.764</f>
        <v>812.1707100000001</v>
      </c>
      <c r="E603" s="51">
        <v>0</v>
      </c>
      <c r="F603" s="42">
        <f t="shared" si="135"/>
        <v>812.1707100000001</v>
      </c>
      <c r="G603" s="42">
        <v>0</v>
      </c>
      <c r="H603" s="42">
        <f t="shared" si="136"/>
        <v>1258.8646005000003</v>
      </c>
      <c r="I603" s="36"/>
      <c r="N603" s="36"/>
    </row>
    <row r="604" spans="1:14" s="37" customFormat="1" x14ac:dyDescent="0.3">
      <c r="A604" s="73">
        <f t="shared" si="137"/>
        <v>12</v>
      </c>
      <c r="B604" s="73"/>
      <c r="C604" s="42" t="s">
        <v>191</v>
      </c>
      <c r="D604" s="51">
        <f>(12.23*5.15+3.35*3.45+1.85*1.55)*10.764</f>
        <v>833.23585800000001</v>
      </c>
      <c r="E604" s="51">
        <v>0</v>
      </c>
      <c r="F604" s="42">
        <f t="shared" si="135"/>
        <v>833.23585800000001</v>
      </c>
      <c r="G604" s="42">
        <v>0</v>
      </c>
      <c r="H604" s="42">
        <f t="shared" si="136"/>
        <v>1291.5155799000001</v>
      </c>
      <c r="I604" s="36"/>
      <c r="N604" s="36"/>
    </row>
    <row r="605" spans="1:14" s="37" customFormat="1" x14ac:dyDescent="0.3">
      <c r="A605" s="73">
        <f t="shared" si="137"/>
        <v>13</v>
      </c>
      <c r="B605" s="73"/>
      <c r="C605" s="42" t="s">
        <v>191</v>
      </c>
      <c r="D605" s="51">
        <f>(12.54*5.15+3.35*3.45+1.85*1.55)*10.764</f>
        <v>850.42058400000008</v>
      </c>
      <c r="E605" s="51">
        <v>0</v>
      </c>
      <c r="F605" s="42">
        <f t="shared" si="135"/>
        <v>850.42058400000008</v>
      </c>
      <c r="G605" s="42">
        <v>0</v>
      </c>
      <c r="H605" s="42">
        <f t="shared" si="136"/>
        <v>1318.1519052000001</v>
      </c>
      <c r="I605" s="36"/>
      <c r="N605" s="36"/>
    </row>
    <row r="606" spans="1:14" s="37" customFormat="1" x14ac:dyDescent="0.3">
      <c r="A606" s="73">
        <v>14</v>
      </c>
      <c r="B606" s="73"/>
      <c r="C606" s="42" t="s">
        <v>191</v>
      </c>
      <c r="D606" s="51">
        <f>(12.77*5.15+3.35*3.45+1.85*1.55)*10.764</f>
        <v>863.17054200000007</v>
      </c>
      <c r="E606" s="51">
        <v>0</v>
      </c>
      <c r="F606" s="42">
        <f>D606+E606</f>
        <v>863.17054200000007</v>
      </c>
      <c r="G606" s="42">
        <v>0</v>
      </c>
      <c r="H606" s="42">
        <f t="shared" si="136"/>
        <v>1337.9143401000001</v>
      </c>
      <c r="I606" s="36"/>
      <c r="N606" s="36"/>
    </row>
    <row r="607" spans="1:14" s="37" customFormat="1" x14ac:dyDescent="0.3">
      <c r="A607" s="73">
        <f>A606+1</f>
        <v>15</v>
      </c>
      <c r="B607" s="73"/>
      <c r="C607" s="42" t="s">
        <v>191</v>
      </c>
      <c r="D607" s="51">
        <f>(12.93*6.75+3.35*5.05+1.35*1.55)*10.764</f>
        <v>1144.0786499999999</v>
      </c>
      <c r="E607" s="51">
        <v>0</v>
      </c>
      <c r="F607" s="42">
        <f>D607+E607</f>
        <v>1144.0786499999999</v>
      </c>
      <c r="G607" s="42">
        <v>0</v>
      </c>
      <c r="H607" s="42">
        <f t="shared" si="136"/>
        <v>1773.3219075</v>
      </c>
      <c r="I607" s="36"/>
      <c r="N607" s="36"/>
    </row>
    <row r="608" spans="1:14" s="37" customFormat="1" x14ac:dyDescent="0.3">
      <c r="A608" s="73">
        <f>A607+1</f>
        <v>16</v>
      </c>
      <c r="B608" s="73"/>
      <c r="C608" s="42" t="s">
        <v>191</v>
      </c>
      <c r="D608" s="51">
        <f>(4.93*3.35+8.88*4.92+12.23*5.87+6.94*3.89+12.54*10.87+1.2*2.55+1.55*2.4+1.85*1.55+1.85*1.55)*10.764</f>
        <v>3313.3378824000001</v>
      </c>
      <c r="E608" s="51">
        <f>(1.78*6.94+1.95*5.8)*10.764</f>
        <v>254.7106848</v>
      </c>
      <c r="F608" s="42">
        <f>D608+E608</f>
        <v>3568.0485672</v>
      </c>
      <c r="G608" s="42">
        <v>0</v>
      </c>
      <c r="H608" s="42">
        <f t="shared" si="136"/>
        <v>5530.4752791600004</v>
      </c>
      <c r="I608" s="36"/>
      <c r="N608" s="36"/>
    </row>
    <row r="609" spans="1:14" s="37" customFormat="1" x14ac:dyDescent="0.3">
      <c r="A609" s="73">
        <f>A608+1</f>
        <v>17</v>
      </c>
      <c r="B609" s="73"/>
      <c r="C609" s="42" t="s">
        <v>191</v>
      </c>
      <c r="D609" s="51">
        <f t="shared" ref="D609:D616" si="138">(5.15*10.79+3.45*3.35+1.55*1.85)*10.764</f>
        <v>753.41003400000011</v>
      </c>
      <c r="E609" s="51">
        <v>0</v>
      </c>
      <c r="F609" s="42">
        <f>D609+E609</f>
        <v>753.41003400000011</v>
      </c>
      <c r="G609" s="42">
        <v>0</v>
      </c>
      <c r="H609" s="42">
        <f t="shared" si="136"/>
        <v>1167.7855527000002</v>
      </c>
      <c r="I609" s="36"/>
      <c r="N609" s="36"/>
    </row>
    <row r="610" spans="1:14" s="37" customFormat="1" x14ac:dyDescent="0.3">
      <c r="A610" s="73">
        <f>A609+1</f>
        <v>18</v>
      </c>
      <c r="B610" s="73"/>
      <c r="C610" s="42" t="s">
        <v>191</v>
      </c>
      <c r="D610" s="51">
        <f t="shared" si="138"/>
        <v>753.41003400000011</v>
      </c>
      <c r="E610" s="51">
        <v>0</v>
      </c>
      <c r="F610" s="42">
        <f>D610+E610</f>
        <v>753.41003400000011</v>
      </c>
      <c r="G610" s="42">
        <v>0</v>
      </c>
      <c r="H610" s="42">
        <f t="shared" si="136"/>
        <v>1167.7855527000002</v>
      </c>
      <c r="I610" s="36"/>
      <c r="N610" s="36"/>
    </row>
    <row r="611" spans="1:14" s="37" customFormat="1" x14ac:dyDescent="0.3">
      <c r="A611" s="73">
        <f t="shared" ref="A611:A617" si="139">A610+1</f>
        <v>19</v>
      </c>
      <c r="B611" s="73"/>
      <c r="C611" s="42" t="s">
        <v>191</v>
      </c>
      <c r="D611" s="51">
        <f t="shared" si="138"/>
        <v>753.41003400000011</v>
      </c>
      <c r="E611" s="51">
        <v>0</v>
      </c>
      <c r="F611" s="42">
        <f t="shared" ref="F611:F620" si="140">D611+E611</f>
        <v>753.41003400000011</v>
      </c>
      <c r="G611" s="42">
        <v>0</v>
      </c>
      <c r="H611" s="42">
        <f t="shared" si="136"/>
        <v>1167.7855527000002</v>
      </c>
      <c r="I611" s="36"/>
      <c r="N611" s="36"/>
    </row>
    <row r="612" spans="1:14" s="37" customFormat="1" x14ac:dyDescent="0.3">
      <c r="A612" s="73">
        <f t="shared" si="139"/>
        <v>20</v>
      </c>
      <c r="B612" s="73"/>
      <c r="C612" s="42" t="s">
        <v>191</v>
      </c>
      <c r="D612" s="51">
        <f t="shared" si="138"/>
        <v>753.41003400000011</v>
      </c>
      <c r="E612" s="51">
        <v>0</v>
      </c>
      <c r="F612" s="42">
        <f t="shared" si="140"/>
        <v>753.41003400000011</v>
      </c>
      <c r="G612" s="42">
        <v>0</v>
      </c>
      <c r="H612" s="42">
        <f t="shared" si="136"/>
        <v>1167.7855527000002</v>
      </c>
      <c r="I612" s="36"/>
      <c r="N612" s="36"/>
    </row>
    <row r="613" spans="1:14" s="37" customFormat="1" x14ac:dyDescent="0.3">
      <c r="A613" s="73">
        <f t="shared" si="139"/>
        <v>21</v>
      </c>
      <c r="B613" s="73"/>
      <c r="C613" s="42" t="s">
        <v>191</v>
      </c>
      <c r="D613" s="51">
        <f t="shared" si="138"/>
        <v>753.41003400000011</v>
      </c>
      <c r="E613" s="51">
        <v>0</v>
      </c>
      <c r="F613" s="42">
        <f t="shared" si="140"/>
        <v>753.41003400000011</v>
      </c>
      <c r="G613" s="42">
        <v>0</v>
      </c>
      <c r="H613" s="42">
        <f t="shared" si="136"/>
        <v>1167.7855527000002</v>
      </c>
      <c r="I613" s="36"/>
      <c r="N613" s="36"/>
    </row>
    <row r="614" spans="1:14" s="37" customFormat="1" x14ac:dyDescent="0.3">
      <c r="A614" s="73">
        <f t="shared" si="139"/>
        <v>22</v>
      </c>
      <c r="B614" s="73"/>
      <c r="C614" s="42" t="s">
        <v>191</v>
      </c>
      <c r="D614" s="51">
        <f t="shared" si="138"/>
        <v>753.41003400000011</v>
      </c>
      <c r="E614" s="51">
        <v>0</v>
      </c>
      <c r="F614" s="42">
        <f t="shared" si="140"/>
        <v>753.41003400000011</v>
      </c>
      <c r="G614" s="42">
        <v>0</v>
      </c>
      <c r="H614" s="42">
        <f t="shared" si="136"/>
        <v>1167.7855527000002</v>
      </c>
      <c r="I614" s="36"/>
      <c r="N614" s="36"/>
    </row>
    <row r="615" spans="1:14" s="37" customFormat="1" x14ac:dyDescent="0.3">
      <c r="A615" s="73">
        <f t="shared" si="139"/>
        <v>23</v>
      </c>
      <c r="B615" s="73"/>
      <c r="C615" s="42" t="s">
        <v>191</v>
      </c>
      <c r="D615" s="51">
        <f t="shared" si="138"/>
        <v>753.41003400000011</v>
      </c>
      <c r="E615" s="51">
        <v>0</v>
      </c>
      <c r="F615" s="42">
        <f t="shared" si="140"/>
        <v>753.41003400000011</v>
      </c>
      <c r="G615" s="42">
        <v>0</v>
      </c>
      <c r="H615" s="42">
        <f t="shared" si="136"/>
        <v>1167.7855527000002</v>
      </c>
      <c r="I615" s="36"/>
      <c r="N615" s="36"/>
    </row>
    <row r="616" spans="1:14" s="37" customFormat="1" x14ac:dyDescent="0.3">
      <c r="A616" s="73">
        <f t="shared" si="139"/>
        <v>24</v>
      </c>
      <c r="B616" s="73"/>
      <c r="C616" s="42" t="s">
        <v>191</v>
      </c>
      <c r="D616" s="51">
        <f t="shared" si="138"/>
        <v>753.41003400000011</v>
      </c>
      <c r="E616" s="51">
        <v>0</v>
      </c>
      <c r="F616" s="42">
        <f t="shared" si="140"/>
        <v>753.41003400000011</v>
      </c>
      <c r="G616" s="42">
        <v>0</v>
      </c>
      <c r="H616" s="42">
        <f t="shared" si="136"/>
        <v>1167.7855527000002</v>
      </c>
      <c r="I616" s="36"/>
      <c r="N616" s="36"/>
    </row>
    <row r="617" spans="1:14" s="37" customFormat="1" x14ac:dyDescent="0.3">
      <c r="A617" s="73">
        <f t="shared" si="139"/>
        <v>25</v>
      </c>
      <c r="B617" s="73"/>
      <c r="C617" s="42" t="s">
        <v>191</v>
      </c>
      <c r="D617" s="51">
        <f>(5.4*10.79+3.55*3.35+1.55*1.85)*10.764</f>
        <v>786.05186400000002</v>
      </c>
      <c r="E617" s="51">
        <v>0</v>
      </c>
      <c r="F617" s="42">
        <f t="shared" si="140"/>
        <v>786.05186400000002</v>
      </c>
      <c r="G617" s="42">
        <v>0</v>
      </c>
      <c r="H617" s="42">
        <f t="shared" si="136"/>
        <v>1218.3803892000001</v>
      </c>
      <c r="I617" s="36"/>
      <c r="N617" s="36"/>
    </row>
    <row r="618" spans="1:14" s="37" customFormat="1" x14ac:dyDescent="0.3">
      <c r="A618" s="73">
        <v>26</v>
      </c>
      <c r="B618" s="73"/>
      <c r="C618" s="42" t="s">
        <v>191</v>
      </c>
      <c r="D618" s="51">
        <f>(5.15*8.4+3.45*3.35+1.55*1.85)*10.764</f>
        <v>620.9213400000001</v>
      </c>
      <c r="E618" s="51">
        <v>0</v>
      </c>
      <c r="F618" s="42">
        <f t="shared" si="140"/>
        <v>620.9213400000001</v>
      </c>
      <c r="G618" s="42">
        <v>0</v>
      </c>
      <c r="H618" s="42">
        <f t="shared" si="136"/>
        <v>962.42807700000014</v>
      </c>
      <c r="I618" s="36"/>
      <c r="N618" s="36"/>
    </row>
    <row r="619" spans="1:14" s="37" customFormat="1" x14ac:dyDescent="0.3">
      <c r="A619" s="73">
        <f t="shared" ref="A619:A620" si="141">A618+1</f>
        <v>27</v>
      </c>
      <c r="B619" s="73"/>
      <c r="C619" s="42" t="s">
        <v>191</v>
      </c>
      <c r="D619" s="51">
        <f>(5.15*8.4+3.45*3.35+1.55*1.85)*10.764</f>
        <v>620.9213400000001</v>
      </c>
      <c r="E619" s="51">
        <v>0</v>
      </c>
      <c r="F619" s="42">
        <f t="shared" si="140"/>
        <v>620.9213400000001</v>
      </c>
      <c r="G619" s="42">
        <v>0</v>
      </c>
      <c r="H619" s="42">
        <f t="shared" si="136"/>
        <v>962.42807700000014</v>
      </c>
      <c r="I619" s="36"/>
      <c r="N619" s="36"/>
    </row>
    <row r="620" spans="1:14" s="37" customFormat="1" x14ac:dyDescent="0.3">
      <c r="A620" s="73">
        <f t="shared" si="141"/>
        <v>28</v>
      </c>
      <c r="B620" s="73"/>
      <c r="C620" s="42" t="s">
        <v>191</v>
      </c>
      <c r="D620" s="51">
        <f>(5.15*8.4+3.45*3.35+1.55*1.85)*10.764</f>
        <v>620.9213400000001</v>
      </c>
      <c r="E620" s="51">
        <v>0</v>
      </c>
      <c r="F620" s="42">
        <f t="shared" si="140"/>
        <v>620.9213400000001</v>
      </c>
      <c r="G620" s="42">
        <v>0</v>
      </c>
      <c r="H620" s="42">
        <f t="shared" si="136"/>
        <v>962.42807700000014</v>
      </c>
      <c r="I620" s="36"/>
      <c r="N620" s="36"/>
    </row>
    <row r="621" spans="1:14" s="37" customFormat="1" x14ac:dyDescent="0.3">
      <c r="A621" s="73">
        <f t="shared" ref="A621" si="142">A620+1</f>
        <v>29</v>
      </c>
      <c r="B621" s="73"/>
      <c r="C621" s="42" t="s">
        <v>191</v>
      </c>
      <c r="D621" s="51">
        <f>(12.23*6.4+7.68*5.35)*10.764</f>
        <v>1284.7910399999998</v>
      </c>
      <c r="E621" s="51">
        <v>0</v>
      </c>
      <c r="F621" s="42">
        <f t="shared" ref="F621" si="143">D621+E621</f>
        <v>1284.7910399999998</v>
      </c>
      <c r="G621" s="42">
        <v>0</v>
      </c>
      <c r="H621" s="42">
        <f t="shared" ref="H621" si="144">F621*(($H$251)+1)+(IF(G621&lt;101,G621,IF(G621&lt;201,G621/2,IF(G621&lt;=301,G621/3,G621/4))))</f>
        <v>1991.4261119999999</v>
      </c>
      <c r="I621" s="36"/>
      <c r="N621" s="36"/>
    </row>
    <row r="622" spans="1:14" s="37" customFormat="1" x14ac:dyDescent="0.3">
      <c r="A622" s="78" t="s">
        <v>269</v>
      </c>
      <c r="B622" s="78"/>
      <c r="C622" s="78"/>
      <c r="D622" s="78"/>
      <c r="E622" s="78"/>
      <c r="F622" s="78"/>
      <c r="G622" s="78"/>
      <c r="H622" s="78"/>
      <c r="I622" s="36">
        <v>4</v>
      </c>
      <c r="L622" s="72"/>
      <c r="M622" s="72"/>
    </row>
    <row r="623" spans="1:14" s="37" customFormat="1" x14ac:dyDescent="0.3">
      <c r="A623" s="73">
        <v>1</v>
      </c>
      <c r="B623" s="73"/>
      <c r="C623" s="42" t="s">
        <v>191</v>
      </c>
      <c r="D623" s="51">
        <f>(6.55*5.15+3.35*3.45+1.85*1.55)*10.764</f>
        <v>518.36733000000004</v>
      </c>
      <c r="E623" s="51">
        <v>0</v>
      </c>
      <c r="F623" s="42">
        <f t="shared" ref="F623:F635" si="145">D623+E623</f>
        <v>518.36733000000004</v>
      </c>
      <c r="G623" s="42">
        <v>0</v>
      </c>
      <c r="H623" s="42">
        <f t="shared" ref="H623:H651" si="146">F623*(($H$251)+1)+(IF(G623&lt;101,G623,IF(G623&lt;201,G623/2,IF(G623&lt;=301,G623/3,G623/4))))</f>
        <v>803.4693615000001</v>
      </c>
      <c r="I623" s="36"/>
      <c r="N623" s="36"/>
    </row>
    <row r="624" spans="1:14" s="37" customFormat="1" x14ac:dyDescent="0.3">
      <c r="A624" s="73">
        <f>A623+1</f>
        <v>2</v>
      </c>
      <c r="B624" s="73"/>
      <c r="C624" s="42" t="s">
        <v>191</v>
      </c>
      <c r="D624" s="51">
        <f>(6.55*5.15+3.35*3.45+1.85*1.55)*10.764</f>
        <v>518.36733000000004</v>
      </c>
      <c r="E624" s="51">
        <v>0</v>
      </c>
      <c r="F624" s="42">
        <f t="shared" si="145"/>
        <v>518.36733000000004</v>
      </c>
      <c r="G624" s="42">
        <v>0</v>
      </c>
      <c r="H624" s="42">
        <f t="shared" si="146"/>
        <v>803.4693615000001</v>
      </c>
      <c r="I624" s="36"/>
      <c r="N624" s="36"/>
    </row>
    <row r="625" spans="1:14" s="37" customFormat="1" x14ac:dyDescent="0.3">
      <c r="A625" s="73">
        <f t="shared" ref="A625:A635" si="147">A624+1</f>
        <v>3</v>
      </c>
      <c r="B625" s="73"/>
      <c r="C625" s="42" t="s">
        <v>191</v>
      </c>
      <c r="D625" s="51">
        <f>(6.55*5.15+3.35*3.45+1.85*1.55)*10.764</f>
        <v>518.36733000000004</v>
      </c>
      <c r="E625" s="51">
        <v>0</v>
      </c>
      <c r="F625" s="42">
        <f t="shared" si="145"/>
        <v>518.36733000000004</v>
      </c>
      <c r="G625" s="42">
        <v>0</v>
      </c>
      <c r="H625" s="42">
        <f t="shared" si="146"/>
        <v>803.4693615000001</v>
      </c>
      <c r="I625" s="36"/>
      <c r="N625" s="36"/>
    </row>
    <row r="626" spans="1:14" s="37" customFormat="1" x14ac:dyDescent="0.3">
      <c r="A626" s="73">
        <f t="shared" si="147"/>
        <v>4</v>
      </c>
      <c r="B626" s="73"/>
      <c r="C626" s="42" t="s">
        <v>191</v>
      </c>
      <c r="D626" s="51">
        <f>(6.55*5.15+3.35*3.45+1.85*1.55)*10.764</f>
        <v>518.36733000000004</v>
      </c>
      <c r="E626" s="51">
        <v>0</v>
      </c>
      <c r="F626" s="42">
        <f t="shared" si="145"/>
        <v>518.36733000000004</v>
      </c>
      <c r="G626" s="42">
        <v>0</v>
      </c>
      <c r="H626" s="42">
        <f t="shared" si="146"/>
        <v>803.4693615000001</v>
      </c>
      <c r="I626" s="36"/>
      <c r="N626" s="36"/>
    </row>
    <row r="627" spans="1:14" s="37" customFormat="1" x14ac:dyDescent="0.3">
      <c r="A627" s="73">
        <f t="shared" si="147"/>
        <v>5</v>
      </c>
      <c r="B627" s="73"/>
      <c r="C627" s="42" t="s">
        <v>191</v>
      </c>
      <c r="D627" s="51">
        <f>(6.55*5.22+3.35*3.45+1.85*1.55)*10.764</f>
        <v>523.30262399999992</v>
      </c>
      <c r="E627" s="51">
        <v>0</v>
      </c>
      <c r="F627" s="42">
        <f t="shared" si="145"/>
        <v>523.30262399999992</v>
      </c>
      <c r="G627" s="42">
        <v>0</v>
      </c>
      <c r="H627" s="42">
        <f t="shared" si="146"/>
        <v>811.1190671999999</v>
      </c>
      <c r="I627" s="36"/>
      <c r="N627" s="36"/>
    </row>
    <row r="628" spans="1:14" s="37" customFormat="1" x14ac:dyDescent="0.3">
      <c r="A628" s="73">
        <f t="shared" si="147"/>
        <v>6</v>
      </c>
      <c r="B628" s="73"/>
      <c r="C628" s="42" t="s">
        <v>191</v>
      </c>
      <c r="D628" s="51">
        <f>(8.39*7.85+3.35*6.15+11.09*9.44+1.85*1.55)*10.764</f>
        <v>2088.4431204000002</v>
      </c>
      <c r="E628" s="51">
        <v>0</v>
      </c>
      <c r="F628" s="42">
        <f t="shared" si="145"/>
        <v>2088.4431204000002</v>
      </c>
      <c r="G628" s="42">
        <v>0</v>
      </c>
      <c r="H628" s="42">
        <f t="shared" si="146"/>
        <v>3237.0868366200007</v>
      </c>
      <c r="I628" s="36"/>
      <c r="N628" s="36"/>
    </row>
    <row r="629" spans="1:14" s="37" customFormat="1" x14ac:dyDescent="0.3">
      <c r="A629" s="73">
        <f t="shared" si="147"/>
        <v>7</v>
      </c>
      <c r="B629" s="73"/>
      <c r="C629" s="42" t="s">
        <v>191</v>
      </c>
      <c r="D629" s="51">
        <f>(9.46*6.01+3.35*4.31+1.85*1.55)*10.764</f>
        <v>798.26469840000016</v>
      </c>
      <c r="E629" s="51">
        <v>0</v>
      </c>
      <c r="F629" s="42">
        <f t="shared" si="145"/>
        <v>798.26469840000016</v>
      </c>
      <c r="G629" s="42">
        <v>0</v>
      </c>
      <c r="H629" s="42">
        <f t="shared" si="146"/>
        <v>1237.3102825200003</v>
      </c>
      <c r="I629" s="36"/>
      <c r="N629" s="36"/>
    </row>
    <row r="630" spans="1:14" s="37" customFormat="1" x14ac:dyDescent="0.3">
      <c r="A630" s="73">
        <f t="shared" si="147"/>
        <v>8</v>
      </c>
      <c r="B630" s="73"/>
      <c r="C630" s="42" t="s">
        <v>191</v>
      </c>
      <c r="D630" s="51">
        <f>(10.22*5.22+3.35*3.52+1.85*1.55)*10.764</f>
        <v>732.03703560000008</v>
      </c>
      <c r="E630" s="51">
        <v>0</v>
      </c>
      <c r="F630" s="42">
        <f t="shared" si="145"/>
        <v>732.03703560000008</v>
      </c>
      <c r="G630" s="42">
        <v>0</v>
      </c>
      <c r="H630" s="42">
        <f t="shared" si="146"/>
        <v>1134.6574051800001</v>
      </c>
      <c r="I630" s="36"/>
      <c r="N630" s="36"/>
    </row>
    <row r="631" spans="1:14" s="37" customFormat="1" x14ac:dyDescent="0.3">
      <c r="A631" s="73">
        <f t="shared" si="147"/>
        <v>9</v>
      </c>
      <c r="B631" s="73"/>
      <c r="C631" s="42" t="s">
        <v>191</v>
      </c>
      <c r="D631" s="51">
        <f>(10.85*5.15+3.35*3.45+1.85*1.55)*10.764</f>
        <v>756.73611000000005</v>
      </c>
      <c r="E631" s="51">
        <v>0</v>
      </c>
      <c r="F631" s="42">
        <f t="shared" si="145"/>
        <v>756.73611000000005</v>
      </c>
      <c r="G631" s="42">
        <v>0</v>
      </c>
      <c r="H631" s="42">
        <f t="shared" si="146"/>
        <v>1172.9409705</v>
      </c>
      <c r="I631" s="36"/>
      <c r="N631" s="36"/>
    </row>
    <row r="632" spans="1:14" s="37" customFormat="1" x14ac:dyDescent="0.3">
      <c r="A632" s="73">
        <f t="shared" si="147"/>
        <v>10</v>
      </c>
      <c r="B632" s="73"/>
      <c r="C632" s="42" t="s">
        <v>191</v>
      </c>
      <c r="D632" s="51">
        <f>(11.39*5.15+3.35*3.45+1.85*1.55)*10.764</f>
        <v>786.67079400000011</v>
      </c>
      <c r="E632" s="51">
        <v>0</v>
      </c>
      <c r="F632" s="42">
        <f t="shared" si="145"/>
        <v>786.67079400000011</v>
      </c>
      <c r="G632" s="42">
        <v>0</v>
      </c>
      <c r="H632" s="42">
        <f t="shared" si="146"/>
        <v>1219.3397307000002</v>
      </c>
      <c r="I632" s="36"/>
      <c r="N632" s="36"/>
    </row>
    <row r="633" spans="1:14" s="37" customFormat="1" x14ac:dyDescent="0.3">
      <c r="A633" s="73">
        <f t="shared" si="147"/>
        <v>11</v>
      </c>
      <c r="B633" s="73"/>
      <c r="C633" s="42" t="s">
        <v>191</v>
      </c>
      <c r="D633" s="51">
        <f>(11.85*5.15+3.35*3.45+1.85*1.55)*10.764</f>
        <v>812.1707100000001</v>
      </c>
      <c r="E633" s="51">
        <v>0</v>
      </c>
      <c r="F633" s="42">
        <f t="shared" si="145"/>
        <v>812.1707100000001</v>
      </c>
      <c r="G633" s="42">
        <v>0</v>
      </c>
      <c r="H633" s="42">
        <f t="shared" si="146"/>
        <v>1258.8646005000003</v>
      </c>
      <c r="I633" s="36"/>
      <c r="N633" s="36"/>
    </row>
    <row r="634" spans="1:14" s="37" customFormat="1" x14ac:dyDescent="0.3">
      <c r="A634" s="73">
        <f t="shared" si="147"/>
        <v>12</v>
      </c>
      <c r="B634" s="73"/>
      <c r="C634" s="42" t="s">
        <v>191</v>
      </c>
      <c r="D634" s="51">
        <f>(12.23*5.15+3.35*3.45+1.85*1.55)*10.764</f>
        <v>833.23585800000001</v>
      </c>
      <c r="E634" s="51">
        <v>0</v>
      </c>
      <c r="F634" s="42">
        <f t="shared" si="145"/>
        <v>833.23585800000001</v>
      </c>
      <c r="G634" s="42">
        <v>0</v>
      </c>
      <c r="H634" s="42">
        <f t="shared" si="146"/>
        <v>1291.5155799000001</v>
      </c>
      <c r="I634" s="36"/>
      <c r="N634" s="36"/>
    </row>
    <row r="635" spans="1:14" s="37" customFormat="1" x14ac:dyDescent="0.3">
      <c r="A635" s="73">
        <f t="shared" si="147"/>
        <v>13</v>
      </c>
      <c r="B635" s="73"/>
      <c r="C635" s="42" t="s">
        <v>191</v>
      </c>
      <c r="D635" s="51">
        <f>(12.54*5.15+3.35*3.45+1.85*1.55)*10.764</f>
        <v>850.42058400000008</v>
      </c>
      <c r="E635" s="51">
        <v>0</v>
      </c>
      <c r="F635" s="42">
        <f t="shared" si="145"/>
        <v>850.42058400000008</v>
      </c>
      <c r="G635" s="42">
        <v>0</v>
      </c>
      <c r="H635" s="42">
        <f t="shared" si="146"/>
        <v>1318.1519052000001</v>
      </c>
      <c r="I635" s="36"/>
      <c r="N635" s="36"/>
    </row>
    <row r="636" spans="1:14" s="37" customFormat="1" x14ac:dyDescent="0.3">
      <c r="A636" s="73">
        <v>14</v>
      </c>
      <c r="B636" s="73"/>
      <c r="C636" s="42" t="s">
        <v>191</v>
      </c>
      <c r="D636" s="51">
        <f>(12.77*5.15+3.35*3.45+1.85*1.55)*10.764</f>
        <v>863.17054200000007</v>
      </c>
      <c r="E636" s="51">
        <v>0</v>
      </c>
      <c r="F636" s="42">
        <f>D636+E636</f>
        <v>863.17054200000007</v>
      </c>
      <c r="G636" s="42">
        <v>0</v>
      </c>
      <c r="H636" s="42">
        <f t="shared" si="146"/>
        <v>1337.9143401000001</v>
      </c>
      <c r="I636" s="36"/>
      <c r="N636" s="36"/>
    </row>
    <row r="637" spans="1:14" s="37" customFormat="1" x14ac:dyDescent="0.3">
      <c r="A637" s="73">
        <f>A636+1</f>
        <v>15</v>
      </c>
      <c r="B637" s="73"/>
      <c r="C637" s="42" t="s">
        <v>191</v>
      </c>
      <c r="D637" s="51">
        <f>(12.93*6.75+3.35*5.05+1.35*1.55)*10.764</f>
        <v>1144.0786499999999</v>
      </c>
      <c r="E637" s="51">
        <v>0</v>
      </c>
      <c r="F637" s="42">
        <f>D637+E637</f>
        <v>1144.0786499999999</v>
      </c>
      <c r="G637" s="42">
        <v>0</v>
      </c>
      <c r="H637" s="42">
        <f t="shared" si="146"/>
        <v>1773.3219075</v>
      </c>
      <c r="I637" s="36"/>
      <c r="N637" s="36"/>
    </row>
    <row r="638" spans="1:14" s="37" customFormat="1" x14ac:dyDescent="0.3">
      <c r="A638" s="73">
        <f>A637+1</f>
        <v>16</v>
      </c>
      <c r="B638" s="73"/>
      <c r="C638" s="42" t="s">
        <v>191</v>
      </c>
      <c r="D638" s="51">
        <f>(4.93*3.35+8.88*4.92+12.23*5.87+6.94*3.89+12.54*10.87+1.2*2.55+1.55*2.4+1.85*1.55+1.85*1.55)*10.764</f>
        <v>3313.3378824000001</v>
      </c>
      <c r="E638" s="51">
        <v>0</v>
      </c>
      <c r="F638" s="42">
        <f>D638+E638</f>
        <v>3313.3378824000001</v>
      </c>
      <c r="G638" s="42">
        <v>0</v>
      </c>
      <c r="H638" s="42">
        <f t="shared" si="146"/>
        <v>5135.6737177200002</v>
      </c>
      <c r="I638" s="36"/>
      <c r="N638" s="36"/>
    </row>
    <row r="639" spans="1:14" s="37" customFormat="1" x14ac:dyDescent="0.3">
      <c r="A639" s="73">
        <f>A638+1</f>
        <v>17</v>
      </c>
      <c r="B639" s="73"/>
      <c r="C639" s="42" t="s">
        <v>191</v>
      </c>
      <c r="D639" s="51">
        <f t="shared" ref="D639:D646" si="148">(5.15*10.79+3.45*3.35+1.55*1.85)*10.764</f>
        <v>753.41003400000011</v>
      </c>
      <c r="E639" s="51">
        <v>0</v>
      </c>
      <c r="F639" s="42">
        <f>D639+E639</f>
        <v>753.41003400000011</v>
      </c>
      <c r="G639" s="42">
        <v>0</v>
      </c>
      <c r="H639" s="42">
        <f t="shared" si="146"/>
        <v>1167.7855527000002</v>
      </c>
      <c r="I639" s="36"/>
      <c r="N639" s="36"/>
    </row>
    <row r="640" spans="1:14" s="37" customFormat="1" x14ac:dyDescent="0.3">
      <c r="A640" s="73">
        <f>A639+1</f>
        <v>18</v>
      </c>
      <c r="B640" s="73"/>
      <c r="C640" s="42" t="s">
        <v>191</v>
      </c>
      <c r="D640" s="51">
        <f t="shared" si="148"/>
        <v>753.41003400000011</v>
      </c>
      <c r="E640" s="51">
        <v>0</v>
      </c>
      <c r="F640" s="42">
        <f>D640+E640</f>
        <v>753.41003400000011</v>
      </c>
      <c r="G640" s="42">
        <v>0</v>
      </c>
      <c r="H640" s="42">
        <f t="shared" si="146"/>
        <v>1167.7855527000002</v>
      </c>
      <c r="I640" s="36"/>
      <c r="N640" s="36"/>
    </row>
    <row r="641" spans="1:14" s="37" customFormat="1" x14ac:dyDescent="0.3">
      <c r="A641" s="73">
        <f t="shared" ref="A641:A647" si="149">A640+1</f>
        <v>19</v>
      </c>
      <c r="B641" s="73"/>
      <c r="C641" s="42" t="s">
        <v>191</v>
      </c>
      <c r="D641" s="51">
        <f t="shared" si="148"/>
        <v>753.41003400000011</v>
      </c>
      <c r="E641" s="51">
        <v>0</v>
      </c>
      <c r="F641" s="42">
        <f t="shared" ref="F641:F651" si="150">D641+E641</f>
        <v>753.41003400000011</v>
      </c>
      <c r="G641" s="42">
        <v>0</v>
      </c>
      <c r="H641" s="42">
        <f t="shared" si="146"/>
        <v>1167.7855527000002</v>
      </c>
      <c r="I641" s="36"/>
      <c r="N641" s="36"/>
    </row>
    <row r="642" spans="1:14" s="37" customFormat="1" x14ac:dyDescent="0.3">
      <c r="A642" s="73">
        <f t="shared" si="149"/>
        <v>20</v>
      </c>
      <c r="B642" s="73"/>
      <c r="C642" s="42" t="s">
        <v>191</v>
      </c>
      <c r="D642" s="51">
        <f t="shared" si="148"/>
        <v>753.41003400000011</v>
      </c>
      <c r="E642" s="51">
        <v>0</v>
      </c>
      <c r="F642" s="42">
        <f t="shared" si="150"/>
        <v>753.41003400000011</v>
      </c>
      <c r="G642" s="42">
        <v>0</v>
      </c>
      <c r="H642" s="42">
        <f t="shared" si="146"/>
        <v>1167.7855527000002</v>
      </c>
      <c r="I642" s="36"/>
      <c r="N642" s="36"/>
    </row>
    <row r="643" spans="1:14" s="37" customFormat="1" x14ac:dyDescent="0.3">
      <c r="A643" s="73">
        <f t="shared" si="149"/>
        <v>21</v>
      </c>
      <c r="B643" s="73"/>
      <c r="C643" s="42" t="s">
        <v>191</v>
      </c>
      <c r="D643" s="51">
        <f t="shared" si="148"/>
        <v>753.41003400000011</v>
      </c>
      <c r="E643" s="51">
        <v>0</v>
      </c>
      <c r="F643" s="42">
        <f t="shared" si="150"/>
        <v>753.41003400000011</v>
      </c>
      <c r="G643" s="42">
        <v>0</v>
      </c>
      <c r="H643" s="42">
        <f t="shared" si="146"/>
        <v>1167.7855527000002</v>
      </c>
      <c r="I643" s="36"/>
      <c r="N643" s="36"/>
    </row>
    <row r="644" spans="1:14" s="37" customFormat="1" x14ac:dyDescent="0.3">
      <c r="A644" s="73">
        <f t="shared" si="149"/>
        <v>22</v>
      </c>
      <c r="B644" s="73"/>
      <c r="C644" s="42" t="s">
        <v>191</v>
      </c>
      <c r="D644" s="51">
        <f t="shared" si="148"/>
        <v>753.41003400000011</v>
      </c>
      <c r="E644" s="51">
        <v>0</v>
      </c>
      <c r="F644" s="42">
        <f t="shared" si="150"/>
        <v>753.41003400000011</v>
      </c>
      <c r="G644" s="42">
        <v>0</v>
      </c>
      <c r="H644" s="42">
        <f t="shared" si="146"/>
        <v>1167.7855527000002</v>
      </c>
      <c r="I644" s="36"/>
      <c r="N644" s="36"/>
    </row>
    <row r="645" spans="1:14" s="37" customFormat="1" x14ac:dyDescent="0.3">
      <c r="A645" s="73">
        <f t="shared" si="149"/>
        <v>23</v>
      </c>
      <c r="B645" s="73"/>
      <c r="C645" s="42" t="s">
        <v>191</v>
      </c>
      <c r="D645" s="51">
        <f t="shared" si="148"/>
        <v>753.41003400000011</v>
      </c>
      <c r="E645" s="51">
        <v>0</v>
      </c>
      <c r="F645" s="42">
        <f t="shared" si="150"/>
        <v>753.41003400000011</v>
      </c>
      <c r="G645" s="42">
        <v>0</v>
      </c>
      <c r="H645" s="42">
        <f t="shared" si="146"/>
        <v>1167.7855527000002</v>
      </c>
      <c r="I645" s="36"/>
      <c r="N645" s="36"/>
    </row>
    <row r="646" spans="1:14" s="37" customFormat="1" x14ac:dyDescent="0.3">
      <c r="A646" s="73">
        <f t="shared" si="149"/>
        <v>24</v>
      </c>
      <c r="B646" s="73"/>
      <c r="C646" s="42" t="s">
        <v>191</v>
      </c>
      <c r="D646" s="51">
        <f t="shared" si="148"/>
        <v>753.41003400000011</v>
      </c>
      <c r="E646" s="51">
        <v>0</v>
      </c>
      <c r="F646" s="42">
        <f t="shared" si="150"/>
        <v>753.41003400000011</v>
      </c>
      <c r="G646" s="42">
        <v>0</v>
      </c>
      <c r="H646" s="42">
        <f t="shared" si="146"/>
        <v>1167.7855527000002</v>
      </c>
      <c r="I646" s="36"/>
      <c r="N646" s="36"/>
    </row>
    <row r="647" spans="1:14" s="37" customFormat="1" x14ac:dyDescent="0.3">
      <c r="A647" s="73">
        <f t="shared" si="149"/>
        <v>25</v>
      </c>
      <c r="B647" s="73"/>
      <c r="C647" s="42" t="s">
        <v>191</v>
      </c>
      <c r="D647" s="51">
        <f>(5.4*10.79+3.55*3.35+1.55*1.85)*10.764</f>
        <v>786.05186400000002</v>
      </c>
      <c r="E647" s="51">
        <v>0</v>
      </c>
      <c r="F647" s="42">
        <f t="shared" si="150"/>
        <v>786.05186400000002</v>
      </c>
      <c r="G647" s="42">
        <v>0</v>
      </c>
      <c r="H647" s="42">
        <f t="shared" si="146"/>
        <v>1218.3803892000001</v>
      </c>
      <c r="I647" s="36"/>
      <c r="N647" s="36"/>
    </row>
    <row r="648" spans="1:14" s="37" customFormat="1" x14ac:dyDescent="0.3">
      <c r="A648" s="73">
        <v>26</v>
      </c>
      <c r="B648" s="73"/>
      <c r="C648" s="42" t="s">
        <v>191</v>
      </c>
      <c r="D648" s="51">
        <f>(5.15*8.4+3.45*3.35+1.55*1.85)*10.764</f>
        <v>620.9213400000001</v>
      </c>
      <c r="E648" s="51">
        <v>0</v>
      </c>
      <c r="F648" s="42">
        <f t="shared" si="150"/>
        <v>620.9213400000001</v>
      </c>
      <c r="G648" s="42">
        <v>0</v>
      </c>
      <c r="H648" s="42">
        <f t="shared" si="146"/>
        <v>962.42807700000014</v>
      </c>
      <c r="I648" s="36"/>
      <c r="N648" s="36"/>
    </row>
    <row r="649" spans="1:14" s="37" customFormat="1" x14ac:dyDescent="0.3">
      <c r="A649" s="73">
        <f t="shared" ref="A649:A651" si="151">A648+1</f>
        <v>27</v>
      </c>
      <c r="B649" s="73"/>
      <c r="C649" s="42" t="s">
        <v>191</v>
      </c>
      <c r="D649" s="51">
        <f>(5.15*8.4+3.45*3.35+1.55*1.85)*10.764</f>
        <v>620.9213400000001</v>
      </c>
      <c r="E649" s="51">
        <v>0</v>
      </c>
      <c r="F649" s="42">
        <f t="shared" si="150"/>
        <v>620.9213400000001</v>
      </c>
      <c r="G649" s="42">
        <v>0</v>
      </c>
      <c r="H649" s="42">
        <f t="shared" si="146"/>
        <v>962.42807700000014</v>
      </c>
      <c r="I649" s="36"/>
      <c r="N649" s="36"/>
    </row>
    <row r="650" spans="1:14" s="37" customFormat="1" x14ac:dyDescent="0.3">
      <c r="A650" s="73">
        <f t="shared" si="151"/>
        <v>28</v>
      </c>
      <c r="B650" s="73"/>
      <c r="C650" s="42" t="s">
        <v>191</v>
      </c>
      <c r="D650" s="51">
        <f>(5.15*8.4+3.45*3.35+1.55*1.85)*10.764</f>
        <v>620.9213400000001</v>
      </c>
      <c r="E650" s="51">
        <v>0</v>
      </c>
      <c r="F650" s="42">
        <f t="shared" si="150"/>
        <v>620.9213400000001</v>
      </c>
      <c r="G650" s="42">
        <v>0</v>
      </c>
      <c r="H650" s="42">
        <f t="shared" si="146"/>
        <v>962.42807700000014</v>
      </c>
      <c r="I650" s="36"/>
      <c r="N650" s="36"/>
    </row>
    <row r="651" spans="1:14" s="37" customFormat="1" x14ac:dyDescent="0.3">
      <c r="A651" s="73">
        <f t="shared" si="151"/>
        <v>29</v>
      </c>
      <c r="B651" s="73"/>
      <c r="C651" s="42" t="s">
        <v>191</v>
      </c>
      <c r="D651" s="51">
        <f>(12.23*6.4+7.68*5.35)*10.764</f>
        <v>1284.7910399999998</v>
      </c>
      <c r="E651" s="51">
        <v>0</v>
      </c>
      <c r="F651" s="42">
        <f t="shared" si="150"/>
        <v>1284.7910399999998</v>
      </c>
      <c r="G651" s="42">
        <v>0</v>
      </c>
      <c r="H651" s="42">
        <f t="shared" si="146"/>
        <v>1991.4261119999999</v>
      </c>
      <c r="I651" s="36"/>
      <c r="N651" s="36"/>
    </row>
    <row r="652" spans="1:14" s="37" customFormat="1" x14ac:dyDescent="0.3">
      <c r="A652" s="78" t="s">
        <v>272</v>
      </c>
      <c r="B652" s="78"/>
      <c r="C652" s="78"/>
      <c r="D652" s="78"/>
      <c r="E652" s="78"/>
      <c r="F652" s="78"/>
      <c r="G652" s="78"/>
      <c r="H652" s="78"/>
      <c r="I652" s="36">
        <v>2</v>
      </c>
      <c r="L652" s="72"/>
      <c r="M652" s="72"/>
    </row>
    <row r="653" spans="1:14" s="37" customFormat="1" x14ac:dyDescent="0.3">
      <c r="A653" s="73">
        <v>1</v>
      </c>
      <c r="B653" s="73"/>
      <c r="C653" s="42" t="s">
        <v>191</v>
      </c>
      <c r="D653" s="51">
        <f>(6.55*5.15+3.35*3.45+1.85*1.55)*10.764</f>
        <v>518.36733000000004</v>
      </c>
      <c r="E653" s="51">
        <v>0</v>
      </c>
      <c r="F653" s="42">
        <f t="shared" ref="F653:F665" si="152">D653+E653</f>
        <v>518.36733000000004</v>
      </c>
      <c r="G653" s="42">
        <v>0</v>
      </c>
      <c r="H653" s="42">
        <f t="shared" ref="H653:H681" si="153">F653*(($H$251)+1)+(IF(G653&lt;101,G653,IF(G653&lt;201,G653/2,IF(G653&lt;=301,G653/3,G653/4))))</f>
        <v>803.4693615000001</v>
      </c>
      <c r="I653" s="36"/>
      <c r="N653" s="36"/>
    </row>
    <row r="654" spans="1:14" s="37" customFormat="1" x14ac:dyDescent="0.3">
      <c r="A654" s="73">
        <f>A653+1</f>
        <v>2</v>
      </c>
      <c r="B654" s="73"/>
      <c r="C654" s="42" t="s">
        <v>191</v>
      </c>
      <c r="D654" s="51">
        <f>(6.55*5.15+3.35*3.45+1.85*1.55)*10.764</f>
        <v>518.36733000000004</v>
      </c>
      <c r="E654" s="51">
        <v>0</v>
      </c>
      <c r="F654" s="42">
        <f t="shared" si="152"/>
        <v>518.36733000000004</v>
      </c>
      <c r="G654" s="42">
        <v>0</v>
      </c>
      <c r="H654" s="42">
        <f t="shared" si="153"/>
        <v>803.4693615000001</v>
      </c>
      <c r="I654" s="36"/>
      <c r="N654" s="36"/>
    </row>
    <row r="655" spans="1:14" s="37" customFormat="1" x14ac:dyDescent="0.3">
      <c r="A655" s="73">
        <f t="shared" ref="A655:A665" si="154">A654+1</f>
        <v>3</v>
      </c>
      <c r="B655" s="73"/>
      <c r="C655" s="42" t="s">
        <v>191</v>
      </c>
      <c r="D655" s="51">
        <f>(6.55*5.15+3.35*3.45+1.85*1.55)*10.764</f>
        <v>518.36733000000004</v>
      </c>
      <c r="E655" s="51">
        <v>0</v>
      </c>
      <c r="F655" s="42">
        <f t="shared" si="152"/>
        <v>518.36733000000004</v>
      </c>
      <c r="G655" s="42">
        <v>0</v>
      </c>
      <c r="H655" s="42">
        <f t="shared" si="153"/>
        <v>803.4693615000001</v>
      </c>
      <c r="I655" s="36"/>
      <c r="N655" s="36"/>
    </row>
    <row r="656" spans="1:14" s="37" customFormat="1" x14ac:dyDescent="0.3">
      <c r="A656" s="73">
        <f t="shared" si="154"/>
        <v>4</v>
      </c>
      <c r="B656" s="73"/>
      <c r="C656" s="42" t="s">
        <v>191</v>
      </c>
      <c r="D656" s="51">
        <f>(6.55*5.15+3.35*3.45+1.85*1.55)*10.764</f>
        <v>518.36733000000004</v>
      </c>
      <c r="E656" s="51">
        <v>0</v>
      </c>
      <c r="F656" s="42">
        <f t="shared" si="152"/>
        <v>518.36733000000004</v>
      </c>
      <c r="G656" s="42">
        <v>0</v>
      </c>
      <c r="H656" s="42">
        <f t="shared" si="153"/>
        <v>803.4693615000001</v>
      </c>
      <c r="I656" s="36"/>
      <c r="N656" s="36"/>
    </row>
    <row r="657" spans="1:14" s="37" customFormat="1" x14ac:dyDescent="0.3">
      <c r="A657" s="73">
        <f t="shared" si="154"/>
        <v>5</v>
      </c>
      <c r="B657" s="73"/>
      <c r="C657" s="42" t="s">
        <v>191</v>
      </c>
      <c r="D657" s="51">
        <f>(6.55*5.22+3.35*3.45+1.85*1.55)*10.764</f>
        <v>523.30262399999992</v>
      </c>
      <c r="E657" s="51">
        <v>0</v>
      </c>
      <c r="F657" s="42">
        <f t="shared" si="152"/>
        <v>523.30262399999992</v>
      </c>
      <c r="G657" s="42">
        <v>0</v>
      </c>
      <c r="H657" s="42">
        <f t="shared" si="153"/>
        <v>811.1190671999999</v>
      </c>
      <c r="I657" s="36"/>
      <c r="N657" s="36"/>
    </row>
    <row r="658" spans="1:14" s="37" customFormat="1" x14ac:dyDescent="0.3">
      <c r="A658" s="73">
        <f t="shared" si="154"/>
        <v>6</v>
      </c>
      <c r="B658" s="73"/>
      <c r="C658" s="74" t="s">
        <v>271</v>
      </c>
      <c r="D658" s="75"/>
      <c r="E658" s="75"/>
      <c r="F658" s="75"/>
      <c r="G658" s="75"/>
      <c r="H658" s="76"/>
      <c r="I658" s="36"/>
      <c r="N658" s="36"/>
    </row>
    <row r="659" spans="1:14" s="37" customFormat="1" x14ac:dyDescent="0.3">
      <c r="A659" s="73">
        <f t="shared" si="154"/>
        <v>7</v>
      </c>
      <c r="B659" s="73"/>
      <c r="C659" s="42" t="s">
        <v>191</v>
      </c>
      <c r="D659" s="51">
        <f>(9.46*6.01+3.35*4.31+1.85*1.55)*10.764</f>
        <v>798.26469840000016</v>
      </c>
      <c r="E659" s="51">
        <v>0</v>
      </c>
      <c r="F659" s="42">
        <f t="shared" si="152"/>
        <v>798.26469840000016</v>
      </c>
      <c r="G659" s="42">
        <v>0</v>
      </c>
      <c r="H659" s="42">
        <f t="shared" si="153"/>
        <v>1237.3102825200003</v>
      </c>
      <c r="I659" s="36"/>
      <c r="N659" s="36"/>
    </row>
    <row r="660" spans="1:14" s="37" customFormat="1" x14ac:dyDescent="0.3">
      <c r="A660" s="73">
        <f t="shared" si="154"/>
        <v>8</v>
      </c>
      <c r="B660" s="73"/>
      <c r="C660" s="42" t="s">
        <v>191</v>
      </c>
      <c r="D660" s="51">
        <f>(10.22*5.22+3.35*3.52+1.85*1.55)*10.764</f>
        <v>732.03703560000008</v>
      </c>
      <c r="E660" s="51">
        <v>0</v>
      </c>
      <c r="F660" s="42">
        <f t="shared" si="152"/>
        <v>732.03703560000008</v>
      </c>
      <c r="G660" s="42">
        <v>0</v>
      </c>
      <c r="H660" s="42">
        <f t="shared" si="153"/>
        <v>1134.6574051800001</v>
      </c>
      <c r="I660" s="36"/>
      <c r="N660" s="36"/>
    </row>
    <row r="661" spans="1:14" s="37" customFormat="1" x14ac:dyDescent="0.3">
      <c r="A661" s="73">
        <f t="shared" si="154"/>
        <v>9</v>
      </c>
      <c r="B661" s="73"/>
      <c r="C661" s="42" t="s">
        <v>191</v>
      </c>
      <c r="D661" s="51">
        <f>(10.85*5.15+3.35*3.45+1.85*1.55)*10.764</f>
        <v>756.73611000000005</v>
      </c>
      <c r="E661" s="51">
        <v>0</v>
      </c>
      <c r="F661" s="42">
        <f t="shared" si="152"/>
        <v>756.73611000000005</v>
      </c>
      <c r="G661" s="42">
        <v>0</v>
      </c>
      <c r="H661" s="42">
        <f t="shared" si="153"/>
        <v>1172.9409705</v>
      </c>
      <c r="I661" s="36"/>
      <c r="N661" s="36"/>
    </row>
    <row r="662" spans="1:14" s="37" customFormat="1" x14ac:dyDescent="0.3">
      <c r="A662" s="73">
        <f t="shared" si="154"/>
        <v>10</v>
      </c>
      <c r="B662" s="73"/>
      <c r="C662" s="42" t="s">
        <v>191</v>
      </c>
      <c r="D662" s="51">
        <f>(11.39*5.15+3.35*3.45+1.85*1.55)*10.764</f>
        <v>786.67079400000011</v>
      </c>
      <c r="E662" s="51">
        <v>0</v>
      </c>
      <c r="F662" s="42">
        <f t="shared" si="152"/>
        <v>786.67079400000011</v>
      </c>
      <c r="G662" s="42">
        <v>0</v>
      </c>
      <c r="H662" s="42">
        <f t="shared" si="153"/>
        <v>1219.3397307000002</v>
      </c>
      <c r="I662" s="36"/>
      <c r="N662" s="36"/>
    </row>
    <row r="663" spans="1:14" s="37" customFormat="1" x14ac:dyDescent="0.3">
      <c r="A663" s="73">
        <f t="shared" si="154"/>
        <v>11</v>
      </c>
      <c r="B663" s="73"/>
      <c r="C663" s="42" t="s">
        <v>191</v>
      </c>
      <c r="D663" s="51">
        <f>(11.85*5.15+3.35*3.45+1.85*1.55)*10.764</f>
        <v>812.1707100000001</v>
      </c>
      <c r="E663" s="51">
        <v>0</v>
      </c>
      <c r="F663" s="42">
        <f t="shared" si="152"/>
        <v>812.1707100000001</v>
      </c>
      <c r="G663" s="42">
        <v>0</v>
      </c>
      <c r="H663" s="42">
        <f t="shared" si="153"/>
        <v>1258.8646005000003</v>
      </c>
      <c r="I663" s="36"/>
      <c r="N663" s="36"/>
    </row>
    <row r="664" spans="1:14" s="37" customFormat="1" x14ac:dyDescent="0.3">
      <c r="A664" s="73">
        <f t="shared" si="154"/>
        <v>12</v>
      </c>
      <c r="B664" s="73"/>
      <c r="C664" s="42" t="s">
        <v>191</v>
      </c>
      <c r="D664" s="51">
        <f>(12.23*5.15+3.35*3.45+1.85*1.55)*10.764</f>
        <v>833.23585800000001</v>
      </c>
      <c r="E664" s="51">
        <v>0</v>
      </c>
      <c r="F664" s="42">
        <f t="shared" si="152"/>
        <v>833.23585800000001</v>
      </c>
      <c r="G664" s="42">
        <v>0</v>
      </c>
      <c r="H664" s="42">
        <f t="shared" si="153"/>
        <v>1291.5155799000001</v>
      </c>
      <c r="I664" s="36"/>
      <c r="N664" s="36"/>
    </row>
    <row r="665" spans="1:14" s="37" customFormat="1" x14ac:dyDescent="0.3">
      <c r="A665" s="73">
        <f t="shared" si="154"/>
        <v>13</v>
      </c>
      <c r="B665" s="73"/>
      <c r="C665" s="42" t="s">
        <v>191</v>
      </c>
      <c r="D665" s="51">
        <f>(12.54*5.15+3.35*3.45+1.85*1.55)*10.764</f>
        <v>850.42058400000008</v>
      </c>
      <c r="E665" s="51">
        <v>0</v>
      </c>
      <c r="F665" s="42">
        <f t="shared" si="152"/>
        <v>850.42058400000008</v>
      </c>
      <c r="G665" s="42">
        <v>0</v>
      </c>
      <c r="H665" s="42">
        <f t="shared" si="153"/>
        <v>1318.1519052000001</v>
      </c>
      <c r="I665" s="36"/>
      <c r="N665" s="36"/>
    </row>
    <row r="666" spans="1:14" s="37" customFormat="1" x14ac:dyDescent="0.3">
      <c r="A666" s="73">
        <v>14</v>
      </c>
      <c r="B666" s="73"/>
      <c r="C666" s="42" t="s">
        <v>191</v>
      </c>
      <c r="D666" s="51">
        <f>(12.77*5.15+3.35*3.45+1.85*1.55)*10.764</f>
        <v>863.17054200000007</v>
      </c>
      <c r="E666" s="51">
        <v>0</v>
      </c>
      <c r="F666" s="42">
        <f>D666+E666</f>
        <v>863.17054200000007</v>
      </c>
      <c r="G666" s="42">
        <v>0</v>
      </c>
      <c r="H666" s="42">
        <f t="shared" si="153"/>
        <v>1337.9143401000001</v>
      </c>
      <c r="I666" s="36"/>
      <c r="N666" s="36"/>
    </row>
    <row r="667" spans="1:14" s="37" customFormat="1" x14ac:dyDescent="0.3">
      <c r="A667" s="73">
        <f>A666+1</f>
        <v>15</v>
      </c>
      <c r="B667" s="73"/>
      <c r="C667" s="42" t="s">
        <v>191</v>
      </c>
      <c r="D667" s="51">
        <f>(12.93*6.75+3.35*5.05+1.35*1.55)*10.764</f>
        <v>1144.0786499999999</v>
      </c>
      <c r="E667" s="51">
        <v>0</v>
      </c>
      <c r="F667" s="42">
        <f>D667+E667</f>
        <v>1144.0786499999999</v>
      </c>
      <c r="G667" s="42">
        <v>0</v>
      </c>
      <c r="H667" s="42">
        <f t="shared" si="153"/>
        <v>1773.3219075</v>
      </c>
      <c r="I667" s="36"/>
      <c r="N667" s="36"/>
    </row>
    <row r="668" spans="1:14" s="37" customFormat="1" x14ac:dyDescent="0.3">
      <c r="A668" s="73">
        <f>A667+1</f>
        <v>16</v>
      </c>
      <c r="B668" s="73"/>
      <c r="C668" s="42" t="s">
        <v>191</v>
      </c>
      <c r="D668" s="51">
        <f>(4.93*3.35+8.88*4.92+12.23*5.87+6.94*3.89+12.54*10.87+1.2*2.55+1.55*2.4+1.85*1.55+1.85*1.55)*10.764</f>
        <v>3313.3378824000001</v>
      </c>
      <c r="E668" s="51">
        <v>0</v>
      </c>
      <c r="F668" s="42">
        <f>D668+E668</f>
        <v>3313.3378824000001</v>
      </c>
      <c r="G668" s="42">
        <v>0</v>
      </c>
      <c r="H668" s="42">
        <f t="shared" si="153"/>
        <v>5135.6737177200002</v>
      </c>
      <c r="I668" s="36"/>
      <c r="N668" s="36"/>
    </row>
    <row r="669" spans="1:14" s="37" customFormat="1" x14ac:dyDescent="0.3">
      <c r="A669" s="73">
        <f>A668+1</f>
        <v>17</v>
      </c>
      <c r="B669" s="73"/>
      <c r="C669" s="42" t="s">
        <v>191</v>
      </c>
      <c r="D669" s="51">
        <f t="shared" ref="D669:D676" si="155">(5.15*10.79+3.45*3.35+1.55*1.85)*10.764</f>
        <v>753.41003400000011</v>
      </c>
      <c r="E669" s="51">
        <v>0</v>
      </c>
      <c r="F669" s="42">
        <f>D669+E669</f>
        <v>753.41003400000011</v>
      </c>
      <c r="G669" s="42">
        <v>0</v>
      </c>
      <c r="H669" s="42">
        <f t="shared" si="153"/>
        <v>1167.7855527000002</v>
      </c>
      <c r="I669" s="36"/>
      <c r="N669" s="36"/>
    </row>
    <row r="670" spans="1:14" s="37" customFormat="1" x14ac:dyDescent="0.3">
      <c r="A670" s="73">
        <f>A669+1</f>
        <v>18</v>
      </c>
      <c r="B670" s="73"/>
      <c r="C670" s="42" t="s">
        <v>191</v>
      </c>
      <c r="D670" s="51">
        <f t="shared" si="155"/>
        <v>753.41003400000011</v>
      </c>
      <c r="E670" s="51">
        <v>0</v>
      </c>
      <c r="F670" s="42">
        <f>D670+E670</f>
        <v>753.41003400000011</v>
      </c>
      <c r="G670" s="42">
        <v>0</v>
      </c>
      <c r="H670" s="42">
        <f t="shared" si="153"/>
        <v>1167.7855527000002</v>
      </c>
      <c r="I670" s="36"/>
      <c r="N670" s="36"/>
    </row>
    <row r="671" spans="1:14" s="37" customFormat="1" x14ac:dyDescent="0.3">
      <c r="A671" s="73">
        <f t="shared" ref="A671:A677" si="156">A670+1</f>
        <v>19</v>
      </c>
      <c r="B671" s="73"/>
      <c r="C671" s="42" t="s">
        <v>191</v>
      </c>
      <c r="D671" s="51">
        <f t="shared" si="155"/>
        <v>753.41003400000011</v>
      </c>
      <c r="E671" s="51">
        <v>0</v>
      </c>
      <c r="F671" s="42">
        <f t="shared" ref="F671:F681" si="157">D671+E671</f>
        <v>753.41003400000011</v>
      </c>
      <c r="G671" s="42">
        <v>0</v>
      </c>
      <c r="H671" s="42">
        <f t="shared" si="153"/>
        <v>1167.7855527000002</v>
      </c>
      <c r="I671" s="36"/>
      <c r="N671" s="36"/>
    </row>
    <row r="672" spans="1:14" s="37" customFormat="1" x14ac:dyDescent="0.3">
      <c r="A672" s="73">
        <f t="shared" si="156"/>
        <v>20</v>
      </c>
      <c r="B672" s="73"/>
      <c r="C672" s="42" t="s">
        <v>191</v>
      </c>
      <c r="D672" s="51">
        <f t="shared" si="155"/>
        <v>753.41003400000011</v>
      </c>
      <c r="E672" s="51">
        <v>0</v>
      </c>
      <c r="F672" s="42">
        <f t="shared" si="157"/>
        <v>753.41003400000011</v>
      </c>
      <c r="G672" s="42">
        <v>0</v>
      </c>
      <c r="H672" s="42">
        <f t="shared" si="153"/>
        <v>1167.7855527000002</v>
      </c>
      <c r="I672" s="36"/>
      <c r="N672" s="36"/>
    </row>
    <row r="673" spans="1:14" s="37" customFormat="1" x14ac:dyDescent="0.3">
      <c r="A673" s="73">
        <f t="shared" si="156"/>
        <v>21</v>
      </c>
      <c r="B673" s="73"/>
      <c r="C673" s="42" t="s">
        <v>191</v>
      </c>
      <c r="D673" s="51">
        <f t="shared" si="155"/>
        <v>753.41003400000011</v>
      </c>
      <c r="E673" s="51">
        <v>0</v>
      </c>
      <c r="F673" s="42">
        <f t="shared" si="157"/>
        <v>753.41003400000011</v>
      </c>
      <c r="G673" s="42">
        <v>0</v>
      </c>
      <c r="H673" s="42">
        <f t="shared" si="153"/>
        <v>1167.7855527000002</v>
      </c>
      <c r="I673" s="36"/>
      <c r="N673" s="36"/>
    </row>
    <row r="674" spans="1:14" s="37" customFormat="1" x14ac:dyDescent="0.3">
      <c r="A674" s="73">
        <f t="shared" si="156"/>
        <v>22</v>
      </c>
      <c r="B674" s="73"/>
      <c r="C674" s="42" t="s">
        <v>191</v>
      </c>
      <c r="D674" s="51">
        <f t="shared" si="155"/>
        <v>753.41003400000011</v>
      </c>
      <c r="E674" s="51">
        <v>0</v>
      </c>
      <c r="F674" s="42">
        <f t="shared" si="157"/>
        <v>753.41003400000011</v>
      </c>
      <c r="G674" s="42">
        <v>0</v>
      </c>
      <c r="H674" s="42">
        <f t="shared" si="153"/>
        <v>1167.7855527000002</v>
      </c>
      <c r="I674" s="36"/>
      <c r="N674" s="36"/>
    </row>
    <row r="675" spans="1:14" s="37" customFormat="1" x14ac:dyDescent="0.3">
      <c r="A675" s="73">
        <f t="shared" si="156"/>
        <v>23</v>
      </c>
      <c r="B675" s="73"/>
      <c r="C675" s="42" t="s">
        <v>191</v>
      </c>
      <c r="D675" s="51">
        <f t="shared" si="155"/>
        <v>753.41003400000011</v>
      </c>
      <c r="E675" s="51">
        <v>0</v>
      </c>
      <c r="F675" s="42">
        <f t="shared" si="157"/>
        <v>753.41003400000011</v>
      </c>
      <c r="G675" s="42">
        <v>0</v>
      </c>
      <c r="H675" s="42">
        <f t="shared" si="153"/>
        <v>1167.7855527000002</v>
      </c>
      <c r="I675" s="36"/>
      <c r="N675" s="36"/>
    </row>
    <row r="676" spans="1:14" s="37" customFormat="1" x14ac:dyDescent="0.3">
      <c r="A676" s="73">
        <f t="shared" si="156"/>
        <v>24</v>
      </c>
      <c r="B676" s="73"/>
      <c r="C676" s="42" t="s">
        <v>191</v>
      </c>
      <c r="D676" s="51">
        <f t="shared" si="155"/>
        <v>753.41003400000011</v>
      </c>
      <c r="E676" s="51">
        <v>0</v>
      </c>
      <c r="F676" s="42">
        <f t="shared" si="157"/>
        <v>753.41003400000011</v>
      </c>
      <c r="G676" s="42">
        <v>0</v>
      </c>
      <c r="H676" s="42">
        <f t="shared" si="153"/>
        <v>1167.7855527000002</v>
      </c>
      <c r="I676" s="36"/>
      <c r="N676" s="36"/>
    </row>
    <row r="677" spans="1:14" s="37" customFormat="1" x14ac:dyDescent="0.3">
      <c r="A677" s="73">
        <f t="shared" si="156"/>
        <v>25</v>
      </c>
      <c r="B677" s="73"/>
      <c r="C677" s="42" t="s">
        <v>191</v>
      </c>
      <c r="D677" s="51">
        <f>(5.4*10.79+3.55*3.35+1.55*1.85)*10.764</f>
        <v>786.05186400000002</v>
      </c>
      <c r="E677" s="51">
        <v>0</v>
      </c>
      <c r="F677" s="42">
        <f t="shared" si="157"/>
        <v>786.05186400000002</v>
      </c>
      <c r="G677" s="42">
        <v>0</v>
      </c>
      <c r="H677" s="42">
        <f t="shared" si="153"/>
        <v>1218.3803892000001</v>
      </c>
      <c r="I677" s="36"/>
      <c r="N677" s="36"/>
    </row>
    <row r="678" spans="1:14" s="37" customFormat="1" x14ac:dyDescent="0.3">
      <c r="A678" s="73">
        <v>26</v>
      </c>
      <c r="B678" s="73"/>
      <c r="C678" s="42" t="s">
        <v>191</v>
      </c>
      <c r="D678" s="51">
        <f>(5.15*8.4+3.45*3.35+1.55*1.85)*10.764</f>
        <v>620.9213400000001</v>
      </c>
      <c r="E678" s="51">
        <v>0</v>
      </c>
      <c r="F678" s="42">
        <f t="shared" si="157"/>
        <v>620.9213400000001</v>
      </c>
      <c r="G678" s="42">
        <v>0</v>
      </c>
      <c r="H678" s="42">
        <f t="shared" si="153"/>
        <v>962.42807700000014</v>
      </c>
      <c r="I678" s="36"/>
      <c r="N678" s="36"/>
    </row>
    <row r="679" spans="1:14" s="37" customFormat="1" x14ac:dyDescent="0.3">
      <c r="A679" s="73">
        <f t="shared" ref="A679:A681" si="158">A678+1</f>
        <v>27</v>
      </c>
      <c r="B679" s="73"/>
      <c r="C679" s="42" t="s">
        <v>191</v>
      </c>
      <c r="D679" s="51">
        <f>(5.15*8.4+3.45*3.35+1.55*1.85)*10.764</f>
        <v>620.9213400000001</v>
      </c>
      <c r="E679" s="51">
        <v>0</v>
      </c>
      <c r="F679" s="42">
        <f t="shared" si="157"/>
        <v>620.9213400000001</v>
      </c>
      <c r="G679" s="42">
        <v>0</v>
      </c>
      <c r="H679" s="42">
        <f t="shared" si="153"/>
        <v>962.42807700000014</v>
      </c>
      <c r="I679" s="36"/>
      <c r="N679" s="36"/>
    </row>
    <row r="680" spans="1:14" s="37" customFormat="1" x14ac:dyDescent="0.3">
      <c r="A680" s="73">
        <f t="shared" si="158"/>
        <v>28</v>
      </c>
      <c r="B680" s="73"/>
      <c r="C680" s="42" t="s">
        <v>191</v>
      </c>
      <c r="D680" s="51">
        <f>(5.15*8.4+3.45*3.35+1.55*1.85)*10.764</f>
        <v>620.9213400000001</v>
      </c>
      <c r="E680" s="51">
        <v>0</v>
      </c>
      <c r="F680" s="42">
        <f t="shared" si="157"/>
        <v>620.9213400000001</v>
      </c>
      <c r="G680" s="42">
        <v>0</v>
      </c>
      <c r="H680" s="42">
        <f t="shared" si="153"/>
        <v>962.42807700000014</v>
      </c>
      <c r="I680" s="36"/>
      <c r="N680" s="36"/>
    </row>
    <row r="681" spans="1:14" s="37" customFormat="1" x14ac:dyDescent="0.3">
      <c r="A681" s="73">
        <f t="shared" si="158"/>
        <v>29</v>
      </c>
      <c r="B681" s="73"/>
      <c r="C681" s="42" t="s">
        <v>191</v>
      </c>
      <c r="D681" s="51">
        <f>(12.23*6.4+7.68*5.35)*10.764</f>
        <v>1284.7910399999998</v>
      </c>
      <c r="E681" s="51">
        <v>0</v>
      </c>
      <c r="F681" s="42">
        <f t="shared" si="157"/>
        <v>1284.7910399999998</v>
      </c>
      <c r="G681" s="42">
        <v>0</v>
      </c>
      <c r="H681" s="42">
        <f t="shared" si="153"/>
        <v>1991.4261119999999</v>
      </c>
      <c r="I681" s="36"/>
      <c r="N681" s="36"/>
    </row>
    <row r="682" spans="1:14" s="37" customFormat="1" x14ac:dyDescent="0.3">
      <c r="A682" s="78" t="s">
        <v>270</v>
      </c>
      <c r="B682" s="78"/>
      <c r="C682" s="78"/>
      <c r="D682" s="78"/>
      <c r="E682" s="78"/>
      <c r="F682" s="78"/>
      <c r="G682" s="78"/>
      <c r="H682" s="78"/>
      <c r="I682" s="36">
        <v>1</v>
      </c>
      <c r="L682" s="72"/>
      <c r="M682" s="72"/>
    </row>
    <row r="683" spans="1:14" s="37" customFormat="1" x14ac:dyDescent="0.3">
      <c r="A683" s="73">
        <v>1</v>
      </c>
      <c r="B683" s="73"/>
      <c r="C683" s="42" t="s">
        <v>191</v>
      </c>
      <c r="D683" s="51">
        <f>(6.55*5.15+3.35*3.45+1.85*1.55)*10.764</f>
        <v>518.36733000000004</v>
      </c>
      <c r="E683" s="51">
        <v>0</v>
      </c>
      <c r="F683" s="42">
        <f t="shared" ref="F683:F687" si="159">D683+E683</f>
        <v>518.36733000000004</v>
      </c>
      <c r="G683" s="42">
        <v>0</v>
      </c>
      <c r="H683" s="42">
        <f t="shared" ref="H683:H687" si="160">F683*(($H$251)+1)+(IF(G683&lt;101,G683,IF(G683&lt;201,G683/2,IF(G683&lt;=301,G683/3,G683/4))))</f>
        <v>803.4693615000001</v>
      </c>
      <c r="I683" s="36"/>
      <c r="N683" s="36"/>
    </row>
    <row r="684" spans="1:14" s="37" customFormat="1" x14ac:dyDescent="0.3">
      <c r="A684" s="73">
        <f>A683+1</f>
        <v>2</v>
      </c>
      <c r="B684" s="73"/>
      <c r="C684" s="42" t="s">
        <v>191</v>
      </c>
      <c r="D684" s="51">
        <f>(6.55*5.15+3.35*3.45+1.85*1.55)*10.764</f>
        <v>518.36733000000004</v>
      </c>
      <c r="E684" s="51">
        <v>0</v>
      </c>
      <c r="F684" s="42">
        <f t="shared" si="159"/>
        <v>518.36733000000004</v>
      </c>
      <c r="G684" s="42">
        <v>0</v>
      </c>
      <c r="H684" s="42">
        <f t="shared" si="160"/>
        <v>803.4693615000001</v>
      </c>
      <c r="I684" s="36"/>
      <c r="N684" s="36"/>
    </row>
    <row r="685" spans="1:14" s="37" customFormat="1" x14ac:dyDescent="0.3">
      <c r="A685" s="73">
        <f t="shared" ref="A685:A695" si="161">A684+1</f>
        <v>3</v>
      </c>
      <c r="B685" s="73"/>
      <c r="C685" s="42" t="s">
        <v>191</v>
      </c>
      <c r="D685" s="51">
        <f>(6.55*5.15+3.35*3.45+1.85*1.55)*10.764</f>
        <v>518.36733000000004</v>
      </c>
      <c r="E685" s="51">
        <v>0</v>
      </c>
      <c r="F685" s="42">
        <f t="shared" si="159"/>
        <v>518.36733000000004</v>
      </c>
      <c r="G685" s="42">
        <v>0</v>
      </c>
      <c r="H685" s="42">
        <f t="shared" si="160"/>
        <v>803.4693615000001</v>
      </c>
      <c r="N685" s="36"/>
    </row>
    <row r="686" spans="1:14" s="37" customFormat="1" x14ac:dyDescent="0.3">
      <c r="A686" s="73">
        <f t="shared" si="161"/>
        <v>4</v>
      </c>
      <c r="B686" s="73"/>
      <c r="C686" s="42" t="s">
        <v>191</v>
      </c>
      <c r="D686" s="51">
        <f>(6.55*5.15+3.35*3.45+1.85*1.55)*10.764</f>
        <v>518.36733000000004</v>
      </c>
      <c r="E686" s="51">
        <v>0</v>
      </c>
      <c r="F686" s="42">
        <f t="shared" si="159"/>
        <v>518.36733000000004</v>
      </c>
      <c r="G686" s="42">
        <v>0</v>
      </c>
      <c r="H686" s="42">
        <f t="shared" si="160"/>
        <v>803.4693615000001</v>
      </c>
      <c r="I686" s="36"/>
      <c r="N686" s="36"/>
    </row>
    <row r="687" spans="1:14" s="37" customFormat="1" x14ac:dyDescent="0.3">
      <c r="A687" s="73">
        <f t="shared" si="161"/>
        <v>5</v>
      </c>
      <c r="B687" s="73"/>
      <c r="C687" s="42" t="s">
        <v>191</v>
      </c>
      <c r="D687" s="51">
        <f>(6.55*5.22+3.35*3.45+1.85*1.55)*10.764</f>
        <v>523.30262399999992</v>
      </c>
      <c r="E687" s="51">
        <v>0</v>
      </c>
      <c r="F687" s="42">
        <f t="shared" si="159"/>
        <v>523.30262399999992</v>
      </c>
      <c r="G687" s="42">
        <v>0</v>
      </c>
      <c r="H687" s="42">
        <f t="shared" si="160"/>
        <v>811.1190671999999</v>
      </c>
      <c r="I687" s="36"/>
      <c r="N687" s="36"/>
    </row>
    <row r="688" spans="1:14" s="37" customFormat="1" x14ac:dyDescent="0.3">
      <c r="A688" s="73">
        <f t="shared" si="161"/>
        <v>6</v>
      </c>
      <c r="B688" s="73"/>
      <c r="C688" s="74" t="s">
        <v>197</v>
      </c>
      <c r="D688" s="75"/>
      <c r="E688" s="75"/>
      <c r="F688" s="75"/>
      <c r="G688" s="75"/>
      <c r="H688" s="76"/>
      <c r="I688" s="36"/>
      <c r="N688" s="36"/>
    </row>
    <row r="689" spans="1:14" s="37" customFormat="1" x14ac:dyDescent="0.3">
      <c r="A689" s="73">
        <f t="shared" si="161"/>
        <v>7</v>
      </c>
      <c r="B689" s="73"/>
      <c r="C689" s="42" t="s">
        <v>191</v>
      </c>
      <c r="D689" s="51">
        <f>(9.46*6.01+3.35*4.31+1.85*1.55)*10.764</f>
        <v>798.26469840000016</v>
      </c>
      <c r="E689" s="51">
        <v>0</v>
      </c>
      <c r="F689" s="42">
        <f t="shared" ref="F689:F695" si="162">D689+E689</f>
        <v>798.26469840000016</v>
      </c>
      <c r="G689" s="42">
        <v>0</v>
      </c>
      <c r="H689" s="42">
        <f t="shared" ref="H689:H710" si="163">F689*(($H$251)+1)+(IF(G689&lt;101,G689,IF(G689&lt;201,G689/2,IF(G689&lt;=301,G689/3,G689/4))))</f>
        <v>1237.3102825200003</v>
      </c>
      <c r="I689" s="36"/>
      <c r="N689" s="36"/>
    </row>
    <row r="690" spans="1:14" s="37" customFormat="1" x14ac:dyDescent="0.3">
      <c r="A690" s="73">
        <f t="shared" si="161"/>
        <v>8</v>
      </c>
      <c r="B690" s="73"/>
      <c r="C690" s="42" t="s">
        <v>191</v>
      </c>
      <c r="D690" s="51">
        <f>(10.22*5.22+3.35*3.52+1.85*1.55)*10.764</f>
        <v>732.03703560000008</v>
      </c>
      <c r="E690" s="51">
        <v>0</v>
      </c>
      <c r="F690" s="42">
        <f t="shared" si="162"/>
        <v>732.03703560000008</v>
      </c>
      <c r="G690" s="42">
        <v>0</v>
      </c>
      <c r="H690" s="42">
        <f t="shared" si="163"/>
        <v>1134.6574051800001</v>
      </c>
      <c r="I690" s="36"/>
      <c r="N690" s="36"/>
    </row>
    <row r="691" spans="1:14" s="37" customFormat="1" x14ac:dyDescent="0.3">
      <c r="A691" s="73">
        <f t="shared" si="161"/>
        <v>9</v>
      </c>
      <c r="B691" s="73"/>
      <c r="C691" s="42" t="s">
        <v>191</v>
      </c>
      <c r="D691" s="51">
        <f>(10.85*5.15+3.35*3.45+1.85*1.55)*10.764</f>
        <v>756.73611000000005</v>
      </c>
      <c r="E691" s="51">
        <v>0</v>
      </c>
      <c r="F691" s="42">
        <f t="shared" si="162"/>
        <v>756.73611000000005</v>
      </c>
      <c r="G691" s="42">
        <v>0</v>
      </c>
      <c r="H691" s="42">
        <f t="shared" si="163"/>
        <v>1172.9409705</v>
      </c>
      <c r="I691" s="36"/>
      <c r="N691" s="36"/>
    </row>
    <row r="692" spans="1:14" s="37" customFormat="1" x14ac:dyDescent="0.3">
      <c r="A692" s="73">
        <f t="shared" si="161"/>
        <v>10</v>
      </c>
      <c r="B692" s="73"/>
      <c r="C692" s="42" t="s">
        <v>191</v>
      </c>
      <c r="D692" s="51">
        <f>(11.39*5.15+3.35*3.45+1.85*1.55)*10.764</f>
        <v>786.67079400000011</v>
      </c>
      <c r="E692" s="51">
        <v>0</v>
      </c>
      <c r="F692" s="42">
        <f t="shared" si="162"/>
        <v>786.67079400000011</v>
      </c>
      <c r="G692" s="42">
        <v>0</v>
      </c>
      <c r="H692" s="42">
        <f t="shared" si="163"/>
        <v>1219.3397307000002</v>
      </c>
      <c r="I692" s="36"/>
      <c r="N692" s="36"/>
    </row>
    <row r="693" spans="1:14" s="37" customFormat="1" x14ac:dyDescent="0.3">
      <c r="A693" s="73">
        <f t="shared" si="161"/>
        <v>11</v>
      </c>
      <c r="B693" s="73"/>
      <c r="C693" s="42" t="s">
        <v>191</v>
      </c>
      <c r="D693" s="51">
        <f>(11.85*5.15+3.35*3.45+1.85*1.55)*10.764</f>
        <v>812.1707100000001</v>
      </c>
      <c r="E693" s="51">
        <v>0</v>
      </c>
      <c r="F693" s="42">
        <f t="shared" si="162"/>
        <v>812.1707100000001</v>
      </c>
      <c r="G693" s="42">
        <v>0</v>
      </c>
      <c r="H693" s="42">
        <f t="shared" si="163"/>
        <v>1258.8646005000003</v>
      </c>
      <c r="I693" s="36"/>
      <c r="N693" s="36"/>
    </row>
    <row r="694" spans="1:14" s="37" customFormat="1" x14ac:dyDescent="0.3">
      <c r="A694" s="73">
        <f t="shared" si="161"/>
        <v>12</v>
      </c>
      <c r="B694" s="73"/>
      <c r="C694" s="42" t="s">
        <v>191</v>
      </c>
      <c r="D694" s="51">
        <f>(12.23*5.15+3.35*3.45+1.85*1.55)*10.764</f>
        <v>833.23585800000001</v>
      </c>
      <c r="E694" s="51">
        <v>0</v>
      </c>
      <c r="F694" s="42">
        <f t="shared" si="162"/>
        <v>833.23585800000001</v>
      </c>
      <c r="G694" s="42">
        <v>0</v>
      </c>
      <c r="H694" s="42">
        <f t="shared" si="163"/>
        <v>1291.5155799000001</v>
      </c>
      <c r="I694" s="36"/>
      <c r="N694" s="36"/>
    </row>
    <row r="695" spans="1:14" s="37" customFormat="1" x14ac:dyDescent="0.3">
      <c r="A695" s="73">
        <f t="shared" si="161"/>
        <v>13</v>
      </c>
      <c r="B695" s="73"/>
      <c r="C695" s="42" t="s">
        <v>191</v>
      </c>
      <c r="D695" s="51">
        <f>(12.54*5.15+3.35*3.45+1.85*1.55)*10.764</f>
        <v>850.42058400000008</v>
      </c>
      <c r="E695" s="51">
        <v>0</v>
      </c>
      <c r="F695" s="42">
        <f t="shared" si="162"/>
        <v>850.42058400000008</v>
      </c>
      <c r="G695" s="42">
        <v>0</v>
      </c>
      <c r="H695" s="42">
        <f t="shared" si="163"/>
        <v>1318.1519052000001</v>
      </c>
      <c r="I695" s="36"/>
      <c r="N695" s="36"/>
    </row>
    <row r="696" spans="1:14" s="37" customFormat="1" x14ac:dyDescent="0.3">
      <c r="A696" s="73">
        <v>14</v>
      </c>
      <c r="B696" s="73"/>
      <c r="C696" s="42" t="s">
        <v>191</v>
      </c>
      <c r="D696" s="51">
        <f>(12.77*5.15+3.35*3.45+1.85*1.55)*10.764</f>
        <v>863.17054200000007</v>
      </c>
      <c r="E696" s="51">
        <v>0</v>
      </c>
      <c r="F696" s="42">
        <f>D696+E696</f>
        <v>863.17054200000007</v>
      </c>
      <c r="G696" s="42">
        <v>0</v>
      </c>
      <c r="H696" s="42">
        <f t="shared" si="163"/>
        <v>1337.9143401000001</v>
      </c>
      <c r="I696" s="36"/>
      <c r="N696" s="36"/>
    </row>
    <row r="697" spans="1:14" s="37" customFormat="1" x14ac:dyDescent="0.3">
      <c r="A697" s="73">
        <f>A696+1</f>
        <v>15</v>
      </c>
      <c r="B697" s="73"/>
      <c r="C697" s="42" t="s">
        <v>191</v>
      </c>
      <c r="D697" s="51">
        <f>(12.93*6.75+3.35*5.05+1.35*1.55)*10.764</f>
        <v>1144.0786499999999</v>
      </c>
      <c r="E697" s="51">
        <v>0</v>
      </c>
      <c r="F697" s="42">
        <f>D697+E697</f>
        <v>1144.0786499999999</v>
      </c>
      <c r="G697" s="42">
        <v>0</v>
      </c>
      <c r="H697" s="42">
        <f t="shared" si="163"/>
        <v>1773.3219075</v>
      </c>
      <c r="I697" s="36"/>
      <c r="N697" s="36"/>
    </row>
    <row r="698" spans="1:14" s="37" customFormat="1" x14ac:dyDescent="0.3">
      <c r="A698" s="73">
        <f>A697+1</f>
        <v>16</v>
      </c>
      <c r="B698" s="73"/>
      <c r="C698" s="42" t="s">
        <v>191</v>
      </c>
      <c r="D698" s="51">
        <f>(4.93*3.35+8.88*4.92+12.23*5.87+6.94*3.89+12.54*10.87+1.2*2.55+1.55*2.4+1.85*1.55+1.85*1.55)*10.764</f>
        <v>3313.3378824000001</v>
      </c>
      <c r="E698" s="51">
        <f>(1.78*6.94+1.95*5.8)*10.764</f>
        <v>254.7106848</v>
      </c>
      <c r="F698" s="42">
        <f>D698+E698</f>
        <v>3568.0485672</v>
      </c>
      <c r="G698" s="42">
        <v>0</v>
      </c>
      <c r="H698" s="42">
        <f t="shared" si="163"/>
        <v>5530.4752791600004</v>
      </c>
      <c r="I698" s="36"/>
      <c r="N698" s="36"/>
    </row>
    <row r="699" spans="1:14" s="37" customFormat="1" x14ac:dyDescent="0.3">
      <c r="A699" s="73">
        <f>A698+1</f>
        <v>17</v>
      </c>
      <c r="B699" s="73"/>
      <c r="C699" s="42" t="s">
        <v>191</v>
      </c>
      <c r="D699" s="51">
        <f t="shared" ref="D699:D705" si="164">(5.15*10.79+3.45*3.35+1.55*1.85)*10.764</f>
        <v>753.41003400000011</v>
      </c>
      <c r="E699" s="51">
        <v>0</v>
      </c>
      <c r="F699" s="42">
        <f>D699+E699</f>
        <v>753.41003400000011</v>
      </c>
      <c r="G699" s="42">
        <v>0</v>
      </c>
      <c r="H699" s="42">
        <f t="shared" si="163"/>
        <v>1167.7855527000002</v>
      </c>
      <c r="I699" s="36"/>
      <c r="N699" s="36"/>
    </row>
    <row r="700" spans="1:14" s="37" customFormat="1" x14ac:dyDescent="0.3">
      <c r="A700" s="73">
        <f>A699+1</f>
        <v>18</v>
      </c>
      <c r="B700" s="73"/>
      <c r="C700" s="42" t="s">
        <v>191</v>
      </c>
      <c r="D700" s="51">
        <f t="shared" si="164"/>
        <v>753.41003400000011</v>
      </c>
      <c r="E700" s="51">
        <v>0</v>
      </c>
      <c r="F700" s="42">
        <f>D700+E700</f>
        <v>753.41003400000011</v>
      </c>
      <c r="G700" s="42">
        <v>0</v>
      </c>
      <c r="H700" s="42">
        <f t="shared" si="163"/>
        <v>1167.7855527000002</v>
      </c>
      <c r="I700" s="36"/>
      <c r="N700" s="36"/>
    </row>
    <row r="701" spans="1:14" s="37" customFormat="1" x14ac:dyDescent="0.3">
      <c r="A701" s="73">
        <f t="shared" ref="A701:A706" si="165">A700+1</f>
        <v>19</v>
      </c>
      <c r="B701" s="73"/>
      <c r="C701" s="42" t="s">
        <v>191</v>
      </c>
      <c r="D701" s="51">
        <f t="shared" si="164"/>
        <v>753.41003400000011</v>
      </c>
      <c r="E701" s="51">
        <v>0</v>
      </c>
      <c r="F701" s="42">
        <f t="shared" ref="F701:F710" si="166">D701+E701</f>
        <v>753.41003400000011</v>
      </c>
      <c r="G701" s="42">
        <v>0</v>
      </c>
      <c r="H701" s="42">
        <f t="shared" si="163"/>
        <v>1167.7855527000002</v>
      </c>
      <c r="I701" s="36"/>
      <c r="N701" s="36"/>
    </row>
    <row r="702" spans="1:14" s="37" customFormat="1" x14ac:dyDescent="0.3">
      <c r="A702" s="73">
        <f t="shared" si="165"/>
        <v>20</v>
      </c>
      <c r="B702" s="73"/>
      <c r="C702" s="42" t="s">
        <v>191</v>
      </c>
      <c r="D702" s="51">
        <f t="shared" si="164"/>
        <v>753.41003400000011</v>
      </c>
      <c r="E702" s="51">
        <v>0</v>
      </c>
      <c r="F702" s="42">
        <f t="shared" si="166"/>
        <v>753.41003400000011</v>
      </c>
      <c r="G702" s="42">
        <v>0</v>
      </c>
      <c r="H702" s="42">
        <f t="shared" si="163"/>
        <v>1167.7855527000002</v>
      </c>
      <c r="I702" s="36"/>
      <c r="N702" s="36"/>
    </row>
    <row r="703" spans="1:14" s="37" customFormat="1" x14ac:dyDescent="0.3">
      <c r="A703" s="73">
        <f t="shared" si="165"/>
        <v>21</v>
      </c>
      <c r="B703" s="73"/>
      <c r="C703" s="42" t="s">
        <v>191</v>
      </c>
      <c r="D703" s="51">
        <f t="shared" si="164"/>
        <v>753.41003400000011</v>
      </c>
      <c r="E703" s="51">
        <v>0</v>
      </c>
      <c r="F703" s="42">
        <f t="shared" si="166"/>
        <v>753.41003400000011</v>
      </c>
      <c r="G703" s="42">
        <v>0</v>
      </c>
      <c r="H703" s="42">
        <f t="shared" si="163"/>
        <v>1167.7855527000002</v>
      </c>
      <c r="I703" s="36"/>
      <c r="N703" s="36"/>
    </row>
    <row r="704" spans="1:14" s="37" customFormat="1" x14ac:dyDescent="0.3">
      <c r="A704" s="73">
        <f t="shared" si="165"/>
        <v>22</v>
      </c>
      <c r="B704" s="73"/>
      <c r="C704" s="42" t="s">
        <v>191</v>
      </c>
      <c r="D704" s="51">
        <f t="shared" si="164"/>
        <v>753.41003400000011</v>
      </c>
      <c r="E704" s="51">
        <v>0</v>
      </c>
      <c r="F704" s="42">
        <f t="shared" si="166"/>
        <v>753.41003400000011</v>
      </c>
      <c r="G704" s="42">
        <v>0</v>
      </c>
      <c r="H704" s="42">
        <f t="shared" si="163"/>
        <v>1167.7855527000002</v>
      </c>
      <c r="I704" s="36"/>
      <c r="N704" s="36"/>
    </row>
    <row r="705" spans="1:14" s="37" customFormat="1" x14ac:dyDescent="0.3">
      <c r="A705" s="73">
        <f t="shared" si="165"/>
        <v>23</v>
      </c>
      <c r="B705" s="73"/>
      <c r="C705" s="42" t="s">
        <v>191</v>
      </c>
      <c r="D705" s="51">
        <f t="shared" si="164"/>
        <v>753.41003400000011</v>
      </c>
      <c r="E705" s="51">
        <v>0</v>
      </c>
      <c r="F705" s="42">
        <f t="shared" si="166"/>
        <v>753.41003400000011</v>
      </c>
      <c r="G705" s="42">
        <v>0</v>
      </c>
      <c r="H705" s="42">
        <f t="shared" si="163"/>
        <v>1167.7855527000002</v>
      </c>
      <c r="I705" s="36"/>
      <c r="N705" s="36"/>
    </row>
    <row r="706" spans="1:14" s="37" customFormat="1" x14ac:dyDescent="0.3">
      <c r="A706" s="73">
        <f t="shared" si="165"/>
        <v>24</v>
      </c>
      <c r="B706" s="73"/>
      <c r="C706" s="42" t="s">
        <v>191</v>
      </c>
      <c r="D706" s="51">
        <f>(10.7*10.79+3.55*3.35+3.45*3.35+1.55*1.85+1.55*1.85)*10.764</f>
        <v>1556.8834319999999</v>
      </c>
      <c r="E706" s="51">
        <v>0</v>
      </c>
      <c r="F706" s="42">
        <f t="shared" si="166"/>
        <v>1556.8834319999999</v>
      </c>
      <c r="G706" s="42">
        <v>0</v>
      </c>
      <c r="H706" s="42">
        <f t="shared" si="163"/>
        <v>2413.1693195999997</v>
      </c>
      <c r="I706" s="36"/>
      <c r="N706" s="36"/>
    </row>
    <row r="707" spans="1:14" s="37" customFormat="1" x14ac:dyDescent="0.3">
      <c r="A707" s="73">
        <v>26</v>
      </c>
      <c r="B707" s="73"/>
      <c r="C707" s="42" t="s">
        <v>191</v>
      </c>
      <c r="D707" s="51">
        <f>(5.15*8.4+3.45*3.35+1.55*1.85)*10.764</f>
        <v>620.9213400000001</v>
      </c>
      <c r="E707" s="51">
        <v>0</v>
      </c>
      <c r="F707" s="42">
        <f t="shared" si="166"/>
        <v>620.9213400000001</v>
      </c>
      <c r="G707" s="42">
        <v>0</v>
      </c>
      <c r="H707" s="42">
        <f t="shared" si="163"/>
        <v>962.42807700000014</v>
      </c>
      <c r="I707" s="36"/>
      <c r="N707" s="36"/>
    </row>
    <row r="708" spans="1:14" s="37" customFormat="1" x14ac:dyDescent="0.3">
      <c r="A708" s="73">
        <f t="shared" ref="A708:A710" si="167">A707+1</f>
        <v>27</v>
      </c>
      <c r="B708" s="73"/>
      <c r="C708" s="42" t="s">
        <v>191</v>
      </c>
      <c r="D708" s="51">
        <f>(5.15*8.4+3.45*3.35+1.55*1.85)*10.764</f>
        <v>620.9213400000001</v>
      </c>
      <c r="E708" s="51">
        <v>0</v>
      </c>
      <c r="F708" s="42">
        <f t="shared" si="166"/>
        <v>620.9213400000001</v>
      </c>
      <c r="G708" s="42">
        <v>0</v>
      </c>
      <c r="H708" s="42">
        <f t="shared" si="163"/>
        <v>962.42807700000014</v>
      </c>
      <c r="I708" s="36"/>
      <c r="N708" s="36"/>
    </row>
    <row r="709" spans="1:14" s="37" customFormat="1" x14ac:dyDescent="0.3">
      <c r="A709" s="73">
        <f t="shared" si="167"/>
        <v>28</v>
      </c>
      <c r="B709" s="73"/>
      <c r="C709" s="42" t="s">
        <v>191</v>
      </c>
      <c r="D709" s="51">
        <f>(5.15*8.4+3.45*3.35+1.55*1.85)*10.764</f>
        <v>620.9213400000001</v>
      </c>
      <c r="E709" s="51">
        <v>0</v>
      </c>
      <c r="F709" s="42">
        <f t="shared" si="166"/>
        <v>620.9213400000001</v>
      </c>
      <c r="G709" s="42">
        <v>0</v>
      </c>
      <c r="H709" s="42">
        <f t="shared" si="163"/>
        <v>962.42807700000014</v>
      </c>
      <c r="I709" s="36"/>
      <c r="N709" s="36"/>
    </row>
    <row r="710" spans="1:14" s="37" customFormat="1" x14ac:dyDescent="0.3">
      <c r="A710" s="73">
        <f t="shared" si="167"/>
        <v>29</v>
      </c>
      <c r="B710" s="73"/>
      <c r="C710" s="42" t="s">
        <v>191</v>
      </c>
      <c r="D710" s="51">
        <f>(12.23*6.4+7.68*5.35)*10.764</f>
        <v>1284.7910399999998</v>
      </c>
      <c r="E710" s="51">
        <v>0</v>
      </c>
      <c r="F710" s="42">
        <f t="shared" si="166"/>
        <v>1284.7910399999998</v>
      </c>
      <c r="G710" s="42">
        <v>0</v>
      </c>
      <c r="H710" s="42">
        <f t="shared" si="163"/>
        <v>1991.4261119999999</v>
      </c>
      <c r="I710" s="36"/>
      <c r="N710" s="36"/>
    </row>
    <row r="711" spans="1:14" s="37" customFormat="1" x14ac:dyDescent="0.3">
      <c r="A711" s="78" t="s">
        <v>273</v>
      </c>
      <c r="B711" s="78"/>
      <c r="C711" s="78"/>
      <c r="D711" s="78"/>
      <c r="E711" s="78"/>
      <c r="F711" s="78"/>
      <c r="G711" s="78"/>
      <c r="H711" s="78"/>
      <c r="I711" s="36">
        <v>1</v>
      </c>
      <c r="L711" s="72"/>
      <c r="M711" s="72"/>
    </row>
    <row r="712" spans="1:14" s="37" customFormat="1" x14ac:dyDescent="0.3">
      <c r="A712" s="73">
        <v>1</v>
      </c>
      <c r="B712" s="73"/>
      <c r="C712" s="42" t="s">
        <v>191</v>
      </c>
      <c r="D712" s="51">
        <f>(6.55*5.15+3.35*3.45+1.85*1.55)*10.764</f>
        <v>518.36733000000004</v>
      </c>
      <c r="E712" s="51">
        <v>0</v>
      </c>
      <c r="F712" s="42">
        <f t="shared" ref="F712:F716" si="168">D712+E712</f>
        <v>518.36733000000004</v>
      </c>
      <c r="G712" s="42">
        <v>0</v>
      </c>
      <c r="H712" s="42">
        <f t="shared" ref="H712:H716" si="169">F712*(($H$251)+1)+(IF(G712&lt;101,G712,IF(G712&lt;201,G712/2,IF(G712&lt;=301,G712/3,G712/4))))</f>
        <v>803.4693615000001</v>
      </c>
      <c r="I712" s="36"/>
      <c r="N712" s="36"/>
    </row>
    <row r="713" spans="1:14" s="37" customFormat="1" x14ac:dyDescent="0.3">
      <c r="A713" s="73">
        <f>A712+1</f>
        <v>2</v>
      </c>
      <c r="B713" s="73"/>
      <c r="C713" s="42" t="s">
        <v>191</v>
      </c>
      <c r="D713" s="51">
        <f>(6.55*5.15+3.35*3.45+1.85*1.55)*10.764</f>
        <v>518.36733000000004</v>
      </c>
      <c r="E713" s="51">
        <v>0</v>
      </c>
      <c r="F713" s="42">
        <f t="shared" si="168"/>
        <v>518.36733000000004</v>
      </c>
      <c r="G713" s="42">
        <v>0</v>
      </c>
      <c r="H713" s="42">
        <f t="shared" si="169"/>
        <v>803.4693615000001</v>
      </c>
      <c r="I713" s="36"/>
      <c r="N713" s="36"/>
    </row>
    <row r="714" spans="1:14" s="37" customFormat="1" x14ac:dyDescent="0.3">
      <c r="A714" s="73">
        <f t="shared" ref="A714:A724" si="170">A713+1</f>
        <v>3</v>
      </c>
      <c r="B714" s="73"/>
      <c r="C714" s="42" t="s">
        <v>191</v>
      </c>
      <c r="D714" s="51">
        <f>(6.55*5.15+3.35*3.45+1.85*1.55)*10.764</f>
        <v>518.36733000000004</v>
      </c>
      <c r="E714" s="51">
        <v>0</v>
      </c>
      <c r="F714" s="42">
        <f t="shared" si="168"/>
        <v>518.36733000000004</v>
      </c>
      <c r="G714" s="42">
        <v>0</v>
      </c>
      <c r="H714" s="42">
        <f t="shared" si="169"/>
        <v>803.4693615000001</v>
      </c>
      <c r="I714" s="36"/>
      <c r="N714" s="36"/>
    </row>
    <row r="715" spans="1:14" s="37" customFormat="1" x14ac:dyDescent="0.3">
      <c r="A715" s="73">
        <f t="shared" si="170"/>
        <v>4</v>
      </c>
      <c r="B715" s="73"/>
      <c r="C715" s="42" t="s">
        <v>191</v>
      </c>
      <c r="D715" s="51">
        <f>(6.55*5.15+3.35*3.45+1.85*1.55)*10.764</f>
        <v>518.36733000000004</v>
      </c>
      <c r="E715" s="51">
        <v>0</v>
      </c>
      <c r="F715" s="42">
        <f t="shared" si="168"/>
        <v>518.36733000000004</v>
      </c>
      <c r="G715" s="42">
        <v>0</v>
      </c>
      <c r="H715" s="42">
        <f t="shared" si="169"/>
        <v>803.4693615000001</v>
      </c>
      <c r="I715" s="36"/>
      <c r="N715" s="36"/>
    </row>
    <row r="716" spans="1:14" s="37" customFormat="1" x14ac:dyDescent="0.3">
      <c r="A716" s="73">
        <f t="shared" si="170"/>
        <v>5</v>
      </c>
      <c r="B716" s="73"/>
      <c r="C716" s="42" t="s">
        <v>191</v>
      </c>
      <c r="D716" s="51">
        <f>(6.55*5.22+3.35*3.45+1.85*1.55)*10.764</f>
        <v>523.30262399999992</v>
      </c>
      <c r="E716" s="51">
        <v>0</v>
      </c>
      <c r="F716" s="42">
        <f t="shared" si="168"/>
        <v>523.30262399999992</v>
      </c>
      <c r="G716" s="42">
        <v>0</v>
      </c>
      <c r="H716" s="42">
        <f t="shared" si="169"/>
        <v>811.1190671999999</v>
      </c>
      <c r="I716" s="36"/>
      <c r="N716" s="36"/>
    </row>
    <row r="717" spans="1:14" s="37" customFormat="1" x14ac:dyDescent="0.3">
      <c r="A717" s="73">
        <f t="shared" si="170"/>
        <v>6</v>
      </c>
      <c r="B717" s="73"/>
      <c r="C717" s="74" t="s">
        <v>197</v>
      </c>
      <c r="D717" s="75"/>
      <c r="E717" s="75"/>
      <c r="F717" s="75"/>
      <c r="G717" s="75"/>
      <c r="H717" s="76"/>
      <c r="I717" s="36"/>
      <c r="N717" s="36"/>
    </row>
    <row r="718" spans="1:14" s="37" customFormat="1" x14ac:dyDescent="0.3">
      <c r="A718" s="73">
        <f t="shared" si="170"/>
        <v>7</v>
      </c>
      <c r="B718" s="73"/>
      <c r="C718" s="42" t="s">
        <v>191</v>
      </c>
      <c r="D718" s="51">
        <f>(9.46*6.01+3.35*4.31+1.85*1.55)*10.764</f>
        <v>798.26469840000016</v>
      </c>
      <c r="E718" s="51">
        <v>0</v>
      </c>
      <c r="F718" s="42">
        <f t="shared" ref="F718:F724" si="171">D718+E718</f>
        <v>798.26469840000016</v>
      </c>
      <c r="G718" s="42">
        <v>0</v>
      </c>
      <c r="H718" s="42">
        <f t="shared" ref="H718:H739" si="172">F718*(($H$251)+1)+(IF(G718&lt;101,G718,IF(G718&lt;201,G718/2,IF(G718&lt;=301,G718/3,G718/4))))</f>
        <v>1237.3102825200003</v>
      </c>
      <c r="I718" s="36"/>
      <c r="N718" s="36"/>
    </row>
    <row r="719" spans="1:14" s="37" customFormat="1" x14ac:dyDescent="0.3">
      <c r="A719" s="73">
        <f t="shared" si="170"/>
        <v>8</v>
      </c>
      <c r="B719" s="73"/>
      <c r="C719" s="42" t="s">
        <v>191</v>
      </c>
      <c r="D719" s="51">
        <f>(10.22*5.22+3.35*3.52+1.85*1.55)*10.764</f>
        <v>732.03703560000008</v>
      </c>
      <c r="E719" s="51">
        <v>0</v>
      </c>
      <c r="F719" s="42">
        <f t="shared" si="171"/>
        <v>732.03703560000008</v>
      </c>
      <c r="G719" s="42">
        <v>0</v>
      </c>
      <c r="H719" s="42">
        <f t="shared" si="172"/>
        <v>1134.6574051800001</v>
      </c>
      <c r="I719" s="36"/>
      <c r="N719" s="36"/>
    </row>
    <row r="720" spans="1:14" s="37" customFormat="1" x14ac:dyDescent="0.3">
      <c r="A720" s="73">
        <f t="shared" si="170"/>
        <v>9</v>
      </c>
      <c r="B720" s="73"/>
      <c r="C720" s="42" t="s">
        <v>191</v>
      </c>
      <c r="D720" s="51">
        <f>(10.85*5.15+3.35*3.45+1.85*1.55)*10.764</f>
        <v>756.73611000000005</v>
      </c>
      <c r="E720" s="51">
        <v>0</v>
      </c>
      <c r="F720" s="42">
        <f t="shared" si="171"/>
        <v>756.73611000000005</v>
      </c>
      <c r="G720" s="42">
        <v>0</v>
      </c>
      <c r="H720" s="42">
        <f t="shared" si="172"/>
        <v>1172.9409705</v>
      </c>
      <c r="I720" s="36"/>
      <c r="N720" s="36"/>
    </row>
    <row r="721" spans="1:14" s="37" customFormat="1" x14ac:dyDescent="0.3">
      <c r="A721" s="73">
        <f t="shared" si="170"/>
        <v>10</v>
      </c>
      <c r="B721" s="73"/>
      <c r="C721" s="42" t="s">
        <v>191</v>
      </c>
      <c r="D721" s="51">
        <f>(11.39*5.15+3.35*3.45+1.85*1.55)*10.764</f>
        <v>786.67079400000011</v>
      </c>
      <c r="E721" s="51">
        <v>0</v>
      </c>
      <c r="F721" s="42">
        <f t="shared" si="171"/>
        <v>786.67079400000011</v>
      </c>
      <c r="G721" s="42">
        <v>0</v>
      </c>
      <c r="H721" s="42">
        <f t="shared" si="172"/>
        <v>1219.3397307000002</v>
      </c>
      <c r="I721" s="36"/>
      <c r="N721" s="36"/>
    </row>
    <row r="722" spans="1:14" s="37" customFormat="1" x14ac:dyDescent="0.3">
      <c r="A722" s="73">
        <f t="shared" si="170"/>
        <v>11</v>
      </c>
      <c r="B722" s="73"/>
      <c r="C722" s="42" t="s">
        <v>191</v>
      </c>
      <c r="D722" s="51">
        <f>(11.85*5.15+3.35*3.45+1.85*1.55)*10.764</f>
        <v>812.1707100000001</v>
      </c>
      <c r="E722" s="51">
        <v>0</v>
      </c>
      <c r="F722" s="42">
        <f t="shared" si="171"/>
        <v>812.1707100000001</v>
      </c>
      <c r="G722" s="42">
        <v>0</v>
      </c>
      <c r="H722" s="42">
        <f t="shared" si="172"/>
        <v>1258.8646005000003</v>
      </c>
      <c r="I722" s="36"/>
      <c r="N722" s="36"/>
    </row>
    <row r="723" spans="1:14" s="37" customFormat="1" x14ac:dyDescent="0.3">
      <c r="A723" s="73">
        <f t="shared" si="170"/>
        <v>12</v>
      </c>
      <c r="B723" s="73"/>
      <c r="C723" s="42" t="s">
        <v>191</v>
      </c>
      <c r="D723" s="51">
        <f>(12.23*5.15+3.35*3.45+1.85*1.55)*10.764</f>
        <v>833.23585800000001</v>
      </c>
      <c r="E723" s="51">
        <v>0</v>
      </c>
      <c r="F723" s="42">
        <f t="shared" si="171"/>
        <v>833.23585800000001</v>
      </c>
      <c r="G723" s="42">
        <v>0</v>
      </c>
      <c r="H723" s="42">
        <f t="shared" si="172"/>
        <v>1291.5155799000001</v>
      </c>
      <c r="I723" s="36"/>
      <c r="N723" s="36"/>
    </row>
    <row r="724" spans="1:14" s="37" customFormat="1" x14ac:dyDescent="0.3">
      <c r="A724" s="73">
        <f t="shared" si="170"/>
        <v>13</v>
      </c>
      <c r="B724" s="73"/>
      <c r="C724" s="42" t="s">
        <v>191</v>
      </c>
      <c r="D724" s="51">
        <f>(12.54*5.15+3.35*3.45+1.85*1.55)*10.764</f>
        <v>850.42058400000008</v>
      </c>
      <c r="E724" s="51">
        <v>0</v>
      </c>
      <c r="F724" s="42">
        <f t="shared" si="171"/>
        <v>850.42058400000008</v>
      </c>
      <c r="G724" s="42">
        <v>0</v>
      </c>
      <c r="H724" s="42">
        <f t="shared" si="172"/>
        <v>1318.1519052000001</v>
      </c>
      <c r="I724" s="36"/>
      <c r="N724" s="36"/>
    </row>
    <row r="725" spans="1:14" s="37" customFormat="1" x14ac:dyDescent="0.3">
      <c r="A725" s="73">
        <v>14</v>
      </c>
      <c r="B725" s="73"/>
      <c r="C725" s="42" t="s">
        <v>191</v>
      </c>
      <c r="D725" s="51">
        <f>(12.77*5.15+3.35*3.45+1.85*1.55)*10.764</f>
        <v>863.17054200000007</v>
      </c>
      <c r="E725" s="51">
        <v>0</v>
      </c>
      <c r="F725" s="42">
        <f>D725+E725</f>
        <v>863.17054200000007</v>
      </c>
      <c r="G725" s="42">
        <v>0</v>
      </c>
      <c r="H725" s="42">
        <f t="shared" si="172"/>
        <v>1337.9143401000001</v>
      </c>
      <c r="I725" s="36"/>
      <c r="N725" s="36"/>
    </row>
    <row r="726" spans="1:14" s="37" customFormat="1" x14ac:dyDescent="0.3">
      <c r="A726" s="73">
        <f>A725+1</f>
        <v>15</v>
      </c>
      <c r="B726" s="73"/>
      <c r="C726" s="42" t="s">
        <v>191</v>
      </c>
      <c r="D726" s="51">
        <f>(12.93*6.75+3.35*5.05+1.35*1.55)*10.764</f>
        <v>1144.0786499999999</v>
      </c>
      <c r="E726" s="51">
        <v>0</v>
      </c>
      <c r="F726" s="42">
        <f>D726+E726</f>
        <v>1144.0786499999999</v>
      </c>
      <c r="G726" s="42">
        <v>0</v>
      </c>
      <c r="H726" s="42">
        <f t="shared" si="172"/>
        <v>1773.3219075</v>
      </c>
      <c r="I726" s="36"/>
      <c r="N726" s="36"/>
    </row>
    <row r="727" spans="1:14" s="37" customFormat="1" x14ac:dyDescent="0.3">
      <c r="A727" s="73">
        <f>A726+1</f>
        <v>16</v>
      </c>
      <c r="B727" s="73"/>
      <c r="C727" s="42" t="s">
        <v>191</v>
      </c>
      <c r="D727" s="51">
        <f>(4.93*3.35+8.88*4.92+12.23*5.87+6.94*3.89+12.54*10.87+1.2*2.55+1.55*2.4+1.85*1.55+1.85*1.55)*10.764</f>
        <v>3313.3378824000001</v>
      </c>
      <c r="E727" s="51">
        <v>0</v>
      </c>
      <c r="F727" s="42">
        <f>D727+E727</f>
        <v>3313.3378824000001</v>
      </c>
      <c r="G727" s="42">
        <v>0</v>
      </c>
      <c r="H727" s="42">
        <f t="shared" si="172"/>
        <v>5135.6737177200002</v>
      </c>
      <c r="I727" s="36"/>
      <c r="N727" s="36"/>
    </row>
    <row r="728" spans="1:14" s="37" customFormat="1" x14ac:dyDescent="0.3">
      <c r="A728" s="73">
        <f>A727+1</f>
        <v>17</v>
      </c>
      <c r="B728" s="73"/>
      <c r="C728" s="42" t="s">
        <v>191</v>
      </c>
      <c r="D728" s="51">
        <f t="shared" ref="D728:D734" si="173">(5.15*10.79+3.45*3.35+1.55*1.85)*10.764</f>
        <v>753.41003400000011</v>
      </c>
      <c r="E728" s="51">
        <v>0</v>
      </c>
      <c r="F728" s="42">
        <f>D728+E728</f>
        <v>753.41003400000011</v>
      </c>
      <c r="G728" s="42">
        <v>0</v>
      </c>
      <c r="H728" s="42">
        <f t="shared" si="172"/>
        <v>1167.7855527000002</v>
      </c>
      <c r="I728" s="36"/>
      <c r="N728" s="36"/>
    </row>
    <row r="729" spans="1:14" s="37" customFormat="1" x14ac:dyDescent="0.3">
      <c r="A729" s="73">
        <f>A728+1</f>
        <v>18</v>
      </c>
      <c r="B729" s="73"/>
      <c r="C729" s="42" t="s">
        <v>191</v>
      </c>
      <c r="D729" s="51">
        <f t="shared" si="173"/>
        <v>753.41003400000011</v>
      </c>
      <c r="E729" s="51">
        <v>0</v>
      </c>
      <c r="F729" s="42">
        <f>D729+E729</f>
        <v>753.41003400000011</v>
      </c>
      <c r="G729" s="42">
        <v>0</v>
      </c>
      <c r="H729" s="42">
        <f t="shared" si="172"/>
        <v>1167.7855527000002</v>
      </c>
      <c r="I729" s="36"/>
      <c r="N729" s="36"/>
    </row>
    <row r="730" spans="1:14" s="37" customFormat="1" x14ac:dyDescent="0.3">
      <c r="A730" s="73">
        <f t="shared" ref="A730:A735" si="174">A729+1</f>
        <v>19</v>
      </c>
      <c r="B730" s="73"/>
      <c r="C730" s="42" t="s">
        <v>191</v>
      </c>
      <c r="D730" s="51">
        <f t="shared" si="173"/>
        <v>753.41003400000011</v>
      </c>
      <c r="E730" s="51">
        <v>0</v>
      </c>
      <c r="F730" s="42">
        <f t="shared" ref="F730:F739" si="175">D730+E730</f>
        <v>753.41003400000011</v>
      </c>
      <c r="G730" s="42">
        <v>0</v>
      </c>
      <c r="H730" s="42">
        <f t="shared" si="172"/>
        <v>1167.7855527000002</v>
      </c>
      <c r="I730" s="36"/>
      <c r="N730" s="36"/>
    </row>
    <row r="731" spans="1:14" s="37" customFormat="1" x14ac:dyDescent="0.3">
      <c r="A731" s="73">
        <f t="shared" si="174"/>
        <v>20</v>
      </c>
      <c r="B731" s="73"/>
      <c r="C731" s="42" t="s">
        <v>191</v>
      </c>
      <c r="D731" s="51">
        <f t="shared" si="173"/>
        <v>753.41003400000011</v>
      </c>
      <c r="E731" s="51">
        <v>0</v>
      </c>
      <c r="F731" s="42">
        <f t="shared" si="175"/>
        <v>753.41003400000011</v>
      </c>
      <c r="G731" s="42">
        <v>0</v>
      </c>
      <c r="H731" s="42">
        <f t="shared" si="172"/>
        <v>1167.7855527000002</v>
      </c>
      <c r="I731" s="36"/>
      <c r="N731" s="36"/>
    </row>
    <row r="732" spans="1:14" s="37" customFormat="1" x14ac:dyDescent="0.3">
      <c r="A732" s="73">
        <f t="shared" si="174"/>
        <v>21</v>
      </c>
      <c r="B732" s="73"/>
      <c r="C732" s="42" t="s">
        <v>191</v>
      </c>
      <c r="D732" s="51">
        <f t="shared" si="173"/>
        <v>753.41003400000011</v>
      </c>
      <c r="E732" s="51">
        <v>0</v>
      </c>
      <c r="F732" s="42">
        <f t="shared" si="175"/>
        <v>753.41003400000011</v>
      </c>
      <c r="G732" s="42">
        <v>0</v>
      </c>
      <c r="H732" s="42">
        <f t="shared" si="172"/>
        <v>1167.7855527000002</v>
      </c>
      <c r="I732" s="36"/>
      <c r="N732" s="36"/>
    </row>
    <row r="733" spans="1:14" s="37" customFormat="1" x14ac:dyDescent="0.3">
      <c r="A733" s="73">
        <f t="shared" si="174"/>
        <v>22</v>
      </c>
      <c r="B733" s="73"/>
      <c r="C733" s="42" t="s">
        <v>191</v>
      </c>
      <c r="D733" s="51">
        <f t="shared" si="173"/>
        <v>753.41003400000011</v>
      </c>
      <c r="E733" s="51">
        <v>0</v>
      </c>
      <c r="F733" s="42">
        <f t="shared" si="175"/>
        <v>753.41003400000011</v>
      </c>
      <c r="G733" s="42">
        <v>0</v>
      </c>
      <c r="H733" s="42">
        <f t="shared" si="172"/>
        <v>1167.7855527000002</v>
      </c>
      <c r="I733" s="36"/>
      <c r="N733" s="36"/>
    </row>
    <row r="734" spans="1:14" s="37" customFormat="1" x14ac:dyDescent="0.3">
      <c r="A734" s="73">
        <f t="shared" si="174"/>
        <v>23</v>
      </c>
      <c r="B734" s="73"/>
      <c r="C734" s="42" t="s">
        <v>191</v>
      </c>
      <c r="D734" s="51">
        <f t="shared" si="173"/>
        <v>753.41003400000011</v>
      </c>
      <c r="E734" s="51">
        <v>0</v>
      </c>
      <c r="F734" s="42">
        <f t="shared" si="175"/>
        <v>753.41003400000011</v>
      </c>
      <c r="G734" s="42">
        <v>0</v>
      </c>
      <c r="H734" s="42">
        <f t="shared" si="172"/>
        <v>1167.7855527000002</v>
      </c>
      <c r="I734" s="36"/>
      <c r="N734" s="36"/>
    </row>
    <row r="735" spans="1:14" s="37" customFormat="1" x14ac:dyDescent="0.3">
      <c r="A735" s="73">
        <f t="shared" si="174"/>
        <v>24</v>
      </c>
      <c r="B735" s="73"/>
      <c r="C735" s="42" t="s">
        <v>191</v>
      </c>
      <c r="D735" s="51">
        <f>(10.7*10.79+3.55*3.35+3.45*3.35+1.55*1.85+1.55*1.85)*10.764</f>
        <v>1556.8834319999999</v>
      </c>
      <c r="E735" s="51">
        <v>0</v>
      </c>
      <c r="F735" s="42">
        <f t="shared" si="175"/>
        <v>1556.8834319999999</v>
      </c>
      <c r="G735" s="42">
        <v>0</v>
      </c>
      <c r="H735" s="42">
        <f t="shared" si="172"/>
        <v>2413.1693195999997</v>
      </c>
      <c r="I735" s="36"/>
      <c r="N735" s="36"/>
    </row>
    <row r="736" spans="1:14" s="37" customFormat="1" x14ac:dyDescent="0.3">
      <c r="A736" s="73">
        <v>26</v>
      </c>
      <c r="B736" s="73"/>
      <c r="C736" s="42" t="s">
        <v>191</v>
      </c>
      <c r="D736" s="51">
        <f>(5.15*8.4+3.45*3.35+1.55*1.85)*10.764</f>
        <v>620.9213400000001</v>
      </c>
      <c r="E736" s="51">
        <v>0</v>
      </c>
      <c r="F736" s="42">
        <f t="shared" si="175"/>
        <v>620.9213400000001</v>
      </c>
      <c r="G736" s="42">
        <v>0</v>
      </c>
      <c r="H736" s="42">
        <f t="shared" si="172"/>
        <v>962.42807700000014</v>
      </c>
      <c r="I736" s="36"/>
      <c r="N736" s="36"/>
    </row>
    <row r="737" spans="1:14" s="37" customFormat="1" x14ac:dyDescent="0.3">
      <c r="A737" s="73">
        <f t="shared" ref="A737:A739" si="176">A736+1</f>
        <v>27</v>
      </c>
      <c r="B737" s="73"/>
      <c r="C737" s="42" t="s">
        <v>191</v>
      </c>
      <c r="D737" s="51">
        <f>(5.15*8.4+3.45*3.35+1.55*1.85)*10.764</f>
        <v>620.9213400000001</v>
      </c>
      <c r="E737" s="51">
        <v>0</v>
      </c>
      <c r="F737" s="42">
        <f t="shared" si="175"/>
        <v>620.9213400000001</v>
      </c>
      <c r="G737" s="42">
        <v>0</v>
      </c>
      <c r="H737" s="42">
        <f t="shared" si="172"/>
        <v>962.42807700000014</v>
      </c>
      <c r="I737" s="36"/>
      <c r="N737" s="36"/>
    </row>
    <row r="738" spans="1:14" s="37" customFormat="1" x14ac:dyDescent="0.3">
      <c r="A738" s="73">
        <f t="shared" si="176"/>
        <v>28</v>
      </c>
      <c r="B738" s="73"/>
      <c r="C738" s="42" t="s">
        <v>191</v>
      </c>
      <c r="D738" s="51">
        <f>(5.15*8.4+3.45*3.35+1.55*1.85)*10.764</f>
        <v>620.9213400000001</v>
      </c>
      <c r="E738" s="51">
        <v>0</v>
      </c>
      <c r="F738" s="42">
        <f t="shared" si="175"/>
        <v>620.9213400000001</v>
      </c>
      <c r="G738" s="42">
        <v>0</v>
      </c>
      <c r="H738" s="42">
        <f t="shared" si="172"/>
        <v>962.42807700000014</v>
      </c>
      <c r="I738" s="36"/>
      <c r="N738" s="36"/>
    </row>
    <row r="739" spans="1:14" s="37" customFormat="1" x14ac:dyDescent="0.3">
      <c r="A739" s="73">
        <f t="shared" si="176"/>
        <v>29</v>
      </c>
      <c r="B739" s="73"/>
      <c r="C739" s="42" t="s">
        <v>191</v>
      </c>
      <c r="D739" s="51">
        <f>(12.23*6.4+7.68*5.35)*10.764</f>
        <v>1284.7910399999998</v>
      </c>
      <c r="E739" s="51">
        <v>0</v>
      </c>
      <c r="F739" s="42">
        <f t="shared" si="175"/>
        <v>1284.7910399999998</v>
      </c>
      <c r="G739" s="42">
        <v>0</v>
      </c>
      <c r="H739" s="42">
        <f t="shared" si="172"/>
        <v>1991.4261119999999</v>
      </c>
      <c r="I739" s="36"/>
      <c r="N739" s="36"/>
    </row>
    <row r="740" spans="1:14" s="37" customFormat="1" x14ac:dyDescent="0.3">
      <c r="A740" s="78" t="s">
        <v>274</v>
      </c>
      <c r="B740" s="78"/>
      <c r="C740" s="78"/>
      <c r="D740" s="78"/>
      <c r="E740" s="78"/>
      <c r="F740" s="78"/>
      <c r="G740" s="78"/>
      <c r="H740" s="78"/>
      <c r="I740" s="36">
        <v>1</v>
      </c>
      <c r="L740" s="72"/>
      <c r="M740" s="72"/>
    </row>
    <row r="741" spans="1:14" s="37" customFormat="1" x14ac:dyDescent="0.3">
      <c r="A741" s="73">
        <v>1</v>
      </c>
      <c r="B741" s="73"/>
      <c r="C741" s="42" t="s">
        <v>191</v>
      </c>
      <c r="D741" s="51">
        <f>(6.55*5.15+3.35*3.45+1.85*1.55)*10.764</f>
        <v>518.36733000000004</v>
      </c>
      <c r="E741" s="51">
        <v>0</v>
      </c>
      <c r="F741" s="42">
        <f t="shared" ref="F741:F745" si="177">D741+E741</f>
        <v>518.36733000000004</v>
      </c>
      <c r="G741" s="42">
        <v>0</v>
      </c>
      <c r="H741" s="42">
        <f t="shared" ref="H741:H745" si="178">F741*(($H$251)+1)+(IF(G741&lt;101,G741,IF(G741&lt;201,G741/2,IF(G741&lt;=301,G741/3,G741/4))))</f>
        <v>803.4693615000001</v>
      </c>
      <c r="I741" s="36"/>
      <c r="N741" s="36"/>
    </row>
    <row r="742" spans="1:14" s="37" customFormat="1" x14ac:dyDescent="0.3">
      <c r="A742" s="73">
        <f>A741+1</f>
        <v>2</v>
      </c>
      <c r="B742" s="73"/>
      <c r="C742" s="42" t="s">
        <v>191</v>
      </c>
      <c r="D742" s="51">
        <f>(6.55*5.15+3.35*3.45+1.85*1.55)*10.764</f>
        <v>518.36733000000004</v>
      </c>
      <c r="E742" s="51">
        <v>0</v>
      </c>
      <c r="F742" s="42">
        <f t="shared" si="177"/>
        <v>518.36733000000004</v>
      </c>
      <c r="G742" s="42">
        <v>0</v>
      </c>
      <c r="H742" s="42">
        <f t="shared" si="178"/>
        <v>803.4693615000001</v>
      </c>
      <c r="I742" s="36"/>
      <c r="N742" s="36"/>
    </row>
    <row r="743" spans="1:14" s="37" customFormat="1" x14ac:dyDescent="0.3">
      <c r="A743" s="73">
        <f t="shared" ref="A743:A753" si="179">A742+1</f>
        <v>3</v>
      </c>
      <c r="B743" s="73"/>
      <c r="C743" s="42" t="s">
        <v>191</v>
      </c>
      <c r="D743" s="51">
        <f>(6.55*5.15+3.35*3.45+1.85*1.55)*10.764</f>
        <v>518.36733000000004</v>
      </c>
      <c r="E743" s="51">
        <v>0</v>
      </c>
      <c r="F743" s="42">
        <f t="shared" si="177"/>
        <v>518.36733000000004</v>
      </c>
      <c r="G743" s="42">
        <v>0</v>
      </c>
      <c r="H743" s="42">
        <f t="shared" si="178"/>
        <v>803.4693615000001</v>
      </c>
      <c r="I743" s="36"/>
      <c r="N743" s="36"/>
    </row>
    <row r="744" spans="1:14" s="37" customFormat="1" x14ac:dyDescent="0.3">
      <c r="A744" s="73">
        <f t="shared" si="179"/>
        <v>4</v>
      </c>
      <c r="B744" s="73"/>
      <c r="C744" s="42" t="s">
        <v>191</v>
      </c>
      <c r="D744" s="51">
        <f>(6.55*5.15+3.35*3.45+1.85*1.55)*10.764</f>
        <v>518.36733000000004</v>
      </c>
      <c r="E744" s="51">
        <v>0</v>
      </c>
      <c r="F744" s="42">
        <f t="shared" si="177"/>
        <v>518.36733000000004</v>
      </c>
      <c r="G744" s="42">
        <v>0</v>
      </c>
      <c r="H744" s="42">
        <f t="shared" si="178"/>
        <v>803.4693615000001</v>
      </c>
      <c r="I744" s="36"/>
      <c r="N744" s="36"/>
    </row>
    <row r="745" spans="1:14" s="37" customFormat="1" x14ac:dyDescent="0.3">
      <c r="A745" s="73">
        <f t="shared" si="179"/>
        <v>5</v>
      </c>
      <c r="B745" s="73"/>
      <c r="C745" s="42" t="s">
        <v>191</v>
      </c>
      <c r="D745" s="51">
        <f>(6.55*5.22+3.35*3.45+1.85*1.55)*10.764</f>
        <v>523.30262399999992</v>
      </c>
      <c r="E745" s="51">
        <v>0</v>
      </c>
      <c r="F745" s="42">
        <f t="shared" si="177"/>
        <v>523.30262399999992</v>
      </c>
      <c r="G745" s="42">
        <v>0</v>
      </c>
      <c r="H745" s="42">
        <f t="shared" si="178"/>
        <v>811.1190671999999</v>
      </c>
      <c r="I745" s="36"/>
      <c r="N745" s="36"/>
    </row>
    <row r="746" spans="1:14" s="37" customFormat="1" x14ac:dyDescent="0.3">
      <c r="A746" s="73">
        <f t="shared" si="179"/>
        <v>6</v>
      </c>
      <c r="B746" s="73"/>
      <c r="C746" s="74" t="s">
        <v>197</v>
      </c>
      <c r="D746" s="75"/>
      <c r="E746" s="75"/>
      <c r="F746" s="75"/>
      <c r="G746" s="75"/>
      <c r="H746" s="76"/>
      <c r="I746" s="36"/>
      <c r="N746" s="36"/>
    </row>
    <row r="747" spans="1:14" s="37" customFormat="1" x14ac:dyDescent="0.3">
      <c r="A747" s="73">
        <f t="shared" si="179"/>
        <v>7</v>
      </c>
      <c r="B747" s="73"/>
      <c r="C747" s="42" t="s">
        <v>191</v>
      </c>
      <c r="D747" s="51">
        <f>(9.46*6.01+3.35*4.31+1.85*1.55)*10.764</f>
        <v>798.26469840000016</v>
      </c>
      <c r="E747" s="51">
        <v>0</v>
      </c>
      <c r="F747" s="42">
        <f t="shared" ref="F747:F753" si="180">D747+E747</f>
        <v>798.26469840000016</v>
      </c>
      <c r="G747" s="42">
        <v>0</v>
      </c>
      <c r="H747" s="42">
        <f t="shared" ref="H747:H768" si="181">F747*(($H$251)+1)+(IF(G747&lt;101,G747,IF(G747&lt;201,G747/2,IF(G747&lt;=301,G747/3,G747/4))))</f>
        <v>1237.3102825200003</v>
      </c>
      <c r="I747" s="36"/>
      <c r="N747" s="36"/>
    </row>
    <row r="748" spans="1:14" s="37" customFormat="1" x14ac:dyDescent="0.3">
      <c r="A748" s="73">
        <f t="shared" si="179"/>
        <v>8</v>
      </c>
      <c r="B748" s="73"/>
      <c r="C748" s="42" t="s">
        <v>191</v>
      </c>
      <c r="D748" s="51">
        <f>(10.22*5.22+3.35*3.52+1.85*1.55)*10.764</f>
        <v>732.03703560000008</v>
      </c>
      <c r="E748" s="51">
        <v>0</v>
      </c>
      <c r="F748" s="42">
        <f t="shared" si="180"/>
        <v>732.03703560000008</v>
      </c>
      <c r="G748" s="42">
        <v>0</v>
      </c>
      <c r="H748" s="42">
        <f t="shared" si="181"/>
        <v>1134.6574051800001</v>
      </c>
      <c r="I748" s="36"/>
      <c r="N748" s="36"/>
    </row>
    <row r="749" spans="1:14" s="37" customFormat="1" x14ac:dyDescent="0.3">
      <c r="A749" s="73">
        <f t="shared" si="179"/>
        <v>9</v>
      </c>
      <c r="B749" s="73"/>
      <c r="C749" s="42" t="s">
        <v>191</v>
      </c>
      <c r="D749" s="51">
        <f>(10.85*5.15+3.35*3.45+1.85*1.55)*10.764</f>
        <v>756.73611000000005</v>
      </c>
      <c r="E749" s="51">
        <v>0</v>
      </c>
      <c r="F749" s="42">
        <f t="shared" si="180"/>
        <v>756.73611000000005</v>
      </c>
      <c r="G749" s="42">
        <v>0</v>
      </c>
      <c r="H749" s="42">
        <f t="shared" si="181"/>
        <v>1172.9409705</v>
      </c>
      <c r="I749" s="36"/>
      <c r="N749" s="36"/>
    </row>
    <row r="750" spans="1:14" s="37" customFormat="1" x14ac:dyDescent="0.3">
      <c r="A750" s="73">
        <f t="shared" si="179"/>
        <v>10</v>
      </c>
      <c r="B750" s="73"/>
      <c r="C750" s="42" t="s">
        <v>191</v>
      </c>
      <c r="D750" s="51">
        <f>(11.39*5.15+3.35*3.45+1.85*1.55)*10.764</f>
        <v>786.67079400000011</v>
      </c>
      <c r="E750" s="51">
        <v>0</v>
      </c>
      <c r="F750" s="42">
        <f t="shared" si="180"/>
        <v>786.67079400000011</v>
      </c>
      <c r="G750" s="42">
        <v>0</v>
      </c>
      <c r="H750" s="42">
        <f t="shared" si="181"/>
        <v>1219.3397307000002</v>
      </c>
      <c r="I750" s="36"/>
      <c r="N750" s="36"/>
    </row>
    <row r="751" spans="1:14" s="37" customFormat="1" x14ac:dyDescent="0.3">
      <c r="A751" s="73">
        <f t="shared" si="179"/>
        <v>11</v>
      </c>
      <c r="B751" s="73"/>
      <c r="C751" s="42" t="s">
        <v>191</v>
      </c>
      <c r="D751" s="51">
        <f>(11.85*5.15+3.35*3.45+1.85*1.55)*10.764</f>
        <v>812.1707100000001</v>
      </c>
      <c r="E751" s="51">
        <v>0</v>
      </c>
      <c r="F751" s="42">
        <f t="shared" si="180"/>
        <v>812.1707100000001</v>
      </c>
      <c r="G751" s="42">
        <v>0</v>
      </c>
      <c r="H751" s="42">
        <f t="shared" si="181"/>
        <v>1258.8646005000003</v>
      </c>
      <c r="I751" s="36"/>
      <c r="N751" s="36"/>
    </row>
    <row r="752" spans="1:14" s="37" customFormat="1" x14ac:dyDescent="0.3">
      <c r="A752" s="73">
        <f t="shared" si="179"/>
        <v>12</v>
      </c>
      <c r="B752" s="73"/>
      <c r="C752" s="42" t="s">
        <v>191</v>
      </c>
      <c r="D752" s="51">
        <f>(12.23*5.15+3.35*3.45+1.85*1.55)*10.764</f>
        <v>833.23585800000001</v>
      </c>
      <c r="E752" s="51">
        <v>0</v>
      </c>
      <c r="F752" s="42">
        <f t="shared" si="180"/>
        <v>833.23585800000001</v>
      </c>
      <c r="G752" s="42">
        <v>0</v>
      </c>
      <c r="H752" s="42">
        <f t="shared" si="181"/>
        <v>1291.5155799000001</v>
      </c>
      <c r="I752" s="36"/>
      <c r="N752" s="36"/>
    </row>
    <row r="753" spans="1:14" s="37" customFormat="1" x14ac:dyDescent="0.3">
      <c r="A753" s="73">
        <f t="shared" si="179"/>
        <v>13</v>
      </c>
      <c r="B753" s="73"/>
      <c r="C753" s="42" t="s">
        <v>191</v>
      </c>
      <c r="D753" s="51">
        <f>(12.54*5.15+3.35*3.45+1.85*1.55)*10.764</f>
        <v>850.42058400000008</v>
      </c>
      <c r="E753" s="51">
        <v>0</v>
      </c>
      <c r="F753" s="42">
        <f t="shared" si="180"/>
        <v>850.42058400000008</v>
      </c>
      <c r="G753" s="42">
        <v>0</v>
      </c>
      <c r="H753" s="42">
        <f t="shared" si="181"/>
        <v>1318.1519052000001</v>
      </c>
      <c r="I753" s="36"/>
      <c r="N753" s="36"/>
    </row>
    <row r="754" spans="1:14" s="37" customFormat="1" x14ac:dyDescent="0.3">
      <c r="A754" s="73">
        <v>14</v>
      </c>
      <c r="B754" s="73"/>
      <c r="C754" s="42" t="s">
        <v>191</v>
      </c>
      <c r="D754" s="51">
        <f>(12.77*5.15+3.35*3.45+1.85*1.55)*10.764</f>
        <v>863.17054200000007</v>
      </c>
      <c r="E754" s="51">
        <v>0</v>
      </c>
      <c r="F754" s="42">
        <f>D754+E754</f>
        <v>863.17054200000007</v>
      </c>
      <c r="G754" s="42">
        <v>0</v>
      </c>
      <c r="H754" s="42">
        <f t="shared" si="181"/>
        <v>1337.9143401000001</v>
      </c>
      <c r="I754" s="36"/>
      <c r="N754" s="36"/>
    </row>
    <row r="755" spans="1:14" s="37" customFormat="1" x14ac:dyDescent="0.3">
      <c r="A755" s="73">
        <f>A754+1</f>
        <v>15</v>
      </c>
      <c r="B755" s="73"/>
      <c r="C755" s="42" t="s">
        <v>191</v>
      </c>
      <c r="D755" s="51">
        <f>(12.93*6.75+3.35*5.05+1.35*1.55)*10.764</f>
        <v>1144.0786499999999</v>
      </c>
      <c r="E755" s="51">
        <v>0</v>
      </c>
      <c r="F755" s="42">
        <f>D755+E755</f>
        <v>1144.0786499999999</v>
      </c>
      <c r="G755" s="42">
        <v>0</v>
      </c>
      <c r="H755" s="42">
        <f t="shared" si="181"/>
        <v>1773.3219075</v>
      </c>
      <c r="I755" s="36"/>
      <c r="N755" s="36"/>
    </row>
    <row r="756" spans="1:14" s="37" customFormat="1" x14ac:dyDescent="0.3">
      <c r="A756" s="73">
        <f>A755+1</f>
        <v>16</v>
      </c>
      <c r="B756" s="73"/>
      <c r="C756" s="42" t="s">
        <v>191</v>
      </c>
      <c r="D756" s="51">
        <f>(4.93*3.35+8.88*4.92+12.23*5.87+6.94*3.89+12.54*10.87+1.2*2.55+1.55*2.4+1.85*1.55+1.85*1.55)*10.764</f>
        <v>3313.3378824000001</v>
      </c>
      <c r="E756" s="51">
        <v>0</v>
      </c>
      <c r="F756" s="42">
        <f>D756+E756</f>
        <v>3313.3378824000001</v>
      </c>
      <c r="G756" s="42">
        <v>0</v>
      </c>
      <c r="H756" s="42">
        <f t="shared" si="181"/>
        <v>5135.6737177200002</v>
      </c>
      <c r="I756" s="36"/>
      <c r="N756" s="36"/>
    </row>
    <row r="757" spans="1:14" s="37" customFormat="1" x14ac:dyDescent="0.3">
      <c r="A757" s="73">
        <f>A756+1</f>
        <v>17</v>
      </c>
      <c r="B757" s="73"/>
      <c r="C757" s="42" t="s">
        <v>191</v>
      </c>
      <c r="D757" s="51">
        <f t="shared" ref="D757:D763" si="182">(5.15*10.79+3.45*3.35+1.55*1.85)*10.764</f>
        <v>753.41003400000011</v>
      </c>
      <c r="E757" s="51">
        <v>0</v>
      </c>
      <c r="F757" s="42">
        <f>D757+E757</f>
        <v>753.41003400000011</v>
      </c>
      <c r="G757" s="42">
        <v>0</v>
      </c>
      <c r="H757" s="42">
        <f t="shared" si="181"/>
        <v>1167.7855527000002</v>
      </c>
      <c r="I757" s="36"/>
      <c r="N757" s="36"/>
    </row>
    <row r="758" spans="1:14" s="37" customFormat="1" x14ac:dyDescent="0.3">
      <c r="A758" s="73">
        <f>A757+1</f>
        <v>18</v>
      </c>
      <c r="B758" s="73"/>
      <c r="C758" s="42" t="s">
        <v>191</v>
      </c>
      <c r="D758" s="51">
        <f t="shared" si="182"/>
        <v>753.41003400000011</v>
      </c>
      <c r="E758" s="51">
        <v>0</v>
      </c>
      <c r="F758" s="42">
        <f>D758+E758</f>
        <v>753.41003400000011</v>
      </c>
      <c r="G758" s="42">
        <v>0</v>
      </c>
      <c r="H758" s="42">
        <f t="shared" si="181"/>
        <v>1167.7855527000002</v>
      </c>
      <c r="I758" s="36"/>
      <c r="N758" s="36"/>
    </row>
    <row r="759" spans="1:14" s="37" customFormat="1" x14ac:dyDescent="0.3">
      <c r="A759" s="73">
        <f t="shared" ref="A759:A764" si="183">A758+1</f>
        <v>19</v>
      </c>
      <c r="B759" s="73"/>
      <c r="C759" s="42" t="s">
        <v>191</v>
      </c>
      <c r="D759" s="51">
        <f t="shared" si="182"/>
        <v>753.41003400000011</v>
      </c>
      <c r="E759" s="51">
        <v>0</v>
      </c>
      <c r="F759" s="42">
        <f t="shared" ref="F759:F768" si="184">D759+E759</f>
        <v>753.41003400000011</v>
      </c>
      <c r="G759" s="42">
        <v>0</v>
      </c>
      <c r="H759" s="42">
        <f t="shared" si="181"/>
        <v>1167.7855527000002</v>
      </c>
      <c r="I759" s="36"/>
      <c r="N759" s="36"/>
    </row>
    <row r="760" spans="1:14" s="37" customFormat="1" x14ac:dyDescent="0.3">
      <c r="A760" s="73">
        <f t="shared" si="183"/>
        <v>20</v>
      </c>
      <c r="B760" s="73"/>
      <c r="C760" s="42" t="s">
        <v>191</v>
      </c>
      <c r="D760" s="51">
        <f t="shared" si="182"/>
        <v>753.41003400000011</v>
      </c>
      <c r="E760" s="51">
        <v>0</v>
      </c>
      <c r="F760" s="42">
        <f t="shared" si="184"/>
        <v>753.41003400000011</v>
      </c>
      <c r="G760" s="42">
        <v>0</v>
      </c>
      <c r="H760" s="42">
        <f t="shared" si="181"/>
        <v>1167.7855527000002</v>
      </c>
      <c r="I760" s="36"/>
      <c r="N760" s="36"/>
    </row>
    <row r="761" spans="1:14" s="37" customFormat="1" x14ac:dyDescent="0.3">
      <c r="A761" s="73">
        <f t="shared" si="183"/>
        <v>21</v>
      </c>
      <c r="B761" s="73"/>
      <c r="C761" s="42" t="s">
        <v>191</v>
      </c>
      <c r="D761" s="51">
        <f t="shared" si="182"/>
        <v>753.41003400000011</v>
      </c>
      <c r="E761" s="51">
        <v>0</v>
      </c>
      <c r="F761" s="42">
        <f t="shared" si="184"/>
        <v>753.41003400000011</v>
      </c>
      <c r="G761" s="42">
        <v>0</v>
      </c>
      <c r="H761" s="42">
        <f t="shared" si="181"/>
        <v>1167.7855527000002</v>
      </c>
      <c r="I761" s="36"/>
      <c r="N761" s="36"/>
    </row>
    <row r="762" spans="1:14" s="37" customFormat="1" x14ac:dyDescent="0.3">
      <c r="A762" s="73">
        <f t="shared" si="183"/>
        <v>22</v>
      </c>
      <c r="B762" s="73"/>
      <c r="C762" s="42" t="s">
        <v>191</v>
      </c>
      <c r="D762" s="51">
        <f t="shared" si="182"/>
        <v>753.41003400000011</v>
      </c>
      <c r="E762" s="51">
        <v>0</v>
      </c>
      <c r="F762" s="42">
        <f t="shared" si="184"/>
        <v>753.41003400000011</v>
      </c>
      <c r="G762" s="42">
        <v>0</v>
      </c>
      <c r="H762" s="42">
        <f t="shared" si="181"/>
        <v>1167.7855527000002</v>
      </c>
      <c r="I762" s="36"/>
      <c r="N762" s="36"/>
    </row>
    <row r="763" spans="1:14" s="37" customFormat="1" x14ac:dyDescent="0.3">
      <c r="A763" s="73">
        <f t="shared" si="183"/>
        <v>23</v>
      </c>
      <c r="B763" s="73"/>
      <c r="C763" s="42" t="s">
        <v>191</v>
      </c>
      <c r="D763" s="51">
        <f t="shared" si="182"/>
        <v>753.41003400000011</v>
      </c>
      <c r="E763" s="51">
        <v>0</v>
      </c>
      <c r="F763" s="42">
        <f t="shared" si="184"/>
        <v>753.41003400000011</v>
      </c>
      <c r="G763" s="42">
        <v>0</v>
      </c>
      <c r="H763" s="42">
        <f t="shared" si="181"/>
        <v>1167.7855527000002</v>
      </c>
      <c r="I763" s="36"/>
      <c r="N763" s="36"/>
    </row>
    <row r="764" spans="1:14" s="37" customFormat="1" x14ac:dyDescent="0.3">
      <c r="A764" s="73">
        <f t="shared" si="183"/>
        <v>24</v>
      </c>
      <c r="B764" s="73"/>
      <c r="C764" s="42" t="s">
        <v>191</v>
      </c>
      <c r="D764" s="51">
        <f>(10.7*10.79+3.55*3.35+3.45*3.35+1.55*1.85+1.55*1.85)*10.764</f>
        <v>1556.8834319999999</v>
      </c>
      <c r="E764" s="51">
        <v>0</v>
      </c>
      <c r="F764" s="42">
        <f t="shared" si="184"/>
        <v>1556.8834319999999</v>
      </c>
      <c r="G764" s="42">
        <v>0</v>
      </c>
      <c r="H764" s="42">
        <f t="shared" si="181"/>
        <v>2413.1693195999997</v>
      </c>
      <c r="I764" s="36"/>
      <c r="N764" s="36"/>
    </row>
    <row r="765" spans="1:14" s="37" customFormat="1" x14ac:dyDescent="0.3">
      <c r="A765" s="73">
        <v>26</v>
      </c>
      <c r="B765" s="73"/>
      <c r="C765" s="42" t="s">
        <v>191</v>
      </c>
      <c r="D765" s="51">
        <f>(5.15*8.4+3.45*3.35+1.55*1.85)*10.764</f>
        <v>620.9213400000001</v>
      </c>
      <c r="E765" s="51">
        <v>0</v>
      </c>
      <c r="F765" s="42">
        <f t="shared" si="184"/>
        <v>620.9213400000001</v>
      </c>
      <c r="G765" s="42">
        <v>0</v>
      </c>
      <c r="H765" s="42">
        <f t="shared" si="181"/>
        <v>962.42807700000014</v>
      </c>
      <c r="I765" s="36"/>
      <c r="N765" s="36"/>
    </row>
    <row r="766" spans="1:14" s="37" customFormat="1" x14ac:dyDescent="0.3">
      <c r="A766" s="73">
        <f t="shared" ref="A766:A768" si="185">A765+1</f>
        <v>27</v>
      </c>
      <c r="B766" s="73"/>
      <c r="C766" s="42" t="s">
        <v>191</v>
      </c>
      <c r="D766" s="51">
        <f>(5.15*8.4+3.45*3.35+1.55*1.85)*10.764</f>
        <v>620.9213400000001</v>
      </c>
      <c r="E766" s="51">
        <v>0</v>
      </c>
      <c r="F766" s="42">
        <f t="shared" si="184"/>
        <v>620.9213400000001</v>
      </c>
      <c r="G766" s="42">
        <v>0</v>
      </c>
      <c r="H766" s="42">
        <f t="shared" si="181"/>
        <v>962.42807700000014</v>
      </c>
      <c r="I766" s="36"/>
      <c r="N766" s="36"/>
    </row>
    <row r="767" spans="1:14" s="37" customFormat="1" x14ac:dyDescent="0.3">
      <c r="A767" s="73">
        <f t="shared" si="185"/>
        <v>28</v>
      </c>
      <c r="B767" s="73"/>
      <c r="C767" s="42" t="s">
        <v>191</v>
      </c>
      <c r="D767" s="51">
        <f>(5.15*8.4+3.45*3.35+1.55*1.85)*10.764</f>
        <v>620.9213400000001</v>
      </c>
      <c r="E767" s="51">
        <v>0</v>
      </c>
      <c r="F767" s="42">
        <f t="shared" si="184"/>
        <v>620.9213400000001</v>
      </c>
      <c r="G767" s="42">
        <v>0</v>
      </c>
      <c r="H767" s="42">
        <f t="shared" si="181"/>
        <v>962.42807700000014</v>
      </c>
      <c r="I767" s="36"/>
      <c r="N767" s="36"/>
    </row>
    <row r="768" spans="1:14" s="37" customFormat="1" x14ac:dyDescent="0.3">
      <c r="A768" s="73">
        <f t="shared" si="185"/>
        <v>29</v>
      </c>
      <c r="B768" s="73"/>
      <c r="C768" s="42" t="s">
        <v>191</v>
      </c>
      <c r="D768" s="51">
        <f>(12.23*6.4+7.68*5.35)*10.764</f>
        <v>1284.7910399999998</v>
      </c>
      <c r="E768" s="51">
        <v>0</v>
      </c>
      <c r="F768" s="42">
        <f t="shared" si="184"/>
        <v>1284.7910399999998</v>
      </c>
      <c r="G768" s="42">
        <v>0</v>
      </c>
      <c r="H768" s="42">
        <f t="shared" si="181"/>
        <v>1991.4261119999999</v>
      </c>
      <c r="I768" s="36"/>
      <c r="N768" s="36"/>
    </row>
    <row r="769" spans="1:14" s="37" customFormat="1" x14ac:dyDescent="0.3">
      <c r="A769" s="78" t="s">
        <v>275</v>
      </c>
      <c r="B769" s="78"/>
      <c r="C769" s="78"/>
      <c r="D769" s="78"/>
      <c r="E769" s="78"/>
      <c r="F769" s="78"/>
      <c r="G769" s="78"/>
      <c r="H769" s="78"/>
      <c r="I769" s="36">
        <v>1</v>
      </c>
      <c r="L769" s="72"/>
      <c r="M769" s="72"/>
    </row>
    <row r="770" spans="1:14" s="37" customFormat="1" x14ac:dyDescent="0.3">
      <c r="A770" s="77" t="s">
        <v>276</v>
      </c>
      <c r="B770" s="77"/>
      <c r="C770" s="77"/>
      <c r="D770" s="77"/>
      <c r="E770" s="77"/>
      <c r="F770" s="77"/>
      <c r="G770" s="77"/>
      <c r="H770" s="77"/>
      <c r="I770" s="36">
        <v>1</v>
      </c>
      <c r="L770" s="72"/>
      <c r="M770" s="72"/>
    </row>
    <row r="771" spans="1:14" s="37" customFormat="1" x14ac:dyDescent="0.3">
      <c r="A771" s="73">
        <v>1</v>
      </c>
      <c r="B771" s="73"/>
      <c r="C771" s="42" t="s">
        <v>191</v>
      </c>
      <c r="D771" s="51">
        <f>(6.55*5.15+3.35*3.45+1.85*1.55)*10.764</f>
        <v>518.36733000000004</v>
      </c>
      <c r="E771" s="51">
        <v>0</v>
      </c>
      <c r="F771" s="42">
        <f t="shared" ref="F771:F775" si="186">D771+E771</f>
        <v>518.36733000000004</v>
      </c>
      <c r="G771" s="42">
        <v>0</v>
      </c>
      <c r="H771" s="42">
        <f t="shared" ref="H771:H775" si="187">F771*(($H$251)+1)+(IF(G771&lt;101,G771,IF(G771&lt;201,G771/2,IF(G771&lt;=301,G771/3,G771/4))))</f>
        <v>803.4693615000001</v>
      </c>
      <c r="I771" s="36"/>
      <c r="N771" s="36"/>
    </row>
    <row r="772" spans="1:14" s="37" customFormat="1" x14ac:dyDescent="0.3">
      <c r="A772" s="73">
        <f>A771+1</f>
        <v>2</v>
      </c>
      <c r="B772" s="73"/>
      <c r="C772" s="42" t="s">
        <v>191</v>
      </c>
      <c r="D772" s="51">
        <f>(6.55*5.15+3.35*3.45+1.85*1.55)*10.764</f>
        <v>518.36733000000004</v>
      </c>
      <c r="E772" s="51">
        <v>0</v>
      </c>
      <c r="F772" s="42">
        <f t="shared" si="186"/>
        <v>518.36733000000004</v>
      </c>
      <c r="G772" s="42">
        <v>0</v>
      </c>
      <c r="H772" s="42">
        <f t="shared" si="187"/>
        <v>803.4693615000001</v>
      </c>
      <c r="I772" s="36"/>
      <c r="N772" s="36"/>
    </row>
    <row r="773" spans="1:14" s="37" customFormat="1" x14ac:dyDescent="0.3">
      <c r="A773" s="73">
        <f t="shared" ref="A773:A783" si="188">A772+1</f>
        <v>3</v>
      </c>
      <c r="B773" s="73"/>
      <c r="C773" s="42" t="s">
        <v>191</v>
      </c>
      <c r="D773" s="51">
        <f>(6.55*5.15+3.35*3.45+1.85*1.55)*10.764</f>
        <v>518.36733000000004</v>
      </c>
      <c r="E773" s="51">
        <v>0</v>
      </c>
      <c r="F773" s="42">
        <f t="shared" si="186"/>
        <v>518.36733000000004</v>
      </c>
      <c r="G773" s="42">
        <v>0</v>
      </c>
      <c r="H773" s="42">
        <f t="shared" si="187"/>
        <v>803.4693615000001</v>
      </c>
      <c r="I773" s="36"/>
      <c r="N773" s="36"/>
    </row>
    <row r="774" spans="1:14" s="37" customFormat="1" x14ac:dyDescent="0.3">
      <c r="A774" s="73">
        <f t="shared" si="188"/>
        <v>4</v>
      </c>
      <c r="B774" s="73"/>
      <c r="C774" s="42" t="s">
        <v>191</v>
      </c>
      <c r="D774" s="51">
        <f>(6.55*5.15+3.35*3.45+1.85*1.55)*10.764</f>
        <v>518.36733000000004</v>
      </c>
      <c r="E774" s="51">
        <v>0</v>
      </c>
      <c r="F774" s="42">
        <f t="shared" si="186"/>
        <v>518.36733000000004</v>
      </c>
      <c r="G774" s="42">
        <v>0</v>
      </c>
      <c r="H774" s="42">
        <f t="shared" si="187"/>
        <v>803.4693615000001</v>
      </c>
      <c r="I774" s="36"/>
      <c r="N774" s="36"/>
    </row>
    <row r="775" spans="1:14" s="37" customFormat="1" x14ac:dyDescent="0.3">
      <c r="A775" s="73">
        <f t="shared" si="188"/>
        <v>5</v>
      </c>
      <c r="B775" s="73"/>
      <c r="C775" s="42" t="s">
        <v>191</v>
      </c>
      <c r="D775" s="51">
        <f>(6.55*5.22+3.35*3.45+1.85*1.55)*10.764</f>
        <v>523.30262399999992</v>
      </c>
      <c r="E775" s="51">
        <v>0</v>
      </c>
      <c r="F775" s="42">
        <f t="shared" si="186"/>
        <v>523.30262399999992</v>
      </c>
      <c r="G775" s="42">
        <v>0</v>
      </c>
      <c r="H775" s="42">
        <f t="shared" si="187"/>
        <v>811.1190671999999</v>
      </c>
      <c r="I775" s="36"/>
      <c r="N775" s="36"/>
    </row>
    <row r="776" spans="1:14" s="37" customFormat="1" x14ac:dyDescent="0.3">
      <c r="A776" s="73">
        <f t="shared" si="188"/>
        <v>6</v>
      </c>
      <c r="B776" s="73"/>
      <c r="C776" s="74" t="s">
        <v>277</v>
      </c>
      <c r="D776" s="75"/>
      <c r="E776" s="75"/>
      <c r="F776" s="75"/>
      <c r="G776" s="75"/>
      <c r="H776" s="76"/>
      <c r="I776" s="36"/>
      <c r="N776" s="36"/>
    </row>
    <row r="777" spans="1:14" s="37" customFormat="1" x14ac:dyDescent="0.3">
      <c r="A777" s="73">
        <f t="shared" si="188"/>
        <v>7</v>
      </c>
      <c r="B777" s="73"/>
      <c r="C777" s="42" t="s">
        <v>191</v>
      </c>
      <c r="D777" s="51">
        <f>(10.47*6.01+3.35*4.31+1.85*1.55)*10.764</f>
        <v>863.60325480000006</v>
      </c>
      <c r="E777" s="51">
        <v>0</v>
      </c>
      <c r="F777" s="42">
        <f t="shared" ref="F777:F783" si="189">D777+E777</f>
        <v>863.60325480000006</v>
      </c>
      <c r="G777" s="42">
        <v>0</v>
      </c>
      <c r="H777" s="42">
        <f t="shared" ref="H777:H799" si="190">F777*(($H$251)+1)+(IF(G777&lt;101,G777,IF(G777&lt;201,G777/2,IF(G777&lt;=301,G777/3,G777/4))))</f>
        <v>1338.5850449400002</v>
      </c>
      <c r="I777" s="36"/>
      <c r="N777" s="36"/>
    </row>
    <row r="778" spans="1:14" s="37" customFormat="1" x14ac:dyDescent="0.3">
      <c r="A778" s="73">
        <f t="shared" si="188"/>
        <v>8</v>
      </c>
      <c r="B778" s="73"/>
      <c r="C778" s="42" t="s">
        <v>191</v>
      </c>
      <c r="D778" s="51">
        <f>(11.23*5.22+3.35*3.52+1.85*1.55)*10.764</f>
        <v>788.78699640000002</v>
      </c>
      <c r="E778" s="51">
        <v>0</v>
      </c>
      <c r="F778" s="42">
        <f t="shared" si="189"/>
        <v>788.78699640000002</v>
      </c>
      <c r="G778" s="42">
        <v>0</v>
      </c>
      <c r="H778" s="42">
        <f t="shared" si="190"/>
        <v>1222.6198444200002</v>
      </c>
      <c r="I778" s="36"/>
      <c r="N778" s="36"/>
    </row>
    <row r="779" spans="1:14" s="37" customFormat="1" x14ac:dyDescent="0.3">
      <c r="A779" s="73">
        <f t="shared" si="188"/>
        <v>9</v>
      </c>
      <c r="B779" s="73"/>
      <c r="C779" s="42" t="s">
        <v>191</v>
      </c>
      <c r="D779" s="51">
        <f>(11.85*5.15+3.35*3.45+1.85*1.55)*10.764</f>
        <v>812.1707100000001</v>
      </c>
      <c r="E779" s="51">
        <v>0</v>
      </c>
      <c r="F779" s="42">
        <f t="shared" si="189"/>
        <v>812.1707100000001</v>
      </c>
      <c r="G779" s="42">
        <v>0</v>
      </c>
      <c r="H779" s="42">
        <f t="shared" si="190"/>
        <v>1258.8646005000003</v>
      </c>
      <c r="I779" s="36"/>
      <c r="N779" s="36"/>
    </row>
    <row r="780" spans="1:14" s="37" customFormat="1" x14ac:dyDescent="0.3">
      <c r="A780" s="73">
        <f t="shared" si="188"/>
        <v>10</v>
      </c>
      <c r="B780" s="73"/>
      <c r="C780" s="42" t="s">
        <v>191</v>
      </c>
      <c r="D780" s="51">
        <f>(12.39*5.15+3.35*3.45+1.85*1.55)*10.764</f>
        <v>842.10539400000016</v>
      </c>
      <c r="E780" s="51">
        <v>0</v>
      </c>
      <c r="F780" s="42">
        <f t="shared" si="189"/>
        <v>842.10539400000016</v>
      </c>
      <c r="G780" s="42">
        <v>0</v>
      </c>
      <c r="H780" s="42">
        <f t="shared" si="190"/>
        <v>1305.2633607000002</v>
      </c>
      <c r="I780" s="36"/>
      <c r="N780" s="36"/>
    </row>
    <row r="781" spans="1:14" s="37" customFormat="1" x14ac:dyDescent="0.3">
      <c r="A781" s="73">
        <f t="shared" si="188"/>
        <v>11</v>
      </c>
      <c r="B781" s="73"/>
      <c r="C781" s="42" t="s">
        <v>191</v>
      </c>
      <c r="D781" s="51">
        <f>(12.85*5.15+3.35*3.45+1.85*1.55)*10.764</f>
        <v>867.60531000000015</v>
      </c>
      <c r="E781" s="51">
        <v>0</v>
      </c>
      <c r="F781" s="42">
        <f t="shared" si="189"/>
        <v>867.60531000000015</v>
      </c>
      <c r="G781" s="42">
        <v>0</v>
      </c>
      <c r="H781" s="42">
        <f t="shared" si="190"/>
        <v>1344.7882305000003</v>
      </c>
      <c r="I781" s="36"/>
      <c r="N781" s="36"/>
    </row>
    <row r="782" spans="1:14" s="37" customFormat="1" x14ac:dyDescent="0.3">
      <c r="A782" s="73">
        <f t="shared" si="188"/>
        <v>12</v>
      </c>
      <c r="B782" s="73"/>
      <c r="C782" s="42" t="s">
        <v>191</v>
      </c>
      <c r="D782" s="51">
        <f>(13.23*5.15+3.35*3.45+1.85*1.55)*10.764</f>
        <v>888.67045800000005</v>
      </c>
      <c r="E782" s="51">
        <v>0</v>
      </c>
      <c r="F782" s="42">
        <f t="shared" si="189"/>
        <v>888.67045800000005</v>
      </c>
      <c r="G782" s="42">
        <v>0</v>
      </c>
      <c r="H782" s="42">
        <f t="shared" si="190"/>
        <v>1377.4392099000002</v>
      </c>
      <c r="I782" s="36"/>
      <c r="N782" s="36"/>
    </row>
    <row r="783" spans="1:14" s="37" customFormat="1" x14ac:dyDescent="0.3">
      <c r="A783" s="73">
        <f t="shared" si="188"/>
        <v>13</v>
      </c>
      <c r="B783" s="73"/>
      <c r="C783" s="42" t="s">
        <v>191</v>
      </c>
      <c r="D783" s="51">
        <f>(13.54*5.15+3.35*3.45+1.85*1.55)*10.764</f>
        <v>905.85518400000001</v>
      </c>
      <c r="E783" s="51">
        <v>0</v>
      </c>
      <c r="F783" s="42">
        <f t="shared" si="189"/>
        <v>905.85518400000001</v>
      </c>
      <c r="G783" s="42">
        <v>0</v>
      </c>
      <c r="H783" s="42">
        <f t="shared" si="190"/>
        <v>1404.0755352000001</v>
      </c>
      <c r="I783" s="36"/>
      <c r="N783" s="36"/>
    </row>
    <row r="784" spans="1:14" s="37" customFormat="1" x14ac:dyDescent="0.3">
      <c r="A784" s="73">
        <v>14</v>
      </c>
      <c r="B784" s="73"/>
      <c r="C784" s="42" t="s">
        <v>191</v>
      </c>
      <c r="D784" s="51">
        <f>(13.77*5.15+3.35*3.45+1.85*1.55)*10.764</f>
        <v>918.60514200000011</v>
      </c>
      <c r="E784" s="51">
        <v>0</v>
      </c>
      <c r="F784" s="42">
        <f>D784+E784</f>
        <v>918.60514200000011</v>
      </c>
      <c r="G784" s="42">
        <v>0</v>
      </c>
      <c r="H784" s="42">
        <f t="shared" si="190"/>
        <v>1423.8379701000001</v>
      </c>
      <c r="I784" s="36"/>
      <c r="N784" s="36"/>
    </row>
    <row r="785" spans="1:14" s="37" customFormat="1" x14ac:dyDescent="0.3">
      <c r="A785" s="73">
        <f>A784+1</f>
        <v>15</v>
      </c>
      <c r="B785" s="73"/>
      <c r="C785" s="42" t="s">
        <v>191</v>
      </c>
      <c r="D785" s="51">
        <f>(13.93*6.75+3.35*5.05+1.35*1.55)*10.764</f>
        <v>1216.7356500000001</v>
      </c>
      <c r="E785" s="51">
        <v>0</v>
      </c>
      <c r="F785" s="42">
        <f>D785+E785</f>
        <v>1216.7356500000001</v>
      </c>
      <c r="G785" s="42">
        <v>0</v>
      </c>
      <c r="H785" s="42">
        <f t="shared" si="190"/>
        <v>1885.9402575000001</v>
      </c>
      <c r="I785" s="36"/>
      <c r="N785" s="36"/>
    </row>
    <row r="786" spans="1:14" s="37" customFormat="1" x14ac:dyDescent="0.3">
      <c r="A786" s="73">
        <f>A785+1</f>
        <v>16</v>
      </c>
      <c r="B786" s="73"/>
      <c r="C786" s="42" t="s">
        <v>191</v>
      </c>
      <c r="D786" s="51">
        <f>(4.93*3.35+8.88*4.92+12.23*5.87+6.94*3.89+13.54*10.87+1.2*2.55+1.55*2.4+1.85*1.55+1.85*1.55)*10.764</f>
        <v>3430.3425624000006</v>
      </c>
      <c r="E786" s="51">
        <f>(1.75*6.94+1.95*3.89)*10.764</f>
        <v>212.37910199999999</v>
      </c>
      <c r="F786" s="42">
        <f>D786+E786</f>
        <v>3642.7216644000005</v>
      </c>
      <c r="G786" s="42">
        <v>0</v>
      </c>
      <c r="H786" s="42">
        <f t="shared" si="190"/>
        <v>5646.2185798200007</v>
      </c>
      <c r="I786" s="36"/>
      <c r="N786" s="36"/>
    </row>
    <row r="787" spans="1:14" s="37" customFormat="1" x14ac:dyDescent="0.3">
      <c r="A787" s="73">
        <f>A786+1</f>
        <v>17</v>
      </c>
      <c r="B787" s="73"/>
      <c r="C787" s="42" t="s">
        <v>191</v>
      </c>
      <c r="D787" s="51">
        <f t="shared" ref="D787:D794" si="191">(5.15*10.79+3.45*3.35+1.55*1.85)*10.764</f>
        <v>753.41003400000011</v>
      </c>
      <c r="E787" s="51">
        <v>0</v>
      </c>
      <c r="F787" s="42">
        <f>D787+E787</f>
        <v>753.41003400000011</v>
      </c>
      <c r="G787" s="42">
        <v>0</v>
      </c>
      <c r="H787" s="42">
        <f t="shared" si="190"/>
        <v>1167.7855527000002</v>
      </c>
      <c r="I787" s="36"/>
      <c r="N787" s="36"/>
    </row>
    <row r="788" spans="1:14" s="37" customFormat="1" x14ac:dyDescent="0.3">
      <c r="A788" s="73">
        <f>A787+1</f>
        <v>18</v>
      </c>
      <c r="B788" s="73"/>
      <c r="C788" s="42" t="s">
        <v>191</v>
      </c>
      <c r="D788" s="51">
        <f t="shared" si="191"/>
        <v>753.41003400000011</v>
      </c>
      <c r="E788" s="51">
        <v>0</v>
      </c>
      <c r="F788" s="42">
        <f>D788+E788</f>
        <v>753.41003400000011</v>
      </c>
      <c r="G788" s="42">
        <v>0</v>
      </c>
      <c r="H788" s="42">
        <f t="shared" si="190"/>
        <v>1167.7855527000002</v>
      </c>
      <c r="I788" s="36"/>
      <c r="N788" s="36"/>
    </row>
    <row r="789" spans="1:14" s="37" customFormat="1" x14ac:dyDescent="0.3">
      <c r="A789" s="73">
        <f t="shared" ref="A789:A795" si="192">A788+1</f>
        <v>19</v>
      </c>
      <c r="B789" s="73"/>
      <c r="C789" s="42" t="s">
        <v>191</v>
      </c>
      <c r="D789" s="51">
        <f t="shared" si="191"/>
        <v>753.41003400000011</v>
      </c>
      <c r="E789" s="51">
        <v>0</v>
      </c>
      <c r="F789" s="42">
        <f t="shared" ref="F789:F799" si="193">D789+E789</f>
        <v>753.41003400000011</v>
      </c>
      <c r="G789" s="42">
        <v>0</v>
      </c>
      <c r="H789" s="42">
        <f t="shared" si="190"/>
        <v>1167.7855527000002</v>
      </c>
      <c r="I789" s="36"/>
      <c r="N789" s="36"/>
    </row>
    <row r="790" spans="1:14" s="37" customFormat="1" x14ac:dyDescent="0.3">
      <c r="A790" s="73">
        <f t="shared" si="192"/>
        <v>20</v>
      </c>
      <c r="B790" s="73"/>
      <c r="C790" s="42" t="s">
        <v>191</v>
      </c>
      <c r="D790" s="51">
        <f t="shared" si="191"/>
        <v>753.41003400000011</v>
      </c>
      <c r="E790" s="51">
        <v>0</v>
      </c>
      <c r="F790" s="42">
        <f t="shared" si="193"/>
        <v>753.41003400000011</v>
      </c>
      <c r="G790" s="42">
        <v>0</v>
      </c>
      <c r="H790" s="42">
        <f t="shared" si="190"/>
        <v>1167.7855527000002</v>
      </c>
      <c r="I790" s="36"/>
      <c r="N790" s="36"/>
    </row>
    <row r="791" spans="1:14" s="37" customFormat="1" x14ac:dyDescent="0.3">
      <c r="A791" s="73">
        <f t="shared" si="192"/>
        <v>21</v>
      </c>
      <c r="B791" s="73"/>
      <c r="C791" s="42" t="s">
        <v>191</v>
      </c>
      <c r="D791" s="51">
        <f t="shared" si="191"/>
        <v>753.41003400000011</v>
      </c>
      <c r="E791" s="51">
        <v>0</v>
      </c>
      <c r="F791" s="42">
        <f t="shared" si="193"/>
        <v>753.41003400000011</v>
      </c>
      <c r="G791" s="42">
        <v>0</v>
      </c>
      <c r="H791" s="42">
        <f t="shared" si="190"/>
        <v>1167.7855527000002</v>
      </c>
      <c r="I791" s="36"/>
      <c r="N791" s="36"/>
    </row>
    <row r="792" spans="1:14" s="37" customFormat="1" x14ac:dyDescent="0.3">
      <c r="A792" s="73">
        <f t="shared" si="192"/>
        <v>22</v>
      </c>
      <c r="B792" s="73"/>
      <c r="C792" s="42" t="s">
        <v>191</v>
      </c>
      <c r="D792" s="51">
        <f t="shared" si="191"/>
        <v>753.41003400000011</v>
      </c>
      <c r="E792" s="51">
        <v>0</v>
      </c>
      <c r="F792" s="42">
        <f t="shared" si="193"/>
        <v>753.41003400000011</v>
      </c>
      <c r="G792" s="42">
        <v>0</v>
      </c>
      <c r="H792" s="42">
        <f t="shared" si="190"/>
        <v>1167.7855527000002</v>
      </c>
      <c r="I792" s="36"/>
      <c r="N792" s="36"/>
    </row>
    <row r="793" spans="1:14" s="37" customFormat="1" x14ac:dyDescent="0.3">
      <c r="A793" s="73">
        <f t="shared" si="192"/>
        <v>23</v>
      </c>
      <c r="B793" s="73"/>
      <c r="C793" s="42" t="s">
        <v>191</v>
      </c>
      <c r="D793" s="51">
        <f t="shared" si="191"/>
        <v>753.41003400000011</v>
      </c>
      <c r="E793" s="51">
        <v>0</v>
      </c>
      <c r="F793" s="42">
        <f t="shared" si="193"/>
        <v>753.41003400000011</v>
      </c>
      <c r="G793" s="42">
        <v>0</v>
      </c>
      <c r="H793" s="42">
        <f t="shared" si="190"/>
        <v>1167.7855527000002</v>
      </c>
      <c r="I793" s="36"/>
      <c r="N793" s="36"/>
    </row>
    <row r="794" spans="1:14" s="37" customFormat="1" x14ac:dyDescent="0.3">
      <c r="A794" s="73">
        <f t="shared" si="192"/>
        <v>24</v>
      </c>
      <c r="B794" s="73"/>
      <c r="C794" s="42" t="s">
        <v>191</v>
      </c>
      <c r="D794" s="51">
        <f t="shared" si="191"/>
        <v>753.41003400000011</v>
      </c>
      <c r="E794" s="51">
        <v>0</v>
      </c>
      <c r="F794" s="42">
        <f t="shared" si="193"/>
        <v>753.41003400000011</v>
      </c>
      <c r="G794" s="42">
        <v>0</v>
      </c>
      <c r="H794" s="42">
        <f t="shared" si="190"/>
        <v>1167.7855527000002</v>
      </c>
      <c r="I794" s="36"/>
      <c r="N794" s="36"/>
    </row>
    <row r="795" spans="1:14" s="37" customFormat="1" x14ac:dyDescent="0.3">
      <c r="A795" s="73">
        <f t="shared" si="192"/>
        <v>25</v>
      </c>
      <c r="B795" s="73"/>
      <c r="C795" s="42" t="s">
        <v>191</v>
      </c>
      <c r="D795" s="51">
        <f>(5.4*10.79+3.55*3.35+1.55*1.85)*10.764</f>
        <v>786.05186400000002</v>
      </c>
      <c r="E795" s="51">
        <v>0</v>
      </c>
      <c r="F795" s="42">
        <f t="shared" si="193"/>
        <v>786.05186400000002</v>
      </c>
      <c r="G795" s="42">
        <v>0</v>
      </c>
      <c r="H795" s="42">
        <f t="shared" si="190"/>
        <v>1218.3803892000001</v>
      </c>
      <c r="I795" s="36"/>
      <c r="N795" s="36"/>
    </row>
    <row r="796" spans="1:14" s="37" customFormat="1" x14ac:dyDescent="0.3">
      <c r="A796" s="73">
        <v>26</v>
      </c>
      <c r="B796" s="73"/>
      <c r="C796" s="42" t="s">
        <v>191</v>
      </c>
      <c r="D796" s="51">
        <f>(5.15*8.4+3.45*3.35+1.55*1.85)*10.764</f>
        <v>620.9213400000001</v>
      </c>
      <c r="E796" s="51">
        <v>0</v>
      </c>
      <c r="F796" s="42">
        <f t="shared" si="193"/>
        <v>620.9213400000001</v>
      </c>
      <c r="G796" s="42">
        <v>0</v>
      </c>
      <c r="H796" s="42">
        <f t="shared" si="190"/>
        <v>962.42807700000014</v>
      </c>
      <c r="I796" s="36"/>
      <c r="N796" s="36"/>
    </row>
    <row r="797" spans="1:14" s="37" customFormat="1" x14ac:dyDescent="0.3">
      <c r="A797" s="73">
        <f t="shared" ref="A797:A799" si="194">A796+1</f>
        <v>27</v>
      </c>
      <c r="B797" s="73"/>
      <c r="C797" s="42" t="s">
        <v>191</v>
      </c>
      <c r="D797" s="51">
        <f>(5.15*8.4+3.45*3.35+1.55*1.85)*10.764</f>
        <v>620.9213400000001</v>
      </c>
      <c r="E797" s="51">
        <v>0</v>
      </c>
      <c r="F797" s="42">
        <f t="shared" si="193"/>
        <v>620.9213400000001</v>
      </c>
      <c r="G797" s="42">
        <v>0</v>
      </c>
      <c r="H797" s="42">
        <f t="shared" si="190"/>
        <v>962.42807700000014</v>
      </c>
      <c r="I797" s="36"/>
      <c r="N797" s="36"/>
    </row>
    <row r="798" spans="1:14" s="37" customFormat="1" x14ac:dyDescent="0.3">
      <c r="A798" s="73">
        <f t="shared" si="194"/>
        <v>28</v>
      </c>
      <c r="B798" s="73"/>
      <c r="C798" s="42" t="s">
        <v>191</v>
      </c>
      <c r="D798" s="51">
        <f>(5.15*8.4+3.45*3.35+1.55*1.85)*10.764</f>
        <v>620.9213400000001</v>
      </c>
      <c r="E798" s="51">
        <v>0</v>
      </c>
      <c r="F798" s="42">
        <f t="shared" si="193"/>
        <v>620.9213400000001</v>
      </c>
      <c r="G798" s="42">
        <v>0</v>
      </c>
      <c r="H798" s="42">
        <f t="shared" si="190"/>
        <v>962.42807700000014</v>
      </c>
      <c r="I798" s="36"/>
      <c r="N798" s="36"/>
    </row>
    <row r="799" spans="1:14" s="37" customFormat="1" x14ac:dyDescent="0.3">
      <c r="A799" s="73">
        <f t="shared" si="194"/>
        <v>29</v>
      </c>
      <c r="B799" s="73"/>
      <c r="C799" s="42" t="s">
        <v>191</v>
      </c>
      <c r="D799" s="51">
        <f>(12.23*6.4+7.68*5.35)*10.764</f>
        <v>1284.7910399999998</v>
      </c>
      <c r="E799" s="51">
        <v>0</v>
      </c>
      <c r="F799" s="42">
        <f t="shared" si="193"/>
        <v>1284.7910399999998</v>
      </c>
      <c r="G799" s="42">
        <v>0</v>
      </c>
      <c r="H799" s="42">
        <f t="shared" si="190"/>
        <v>1991.4261119999999</v>
      </c>
      <c r="I799" s="36"/>
      <c r="N799" s="36"/>
    </row>
    <row r="800" spans="1:14" s="37" customFormat="1" x14ac:dyDescent="0.3">
      <c r="A800" s="77" t="s">
        <v>278</v>
      </c>
      <c r="B800" s="77"/>
      <c r="C800" s="77"/>
      <c r="D800" s="77"/>
      <c r="E800" s="77"/>
      <c r="F800" s="77"/>
      <c r="G800" s="77"/>
      <c r="H800" s="77"/>
      <c r="I800" s="36">
        <v>1</v>
      </c>
      <c r="L800" s="72"/>
      <c r="M800" s="72"/>
    </row>
    <row r="801" spans="1:14" s="37" customFormat="1" x14ac:dyDescent="0.3">
      <c r="A801" s="73">
        <v>1</v>
      </c>
      <c r="B801" s="73"/>
      <c r="C801" s="42" t="s">
        <v>191</v>
      </c>
      <c r="D801" s="51">
        <f>(6.55*5.15+3.35*3.45+1.85*1.55)*10.764</f>
        <v>518.36733000000004</v>
      </c>
      <c r="E801" s="51">
        <v>0</v>
      </c>
      <c r="F801" s="42">
        <f t="shared" ref="F801:F805" si="195">D801+E801</f>
        <v>518.36733000000004</v>
      </c>
      <c r="G801" s="42">
        <v>0</v>
      </c>
      <c r="H801" s="42">
        <f t="shared" ref="H801:H805" si="196">F801*(($H$251)+1)+(IF(G801&lt;101,G801,IF(G801&lt;201,G801/2,IF(G801&lt;=301,G801/3,G801/4))))</f>
        <v>803.4693615000001</v>
      </c>
      <c r="I801" s="36"/>
      <c r="N801" s="36"/>
    </row>
    <row r="802" spans="1:14" s="37" customFormat="1" x14ac:dyDescent="0.3">
      <c r="A802" s="73">
        <f>A801+1</f>
        <v>2</v>
      </c>
      <c r="B802" s="73"/>
      <c r="C802" s="42" t="s">
        <v>191</v>
      </c>
      <c r="D802" s="51">
        <f>(6.55*5.15+3.35*3.45+1.85*1.55)*10.764</f>
        <v>518.36733000000004</v>
      </c>
      <c r="E802" s="51">
        <v>0</v>
      </c>
      <c r="F802" s="42">
        <f t="shared" si="195"/>
        <v>518.36733000000004</v>
      </c>
      <c r="G802" s="42">
        <v>0</v>
      </c>
      <c r="H802" s="42">
        <f t="shared" si="196"/>
        <v>803.4693615000001</v>
      </c>
      <c r="I802" s="36" t="s">
        <v>281</v>
      </c>
      <c r="N802" s="36"/>
    </row>
    <row r="803" spans="1:14" s="37" customFormat="1" x14ac:dyDescent="0.3">
      <c r="A803" s="73">
        <f t="shared" ref="A803:A813" si="197">A802+1</f>
        <v>3</v>
      </c>
      <c r="B803" s="73"/>
      <c r="C803" s="42" t="s">
        <v>191</v>
      </c>
      <c r="D803" s="51">
        <f>(6.55*5.15+3.35*3.45+1.85*1.55)*10.764</f>
        <v>518.36733000000004</v>
      </c>
      <c r="E803" s="51">
        <v>0</v>
      </c>
      <c r="F803" s="42">
        <f t="shared" si="195"/>
        <v>518.36733000000004</v>
      </c>
      <c r="G803" s="42">
        <v>0</v>
      </c>
      <c r="H803" s="42">
        <f t="shared" si="196"/>
        <v>803.4693615000001</v>
      </c>
      <c r="I803" s="36"/>
      <c r="N803" s="36"/>
    </row>
    <row r="804" spans="1:14" s="37" customFormat="1" x14ac:dyDescent="0.3">
      <c r="A804" s="73">
        <f t="shared" si="197"/>
        <v>4</v>
      </c>
      <c r="B804" s="73"/>
      <c r="C804" s="42" t="s">
        <v>191</v>
      </c>
      <c r="D804" s="51">
        <f>(6.55*5.15+3.35*3.45+1.85*1.55)*10.764</f>
        <v>518.36733000000004</v>
      </c>
      <c r="E804" s="51">
        <v>0</v>
      </c>
      <c r="F804" s="42">
        <f t="shared" si="195"/>
        <v>518.36733000000004</v>
      </c>
      <c r="G804" s="42">
        <v>0</v>
      </c>
      <c r="H804" s="42">
        <f t="shared" si="196"/>
        <v>803.4693615000001</v>
      </c>
      <c r="I804" s="36"/>
      <c r="N804" s="36"/>
    </row>
    <row r="805" spans="1:14" s="37" customFormat="1" x14ac:dyDescent="0.3">
      <c r="A805" s="73">
        <f t="shared" si="197"/>
        <v>5</v>
      </c>
      <c r="B805" s="73"/>
      <c r="C805" s="42" t="s">
        <v>191</v>
      </c>
      <c r="D805" s="51">
        <f>(6.55*5.22+3.35*3.45+1.85*1.55)*10.764</f>
        <v>523.30262399999992</v>
      </c>
      <c r="E805" s="51">
        <v>0</v>
      </c>
      <c r="F805" s="42">
        <f t="shared" si="195"/>
        <v>523.30262399999992</v>
      </c>
      <c r="G805" s="42">
        <v>0</v>
      </c>
      <c r="H805" s="42">
        <f t="shared" si="196"/>
        <v>811.1190671999999</v>
      </c>
      <c r="I805" s="36"/>
      <c r="N805" s="36"/>
    </row>
    <row r="806" spans="1:14" s="37" customFormat="1" x14ac:dyDescent="0.3">
      <c r="A806" s="73">
        <f t="shared" si="197"/>
        <v>6</v>
      </c>
      <c r="B806" s="73"/>
      <c r="C806" s="74" t="s">
        <v>277</v>
      </c>
      <c r="D806" s="75"/>
      <c r="E806" s="75"/>
      <c r="F806" s="75"/>
      <c r="G806" s="75"/>
      <c r="H806" s="76"/>
      <c r="I806" s="36"/>
      <c r="N806" s="36"/>
    </row>
    <row r="807" spans="1:14" s="37" customFormat="1" x14ac:dyDescent="0.3">
      <c r="A807" s="73">
        <f t="shared" si="197"/>
        <v>7</v>
      </c>
      <c r="B807" s="73"/>
      <c r="C807" s="42" t="s">
        <v>191</v>
      </c>
      <c r="D807" s="51">
        <f>(10.47*6.01+3.35*4.31+1.85*1.55)*10.764</f>
        <v>863.60325480000006</v>
      </c>
      <c r="E807" s="51">
        <v>0</v>
      </c>
      <c r="F807" s="42">
        <f t="shared" ref="F807:F813" si="198">D807+E807</f>
        <v>863.60325480000006</v>
      </c>
      <c r="G807" s="42">
        <v>0</v>
      </c>
      <c r="H807" s="42">
        <f t="shared" ref="H807:H829" si="199">F807*(($H$251)+1)+(IF(G807&lt;101,G807,IF(G807&lt;201,G807/2,IF(G807&lt;=301,G807/3,G807/4))))</f>
        <v>1338.5850449400002</v>
      </c>
      <c r="I807" s="36"/>
      <c r="N807" s="36"/>
    </row>
    <row r="808" spans="1:14" s="37" customFormat="1" x14ac:dyDescent="0.3">
      <c r="A808" s="73">
        <f t="shared" si="197"/>
        <v>8</v>
      </c>
      <c r="B808" s="73"/>
      <c r="C808" s="42" t="s">
        <v>191</v>
      </c>
      <c r="D808" s="51">
        <f>(11.23*5.22+3.35*3.52+1.85*1.55)*10.764</f>
        <v>788.78699640000002</v>
      </c>
      <c r="E808" s="51">
        <v>0</v>
      </c>
      <c r="F808" s="42">
        <f t="shared" si="198"/>
        <v>788.78699640000002</v>
      </c>
      <c r="G808" s="42">
        <v>0</v>
      </c>
      <c r="H808" s="42">
        <f t="shared" si="199"/>
        <v>1222.6198444200002</v>
      </c>
      <c r="I808" s="36"/>
      <c r="N808" s="36"/>
    </row>
    <row r="809" spans="1:14" s="37" customFormat="1" x14ac:dyDescent="0.3">
      <c r="A809" s="73">
        <f t="shared" si="197"/>
        <v>9</v>
      </c>
      <c r="B809" s="73"/>
      <c r="C809" s="42" t="s">
        <v>191</v>
      </c>
      <c r="D809" s="51">
        <f>(11.85*5.15+3.35*3.45+1.85*1.55)*10.764</f>
        <v>812.1707100000001</v>
      </c>
      <c r="E809" s="51">
        <v>0</v>
      </c>
      <c r="F809" s="42">
        <f t="shared" si="198"/>
        <v>812.1707100000001</v>
      </c>
      <c r="G809" s="42">
        <v>0</v>
      </c>
      <c r="H809" s="42">
        <f t="shared" si="199"/>
        <v>1258.8646005000003</v>
      </c>
      <c r="I809" s="36"/>
      <c r="N809" s="36"/>
    </row>
    <row r="810" spans="1:14" s="37" customFormat="1" x14ac:dyDescent="0.3">
      <c r="A810" s="73">
        <f t="shared" si="197"/>
        <v>10</v>
      </c>
      <c r="B810" s="73"/>
      <c r="C810" s="42" t="s">
        <v>191</v>
      </c>
      <c r="D810" s="51">
        <f>(12.39*5.15+3.35*3.45+1.85*1.55)*10.764</f>
        <v>842.10539400000016</v>
      </c>
      <c r="E810" s="51">
        <v>0</v>
      </c>
      <c r="F810" s="42">
        <f t="shared" si="198"/>
        <v>842.10539400000016</v>
      </c>
      <c r="G810" s="42">
        <v>0</v>
      </c>
      <c r="H810" s="42">
        <f t="shared" si="199"/>
        <v>1305.2633607000002</v>
      </c>
      <c r="I810" s="36"/>
      <c r="N810" s="36"/>
    </row>
    <row r="811" spans="1:14" s="37" customFormat="1" x14ac:dyDescent="0.3">
      <c r="A811" s="73">
        <f t="shared" si="197"/>
        <v>11</v>
      </c>
      <c r="B811" s="73"/>
      <c r="C811" s="42" t="s">
        <v>191</v>
      </c>
      <c r="D811" s="51">
        <f>(12.85*5.15+3.35*3.45+1.85*1.55)*10.764</f>
        <v>867.60531000000015</v>
      </c>
      <c r="E811" s="51">
        <v>0</v>
      </c>
      <c r="F811" s="42">
        <f t="shared" si="198"/>
        <v>867.60531000000015</v>
      </c>
      <c r="G811" s="42">
        <v>0</v>
      </c>
      <c r="H811" s="42">
        <f t="shared" si="199"/>
        <v>1344.7882305000003</v>
      </c>
      <c r="I811" s="36"/>
      <c r="N811" s="36"/>
    </row>
    <row r="812" spans="1:14" s="37" customFormat="1" x14ac:dyDescent="0.3">
      <c r="A812" s="73">
        <f t="shared" si="197"/>
        <v>12</v>
      </c>
      <c r="B812" s="73"/>
      <c r="C812" s="42" t="s">
        <v>191</v>
      </c>
      <c r="D812" s="51">
        <f>(13.23*5.15+3.35*3.45+1.85*1.55)*10.764</f>
        <v>888.67045800000005</v>
      </c>
      <c r="E812" s="51">
        <v>0</v>
      </c>
      <c r="F812" s="42">
        <f t="shared" si="198"/>
        <v>888.67045800000005</v>
      </c>
      <c r="G812" s="42">
        <v>0</v>
      </c>
      <c r="H812" s="42">
        <f t="shared" si="199"/>
        <v>1377.4392099000002</v>
      </c>
      <c r="I812" s="36"/>
      <c r="N812" s="36"/>
    </row>
    <row r="813" spans="1:14" s="37" customFormat="1" x14ac:dyDescent="0.3">
      <c r="A813" s="73">
        <f t="shared" si="197"/>
        <v>13</v>
      </c>
      <c r="B813" s="73"/>
      <c r="C813" s="42" t="s">
        <v>191</v>
      </c>
      <c r="D813" s="51">
        <f>(13.54*5.15+3.35*3.45+1.85*1.55)*10.764</f>
        <v>905.85518400000001</v>
      </c>
      <c r="E813" s="51">
        <v>0</v>
      </c>
      <c r="F813" s="42">
        <f t="shared" si="198"/>
        <v>905.85518400000001</v>
      </c>
      <c r="G813" s="42">
        <v>0</v>
      </c>
      <c r="H813" s="42">
        <f t="shared" si="199"/>
        <v>1404.0755352000001</v>
      </c>
      <c r="I813" s="36"/>
      <c r="N813" s="36"/>
    </row>
    <row r="814" spans="1:14" s="37" customFormat="1" x14ac:dyDescent="0.3">
      <c r="A814" s="73">
        <v>14</v>
      </c>
      <c r="B814" s="73"/>
      <c r="C814" s="42" t="s">
        <v>191</v>
      </c>
      <c r="D814" s="51">
        <f>(13.77*5.15+3.35*3.45+1.85*1.55)*10.764</f>
        <v>918.60514200000011</v>
      </c>
      <c r="E814" s="51">
        <v>0</v>
      </c>
      <c r="F814" s="42">
        <f>D814+E814</f>
        <v>918.60514200000011</v>
      </c>
      <c r="G814" s="42">
        <v>0</v>
      </c>
      <c r="H814" s="42">
        <f t="shared" si="199"/>
        <v>1423.8379701000001</v>
      </c>
      <c r="I814" s="36"/>
      <c r="N814" s="36"/>
    </row>
    <row r="815" spans="1:14" s="37" customFormat="1" x14ac:dyDescent="0.3">
      <c r="A815" s="73">
        <f>A814+1</f>
        <v>15</v>
      </c>
      <c r="B815" s="73"/>
      <c r="C815" s="42" t="s">
        <v>191</v>
      </c>
      <c r="D815" s="51">
        <f>(13.93*6.75+3.35*5.05+1.35*1.55)*10.764</f>
        <v>1216.7356500000001</v>
      </c>
      <c r="E815" s="51">
        <v>0</v>
      </c>
      <c r="F815" s="42">
        <f>D815+E815</f>
        <v>1216.7356500000001</v>
      </c>
      <c r="G815" s="42">
        <v>0</v>
      </c>
      <c r="H815" s="42">
        <f t="shared" si="199"/>
        <v>1885.9402575000001</v>
      </c>
      <c r="I815" s="36"/>
      <c r="N815" s="36"/>
    </row>
    <row r="816" spans="1:14" s="37" customFormat="1" x14ac:dyDescent="0.3">
      <c r="A816" s="73">
        <f>A815+1</f>
        <v>16</v>
      </c>
      <c r="B816" s="73"/>
      <c r="C816" s="42" t="s">
        <v>191</v>
      </c>
      <c r="D816" s="51">
        <f>(4.93*3.35+8.88*4.92+12.23*5.87+6.94*3.89+13.54*10.87+1.2*2.55+1.55*2.4+1.85*1.55+1.85*1.55)*10.764</f>
        <v>3430.3425624000006</v>
      </c>
      <c r="E816" s="51">
        <f>(1.75*6.94+1.95*3.89)*10.764</f>
        <v>212.37910199999999</v>
      </c>
      <c r="F816" s="42">
        <f>D816+E816</f>
        <v>3642.7216644000005</v>
      </c>
      <c r="G816" s="42">
        <v>0</v>
      </c>
      <c r="H816" s="42">
        <f t="shared" si="199"/>
        <v>5646.2185798200007</v>
      </c>
      <c r="I816" s="36"/>
      <c r="N816" s="36"/>
    </row>
    <row r="817" spans="1:14" s="37" customFormat="1" x14ac:dyDescent="0.3">
      <c r="A817" s="73">
        <f>A816+1</f>
        <v>17</v>
      </c>
      <c r="B817" s="73"/>
      <c r="C817" s="42" t="s">
        <v>191</v>
      </c>
      <c r="D817" s="51">
        <f t="shared" ref="D817:D824" si="200">(5.15*10.79+3.45*3.35+1.55*1.85)*10.764</f>
        <v>753.41003400000011</v>
      </c>
      <c r="E817" s="51">
        <v>0</v>
      </c>
      <c r="F817" s="42">
        <f>D817+E817</f>
        <v>753.41003400000011</v>
      </c>
      <c r="G817" s="42">
        <v>0</v>
      </c>
      <c r="H817" s="42">
        <f t="shared" si="199"/>
        <v>1167.7855527000002</v>
      </c>
      <c r="I817" s="36"/>
      <c r="N817" s="36"/>
    </row>
    <row r="818" spans="1:14" s="37" customFormat="1" x14ac:dyDescent="0.3">
      <c r="A818" s="73">
        <f>A817+1</f>
        <v>18</v>
      </c>
      <c r="B818" s="73"/>
      <c r="C818" s="42" t="s">
        <v>191</v>
      </c>
      <c r="D818" s="51">
        <f t="shared" si="200"/>
        <v>753.41003400000011</v>
      </c>
      <c r="E818" s="51">
        <v>0</v>
      </c>
      <c r="F818" s="42">
        <f>D818+E818</f>
        <v>753.41003400000011</v>
      </c>
      <c r="G818" s="42">
        <v>0</v>
      </c>
      <c r="H818" s="42">
        <f t="shared" si="199"/>
        <v>1167.7855527000002</v>
      </c>
      <c r="I818" s="36"/>
      <c r="N818" s="36"/>
    </row>
    <row r="819" spans="1:14" s="37" customFormat="1" x14ac:dyDescent="0.3">
      <c r="A819" s="73">
        <f t="shared" ref="A819:A825" si="201">A818+1</f>
        <v>19</v>
      </c>
      <c r="B819" s="73"/>
      <c r="C819" s="42" t="s">
        <v>191</v>
      </c>
      <c r="D819" s="51">
        <f t="shared" si="200"/>
        <v>753.41003400000011</v>
      </c>
      <c r="E819" s="51">
        <v>0</v>
      </c>
      <c r="F819" s="42">
        <f t="shared" ref="F819:F829" si="202">D819+E819</f>
        <v>753.41003400000011</v>
      </c>
      <c r="G819" s="42">
        <v>0</v>
      </c>
      <c r="H819" s="42">
        <f t="shared" si="199"/>
        <v>1167.7855527000002</v>
      </c>
      <c r="I819" s="36"/>
      <c r="N819" s="36"/>
    </row>
    <row r="820" spans="1:14" s="37" customFormat="1" x14ac:dyDescent="0.3">
      <c r="A820" s="73">
        <f t="shared" si="201"/>
        <v>20</v>
      </c>
      <c r="B820" s="73"/>
      <c r="C820" s="42" t="s">
        <v>191</v>
      </c>
      <c r="D820" s="51">
        <f t="shared" si="200"/>
        <v>753.41003400000011</v>
      </c>
      <c r="E820" s="51">
        <v>0</v>
      </c>
      <c r="F820" s="42">
        <f t="shared" si="202"/>
        <v>753.41003400000011</v>
      </c>
      <c r="G820" s="42">
        <v>0</v>
      </c>
      <c r="H820" s="42">
        <f t="shared" si="199"/>
        <v>1167.7855527000002</v>
      </c>
      <c r="I820" s="36"/>
      <c r="N820" s="36"/>
    </row>
    <row r="821" spans="1:14" s="37" customFormat="1" x14ac:dyDescent="0.3">
      <c r="A821" s="73">
        <f t="shared" si="201"/>
        <v>21</v>
      </c>
      <c r="B821" s="73"/>
      <c r="C821" s="42" t="s">
        <v>191</v>
      </c>
      <c r="D821" s="51">
        <f t="shared" si="200"/>
        <v>753.41003400000011</v>
      </c>
      <c r="E821" s="51">
        <v>0</v>
      </c>
      <c r="F821" s="42">
        <f t="shared" si="202"/>
        <v>753.41003400000011</v>
      </c>
      <c r="G821" s="42">
        <v>0</v>
      </c>
      <c r="H821" s="42">
        <f t="shared" si="199"/>
        <v>1167.7855527000002</v>
      </c>
      <c r="I821" s="36"/>
      <c r="N821" s="36"/>
    </row>
    <row r="822" spans="1:14" s="37" customFormat="1" x14ac:dyDescent="0.3">
      <c r="A822" s="73">
        <f t="shared" si="201"/>
        <v>22</v>
      </c>
      <c r="B822" s="73"/>
      <c r="C822" s="42" t="s">
        <v>191</v>
      </c>
      <c r="D822" s="51">
        <f t="shared" si="200"/>
        <v>753.41003400000011</v>
      </c>
      <c r="E822" s="51">
        <v>0</v>
      </c>
      <c r="F822" s="42">
        <f t="shared" si="202"/>
        <v>753.41003400000011</v>
      </c>
      <c r="G822" s="42">
        <v>0</v>
      </c>
      <c r="H822" s="42">
        <f t="shared" si="199"/>
        <v>1167.7855527000002</v>
      </c>
      <c r="I822" s="36"/>
      <c r="N822" s="36"/>
    </row>
    <row r="823" spans="1:14" s="37" customFormat="1" x14ac:dyDescent="0.3">
      <c r="A823" s="73">
        <f t="shared" si="201"/>
        <v>23</v>
      </c>
      <c r="B823" s="73"/>
      <c r="C823" s="42" t="s">
        <v>191</v>
      </c>
      <c r="D823" s="51">
        <f t="shared" si="200"/>
        <v>753.41003400000011</v>
      </c>
      <c r="E823" s="51">
        <v>0</v>
      </c>
      <c r="F823" s="42">
        <f t="shared" si="202"/>
        <v>753.41003400000011</v>
      </c>
      <c r="G823" s="42">
        <v>0</v>
      </c>
      <c r="H823" s="42">
        <f t="shared" si="199"/>
        <v>1167.7855527000002</v>
      </c>
      <c r="I823" s="36"/>
      <c r="N823" s="36"/>
    </row>
    <row r="824" spans="1:14" s="37" customFormat="1" x14ac:dyDescent="0.3">
      <c r="A824" s="73">
        <f t="shared" si="201"/>
        <v>24</v>
      </c>
      <c r="B824" s="73"/>
      <c r="C824" s="42" t="s">
        <v>191</v>
      </c>
      <c r="D824" s="51">
        <f t="shared" si="200"/>
        <v>753.41003400000011</v>
      </c>
      <c r="E824" s="51">
        <v>0</v>
      </c>
      <c r="F824" s="42">
        <f t="shared" si="202"/>
        <v>753.41003400000011</v>
      </c>
      <c r="G824" s="42">
        <v>0</v>
      </c>
      <c r="H824" s="42">
        <f t="shared" si="199"/>
        <v>1167.7855527000002</v>
      </c>
      <c r="I824" s="36"/>
      <c r="N824" s="36"/>
    </row>
    <row r="825" spans="1:14" s="37" customFormat="1" x14ac:dyDescent="0.3">
      <c r="A825" s="73">
        <f t="shared" si="201"/>
        <v>25</v>
      </c>
      <c r="B825" s="73"/>
      <c r="C825" s="42" t="s">
        <v>191</v>
      </c>
      <c r="D825" s="51">
        <f>(5.4*10.79+3.55*3.35+1.55*1.85)*10.764</f>
        <v>786.05186400000002</v>
      </c>
      <c r="E825" s="51">
        <v>0</v>
      </c>
      <c r="F825" s="42">
        <f t="shared" si="202"/>
        <v>786.05186400000002</v>
      </c>
      <c r="G825" s="42">
        <v>0</v>
      </c>
      <c r="H825" s="42">
        <f t="shared" si="199"/>
        <v>1218.3803892000001</v>
      </c>
      <c r="I825" s="36"/>
      <c r="N825" s="36"/>
    </row>
    <row r="826" spans="1:14" s="37" customFormat="1" x14ac:dyDescent="0.3">
      <c r="A826" s="73">
        <v>26</v>
      </c>
      <c r="B826" s="73"/>
      <c r="C826" s="42" t="s">
        <v>191</v>
      </c>
      <c r="D826" s="51">
        <f>(5.15*8.4+3.45*3.35+1.55*1.85)*10.764</f>
        <v>620.9213400000001</v>
      </c>
      <c r="E826" s="51">
        <v>0</v>
      </c>
      <c r="F826" s="42">
        <f t="shared" si="202"/>
        <v>620.9213400000001</v>
      </c>
      <c r="G826" s="42">
        <v>0</v>
      </c>
      <c r="H826" s="42">
        <f t="shared" si="199"/>
        <v>962.42807700000014</v>
      </c>
      <c r="I826" s="36"/>
      <c r="N826" s="36"/>
    </row>
    <row r="827" spans="1:14" s="37" customFormat="1" x14ac:dyDescent="0.3">
      <c r="A827" s="73">
        <f t="shared" ref="A827:A829" si="203">A826+1</f>
        <v>27</v>
      </c>
      <c r="B827" s="73"/>
      <c r="C827" s="42" t="s">
        <v>191</v>
      </c>
      <c r="D827" s="51">
        <f>(5.15*8.4+3.45*3.35+1.55*1.85)*10.764</f>
        <v>620.9213400000001</v>
      </c>
      <c r="E827" s="51">
        <v>0</v>
      </c>
      <c r="F827" s="42">
        <f t="shared" si="202"/>
        <v>620.9213400000001</v>
      </c>
      <c r="G827" s="42">
        <v>0</v>
      </c>
      <c r="H827" s="42">
        <f t="shared" si="199"/>
        <v>962.42807700000014</v>
      </c>
      <c r="I827" s="36"/>
      <c r="N827" s="36"/>
    </row>
    <row r="828" spans="1:14" s="37" customFormat="1" x14ac:dyDescent="0.3">
      <c r="A828" s="73">
        <f t="shared" si="203"/>
        <v>28</v>
      </c>
      <c r="B828" s="73"/>
      <c r="C828" s="42" t="s">
        <v>191</v>
      </c>
      <c r="D828" s="51">
        <f>(5.15*8.4+3.45*3.35+1.55*1.85)*10.764</f>
        <v>620.9213400000001</v>
      </c>
      <c r="E828" s="51">
        <v>0</v>
      </c>
      <c r="F828" s="42">
        <f t="shared" si="202"/>
        <v>620.9213400000001</v>
      </c>
      <c r="G828" s="42">
        <v>0</v>
      </c>
      <c r="H828" s="42">
        <f t="shared" si="199"/>
        <v>962.42807700000014</v>
      </c>
      <c r="I828" s="36"/>
      <c r="N828" s="36"/>
    </row>
    <row r="829" spans="1:14" s="37" customFormat="1" x14ac:dyDescent="0.3">
      <c r="A829" s="73">
        <f t="shared" si="203"/>
        <v>29</v>
      </c>
      <c r="B829" s="73"/>
      <c r="C829" s="42" t="s">
        <v>191</v>
      </c>
      <c r="D829" s="51">
        <f>(12.23*6.4+7.68*5.35)*10.764</f>
        <v>1284.7910399999998</v>
      </c>
      <c r="E829" s="51">
        <v>0</v>
      </c>
      <c r="F829" s="42">
        <f t="shared" si="202"/>
        <v>1284.7910399999998</v>
      </c>
      <c r="G829" s="42">
        <v>0</v>
      </c>
      <c r="H829" s="42">
        <f t="shared" si="199"/>
        <v>1991.4261119999999</v>
      </c>
      <c r="I829" s="36"/>
      <c r="N829" s="36"/>
    </row>
    <row r="830" spans="1:14" s="37" customFormat="1" x14ac:dyDescent="0.3">
      <c r="A830" s="77" t="s">
        <v>282</v>
      </c>
      <c r="B830" s="77"/>
      <c r="C830" s="77"/>
      <c r="D830" s="77"/>
      <c r="E830" s="77"/>
      <c r="F830" s="77"/>
      <c r="G830" s="77"/>
      <c r="H830" s="77"/>
      <c r="I830" s="36">
        <v>1</v>
      </c>
      <c r="L830" s="72"/>
      <c r="M830" s="72"/>
    </row>
    <row r="831" spans="1:14" s="35" customFormat="1" x14ac:dyDescent="0.3">
      <c r="A831" s="204" t="s">
        <v>68</v>
      </c>
      <c r="B831" s="204"/>
      <c r="C831" s="204"/>
      <c r="D831" s="204"/>
      <c r="E831" s="204"/>
      <c r="F831" s="204"/>
      <c r="G831" s="204"/>
      <c r="H831" s="204"/>
    </row>
    <row r="832" spans="1:14" s="35" customFormat="1" x14ac:dyDescent="0.3">
      <c r="A832" s="45" t="s">
        <v>151</v>
      </c>
      <c r="B832" s="163" t="s">
        <v>221</v>
      </c>
      <c r="C832" s="164"/>
      <c r="D832" s="164"/>
      <c r="E832" s="164"/>
      <c r="F832" s="164"/>
      <c r="G832" s="164"/>
      <c r="H832" s="165"/>
    </row>
    <row r="833" spans="1:8" s="35" customFormat="1" x14ac:dyDescent="0.3">
      <c r="A833" s="45" t="s">
        <v>151</v>
      </c>
      <c r="B833" s="163" t="str">
        <f>(IF(F143="Saleable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833" s="164"/>
      <c r="D833" s="164"/>
      <c r="E833" s="164"/>
      <c r="F833" s="164"/>
      <c r="G833" s="164"/>
      <c r="H833" s="165"/>
    </row>
    <row r="834" spans="1:8" s="35" customFormat="1" x14ac:dyDescent="0.3">
      <c r="A834" s="45" t="s">
        <v>151</v>
      </c>
      <c r="B834" s="60" t="s">
        <v>122</v>
      </c>
      <c r="C834" s="61"/>
      <c r="D834" s="61"/>
      <c r="E834" s="61"/>
      <c r="F834" s="61"/>
      <c r="G834" s="61"/>
      <c r="H834" s="62"/>
    </row>
    <row r="835" spans="1:8" s="35" customFormat="1" x14ac:dyDescent="0.3">
      <c r="A835" s="45" t="s">
        <v>151</v>
      </c>
      <c r="B835" s="60" t="s">
        <v>207</v>
      </c>
      <c r="C835" s="61"/>
      <c r="D835" s="61"/>
      <c r="E835" s="61"/>
      <c r="F835" s="61"/>
      <c r="G835" s="61"/>
      <c r="H835" s="62"/>
    </row>
    <row r="836" spans="1:8" s="35" customFormat="1" x14ac:dyDescent="0.3">
      <c r="A836" s="45" t="s">
        <v>151</v>
      </c>
      <c r="B836" s="60" t="s">
        <v>150</v>
      </c>
      <c r="C836" s="61"/>
      <c r="D836" s="61"/>
      <c r="E836" s="61"/>
      <c r="F836" s="61"/>
      <c r="G836" s="61"/>
      <c r="H836" s="62"/>
    </row>
    <row r="837" spans="1:8" s="35" customFormat="1" x14ac:dyDescent="0.3">
      <c r="A837" s="45" t="s">
        <v>151</v>
      </c>
      <c r="B837" s="60" t="s">
        <v>123</v>
      </c>
      <c r="C837" s="61"/>
      <c r="D837" s="61"/>
      <c r="E837" s="61"/>
      <c r="F837" s="61"/>
      <c r="G837" s="61"/>
      <c r="H837" s="62"/>
    </row>
    <row r="838" spans="1:8" s="35" customFormat="1" ht="34.5" customHeight="1" x14ac:dyDescent="0.3">
      <c r="A838" s="45" t="s">
        <v>151</v>
      </c>
      <c r="B838" s="60" t="s">
        <v>152</v>
      </c>
      <c r="C838" s="61"/>
      <c r="D838" s="61"/>
      <c r="E838" s="61"/>
      <c r="F838" s="61"/>
      <c r="G838" s="61"/>
      <c r="H838" s="62"/>
    </row>
    <row r="839" spans="1:8" s="35" customFormat="1" x14ac:dyDescent="0.3">
      <c r="A839" s="45" t="s">
        <v>151</v>
      </c>
      <c r="B839" s="60" t="s">
        <v>124</v>
      </c>
      <c r="C839" s="61"/>
      <c r="D839" s="61"/>
      <c r="E839" s="61"/>
      <c r="F839" s="61"/>
      <c r="G839" s="61"/>
      <c r="H839" s="62"/>
    </row>
    <row r="840" spans="1:8" s="35" customFormat="1" x14ac:dyDescent="0.3">
      <c r="A840" s="45" t="s">
        <v>151</v>
      </c>
      <c r="B840" s="60" t="s">
        <v>208</v>
      </c>
      <c r="C840" s="61"/>
      <c r="D840" s="61"/>
      <c r="E840" s="61"/>
      <c r="F840" s="61"/>
      <c r="G840" s="61"/>
      <c r="H840" s="62"/>
    </row>
    <row r="841" spans="1:8" s="35" customFormat="1" x14ac:dyDescent="0.3">
      <c r="A841" s="45" t="s">
        <v>151</v>
      </c>
      <c r="B841" s="60" t="s">
        <v>219</v>
      </c>
      <c r="C841" s="61"/>
      <c r="D841" s="61"/>
      <c r="E841" s="61"/>
      <c r="F841" s="61"/>
      <c r="G841" s="61"/>
      <c r="H841" s="62"/>
    </row>
    <row r="842" spans="1:8" s="35" customFormat="1" x14ac:dyDescent="0.3">
      <c r="A842" s="45" t="s">
        <v>151</v>
      </c>
      <c r="B842" s="60" t="s">
        <v>295</v>
      </c>
      <c r="C842" s="61"/>
      <c r="D842" s="61"/>
      <c r="E842" s="61"/>
      <c r="F842" s="61"/>
      <c r="G842" s="61"/>
      <c r="H842" s="62"/>
    </row>
    <row r="843" spans="1:8" s="35" customFormat="1" hidden="1" x14ac:dyDescent="0.3">
      <c r="A843" s="45" t="s">
        <v>151</v>
      </c>
      <c r="B843" s="60" t="s">
        <v>283</v>
      </c>
      <c r="C843" s="61"/>
      <c r="D843" s="61"/>
      <c r="E843" s="61"/>
      <c r="F843" s="61"/>
      <c r="G843" s="61"/>
      <c r="H843" s="62"/>
    </row>
    <row r="844" spans="1:8" s="35" customFormat="1" x14ac:dyDescent="0.3">
      <c r="A844" s="45" t="s">
        <v>151</v>
      </c>
      <c r="B844" s="60" t="s">
        <v>293</v>
      </c>
      <c r="C844" s="61"/>
      <c r="D844" s="61"/>
      <c r="E844" s="61"/>
      <c r="F844" s="61"/>
      <c r="G844" s="61"/>
      <c r="H844" s="62"/>
    </row>
    <row r="845" spans="1:8" x14ac:dyDescent="0.3">
      <c r="A845" s="159" t="s">
        <v>61</v>
      </c>
      <c r="B845" s="159"/>
      <c r="C845" s="159"/>
      <c r="D845" s="159"/>
      <c r="E845" s="159"/>
      <c r="F845" s="159"/>
      <c r="G845" s="159"/>
      <c r="H845" s="159"/>
    </row>
    <row r="846" spans="1:8" x14ac:dyDescent="0.3">
      <c r="A846" s="149" t="s">
        <v>62</v>
      </c>
      <c r="B846" s="149"/>
      <c r="C846" s="149"/>
      <c r="D846" s="149"/>
      <c r="E846" s="149"/>
      <c r="F846" s="149"/>
      <c r="G846" s="149"/>
      <c r="H846" s="149"/>
    </row>
    <row r="847" spans="1:8" ht="15.75" customHeight="1" x14ac:dyDescent="0.3">
      <c r="A847" s="150" t="s">
        <v>63</v>
      </c>
      <c r="B847" s="150"/>
      <c r="C847" s="150"/>
      <c r="D847" s="150"/>
      <c r="E847" s="150"/>
      <c r="F847" s="150"/>
      <c r="G847" s="150"/>
      <c r="H847" s="150"/>
    </row>
    <row r="848" spans="1:8" x14ac:dyDescent="0.3">
      <c r="A848" s="149" t="s">
        <v>64</v>
      </c>
      <c r="B848" s="149"/>
      <c r="C848" s="149"/>
      <c r="D848" s="149"/>
      <c r="E848" s="149"/>
      <c r="F848" s="149"/>
      <c r="G848" s="149"/>
      <c r="H848" s="149"/>
    </row>
    <row r="849" spans="1:8" x14ac:dyDescent="0.3">
      <c r="A849" s="149" t="s">
        <v>65</v>
      </c>
      <c r="B849" s="149"/>
      <c r="C849" s="149"/>
      <c r="D849" s="149"/>
      <c r="E849" s="149"/>
      <c r="F849" s="149"/>
      <c r="G849" s="149"/>
      <c r="H849" s="149"/>
    </row>
    <row r="850" spans="1:8" x14ac:dyDescent="0.3">
      <c r="A850" s="149" t="s">
        <v>125</v>
      </c>
      <c r="B850" s="149"/>
      <c r="C850" s="149"/>
      <c r="D850" s="149"/>
      <c r="E850" s="149"/>
      <c r="F850" s="149"/>
      <c r="G850" s="149"/>
      <c r="H850" s="149"/>
    </row>
    <row r="851" spans="1:8" x14ac:dyDescent="0.3">
      <c r="A851" s="160" t="s">
        <v>126</v>
      </c>
      <c r="B851" s="160"/>
      <c r="C851" s="160"/>
      <c r="D851" s="160"/>
      <c r="E851" s="160"/>
      <c r="F851" s="160"/>
      <c r="G851" s="160"/>
      <c r="H851" s="160"/>
    </row>
    <row r="852" spans="1:8" x14ac:dyDescent="0.3">
      <c r="A852" s="171" t="s">
        <v>77</v>
      </c>
      <c r="B852" s="171"/>
      <c r="C852" s="171" t="s">
        <v>212</v>
      </c>
      <c r="D852" s="171"/>
      <c r="E852" s="171" t="s">
        <v>106</v>
      </c>
      <c r="F852" s="171"/>
      <c r="G852" s="171" t="s">
        <v>227</v>
      </c>
      <c r="H852" s="171"/>
    </row>
    <row r="853" spans="1:8" x14ac:dyDescent="0.3">
      <c r="A853" s="170" t="s">
        <v>79</v>
      </c>
      <c r="B853" s="170"/>
      <c r="C853" s="170"/>
      <c r="D853" s="170"/>
      <c r="E853" s="170"/>
      <c r="F853" s="170"/>
      <c r="G853" s="170"/>
      <c r="H853" s="170"/>
    </row>
    <row r="854" spans="1:8" x14ac:dyDescent="0.3">
      <c r="A854" s="170"/>
      <c r="B854" s="170"/>
      <c r="C854" s="170"/>
      <c r="D854" s="170"/>
      <c r="E854" s="170"/>
      <c r="F854" s="170"/>
      <c r="G854" s="170"/>
      <c r="H854" s="170"/>
    </row>
    <row r="855" spans="1:8" x14ac:dyDescent="0.3">
      <c r="A855" s="170"/>
      <c r="B855" s="170"/>
      <c r="C855" s="170"/>
      <c r="D855" s="170"/>
      <c r="E855" s="170"/>
      <c r="F855" s="170"/>
      <c r="G855" s="170"/>
      <c r="H855" s="170"/>
    </row>
    <row r="856" spans="1:8" x14ac:dyDescent="0.3">
      <c r="A856" s="170"/>
      <c r="B856" s="170"/>
      <c r="C856" s="170"/>
      <c r="D856" s="170"/>
      <c r="E856" s="170"/>
      <c r="F856" s="170"/>
      <c r="G856" s="170"/>
      <c r="H856" s="170"/>
    </row>
    <row r="857" spans="1:8" x14ac:dyDescent="0.3">
      <c r="A857" s="38" t="s">
        <v>66</v>
      </c>
      <c r="B857" s="39"/>
      <c r="C857" s="39"/>
      <c r="D857" s="38" t="str">
        <f>E8</f>
        <v>Raheja Prime 1 &amp; 2</v>
      </c>
      <c r="F857" s="39"/>
      <c r="G857" s="39"/>
      <c r="H857" s="39"/>
    </row>
    <row r="858" spans="1:8" x14ac:dyDescent="0.3">
      <c r="A858" s="39"/>
      <c r="B858" s="39"/>
      <c r="C858" s="39"/>
      <c r="D858" s="39"/>
      <c r="E858" s="39"/>
      <c r="F858" s="39"/>
      <c r="G858" s="39"/>
      <c r="H858" s="39"/>
    </row>
    <row r="859" spans="1:8" x14ac:dyDescent="0.3">
      <c r="A859" s="39"/>
      <c r="B859" s="39"/>
      <c r="C859" s="39"/>
      <c r="D859" s="39"/>
      <c r="E859" s="39"/>
      <c r="F859" s="39"/>
      <c r="G859" s="39"/>
      <c r="H859" s="39"/>
    </row>
    <row r="860" spans="1:8" ht="15" customHeight="1" x14ac:dyDescent="0.3"/>
    <row r="896" spans="1:1" x14ac:dyDescent="0.3">
      <c r="A896" s="41" t="s">
        <v>165</v>
      </c>
    </row>
    <row r="931" spans="1:1" x14ac:dyDescent="0.3">
      <c r="A931" s="41" t="s">
        <v>67</v>
      </c>
    </row>
  </sheetData>
  <mergeCells count="1236">
    <mergeCell ref="E108:F108"/>
    <mergeCell ref="G108:H108"/>
    <mergeCell ref="A109:B109"/>
    <mergeCell ref="E109:F118"/>
    <mergeCell ref="G109:H118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48:H48"/>
    <mergeCell ref="A53:H53"/>
    <mergeCell ref="A54:B54"/>
    <mergeCell ref="C54:E54"/>
    <mergeCell ref="G54:H54"/>
    <mergeCell ref="A55:B55"/>
    <mergeCell ref="C55:E55"/>
    <mergeCell ref="G55:H55"/>
    <mergeCell ref="A56:B57"/>
    <mergeCell ref="C56:E56"/>
    <mergeCell ref="G56:H56"/>
    <mergeCell ref="C57:H57"/>
    <mergeCell ref="L242:M242"/>
    <mergeCell ref="A243:B243"/>
    <mergeCell ref="L243:M243"/>
    <mergeCell ref="B841:H841"/>
    <mergeCell ref="B840:H840"/>
    <mergeCell ref="A120:E120"/>
    <mergeCell ref="F120:H120"/>
    <mergeCell ref="A244:H244"/>
    <mergeCell ref="A245:B245"/>
    <mergeCell ref="A246:B246"/>
    <mergeCell ref="A247:B247"/>
    <mergeCell ref="G245:H247"/>
    <mergeCell ref="A239:B239"/>
    <mergeCell ref="A237:B237"/>
    <mergeCell ref="A211:B211"/>
    <mergeCell ref="A199:B199"/>
    <mergeCell ref="A194:B194"/>
    <mergeCell ref="A189:B189"/>
    <mergeCell ref="A178:H178"/>
    <mergeCell ref="A179:B179"/>
    <mergeCell ref="A173:B173"/>
    <mergeCell ref="A161:B161"/>
    <mergeCell ref="A152:B152"/>
    <mergeCell ref="A125:E125"/>
    <mergeCell ref="F125:H125"/>
    <mergeCell ref="E135:F135"/>
    <mergeCell ref="B838:H838"/>
    <mergeCell ref="L228:M228"/>
    <mergeCell ref="A229:B229"/>
    <mergeCell ref="L229:M229"/>
    <mergeCell ref="A230:B230"/>
    <mergeCell ref="L232:M232"/>
    <mergeCell ref="A233:B233"/>
    <mergeCell ref="L233:M233"/>
    <mergeCell ref="A234:B234"/>
    <mergeCell ref="L234:M234"/>
    <mergeCell ref="A235:B235"/>
    <mergeCell ref="L235:M235"/>
    <mergeCell ref="A236:B236"/>
    <mergeCell ref="L236:M236"/>
    <mergeCell ref="L239:M239"/>
    <mergeCell ref="A240:B240"/>
    <mergeCell ref="L240:M240"/>
    <mergeCell ref="A241:B241"/>
    <mergeCell ref="L241:M241"/>
    <mergeCell ref="L215:M215"/>
    <mergeCell ref="L230:M230"/>
    <mergeCell ref="A231:B231"/>
    <mergeCell ref="L231:M231"/>
    <mergeCell ref="A216:B216"/>
    <mergeCell ref="L216:M216"/>
    <mergeCell ref="A217:B217"/>
    <mergeCell ref="L217:M217"/>
    <mergeCell ref="A218:B218"/>
    <mergeCell ref="L218:M218"/>
    <mergeCell ref="A219:B219"/>
    <mergeCell ref="L219:M219"/>
    <mergeCell ref="A220:B220"/>
    <mergeCell ref="L220:M220"/>
    <mergeCell ref="L237:M237"/>
    <mergeCell ref="A238:B238"/>
    <mergeCell ref="L238:M238"/>
    <mergeCell ref="C236:F237"/>
    <mergeCell ref="A221:B221"/>
    <mergeCell ref="L221:M221"/>
    <mergeCell ref="A222:H222"/>
    <mergeCell ref="A223:B223"/>
    <mergeCell ref="G223:H243"/>
    <mergeCell ref="L223:M223"/>
    <mergeCell ref="A224:B224"/>
    <mergeCell ref="L224:M224"/>
    <mergeCell ref="A225:B225"/>
    <mergeCell ref="L225:M225"/>
    <mergeCell ref="A226:B226"/>
    <mergeCell ref="L226:M226"/>
    <mergeCell ref="A227:B227"/>
    <mergeCell ref="L227:M227"/>
    <mergeCell ref="L184:M184"/>
    <mergeCell ref="A185:B185"/>
    <mergeCell ref="L185:M185"/>
    <mergeCell ref="L199:M199"/>
    <mergeCell ref="A200:H200"/>
    <mergeCell ref="A201:B201"/>
    <mergeCell ref="G201:H22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A207:B207"/>
    <mergeCell ref="L207:M207"/>
    <mergeCell ref="A208:B208"/>
    <mergeCell ref="L208:M208"/>
    <mergeCell ref="A209:B209"/>
    <mergeCell ref="L209:M209"/>
    <mergeCell ref="A210:B210"/>
    <mergeCell ref="L210:M210"/>
    <mergeCell ref="L211:M211"/>
    <mergeCell ref="L212:M212"/>
    <mergeCell ref="A213:B213"/>
    <mergeCell ref="L213:M213"/>
    <mergeCell ref="A214:B214"/>
    <mergeCell ref="L214:M214"/>
    <mergeCell ref="L188:M188"/>
    <mergeCell ref="A191:B191"/>
    <mergeCell ref="L191:M191"/>
    <mergeCell ref="A192:B192"/>
    <mergeCell ref="L192:M192"/>
    <mergeCell ref="A193:B193"/>
    <mergeCell ref="L193:M193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L171:M171"/>
    <mergeCell ref="A172:B172"/>
    <mergeCell ref="L172:M172"/>
    <mergeCell ref="L173:M173"/>
    <mergeCell ref="L189:M189"/>
    <mergeCell ref="A190:B190"/>
    <mergeCell ref="L190:M190"/>
    <mergeCell ref="G179:H199"/>
    <mergeCell ref="L179:M179"/>
    <mergeCell ref="A180:B180"/>
    <mergeCell ref="L180:M180"/>
    <mergeCell ref="A181:B181"/>
    <mergeCell ref="L181:M181"/>
    <mergeCell ref="A182:B182"/>
    <mergeCell ref="L182:M182"/>
    <mergeCell ref="A183:B183"/>
    <mergeCell ref="L162:M162"/>
    <mergeCell ref="A163:B163"/>
    <mergeCell ref="L163:M163"/>
    <mergeCell ref="A155:H155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L186:M186"/>
    <mergeCell ref="A174:B174"/>
    <mergeCell ref="L174:M174"/>
    <mergeCell ref="A175:B175"/>
    <mergeCell ref="L175:M175"/>
    <mergeCell ref="A176:B176"/>
    <mergeCell ref="L176:M176"/>
    <mergeCell ref="A177:B177"/>
    <mergeCell ref="L177:M177"/>
    <mergeCell ref="G157:H177"/>
    <mergeCell ref="C157:F157"/>
    <mergeCell ref="C158:F160"/>
    <mergeCell ref="A169:B169"/>
    <mergeCell ref="L169:M169"/>
    <mergeCell ref="A170:B170"/>
    <mergeCell ref="L170:M170"/>
    <mergeCell ref="L160:M160"/>
    <mergeCell ref="A164:B164"/>
    <mergeCell ref="L164:M164"/>
    <mergeCell ref="L183:M183"/>
    <mergeCell ref="A69:C69"/>
    <mergeCell ref="D69:H69"/>
    <mergeCell ref="A47:B47"/>
    <mergeCell ref="C47:H47"/>
    <mergeCell ref="B836:H836"/>
    <mergeCell ref="F122:H122"/>
    <mergeCell ref="A122:E122"/>
    <mergeCell ref="D143:D144"/>
    <mergeCell ref="A124:E124"/>
    <mergeCell ref="A148:B148"/>
    <mergeCell ref="A149:B149"/>
    <mergeCell ref="A150:B150"/>
    <mergeCell ref="A126:E126"/>
    <mergeCell ref="F126:H126"/>
    <mergeCell ref="A127:E127"/>
    <mergeCell ref="A129:E129"/>
    <mergeCell ref="F123:H123"/>
    <mergeCell ref="A128:E128"/>
    <mergeCell ref="A123:E123"/>
    <mergeCell ref="F119:H119"/>
    <mergeCell ref="A119:E119"/>
    <mergeCell ref="F124:H124"/>
    <mergeCell ref="A187:B187"/>
    <mergeCell ref="A831:H831"/>
    <mergeCell ref="C143:C144"/>
    <mergeCell ref="A153:B153"/>
    <mergeCell ref="G148:H153"/>
    <mergeCell ref="A154:H154"/>
    <mergeCell ref="A157:B157"/>
    <mergeCell ref="A158:B158"/>
    <mergeCell ref="A156:H156"/>
    <mergeCell ref="A151:B151"/>
    <mergeCell ref="B834:H834"/>
    <mergeCell ref="B835:H835"/>
    <mergeCell ref="L151:M151"/>
    <mergeCell ref="L150:M150"/>
    <mergeCell ref="L149:M149"/>
    <mergeCell ref="L148:M148"/>
    <mergeCell ref="F127:H127"/>
    <mergeCell ref="A121:E121"/>
    <mergeCell ref="A147:H147"/>
    <mergeCell ref="E143:E144"/>
    <mergeCell ref="G143:H144"/>
    <mergeCell ref="B143:B144"/>
    <mergeCell ref="A143:A144"/>
    <mergeCell ref="A135:B135"/>
    <mergeCell ref="A141:H141"/>
    <mergeCell ref="A212:B212"/>
    <mergeCell ref="A232:B232"/>
    <mergeCell ref="A249:H249"/>
    <mergeCell ref="A146:H146"/>
    <mergeCell ref="A248:H248"/>
    <mergeCell ref="E140:F140"/>
    <mergeCell ref="G140:H140"/>
    <mergeCell ref="A137:B137"/>
    <mergeCell ref="A160:B160"/>
    <mergeCell ref="L159:M159"/>
    <mergeCell ref="L187:M187"/>
    <mergeCell ref="L152:M152"/>
    <mergeCell ref="L153:M153"/>
    <mergeCell ref="L157:M157"/>
    <mergeCell ref="L158:M158"/>
    <mergeCell ref="L161:M161"/>
    <mergeCell ref="A162:B162"/>
    <mergeCell ref="A33:B33"/>
    <mergeCell ref="C33:E33"/>
    <mergeCell ref="A68:C68"/>
    <mergeCell ref="D68:H6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64:H64"/>
    <mergeCell ref="A38:B38"/>
    <mergeCell ref="C38:H38"/>
    <mergeCell ref="A37:B37"/>
    <mergeCell ref="C37:H37"/>
    <mergeCell ref="A44:D44"/>
    <mergeCell ref="A51:B52"/>
    <mergeCell ref="A49:B49"/>
    <mergeCell ref="G50:H50"/>
    <mergeCell ref="D67:H67"/>
    <mergeCell ref="A66:C67"/>
    <mergeCell ref="A58:B59"/>
    <mergeCell ref="E25:H25"/>
    <mergeCell ref="A27:D27"/>
    <mergeCell ref="E27:H27"/>
    <mergeCell ref="A24:D24"/>
    <mergeCell ref="E24:H24"/>
    <mergeCell ref="A28:D28"/>
    <mergeCell ref="E28:H28"/>
    <mergeCell ref="A25:D25"/>
    <mergeCell ref="A26:D26"/>
    <mergeCell ref="E26:H26"/>
    <mergeCell ref="A34:B34"/>
    <mergeCell ref="C34:E34"/>
    <mergeCell ref="A29:D29"/>
    <mergeCell ref="E29:H29"/>
    <mergeCell ref="A30:D30"/>
    <mergeCell ref="E30:H30"/>
    <mergeCell ref="E41:H41"/>
    <mergeCell ref="A41:D41"/>
    <mergeCell ref="A36:H36"/>
    <mergeCell ref="A35:B35"/>
    <mergeCell ref="C35:E35"/>
    <mergeCell ref="A40:D40"/>
    <mergeCell ref="E40:H40"/>
    <mergeCell ref="F32:H32"/>
    <mergeCell ref="F33:H33"/>
    <mergeCell ref="A39:H39"/>
    <mergeCell ref="C31:E31"/>
    <mergeCell ref="F34:H34"/>
    <mergeCell ref="F31:H31"/>
    <mergeCell ref="A32:B32"/>
    <mergeCell ref="A31:B31"/>
    <mergeCell ref="C32:E32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B833:H833"/>
    <mergeCell ref="C137:D137"/>
    <mergeCell ref="E137:F137"/>
    <mergeCell ref="G137:H137"/>
    <mergeCell ref="A140:B140"/>
    <mergeCell ref="C140:D140"/>
    <mergeCell ref="A70:C70"/>
    <mergeCell ref="D70:H70"/>
    <mergeCell ref="A71:C71"/>
    <mergeCell ref="D71:H71"/>
    <mergeCell ref="A74:C74"/>
    <mergeCell ref="D74:H74"/>
    <mergeCell ref="A72:C72"/>
    <mergeCell ref="D72:H72"/>
    <mergeCell ref="A73:C73"/>
    <mergeCell ref="D73:H73"/>
    <mergeCell ref="A89:B89"/>
    <mergeCell ref="C89:H89"/>
    <mergeCell ref="A91:B91"/>
    <mergeCell ref="C91:H91"/>
    <mergeCell ref="A92:B92"/>
    <mergeCell ref="E92:F92"/>
    <mergeCell ref="A184:B184"/>
    <mergeCell ref="A215:B215"/>
    <mergeCell ref="C192:F194"/>
    <mergeCell ref="A228:B228"/>
    <mergeCell ref="A242:B242"/>
    <mergeCell ref="A105:B105"/>
    <mergeCell ref="C105:H105"/>
    <mergeCell ref="A107:B107"/>
    <mergeCell ref="C107:H107"/>
    <mergeCell ref="A108:B108"/>
    <mergeCell ref="F128:H128"/>
    <mergeCell ref="C135:D135"/>
    <mergeCell ref="F131:H131"/>
    <mergeCell ref="F129:H129"/>
    <mergeCell ref="A142:H142"/>
    <mergeCell ref="G135:H135"/>
    <mergeCell ref="A130:E130"/>
    <mergeCell ref="C136:D136"/>
    <mergeCell ref="E136:F136"/>
    <mergeCell ref="A131:E131"/>
    <mergeCell ref="F130:H130"/>
    <mergeCell ref="A159:B159"/>
    <mergeCell ref="A171:B171"/>
    <mergeCell ref="A186:B186"/>
    <mergeCell ref="A853:H856"/>
    <mergeCell ref="A852:B852"/>
    <mergeCell ref="E852:F852"/>
    <mergeCell ref="C852:D852"/>
    <mergeCell ref="G852:H852"/>
    <mergeCell ref="A134:H134"/>
    <mergeCell ref="A132:E132"/>
    <mergeCell ref="F132:H132"/>
    <mergeCell ref="A133:E133"/>
    <mergeCell ref="F133:H133"/>
    <mergeCell ref="A136:B136"/>
    <mergeCell ref="A848:H848"/>
    <mergeCell ref="A851:H851"/>
    <mergeCell ref="A849:H849"/>
    <mergeCell ref="A845:H845"/>
    <mergeCell ref="A846:H846"/>
    <mergeCell ref="B839:H839"/>
    <mergeCell ref="B837:H837"/>
    <mergeCell ref="A96:B96"/>
    <mergeCell ref="A97:B97"/>
    <mergeCell ref="A98:B98"/>
    <mergeCell ref="A99:B99"/>
    <mergeCell ref="A100:B100"/>
    <mergeCell ref="A101:B101"/>
    <mergeCell ref="A102:B102"/>
    <mergeCell ref="A850:H850"/>
    <mergeCell ref="A847:H847"/>
    <mergeCell ref="F121:H121"/>
    <mergeCell ref="G136:H136"/>
    <mergeCell ref="C49:E49"/>
    <mergeCell ref="G49:H49"/>
    <mergeCell ref="G51:H51"/>
    <mergeCell ref="D62:H62"/>
    <mergeCell ref="C51:E51"/>
    <mergeCell ref="D66:H66"/>
    <mergeCell ref="C50:E50"/>
    <mergeCell ref="A60:B60"/>
    <mergeCell ref="C60:E60"/>
    <mergeCell ref="A50:B50"/>
    <mergeCell ref="A61:H61"/>
    <mergeCell ref="A62:C62"/>
    <mergeCell ref="A63:C63"/>
    <mergeCell ref="D63:H63"/>
    <mergeCell ref="G60:H60"/>
    <mergeCell ref="C52:H52"/>
    <mergeCell ref="A93:B93"/>
    <mergeCell ref="E93:F102"/>
    <mergeCell ref="B832:H832"/>
    <mergeCell ref="G93:H102"/>
    <mergeCell ref="A188:B188"/>
    <mergeCell ref="C58:E58"/>
    <mergeCell ref="G58:H58"/>
    <mergeCell ref="C59:H59"/>
    <mergeCell ref="D65:H65"/>
    <mergeCell ref="A64:C65"/>
    <mergeCell ref="A145:H145"/>
    <mergeCell ref="A103:B104"/>
    <mergeCell ref="C103:D104"/>
    <mergeCell ref="E103:F104"/>
    <mergeCell ref="G103:H104"/>
    <mergeCell ref="A75:B75"/>
    <mergeCell ref="C75:H75"/>
    <mergeCell ref="A77:B77"/>
    <mergeCell ref="C77:H77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G92:H92"/>
    <mergeCell ref="A94:B94"/>
    <mergeCell ref="A95:B95"/>
    <mergeCell ref="L290:M290"/>
    <mergeCell ref="A277:B277"/>
    <mergeCell ref="L277:M277"/>
    <mergeCell ref="A278:B278"/>
    <mergeCell ref="L278:M278"/>
    <mergeCell ref="A279:B279"/>
    <mergeCell ref="L279:M279"/>
    <mergeCell ref="A280:B280"/>
    <mergeCell ref="L280:M280"/>
    <mergeCell ref="A281:B281"/>
    <mergeCell ref="L281:M281"/>
    <mergeCell ref="A282:B282"/>
    <mergeCell ref="L282:M282"/>
    <mergeCell ref="A283:B283"/>
    <mergeCell ref="L283:M283"/>
    <mergeCell ref="A284:B284"/>
    <mergeCell ref="L284:M284"/>
    <mergeCell ref="A315:B315"/>
    <mergeCell ref="L315:M315"/>
    <mergeCell ref="A316:B316"/>
    <mergeCell ref="L316:M316"/>
    <mergeCell ref="A317:B317"/>
    <mergeCell ref="L317:M317"/>
    <mergeCell ref="A318:B318"/>
    <mergeCell ref="L318:M318"/>
    <mergeCell ref="A319:B319"/>
    <mergeCell ref="L319:M319"/>
    <mergeCell ref="A260:B260"/>
    <mergeCell ref="A296:B296"/>
    <mergeCell ref="L296:M296"/>
    <mergeCell ref="A297:B297"/>
    <mergeCell ref="L297:M297"/>
    <mergeCell ref="A291:B291"/>
    <mergeCell ref="L291:M291"/>
    <mergeCell ref="A292:B292"/>
    <mergeCell ref="L292:M292"/>
    <mergeCell ref="A293:B293"/>
    <mergeCell ref="L293:M293"/>
    <mergeCell ref="A294:B294"/>
    <mergeCell ref="L294:M294"/>
    <mergeCell ref="A295:B295"/>
    <mergeCell ref="L295:M295"/>
    <mergeCell ref="A286:B286"/>
    <mergeCell ref="L286:M286"/>
    <mergeCell ref="A287:B287"/>
    <mergeCell ref="L287:M287"/>
    <mergeCell ref="A288:B288"/>
    <mergeCell ref="L288:M288"/>
    <mergeCell ref="A289:B289"/>
    <mergeCell ref="L333:M333"/>
    <mergeCell ref="A334:B334"/>
    <mergeCell ref="L334:M334"/>
    <mergeCell ref="A335:B335"/>
    <mergeCell ref="L335:M335"/>
    <mergeCell ref="A336:B336"/>
    <mergeCell ref="L336:M336"/>
    <mergeCell ref="A321:B321"/>
    <mergeCell ref="L321:M321"/>
    <mergeCell ref="A322:B322"/>
    <mergeCell ref="L322:M322"/>
    <mergeCell ref="A323:B323"/>
    <mergeCell ref="L323:M323"/>
    <mergeCell ref="A324:B324"/>
    <mergeCell ref="L324:M324"/>
    <mergeCell ref="A325:B325"/>
    <mergeCell ref="L325:M325"/>
    <mergeCell ref="A326:B326"/>
    <mergeCell ref="L326:M326"/>
    <mergeCell ref="A327:B327"/>
    <mergeCell ref="L327:M327"/>
    <mergeCell ref="A328:B328"/>
    <mergeCell ref="L328:M328"/>
    <mergeCell ref="A330:B330"/>
    <mergeCell ref="L330:M330"/>
    <mergeCell ref="A331:B331"/>
    <mergeCell ref="L331:M331"/>
    <mergeCell ref="A250:A251"/>
    <mergeCell ref="B250:B251"/>
    <mergeCell ref="C250:C251"/>
    <mergeCell ref="D250:D251"/>
    <mergeCell ref="E250:E251"/>
    <mergeCell ref="F250:F251"/>
    <mergeCell ref="G250:G251"/>
    <mergeCell ref="A263:H263"/>
    <mergeCell ref="A264:B264"/>
    <mergeCell ref="A269:B269"/>
    <mergeCell ref="L269:M269"/>
    <mergeCell ref="A270:B270"/>
    <mergeCell ref="L270:M270"/>
    <mergeCell ref="A271:B271"/>
    <mergeCell ref="L271:M271"/>
    <mergeCell ref="A272:B272"/>
    <mergeCell ref="L272:M272"/>
    <mergeCell ref="A268:B268"/>
    <mergeCell ref="L268:M268"/>
    <mergeCell ref="A252:H252"/>
    <mergeCell ref="A253:H253"/>
    <mergeCell ref="A254:H254"/>
    <mergeCell ref="A255:B255"/>
    <mergeCell ref="A261:H261"/>
    <mergeCell ref="A262:H262"/>
    <mergeCell ref="A274:B274"/>
    <mergeCell ref="A275:B275"/>
    <mergeCell ref="A276:B276"/>
    <mergeCell ref="C264:H264"/>
    <mergeCell ref="C265:H267"/>
    <mergeCell ref="A285:H285"/>
    <mergeCell ref="A265:B265"/>
    <mergeCell ref="L265:M265"/>
    <mergeCell ref="A266:B266"/>
    <mergeCell ref="L266:M266"/>
    <mergeCell ref="A267:B267"/>
    <mergeCell ref="L267:M267"/>
    <mergeCell ref="L274:M274"/>
    <mergeCell ref="L275:M275"/>
    <mergeCell ref="L276:M276"/>
    <mergeCell ref="A273:B273"/>
    <mergeCell ref="L273:M273"/>
    <mergeCell ref="A304:B304"/>
    <mergeCell ref="L304:M304"/>
    <mergeCell ref="A305:B305"/>
    <mergeCell ref="L305:M305"/>
    <mergeCell ref="A306:B306"/>
    <mergeCell ref="L306:M306"/>
    <mergeCell ref="C299:H301"/>
    <mergeCell ref="A307:H307"/>
    <mergeCell ref="A308:B308"/>
    <mergeCell ref="L308:M308"/>
    <mergeCell ref="L255:M255"/>
    <mergeCell ref="A256:B256"/>
    <mergeCell ref="L256:M256"/>
    <mergeCell ref="A257:B257"/>
    <mergeCell ref="L257:M257"/>
    <mergeCell ref="A258:B258"/>
    <mergeCell ref="L258:M258"/>
    <mergeCell ref="A259:B259"/>
    <mergeCell ref="A298:B298"/>
    <mergeCell ref="L298:M298"/>
    <mergeCell ref="A299:B299"/>
    <mergeCell ref="L299:M299"/>
    <mergeCell ref="A300:B300"/>
    <mergeCell ref="L300:M300"/>
    <mergeCell ref="A301:B301"/>
    <mergeCell ref="L301:M301"/>
    <mergeCell ref="A302:B302"/>
    <mergeCell ref="L302:M302"/>
    <mergeCell ref="A303:B303"/>
    <mergeCell ref="L303:M303"/>
    <mergeCell ref="L289:M289"/>
    <mergeCell ref="A290:B290"/>
    <mergeCell ref="A314:B314"/>
    <mergeCell ref="L314:M314"/>
    <mergeCell ref="A320:B320"/>
    <mergeCell ref="L320:M320"/>
    <mergeCell ref="A329:H329"/>
    <mergeCell ref="A342:B342"/>
    <mergeCell ref="L342:M342"/>
    <mergeCell ref="A343:B343"/>
    <mergeCell ref="L343:M343"/>
    <mergeCell ref="A309:B309"/>
    <mergeCell ref="L309:M309"/>
    <mergeCell ref="A310:B310"/>
    <mergeCell ref="L310:M310"/>
    <mergeCell ref="A311:B311"/>
    <mergeCell ref="L311:M311"/>
    <mergeCell ref="A312:B312"/>
    <mergeCell ref="L312:M312"/>
    <mergeCell ref="A313:B313"/>
    <mergeCell ref="L313:M313"/>
    <mergeCell ref="A337:B337"/>
    <mergeCell ref="L337:M337"/>
    <mergeCell ref="A338:B338"/>
    <mergeCell ref="L338:M338"/>
    <mergeCell ref="A339:B339"/>
    <mergeCell ref="L339:M339"/>
    <mergeCell ref="A340:B340"/>
    <mergeCell ref="L340:M340"/>
    <mergeCell ref="A341:B341"/>
    <mergeCell ref="L341:M341"/>
    <mergeCell ref="A332:B332"/>
    <mergeCell ref="L332:M332"/>
    <mergeCell ref="A333:B333"/>
    <mergeCell ref="A349:B349"/>
    <mergeCell ref="L349:M349"/>
    <mergeCell ref="A350:B350"/>
    <mergeCell ref="L350:M350"/>
    <mergeCell ref="C343:H344"/>
    <mergeCell ref="A351:H351"/>
    <mergeCell ref="L351:M351"/>
    <mergeCell ref="A352:H352"/>
    <mergeCell ref="L352:M352"/>
    <mergeCell ref="A344:B344"/>
    <mergeCell ref="L344:M344"/>
    <mergeCell ref="A345:B345"/>
    <mergeCell ref="L345:M345"/>
    <mergeCell ref="A346:B346"/>
    <mergeCell ref="L346:M346"/>
    <mergeCell ref="A347:B347"/>
    <mergeCell ref="L347:M347"/>
    <mergeCell ref="A348:B348"/>
    <mergeCell ref="L348:M348"/>
    <mergeCell ref="A363:B363"/>
    <mergeCell ref="L363:M363"/>
    <mergeCell ref="A364:H364"/>
    <mergeCell ref="A365:H365"/>
    <mergeCell ref="L365:M365"/>
    <mergeCell ref="A366:H366"/>
    <mergeCell ref="L366:M366"/>
    <mergeCell ref="A367:H367"/>
    <mergeCell ref="L367:M367"/>
    <mergeCell ref="A353:H353"/>
    <mergeCell ref="A354:H354"/>
    <mergeCell ref="A360:B360"/>
    <mergeCell ref="L360:M360"/>
    <mergeCell ref="A361:B361"/>
    <mergeCell ref="L361:M361"/>
    <mergeCell ref="A362:B362"/>
    <mergeCell ref="L362:M362"/>
    <mergeCell ref="A355:H355"/>
    <mergeCell ref="A356:B356"/>
    <mergeCell ref="L356:M356"/>
    <mergeCell ref="A357:B357"/>
    <mergeCell ref="L357:M357"/>
    <mergeCell ref="A358:B358"/>
    <mergeCell ref="L358:M358"/>
    <mergeCell ref="A359:B359"/>
    <mergeCell ref="L359:M359"/>
    <mergeCell ref="A387:H387"/>
    <mergeCell ref="L387:M387"/>
    <mergeCell ref="A388:B388"/>
    <mergeCell ref="A401:B401"/>
    <mergeCell ref="A402:B402"/>
    <mergeCell ref="A403:B403"/>
    <mergeCell ref="A404:B404"/>
    <mergeCell ref="A405:B405"/>
    <mergeCell ref="A383:B383"/>
    <mergeCell ref="A384:B384"/>
    <mergeCell ref="A385:B385"/>
    <mergeCell ref="A370:B370"/>
    <mergeCell ref="A368:H368"/>
    <mergeCell ref="L368:M368"/>
    <mergeCell ref="A376:B376"/>
    <mergeCell ref="A377:B377"/>
    <mergeCell ref="A378:B378"/>
    <mergeCell ref="A379:B379"/>
    <mergeCell ref="A380:B380"/>
    <mergeCell ref="A381:B381"/>
    <mergeCell ref="A382:B382"/>
    <mergeCell ref="C370:H370"/>
    <mergeCell ref="A371:B371"/>
    <mergeCell ref="A372:B372"/>
    <mergeCell ref="A373:B373"/>
    <mergeCell ref="A374:B374"/>
    <mergeCell ref="A375:B375"/>
    <mergeCell ref="A369:H369"/>
    <mergeCell ref="L369:M369"/>
    <mergeCell ref="A416:H416"/>
    <mergeCell ref="L416:M416"/>
    <mergeCell ref="A417:B417"/>
    <mergeCell ref="A418:B418"/>
    <mergeCell ref="A419:B419"/>
    <mergeCell ref="A420:B420"/>
    <mergeCell ref="A421:B421"/>
    <mergeCell ref="A422:B422"/>
    <mergeCell ref="A414:B414"/>
    <mergeCell ref="A389:B389"/>
    <mergeCell ref="A390:B390"/>
    <mergeCell ref="A391:B391"/>
    <mergeCell ref="A392:B392"/>
    <mergeCell ref="A393:B393"/>
    <mergeCell ref="C393:H393"/>
    <mergeCell ref="A394:B394"/>
    <mergeCell ref="A395:B395"/>
    <mergeCell ref="A396:B396"/>
    <mergeCell ref="A397:B397"/>
    <mergeCell ref="A398:B398"/>
    <mergeCell ref="A399:B399"/>
    <mergeCell ref="A400:B400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42:B442"/>
    <mergeCell ref="A443:B443"/>
    <mergeCell ref="A444:B444"/>
    <mergeCell ref="A441:B441"/>
    <mergeCell ref="A446:H446"/>
    <mergeCell ref="A447:B447"/>
    <mergeCell ref="A448:B448"/>
    <mergeCell ref="A449:B449"/>
    <mergeCell ref="A468:B468"/>
    <mergeCell ref="A469:B469"/>
    <mergeCell ref="A470:B470"/>
    <mergeCell ref="A471:B471"/>
    <mergeCell ref="A472:B472"/>
    <mergeCell ref="A473:B473"/>
    <mergeCell ref="A474:B474"/>
    <mergeCell ref="A476:H476"/>
    <mergeCell ref="L476:M476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77:B477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504:B504"/>
    <mergeCell ref="A506:H506"/>
    <mergeCell ref="L506:M506"/>
    <mergeCell ref="A507:B507"/>
    <mergeCell ref="A508:B508"/>
    <mergeCell ref="A509:B509"/>
    <mergeCell ref="A510:B510"/>
    <mergeCell ref="A511:B511"/>
    <mergeCell ref="A512:B512"/>
    <mergeCell ref="C512:H512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39:B539"/>
    <mergeCell ref="A540:B540"/>
    <mergeCell ref="C540:H540"/>
    <mergeCell ref="A541:B541"/>
    <mergeCell ref="A542:B542"/>
    <mergeCell ref="A543:B543"/>
    <mergeCell ref="A544:B544"/>
    <mergeCell ref="A545:B545"/>
    <mergeCell ref="A546:B546"/>
    <mergeCell ref="A531:B531"/>
    <mergeCell ref="A532:B532"/>
    <mergeCell ref="A533:B533"/>
    <mergeCell ref="A534:H534"/>
    <mergeCell ref="L534:M534"/>
    <mergeCell ref="A535:B535"/>
    <mergeCell ref="A536:B536"/>
    <mergeCell ref="A537:B537"/>
    <mergeCell ref="A538:B538"/>
    <mergeCell ref="A556:B556"/>
    <mergeCell ref="A557:B557"/>
    <mergeCell ref="A558:B558"/>
    <mergeCell ref="A559:B559"/>
    <mergeCell ref="A560:B560"/>
    <mergeCell ref="A561:B561"/>
    <mergeCell ref="A563:H563"/>
    <mergeCell ref="L563:M563"/>
    <mergeCell ref="A564:B564"/>
    <mergeCell ref="A547:B547"/>
    <mergeCell ref="A548:B548"/>
    <mergeCell ref="A549:B549"/>
    <mergeCell ref="A550:B550"/>
    <mergeCell ref="A551:B551"/>
    <mergeCell ref="A552:B552"/>
    <mergeCell ref="A553:B553"/>
    <mergeCell ref="A554:B554"/>
    <mergeCell ref="A555:B555"/>
    <mergeCell ref="A573:B573"/>
    <mergeCell ref="A574:B574"/>
    <mergeCell ref="A575:B575"/>
    <mergeCell ref="A576:B576"/>
    <mergeCell ref="A577:B577"/>
    <mergeCell ref="A578:B578"/>
    <mergeCell ref="A579:B579"/>
    <mergeCell ref="A580:B580"/>
    <mergeCell ref="A581:B581"/>
    <mergeCell ref="A565:B565"/>
    <mergeCell ref="A566:B566"/>
    <mergeCell ref="A567:B567"/>
    <mergeCell ref="A568:B568"/>
    <mergeCell ref="A569:B569"/>
    <mergeCell ref="C569:H569"/>
    <mergeCell ref="A570:B570"/>
    <mergeCell ref="A571:B571"/>
    <mergeCell ref="A572:B572"/>
    <mergeCell ref="A592:H592"/>
    <mergeCell ref="L592:M592"/>
    <mergeCell ref="A593:B593"/>
    <mergeCell ref="A594:B594"/>
    <mergeCell ref="A595:B595"/>
    <mergeCell ref="A596:B596"/>
    <mergeCell ref="A597:B597"/>
    <mergeCell ref="A598:B598"/>
    <mergeCell ref="A599:B599"/>
    <mergeCell ref="A582:B582"/>
    <mergeCell ref="A583:B583"/>
    <mergeCell ref="A584:B584"/>
    <mergeCell ref="A585:B585"/>
    <mergeCell ref="A586:B586"/>
    <mergeCell ref="A587:B587"/>
    <mergeCell ref="A588:B588"/>
    <mergeCell ref="A589:B589"/>
    <mergeCell ref="A590:B590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600:B600"/>
    <mergeCell ref="A601:B601"/>
    <mergeCell ref="A602:B602"/>
    <mergeCell ref="A603:B603"/>
    <mergeCell ref="A604:B604"/>
    <mergeCell ref="A605:B605"/>
    <mergeCell ref="A606:B606"/>
    <mergeCell ref="A607:B607"/>
    <mergeCell ref="A608:B608"/>
    <mergeCell ref="A627:B627"/>
    <mergeCell ref="A628:B628"/>
    <mergeCell ref="A629:B629"/>
    <mergeCell ref="A630:B630"/>
    <mergeCell ref="A631:B631"/>
    <mergeCell ref="A632:B632"/>
    <mergeCell ref="A633:B633"/>
    <mergeCell ref="A634:B634"/>
    <mergeCell ref="A635:B635"/>
    <mergeCell ref="A618:B618"/>
    <mergeCell ref="A619:B619"/>
    <mergeCell ref="A620:B620"/>
    <mergeCell ref="A622:H622"/>
    <mergeCell ref="L622:M622"/>
    <mergeCell ref="A623:B623"/>
    <mergeCell ref="A624:B624"/>
    <mergeCell ref="A625:B625"/>
    <mergeCell ref="A626:B626"/>
    <mergeCell ref="A645:B645"/>
    <mergeCell ref="A646:B646"/>
    <mergeCell ref="A647:B647"/>
    <mergeCell ref="A648:B648"/>
    <mergeCell ref="A649:B649"/>
    <mergeCell ref="A650:B650"/>
    <mergeCell ref="A652:H652"/>
    <mergeCell ref="L652:M652"/>
    <mergeCell ref="A653:B653"/>
    <mergeCell ref="A636:B636"/>
    <mergeCell ref="A637:B637"/>
    <mergeCell ref="A638:B638"/>
    <mergeCell ref="A639:B639"/>
    <mergeCell ref="A640:B640"/>
    <mergeCell ref="A641:B641"/>
    <mergeCell ref="A642:B642"/>
    <mergeCell ref="A643:B643"/>
    <mergeCell ref="A644:B644"/>
    <mergeCell ref="A663:B663"/>
    <mergeCell ref="A664:B664"/>
    <mergeCell ref="A665:B665"/>
    <mergeCell ref="A666:B666"/>
    <mergeCell ref="A667:B667"/>
    <mergeCell ref="A668:B668"/>
    <mergeCell ref="A669:B669"/>
    <mergeCell ref="A670:B670"/>
    <mergeCell ref="A671:B671"/>
    <mergeCell ref="A654:B654"/>
    <mergeCell ref="A655:B655"/>
    <mergeCell ref="A656:B656"/>
    <mergeCell ref="A657:B657"/>
    <mergeCell ref="A658:B658"/>
    <mergeCell ref="A659:B659"/>
    <mergeCell ref="A660:B660"/>
    <mergeCell ref="A661:B661"/>
    <mergeCell ref="A662:B662"/>
    <mergeCell ref="A694:B694"/>
    <mergeCell ref="A695:B695"/>
    <mergeCell ref="A696:B696"/>
    <mergeCell ref="A697:B697"/>
    <mergeCell ref="A682:H682"/>
    <mergeCell ref="L682:M682"/>
    <mergeCell ref="A683:B683"/>
    <mergeCell ref="A684:B684"/>
    <mergeCell ref="A685:B685"/>
    <mergeCell ref="A686:B686"/>
    <mergeCell ref="A687:B687"/>
    <mergeCell ref="A688:B688"/>
    <mergeCell ref="C688:H688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A715:B715"/>
    <mergeCell ref="A716:B716"/>
    <mergeCell ref="A717:B717"/>
    <mergeCell ref="C717:H717"/>
    <mergeCell ref="A718:B718"/>
    <mergeCell ref="A719:B719"/>
    <mergeCell ref="A720:B720"/>
    <mergeCell ref="A721:B721"/>
    <mergeCell ref="A722:B722"/>
    <mergeCell ref="A707:B707"/>
    <mergeCell ref="A708:B708"/>
    <mergeCell ref="A709:B709"/>
    <mergeCell ref="C658:H658"/>
    <mergeCell ref="A711:H711"/>
    <mergeCell ref="L711:M711"/>
    <mergeCell ref="A712:B712"/>
    <mergeCell ref="A713:B713"/>
    <mergeCell ref="A714:B714"/>
    <mergeCell ref="A698:B698"/>
    <mergeCell ref="A699:B699"/>
    <mergeCell ref="A700:B700"/>
    <mergeCell ref="A701:B701"/>
    <mergeCell ref="A702:B702"/>
    <mergeCell ref="A703:B703"/>
    <mergeCell ref="A704:B704"/>
    <mergeCell ref="A705:B705"/>
    <mergeCell ref="A706:B706"/>
    <mergeCell ref="A689:B689"/>
    <mergeCell ref="A690:B690"/>
    <mergeCell ref="A691:B691"/>
    <mergeCell ref="A692:B692"/>
    <mergeCell ref="A693:B693"/>
    <mergeCell ref="A732:B732"/>
    <mergeCell ref="A733:B733"/>
    <mergeCell ref="A734:B734"/>
    <mergeCell ref="A735:B735"/>
    <mergeCell ref="A736:B736"/>
    <mergeCell ref="A737:B737"/>
    <mergeCell ref="A738:B738"/>
    <mergeCell ref="A740:H740"/>
    <mergeCell ref="L740:M740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49:B749"/>
    <mergeCell ref="A750:B750"/>
    <mergeCell ref="A751:B751"/>
    <mergeCell ref="A752:B752"/>
    <mergeCell ref="A753:B753"/>
    <mergeCell ref="A754:B754"/>
    <mergeCell ref="A755:B755"/>
    <mergeCell ref="A756:B756"/>
    <mergeCell ref="A757:B757"/>
    <mergeCell ref="A741:B741"/>
    <mergeCell ref="A742:B742"/>
    <mergeCell ref="A743:B743"/>
    <mergeCell ref="A744:B744"/>
    <mergeCell ref="A745:B745"/>
    <mergeCell ref="A746:B746"/>
    <mergeCell ref="C746:H746"/>
    <mergeCell ref="A747:B747"/>
    <mergeCell ref="A748:B748"/>
    <mergeCell ref="C776:H776"/>
    <mergeCell ref="A777:B777"/>
    <mergeCell ref="A778:B778"/>
    <mergeCell ref="A779:B779"/>
    <mergeCell ref="A780:B780"/>
    <mergeCell ref="A781:B781"/>
    <mergeCell ref="A782:B782"/>
    <mergeCell ref="A767:B767"/>
    <mergeCell ref="A769:H769"/>
    <mergeCell ref="L769:M769"/>
    <mergeCell ref="A770:H770"/>
    <mergeCell ref="L770:M770"/>
    <mergeCell ref="A771:B771"/>
    <mergeCell ref="A772:B772"/>
    <mergeCell ref="A773:B773"/>
    <mergeCell ref="A774:B774"/>
    <mergeCell ref="A758:B758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C806:H806"/>
    <mergeCell ref="A807:B807"/>
    <mergeCell ref="A808:B808"/>
    <mergeCell ref="A792:B792"/>
    <mergeCell ref="A793:B793"/>
    <mergeCell ref="A794:B794"/>
    <mergeCell ref="A795:B795"/>
    <mergeCell ref="A796:B796"/>
    <mergeCell ref="A797:B797"/>
    <mergeCell ref="A798:B798"/>
    <mergeCell ref="A800:H800"/>
    <mergeCell ref="L800:M800"/>
    <mergeCell ref="A783:B783"/>
    <mergeCell ref="A784:B784"/>
    <mergeCell ref="A785:B785"/>
    <mergeCell ref="A786:B786"/>
    <mergeCell ref="A787:B787"/>
    <mergeCell ref="A788:B788"/>
    <mergeCell ref="A789:B789"/>
    <mergeCell ref="A790:B790"/>
    <mergeCell ref="A791:B791"/>
    <mergeCell ref="A651:B651"/>
    <mergeCell ref="A681:B681"/>
    <mergeCell ref="A710:B710"/>
    <mergeCell ref="A739:B739"/>
    <mergeCell ref="A768:B768"/>
    <mergeCell ref="A799:B799"/>
    <mergeCell ref="A818:B818"/>
    <mergeCell ref="A819:B819"/>
    <mergeCell ref="A820:B820"/>
    <mergeCell ref="A821:B821"/>
    <mergeCell ref="A822:B822"/>
    <mergeCell ref="A823:B823"/>
    <mergeCell ref="A824:B824"/>
    <mergeCell ref="A825:B825"/>
    <mergeCell ref="A826:B826"/>
    <mergeCell ref="A809:B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01:B801"/>
    <mergeCell ref="A802:B802"/>
    <mergeCell ref="A803:B803"/>
    <mergeCell ref="A804:B804"/>
    <mergeCell ref="A805:B805"/>
    <mergeCell ref="A806:B806"/>
    <mergeCell ref="A775:B775"/>
    <mergeCell ref="A776:B776"/>
    <mergeCell ref="B844:H844"/>
    <mergeCell ref="B842:H842"/>
    <mergeCell ref="B843:H843"/>
    <mergeCell ref="A138:B138"/>
    <mergeCell ref="C138:D138"/>
    <mergeCell ref="E138:F138"/>
    <mergeCell ref="G138:H138"/>
    <mergeCell ref="A139:B139"/>
    <mergeCell ref="C139:D139"/>
    <mergeCell ref="E139:F139"/>
    <mergeCell ref="G139:H139"/>
    <mergeCell ref="L446:M446"/>
    <mergeCell ref="A445:B445"/>
    <mergeCell ref="C445:H445"/>
    <mergeCell ref="A415:B415"/>
    <mergeCell ref="C415:H415"/>
    <mergeCell ref="A386:B386"/>
    <mergeCell ref="C386:H386"/>
    <mergeCell ref="A830:H830"/>
    <mergeCell ref="L830:M830"/>
    <mergeCell ref="A829:B829"/>
    <mergeCell ref="A591:B591"/>
    <mergeCell ref="C591:H591"/>
    <mergeCell ref="A562:B562"/>
    <mergeCell ref="C562:H562"/>
    <mergeCell ref="A505:B505"/>
    <mergeCell ref="C505:H505"/>
    <mergeCell ref="A475:B475"/>
    <mergeCell ref="C475:H475"/>
    <mergeCell ref="A827:B827"/>
    <mergeCell ref="A828:B828"/>
    <mergeCell ref="A621:B621"/>
  </mergeCells>
  <dataValidations count="5">
    <dataValidation type="list" allowBlank="1" showInputMessage="1" showErrorMessage="1" sqref="D250:D251" xr:uid="{3441E14B-7DDD-4D46-8852-04B9A5ACF0A1}">
      <formula1>"Carpet Area,Carpet + Encl Balcony Area,RERA Carpet area"</formula1>
    </dataValidation>
    <dataValidation type="list" allowBlank="1" showInputMessage="1" showErrorMessage="1" sqref="H250" xr:uid="{27A001D5-BAB7-4600-B96B-38103DE0646D}">
      <formula1>"Saleable area Loading :,Builder Saleable Area"</formula1>
    </dataValidation>
    <dataValidation type="list" allowBlank="1" showInputMessage="1" showErrorMessage="1" sqref="H251" xr:uid="{835C4D54-7B3C-46FD-9236-59CD88F544E9}">
      <formula1>".45,.50,.55,.60"</formula1>
    </dataValidation>
    <dataValidation type="list" allowBlank="1" showInputMessage="1" showErrorMessage="1" sqref="B250:B251" xr:uid="{F58A6D71-E908-474F-9CAA-8F23A1B7EB41}">
      <formula1>"Shop No. (Sale Plan),Sale / Rehab,Sale / Mhada"</formula1>
    </dataValidation>
    <dataValidation type="list" allowBlank="1" showInputMessage="1" showErrorMessage="1" sqref="E250:E251" xr:uid="{19660C50-F633-4FC0-A8FB-553BD9D74FB7}">
      <formula1>"Attached Loft area,Attached Otla area,Attached Mezzanine area"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856" max="16383" man="1"/>
    <brk id="895" max="16383" man="1"/>
    <brk id="93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9" t="s">
        <v>107</v>
      </c>
      <c r="C3" s="209"/>
      <c r="D3" s="209"/>
      <c r="E3" s="209"/>
      <c r="F3" s="209"/>
      <c r="G3" s="209"/>
      <c r="H3" s="209"/>
    </row>
    <row r="4" spans="1:9" x14ac:dyDescent="0.3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31:E31"/>
  <sheetViews>
    <sheetView zoomScale="70" zoomScaleNormal="70" workbookViewId="0">
      <selection activeCell="E32" sqref="E32"/>
    </sheetView>
  </sheetViews>
  <sheetFormatPr defaultRowHeight="14.4" x14ac:dyDescent="0.3"/>
  <cols>
    <col min="3" max="3" width="12" bestFit="1" customWidth="1"/>
  </cols>
  <sheetData>
    <row r="31" spans="3:5" x14ac:dyDescent="0.3">
      <c r="C31" s="56">
        <v>45518</v>
      </c>
      <c r="D31" t="s">
        <v>216</v>
      </c>
      <c r="E31" t="s">
        <v>218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2025-09-20T09:58:40Z</cp:lastPrinted>
  <dcterms:created xsi:type="dcterms:W3CDTF">2019-07-16T09:29:46Z</dcterms:created>
  <dcterms:modified xsi:type="dcterms:W3CDTF">2025-09-20T10:07:39Z</dcterms:modified>
</cp:coreProperties>
</file>