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21937 - Imperial Heights - P\"/>
    </mc:Choice>
  </mc:AlternateContent>
  <bookViews>
    <workbookView xWindow="0" yWindow="0" windowWidth="19200" windowHeight="6645" tabRatio="725"/>
  </bookViews>
  <sheets>
    <sheet name="Report" sheetId="1" r:id="rId1"/>
    <sheet name="Sheet1" sheetId="8" r:id="rId2"/>
    <sheet name="valuation" sheetId="5" r:id="rId3"/>
    <sheet name="Research" sheetId="4" r:id="rId4"/>
    <sheet name="Remarks" sheetId="6" r:id="rId5"/>
    <sheet name="Area Calculation" sheetId="7" r:id="rId6"/>
  </sheets>
  <definedNames>
    <definedName name="_xlnm.Print_Area" localSheetId="0">Report!$A$1:$H$349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8" i="1" l="1"/>
  <c r="C137" i="1"/>
  <c r="C133" i="1"/>
  <c r="K177" i="1"/>
  <c r="K178" i="1"/>
  <c r="K179" i="1"/>
  <c r="K180" i="1"/>
  <c r="K181" i="1"/>
  <c r="K182" i="1"/>
  <c r="K183" i="1"/>
  <c r="K184" i="1"/>
  <c r="K185" i="1"/>
  <c r="K186" i="1"/>
  <c r="K187" i="1"/>
  <c r="K188" i="1"/>
  <c r="K189" i="1"/>
  <c r="K190" i="1"/>
  <c r="K191" i="1"/>
  <c r="K176" i="1"/>
  <c r="E191" i="1" l="1"/>
  <c r="D191" i="1"/>
  <c r="D188" i="1"/>
  <c r="D186" i="1"/>
  <c r="D184" i="1"/>
  <c r="D183" i="1"/>
  <c r="I170" i="1"/>
  <c r="I169" i="1" s="1"/>
  <c r="I171" i="1"/>
  <c r="D157" i="1"/>
  <c r="D156" i="1"/>
  <c r="D154" i="1"/>
  <c r="D153" i="1"/>
  <c r="C51" i="1"/>
  <c r="E179" i="1" l="1"/>
  <c r="D179" i="1"/>
  <c r="F179" i="1" s="1"/>
  <c r="H179" i="1" s="1"/>
  <c r="J179" i="1" s="1"/>
  <c r="A178" i="1"/>
  <c r="A179" i="1" s="1"/>
  <c r="E177" i="1"/>
  <c r="D177" i="1"/>
  <c r="A177" i="1"/>
  <c r="J176" i="1"/>
  <c r="I176" i="1"/>
  <c r="E176" i="1"/>
  <c r="D176" i="1"/>
  <c r="D164" i="1"/>
  <c r="F164" i="1" s="1"/>
  <c r="H164" i="1" s="1"/>
  <c r="D163" i="1"/>
  <c r="F163" i="1" s="1"/>
  <c r="H163" i="1" s="1"/>
  <c r="D162" i="1"/>
  <c r="D161" i="1"/>
  <c r="D160" i="1"/>
  <c r="D159" i="1"/>
  <c r="J191" i="1"/>
  <c r="A191" i="1"/>
  <c r="J190" i="1"/>
  <c r="I190" i="1"/>
  <c r="E190" i="1"/>
  <c r="D190" i="1"/>
  <c r="F190" i="1" s="1"/>
  <c r="H190" i="1" s="1"/>
  <c r="A189" i="1"/>
  <c r="E188" i="1"/>
  <c r="F188" i="1" s="1"/>
  <c r="H188" i="1" s="1"/>
  <c r="I185" i="1"/>
  <c r="E186" i="1"/>
  <c r="E185" i="1"/>
  <c r="E184" i="1"/>
  <c r="E183" i="1"/>
  <c r="D185" i="1"/>
  <c r="E171" i="1"/>
  <c r="D155" i="1"/>
  <c r="F177" i="1" l="1"/>
  <c r="H177" i="1" s="1"/>
  <c r="F176" i="1"/>
  <c r="H176" i="1" s="1"/>
  <c r="F191" i="1"/>
  <c r="H191" i="1" s="1"/>
  <c r="E151" i="1"/>
  <c r="D151" i="1"/>
  <c r="E150" i="1"/>
  <c r="D150" i="1"/>
  <c r="D149" i="1"/>
  <c r="D148" i="1"/>
  <c r="J186" i="1" l="1"/>
  <c r="K171" i="1" l="1"/>
  <c r="J185" i="1"/>
  <c r="E174" i="1"/>
  <c r="D174" i="1"/>
  <c r="E173" i="1"/>
  <c r="D173" i="1"/>
  <c r="E172" i="1"/>
  <c r="D172" i="1"/>
  <c r="D171" i="1"/>
  <c r="A186" i="1"/>
  <c r="A184" i="1"/>
  <c r="J171" i="1"/>
  <c r="F160" i="1" l="1"/>
  <c r="H160" i="1" s="1"/>
  <c r="F159" i="1"/>
  <c r="H159" i="1" s="1"/>
  <c r="F162" i="1"/>
  <c r="H162" i="1" s="1"/>
  <c r="F161" i="1"/>
  <c r="H161" i="1" s="1"/>
  <c r="A160" i="1"/>
  <c r="A161" i="1" s="1"/>
  <c r="A162" i="1" s="1"/>
  <c r="A163" i="1" s="1"/>
  <c r="A164" i="1" s="1"/>
  <c r="F153" i="1"/>
  <c r="F157" i="1"/>
  <c r="H157" i="1" s="1"/>
  <c r="J153" i="1" s="1"/>
  <c r="F155" i="1"/>
  <c r="H155" i="1" s="1"/>
  <c r="F154" i="1"/>
  <c r="H154" i="1" s="1"/>
  <c r="F156" i="1"/>
  <c r="H156" i="1" s="1"/>
  <c r="A154" i="1"/>
  <c r="A155" i="1" s="1"/>
  <c r="A156" i="1" s="1"/>
  <c r="A157" i="1" s="1"/>
  <c r="I150" i="1"/>
  <c r="I148" i="1"/>
  <c r="C54" i="1"/>
  <c r="E133" i="1" l="1"/>
  <c r="H153" i="1"/>
  <c r="G133" i="1" s="1"/>
  <c r="G51" i="1"/>
  <c r="E43" i="1"/>
  <c r="F148" i="1" l="1"/>
  <c r="F171" i="1"/>
  <c r="H171"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E31" i="1" l="1"/>
  <c r="B194" i="1" l="1"/>
  <c r="F149" i="1" l="1"/>
  <c r="F150" i="1"/>
  <c r="H150" i="1" s="1"/>
  <c r="F151" i="1"/>
  <c r="H151" i="1" s="1"/>
  <c r="H148" i="1"/>
  <c r="C132" i="1" l="1"/>
  <c r="C134" i="1" s="1"/>
  <c r="E132" i="1"/>
  <c r="H149" i="1"/>
  <c r="E134" i="1"/>
  <c r="G58" i="1"/>
  <c r="C58" i="1"/>
  <c r="G56" i="1"/>
  <c r="C56" i="1"/>
  <c r="G132" i="1" l="1"/>
  <c r="G134" i="1" s="1"/>
  <c r="S33" i="1"/>
  <c r="F11" i="5" l="1"/>
  <c r="G11" i="5" s="1"/>
  <c r="F10" i="5"/>
  <c r="G10" i="5" s="1"/>
  <c r="F9" i="5"/>
  <c r="G9" i="5" s="1"/>
  <c r="G8" i="5"/>
  <c r="F8" i="5"/>
  <c r="F7" i="5"/>
  <c r="G7" i="5" s="1"/>
  <c r="G6" i="5"/>
  <c r="F6" i="5"/>
  <c r="F5" i="5"/>
  <c r="G5" i="5" s="1"/>
  <c r="G12" i="5" s="1"/>
  <c r="D221" i="1"/>
  <c r="B195" i="1"/>
  <c r="F186" i="1"/>
  <c r="H186" i="1" s="1"/>
  <c r="F185" i="1"/>
  <c r="H185" i="1" s="1"/>
  <c r="F184" i="1"/>
  <c r="H184" i="1" s="1"/>
  <c r="F183" i="1"/>
  <c r="F174" i="1"/>
  <c r="H174" i="1" s="1"/>
  <c r="J174" i="1" s="1"/>
  <c r="F173" i="1"/>
  <c r="H173" i="1" s="1"/>
  <c r="F172" i="1"/>
  <c r="A172" i="1"/>
  <c r="A173" i="1" s="1"/>
  <c r="A174" i="1" s="1"/>
  <c r="A149" i="1"/>
  <c r="A150" i="1" s="1"/>
  <c r="F129" i="1"/>
  <c r="C103" i="1"/>
  <c r="C89" i="1"/>
  <c r="C75" i="1"/>
  <c r="D69" i="1"/>
  <c r="D62" i="1"/>
  <c r="E44" i="1"/>
  <c r="E45" i="1" s="1"/>
  <c r="E28" i="1"/>
  <c r="E26" i="1"/>
  <c r="C16" i="1"/>
  <c r="I15" i="1"/>
  <c r="Z13" i="1"/>
  <c r="E8" i="1"/>
  <c r="E3" i="1"/>
  <c r="H104" i="1"/>
  <c r="H76" i="1"/>
  <c r="H90" i="1"/>
  <c r="E137" i="1" l="1"/>
  <c r="C139" i="1"/>
  <c r="C140" i="1" s="1"/>
  <c r="E138" i="1"/>
  <c r="H183" i="1"/>
  <c r="G138" i="1" s="1"/>
  <c r="H172" i="1"/>
  <c r="G137" i="1" s="1"/>
  <c r="J75" i="1"/>
  <c r="J77" i="1" s="1"/>
  <c r="J78" i="1"/>
  <c r="J79" i="1"/>
  <c r="J80" i="1"/>
  <c r="C79" i="1" s="1"/>
  <c r="J94" i="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G139" i="1" l="1"/>
  <c r="G140" i="1" s="1"/>
  <c r="E139" i="1"/>
  <c r="E140" i="1" s="1"/>
  <c r="C93" i="1"/>
  <c r="D93" i="1" s="1"/>
  <c r="D79" i="1"/>
  <c r="D109" i="1"/>
  <c r="J114" i="1"/>
  <c r="J111" i="1"/>
  <c r="J113" i="1"/>
  <c r="J112" i="1"/>
  <c r="J109" i="1"/>
  <c r="J100" i="1"/>
  <c r="J97" i="1"/>
  <c r="J99" i="1"/>
  <c r="J98" i="1"/>
  <c r="J95" i="1"/>
  <c r="J85" i="1"/>
  <c r="J83" i="1"/>
  <c r="J84" i="1"/>
  <c r="J82" i="1"/>
  <c r="J87" i="1" s="1"/>
  <c r="J88" i="1" s="1"/>
  <c r="C80" i="1" s="1"/>
  <c r="J86" i="1"/>
  <c r="J110" i="1" l="1"/>
  <c r="J115" i="1" s="1"/>
  <c r="J116" i="1" s="1"/>
  <c r="C108" i="1" s="1"/>
  <c r="J96" i="1"/>
  <c r="J101" i="1" s="1"/>
  <c r="J102" i="1" s="1"/>
  <c r="C94" i="1" s="1"/>
  <c r="E93" i="1" s="1"/>
  <c r="J76" i="1"/>
  <c r="E79" i="1"/>
  <c r="D80" i="1"/>
  <c r="I76" i="1" s="1"/>
  <c r="G79" i="1"/>
  <c r="D73" i="1" s="1"/>
  <c r="D108" i="1" l="1"/>
  <c r="I104" i="1" s="1"/>
  <c r="I105" i="1" s="1"/>
  <c r="G93" i="1"/>
  <c r="G107" i="1"/>
  <c r="D94" i="1"/>
  <c r="I90" i="1" s="1"/>
  <c r="I91" i="1" s="1"/>
  <c r="J104" i="1"/>
  <c r="E107" i="1"/>
  <c r="J90" i="1"/>
  <c r="F74" i="1"/>
  <c r="D74" i="1"/>
  <c r="I77" i="1"/>
  <c r="I75" i="1" s="1"/>
  <c r="C77" i="1" s="1"/>
  <c r="I89" i="1" l="1"/>
  <c r="C91" i="1" s="1"/>
  <c r="I103" i="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<sst xmlns="http://schemas.openxmlformats.org/spreadsheetml/2006/main" count="705" uniqueCount="398">
  <si>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</si>
  <si>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</si>
  <si>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</si>
  <si>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</si>
  <si>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</si>
  <si>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</si>
  <si>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</si>
  <si>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</si>
  <si>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</si>
  <si>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</si>
  <si>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</si>
  <si>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</si>
  <si>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</si>
  <si>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</si>
  <si>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</si>
  <si>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</si>
  <si>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</si>
  <si>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</si>
  <si>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</si>
  <si>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</si>
  <si>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</si>
  <si>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</si>
  <si>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</si>
  <si>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</si>
  <si>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</si>
  <si>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</si>
  <si>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</si>
  <si>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</si>
  <si>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</si>
  <si>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</si>
  <si>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</si>
  <si>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</si>
  <si>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</si>
  <si>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</si>
  <si>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</si>
  <si>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</si>
  <si>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</si>
  <si>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</si>
  <si>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</si>
  <si>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</si>
  <si>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</si>
  <si>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</si>
  <si>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</si>
  <si>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</si>
  <si>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</si>
  <si>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</si>
  <si>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</si>
  <si>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</si>
  <si>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</si>
  <si>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</si>
  <si>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</si>
  <si>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</si>
  <si>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</si>
  <si>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</si>
  <si>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</si>
  <si>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</si>
  <si>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</si>
  <si>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</si>
  <si>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</si>
  <si>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</si>
  <si>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</si>
  <si>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</si>
  <si>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</si>
  <si>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</si>
  <si>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</si>
  <si>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</si>
  <si>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</si>
  <si>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</si>
  <si>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</si>
  <si>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</si>
  <si>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</si>
  <si>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</si>
  <si>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</si>
  <si>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</si>
  <si>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</si>
  <si>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</si>
  <si>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</si>
  <si>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</si>
  <si>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</si>
  <si>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</si>
  <si>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</si>
  <si>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</si>
  <si>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</si>
  <si>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</si>
  <si>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</si>
  <si>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</si>
  <si>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</si>
  <si>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</si>
  <si>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</si>
  <si>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</si>
  <si>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</si>
  <si>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</si>
  <si>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</si>
  <si>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</si>
  <si>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</si>
  <si>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</si>
  <si>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</si>
  <si>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</si>
  <si>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</si>
  <si>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</si>
  <si>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</si>
  <si>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</si>
  <si>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</si>
  <si>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</si>
  <si>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</si>
  <si>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</si>
  <si>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</si>
  <si>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</si>
  <si>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</si>
  <si>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</si>
  <si>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</si>
  <si>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</si>
  <si>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</si>
  <si>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</si>
  <si>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</si>
  <si>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</si>
  <si>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</si>
  <si>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</si>
  <si>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</si>
  <si>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</si>
  <si>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</si>
  <si>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</si>
  <si>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</si>
  <si>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</si>
  <si>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</si>
  <si>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</si>
  <si>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</si>
  <si>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</si>
  <si>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</si>
  <si>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</si>
  <si>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</si>
  <si>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</si>
  <si>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</si>
  <si>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</si>
  <si>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</si>
  <si>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</si>
  <si>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</si>
  <si>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</si>
  <si>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</si>
  <si>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</si>
  <si>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</si>
  <si>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</si>
  <si>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</si>
  <si>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</si>
  <si>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</si>
  <si>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</si>
  <si>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</si>
  <si>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</si>
  <si>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</si>
  <si>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</si>
  <si>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</si>
  <si>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</si>
  <si>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</si>
  <si>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</si>
  <si>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</si>
  <si>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</si>
  <si>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</si>
  <si>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</si>
  <si>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</si>
  <si>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</si>
  <si>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</si>
  <si>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</si>
  <si>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</si>
  <si>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</si>
  <si>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</si>
  <si>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</si>
  <si>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</si>
  <si>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</si>
  <si>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</si>
  <si>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</si>
  <si>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</si>
  <si>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</si>
  <si>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</si>
  <si>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</si>
  <si>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</si>
  <si>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</si>
  <si>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</si>
  <si>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</si>
  <si>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</si>
  <si>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</si>
  <si>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</si>
  <si>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</si>
  <si>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</si>
  <si>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</si>
  <si>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</si>
  <si>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</si>
  <si>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</si>
  <si>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</si>
  <si>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</si>
  <si>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</si>
  <si>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</si>
  <si>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</si>
  <si>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</si>
  <si>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</si>
  <si>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</si>
  <si>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</si>
  <si>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</si>
  <si>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</si>
  <si>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</si>
  <si>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</si>
  <si>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</si>
  <si>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</si>
  <si>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</si>
  <si>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</si>
  <si>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</si>
  <si>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</si>
  <si>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</si>
  <si>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</si>
  <si>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</si>
  <si>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</si>
  <si>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</si>
  <si>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</si>
  <si>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</si>
  <si>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</si>
  <si>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</si>
  <si>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</si>
  <si>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</si>
  <si>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</si>
  <si>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</si>
  <si>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</si>
  <si>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</si>
  <si>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</si>
  <si>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</si>
  <si>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</si>
  <si>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</si>
  <si>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</si>
  <si>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</si>
  <si>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</si>
  <si>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</si>
  <si>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</si>
  <si>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</si>
  <si>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</si>
  <si>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</si>
  <si>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</si>
  <si>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</si>
  <si>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</si>
  <si>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</si>
  <si>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</si>
  <si>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</si>
  <si>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</si>
  <si>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</si>
  <si>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</si>
  <si>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</si>
  <si>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</si>
  <si>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</si>
  <si>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</si>
  <si>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</si>
  <si>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</si>
  <si>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</si>
  <si>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</si>
  <si>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</si>
  <si>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</si>
  <si>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</si>
  <si>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</si>
  <si>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</si>
  <si>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</si>
  <si>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</si>
  <si>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</si>
  <si>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</si>
  <si>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</si>
  <si>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</si>
  <si>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</si>
  <si>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</si>
  <si>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</si>
  <si>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</si>
  <si>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</si>
  <si>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</si>
  <si>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</si>
  <si>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</si>
  <si>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</si>
  <si>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</si>
  <si>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</si>
  <si>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</si>
  <si>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</si>
  <si>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</si>
  <si>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</si>
  <si>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</si>
  <si>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</si>
  <si>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</si>
  <si>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</si>
  <si>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</si>
  <si>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</si>
  <si>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</si>
  <si>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</si>
  <si>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</si>
  <si>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</si>
  <si>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</si>
  <si>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</si>
  <si>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</si>
  <si>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</si>
  <si>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</si>
  <si>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</si>
  <si>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</si>
  <si>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</si>
  <si>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</si>
  <si>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</si>
  <si>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</si>
  <si>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</si>
  <si>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</si>
  <si>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</si>
  <si>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</si>
  <si>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</si>
  <si>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</si>
  <si>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</si>
  <si>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</si>
  <si>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</si>
  <si>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</si>
  <si>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</si>
  <si>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</si>
  <si>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</si>
  <si>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</si>
  <si>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</si>
  <si>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</si>
  <si>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</si>
  <si>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</si>
  <si>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</si>
  <si>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</si>
  <si>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</si>
  <si>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</si>
  <si>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</si>
  <si>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</si>
  <si>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</si>
  <si>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</si>
  <si>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</si>
  <si>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</si>
  <si>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</si>
  <si>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</si>
  <si>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</si>
  <si>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</si>
  <si>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</si>
  <si>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</si>
  <si>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</si>
  <si>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Building Details Floor Wise</t>
  </si>
  <si>
    <t>Imperial Heights</t>
  </si>
  <si>
    <t>M/s.GP Infra</t>
  </si>
  <si>
    <t>Building No.1, 2 &amp; 3</t>
  </si>
  <si>
    <t>P51700054187</t>
  </si>
  <si>
    <t>Survey No</t>
  </si>
  <si>
    <t>https://maps.app.goo.gl/iv7ACdcvrf46iqW69</t>
  </si>
  <si>
    <t>19.224619,73.137628</t>
  </si>
  <si>
    <t>Santoshi Mata Mandir</t>
  </si>
  <si>
    <t>3.3 KM from Kalyan Railway Station</t>
  </si>
  <si>
    <t>Kalyan East</t>
  </si>
  <si>
    <t>Tisgaon</t>
  </si>
  <si>
    <t>Jitendra Niwas Co.Op. Housing Society Ltd.</t>
  </si>
  <si>
    <t>29, H.No.17/E/ C.T.S No.7655, Redevelopment of " Jitendra Niwas Co.Op. Housing Society Ltd. "</t>
  </si>
  <si>
    <t>Katemanivali Road</t>
  </si>
  <si>
    <t>Vijay Nagar</t>
  </si>
  <si>
    <t>Shivangi Apartment</t>
  </si>
  <si>
    <t>House</t>
  </si>
  <si>
    <t>Santoshi Mata Mandir/Katemanivali Road</t>
  </si>
  <si>
    <t>24.00 M. Wide Road</t>
  </si>
  <si>
    <t>Other Plot</t>
  </si>
  <si>
    <t>Approved Builtup Area of Building No.1, 2 &amp; 3 (Sq.Mt)</t>
  </si>
  <si>
    <t>As per RERA - 31/12/2026</t>
  </si>
  <si>
    <r>
      <t xml:space="preserve">Proposed Amenities :                                                                                                                                                                                                                         </t>
    </r>
    <r>
      <rPr>
        <b/>
        <sz val="12"/>
        <rFont val="Times New Roman"/>
        <family val="1"/>
      </rPr>
      <t xml:space="preserve">                                               </t>
    </r>
  </si>
  <si>
    <t xml:space="preserve">Building No.3 = Gr/St + 1st to 14th Floor </t>
  </si>
  <si>
    <t>Building No.2 = Gr/St + 1st to 14th Floor</t>
  </si>
  <si>
    <t xml:space="preserve">google map </t>
  </si>
  <si>
    <t>Building No.1</t>
  </si>
  <si>
    <t>Building No.1 = 1B + Gr/St + 1st to 7th Floor</t>
  </si>
  <si>
    <t>Shop</t>
  </si>
  <si>
    <t>Ground Floor For Commercial</t>
  </si>
  <si>
    <t>1st Floor</t>
  </si>
  <si>
    <t>Office</t>
  </si>
  <si>
    <t>Building No.2</t>
  </si>
  <si>
    <t>1BHK</t>
  </si>
  <si>
    <t>Balcony + A.P  Area</t>
  </si>
  <si>
    <t>Refuge Area</t>
  </si>
  <si>
    <t>Building No.3</t>
  </si>
  <si>
    <t>2BHK</t>
  </si>
  <si>
    <t>1.5BHK</t>
  </si>
  <si>
    <r>
      <t xml:space="preserve">Approved Plans &amp; CC </t>
    </r>
    <r>
      <rPr>
        <sz val="12"/>
        <color rgb="FFFF0000"/>
        <rFont val="Times New Roman"/>
        <family val="1"/>
      </rPr>
      <t/>
    </r>
  </si>
  <si>
    <t>Solar System, Invertor Backup, CCTV Suveillance, Fire Fighting System, Automatic Elevators, Parking etc</t>
  </si>
  <si>
    <t>Pooja Kawale</t>
  </si>
  <si>
    <t>Construction work is in process at the time of Visit.</t>
  </si>
  <si>
    <t>Mr. Mayur : 7744831123</t>
  </si>
  <si>
    <t>Krishna Kambali</t>
  </si>
  <si>
    <t>KDMC/TPD/BP/KD/2023-24/67/103</t>
  </si>
  <si>
    <t>Building No.1 = Natural St.+ Gr + 1st to 2nd Floor (Commercial) + 3rd to 7th Floor (Residential)
Building No.2 = Natural St. + 1st to 7th Floor
Building No.3 = Natural St.+ Gr + 1st to 14th Floor</t>
  </si>
  <si>
    <t>3A</t>
  </si>
  <si>
    <t>Natural Stilt Floor For Meter Room &amp; Parking</t>
  </si>
  <si>
    <t>Natural Stilt Floor For Parking</t>
  </si>
  <si>
    <t>1st to 6th Floor For Residential</t>
  </si>
  <si>
    <t>We considered Gross carpet area = Net carpet + Enclose Balcony + Balcony + A.P  Area</t>
  </si>
  <si>
    <t>7th &amp; 12th Floor (Part Refuge Area)</t>
  </si>
  <si>
    <t>2nd to 7th Floor</t>
  </si>
  <si>
    <t>1st to 6th, 8th to 11th, 13th &amp; 14th Floor for Residential</t>
  </si>
  <si>
    <t>7th Floor (Part Refuge Area)</t>
  </si>
  <si>
    <t>Flats - 81, Shops - 4, Offices - 41</t>
  </si>
  <si>
    <t>Building No.1 = 1B + Gr/St + 1st to 7th Floor
Building No.2 = Gr/St + 1st to 7th Floor
Building No.3 = Gr/St + 1st to 14th Floor</t>
  </si>
  <si>
    <t>As per approved floor plans dtd.25/01/2024, Building no.2 consists of Ground + 1st to 8th Floor, whereas approved floor plans dtd.10/02/2025, building no.2 consists of Ground + 1st to 7th Floor.</t>
  </si>
  <si>
    <t>KDMC/TPD/BP/KD/2023-24/67/179</t>
  </si>
  <si>
    <t>As per the latest revised approved floor plan dtd. 10/02/2025, the approved number of floors of Building No. 2 has been decreased compared to the old approved plan dtd. 21/01/2024. For e.g approved floor plan dtd 21/01/2024 consist of Bldg No. 02 = Gr + 1st to 8th Floors, and the latest approved plan dtd. 10/02/2025 consist of Bldg No. 02 = Gr + 1st to 7th Floor.</t>
  </si>
  <si>
    <t xml:space="preserve">Recommended Rates of the Property have been revised as per market inquiry on 29/09/2025.
</t>
  </si>
  <si>
    <t>We have updated latest approved floor plans &amp; CC on 29/09/2025.</t>
  </si>
  <si>
    <t>We refer revised approved floor plans from Rera on 29/09/2025.</t>
  </si>
  <si>
    <t>03 Buildings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</si>
</sst>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6" fillId="0" borderId="9" xfId="0" applyNumberFormat="1" applyFont="1" applyBorder="1" applyAlignment="1" applyProtection="1">
      <alignment horizontal="center" vertical="center" wrapText="1"/>
      <protection locked="0"/>
    </xf>
    <xf numFmtId="164" fontId="7" fillId="0" borderId="0" xfId="0" applyNumberFormat="1" applyFont="1" applyAlignment="1">
      <alignment horizontal="center" vertical="center"/>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5" borderId="8" xfId="1" applyNumberFormat="1" applyFont="1" applyFill="1" applyBorder="1" applyAlignment="1" applyProtection="1">
      <alignment horizontal="center" vertical="center" wrapText="1"/>
      <protection locked="0"/>
    </xf>
    <xf numFmtId="1" fontId="8" fillId="5" borderId="21" xfId="1" applyNumberFormat="1" applyFont="1" applyFill="1" applyBorder="1" applyAlignment="1" applyProtection="1">
      <alignment horizontal="center" vertical="center" wrapText="1"/>
      <protection locked="0"/>
    </xf>
    <xf numFmtId="1" fontId="8" fillId="5" borderId="9" xfId="1" applyNumberFormat="1"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horizontal="left" vertical="top" wrapText="1"/>
      <protection locked="0"/>
    </xf>
    <xf numFmtId="1" fontId="8" fillId="0" borderId="21" xfId="0" applyNumberFormat="1" applyFont="1" applyBorder="1" applyAlignment="1" applyProtection="1">
      <alignment horizontal="left" vertical="top" wrapText="1"/>
      <protection locked="0"/>
    </xf>
    <xf numFmtId="1" fontId="8" fillId="0" borderId="9" xfId="0" applyNumberFormat="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0" xfId="1" applyFont="1" applyAlignment="1">
      <alignment horizontal="center" vertical="center"/>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4" fillId="0" borderId="1"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10" fillId="0" borderId="8" xfId="0" applyNumberFormat="1" applyFont="1" applyFill="1" applyBorder="1" applyAlignment="1" applyProtection="1">
      <alignment vertical="top" wrapText="1"/>
      <protection locked="0"/>
    </xf>
    <xf numFmtId="1" fontId="10" fillId="0" borderId="21" xfId="0" applyNumberFormat="1" applyFont="1" applyFill="1" applyBorder="1" applyAlignment="1" applyProtection="1">
      <alignment vertical="top" wrapText="1"/>
      <protection locked="0"/>
    </xf>
    <xf numFmtId="1" fontId="10" fillId="0" borderId="9" xfId="0" applyNumberFormat="1" applyFont="1" applyFill="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5" Type="http://schemas.microsoft.com/office/2007/relationships/hdphoto" Target="../media/hdphoto1.wdp"/><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133350</xdr:colOff>
      <xdr:row>16</xdr:row>
      <xdr:rowOff>152400</xdr:rowOff>
    </xdr:from>
    <xdr:to>
      <xdr:col>17</xdr:col>
      <xdr:colOff>20064</xdr:colOff>
      <xdr:row>22</xdr:row>
      <xdr:rowOff>64260</xdr:rowOff>
    </xdr:to>
    <xdr:pic>
      <xdr:nvPicPr>
        <xdr:cNvPr id="3" name="Picture 2"/>
        <xdr:cNvPicPr>
          <a:picLocks noChangeAspect="1"/>
        </xdr:cNvPicPr>
      </xdr:nvPicPr>
      <xdr:blipFill>
        <a:blip xmlns:r="http://schemas.openxmlformats.org/officeDocument/2006/relationships" r:embed="rId1"/>
        <a:stretch>
          <a:fillRect/>
        </a:stretch>
      </xdr:blipFill>
      <xdr:spPr>
        <a:xfrm>
          <a:off x="6448425" y="4152900"/>
          <a:ext cx="7268589" cy="1531110"/>
        </a:xfrm>
        <a:prstGeom prst="rect">
          <a:avLst/>
        </a:prstGeom>
      </xdr:spPr>
    </xdr:pic>
    <xdr:clientData/>
  </xdr:twoCellAnchor>
  <xdr:twoCellAnchor editAs="oneCell">
    <xdr:from>
      <xdr:col>0</xdr:col>
      <xdr:colOff>547006</xdr:colOff>
      <xdr:row>307</xdr:row>
      <xdr:rowOff>130629</xdr:rowOff>
    </xdr:from>
    <xdr:to>
      <xdr:col>7</xdr:col>
      <xdr:colOff>53445</xdr:colOff>
      <xdr:row>326</xdr:row>
      <xdr:rowOff>130627</xdr:rowOff>
    </xdr:to>
    <xdr:pic>
      <xdr:nvPicPr>
        <xdr:cNvPr id="5" name="Picture 4"/>
        <xdr:cNvPicPr>
          <a:picLocks noChangeAspect="1"/>
        </xdr:cNvPicPr>
      </xdr:nvPicPr>
      <xdr:blipFill>
        <a:blip xmlns:r="http://schemas.openxmlformats.org/officeDocument/2006/relationships" r:embed="rId2"/>
        <a:stretch>
          <a:fillRect/>
        </a:stretch>
      </xdr:blipFill>
      <xdr:spPr>
        <a:xfrm>
          <a:off x="547006" y="65748354"/>
          <a:ext cx="5088089" cy="3800474"/>
        </a:xfrm>
        <a:prstGeom prst="rect">
          <a:avLst/>
        </a:prstGeom>
        <a:ln>
          <a:solidFill>
            <a:sysClr val="windowText" lastClr="000000"/>
          </a:solidFill>
        </a:ln>
      </xdr:spPr>
    </xdr:pic>
    <xdr:clientData/>
  </xdr:twoCellAnchor>
  <xdr:twoCellAnchor editAs="oneCell">
    <xdr:from>
      <xdr:col>8</xdr:col>
      <xdr:colOff>1085850</xdr:colOff>
      <xdr:row>10</xdr:row>
      <xdr:rowOff>95250</xdr:rowOff>
    </xdr:from>
    <xdr:to>
      <xdr:col>14</xdr:col>
      <xdr:colOff>534046</xdr:colOff>
      <xdr:row>16</xdr:row>
      <xdr:rowOff>213</xdr:rowOff>
    </xdr:to>
    <xdr:pic>
      <xdr:nvPicPr>
        <xdr:cNvPr id="6" name="Picture 5"/>
        <xdr:cNvPicPr>
          <a:picLocks noChangeAspect="1"/>
        </xdr:cNvPicPr>
      </xdr:nvPicPr>
      <xdr:blipFill>
        <a:blip xmlns:r="http://schemas.openxmlformats.org/officeDocument/2006/relationships" r:embed="rId3"/>
        <a:stretch>
          <a:fillRect/>
        </a:stretch>
      </xdr:blipFill>
      <xdr:spPr>
        <a:xfrm>
          <a:off x="7400925" y="2476500"/>
          <a:ext cx="4629796" cy="1524213"/>
        </a:xfrm>
        <a:prstGeom prst="rect">
          <a:avLst/>
        </a:prstGeom>
      </xdr:spPr>
    </xdr:pic>
    <xdr:clientData/>
  </xdr:twoCellAnchor>
  <xdr:twoCellAnchor>
    <xdr:from>
      <xdr:col>4</xdr:col>
      <xdr:colOff>144656</xdr:colOff>
      <xdr:row>264</xdr:row>
      <xdr:rowOff>61124</xdr:rowOff>
    </xdr:from>
    <xdr:to>
      <xdr:col>7</xdr:col>
      <xdr:colOff>605757</xdr:colOff>
      <xdr:row>275</xdr:row>
      <xdr:rowOff>106966</xdr:rowOff>
    </xdr:to>
    <xdr:grpSp>
      <xdr:nvGrpSpPr>
        <xdr:cNvPr id="25" name="Group 24"/>
        <xdr:cNvGrpSpPr/>
      </xdr:nvGrpSpPr>
      <xdr:grpSpPr>
        <a:xfrm>
          <a:off x="3468881" y="55382324"/>
          <a:ext cx="2718526" cy="2246117"/>
          <a:chOff x="3472803" y="56684448"/>
          <a:chExt cx="2713483" cy="2264606"/>
        </a:xfrm>
      </xdr:grpSpPr>
      <xdr:pic>
        <xdr:nvPicPr>
          <xdr:cNvPr id="2" name="Picture 1"/>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contrast="20000"/>
                    </a14:imgEffect>
                  </a14:imgLayer>
                </a14:imgProps>
              </a:ext>
            </a:extLst>
          </a:blip>
          <a:stretch>
            <a:fillRect/>
          </a:stretch>
        </xdr:blipFill>
        <xdr:spPr>
          <a:xfrm>
            <a:off x="3472803" y="56684448"/>
            <a:ext cx="2639410" cy="2264606"/>
          </a:xfrm>
          <a:prstGeom prst="rect">
            <a:avLst/>
          </a:prstGeom>
          <a:ln>
            <a:solidFill>
              <a:sysClr val="windowText" lastClr="000000"/>
            </a:solidFill>
          </a:ln>
        </xdr:spPr>
      </xdr:pic>
      <xdr:grpSp>
        <xdr:nvGrpSpPr>
          <xdr:cNvPr id="18" name="Group 17"/>
          <xdr:cNvGrpSpPr/>
        </xdr:nvGrpSpPr>
        <xdr:grpSpPr>
          <a:xfrm>
            <a:off x="5827059" y="58315412"/>
            <a:ext cx="359227" cy="549779"/>
            <a:chOff x="26903" y="-29837"/>
            <a:chExt cx="221944" cy="688514"/>
          </a:xfrm>
        </xdr:grpSpPr>
        <xdr:sp macro="" textlink="">
          <xdr:nvSpPr>
            <xdr:cNvPr id="19" name="TextBox 7"/>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20" name="Straight Arrow Connector 19"/>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186136</xdr:colOff>
      <xdr:row>264</xdr:row>
      <xdr:rowOff>54280</xdr:rowOff>
    </xdr:from>
    <xdr:to>
      <xdr:col>4</xdr:col>
      <xdr:colOff>56668</xdr:colOff>
      <xdr:row>304</xdr:row>
      <xdr:rowOff>175769</xdr:rowOff>
    </xdr:to>
    <xdr:grpSp>
      <xdr:nvGrpSpPr>
        <xdr:cNvPr id="24" name="Group 23"/>
        <xdr:cNvGrpSpPr/>
      </xdr:nvGrpSpPr>
      <xdr:grpSpPr>
        <a:xfrm>
          <a:off x="186136" y="55375480"/>
          <a:ext cx="3194757" cy="8122489"/>
          <a:chOff x="186136" y="56677604"/>
          <a:chExt cx="3198679" cy="8189724"/>
        </a:xfrm>
      </xdr:grpSpPr>
      <xdr:grpSp>
        <xdr:nvGrpSpPr>
          <xdr:cNvPr id="17" name="Group 16"/>
          <xdr:cNvGrpSpPr/>
        </xdr:nvGrpSpPr>
        <xdr:grpSpPr>
          <a:xfrm>
            <a:off x="186136" y="56677604"/>
            <a:ext cx="3193964" cy="8189724"/>
            <a:chOff x="174931" y="56688810"/>
            <a:chExt cx="3193964" cy="8189724"/>
          </a:xfrm>
        </xdr:grpSpPr>
        <xdr:pic>
          <xdr:nvPicPr>
            <xdr:cNvPr id="7" name="Picture 6"/>
            <xdr:cNvPicPr>
              <a:picLocks noChangeAspect="1"/>
            </xdr:cNvPicPr>
          </xdr:nvPicPr>
          <xdr:blipFill>
            <a:blip xmlns:r="http://schemas.openxmlformats.org/officeDocument/2006/relationships" r:embed="rId6"/>
            <a:stretch>
              <a:fillRect/>
            </a:stretch>
          </xdr:blipFill>
          <xdr:spPr>
            <a:xfrm rot="16200000">
              <a:off x="-2322949" y="59186690"/>
              <a:ext cx="8189724" cy="3193964"/>
            </a:xfrm>
            <a:prstGeom prst="rect">
              <a:avLst/>
            </a:prstGeom>
            <a:ln>
              <a:solidFill>
                <a:sysClr val="windowText" lastClr="000000"/>
              </a:solidFill>
            </a:ln>
          </xdr:spPr>
        </xdr:pic>
        <xdr:sp macro="" textlink="">
          <xdr:nvSpPr>
            <xdr:cNvPr id="9" name="Rectangle 8"/>
            <xdr:cNvSpPr/>
          </xdr:nvSpPr>
          <xdr:spPr>
            <a:xfrm>
              <a:off x="986118" y="58472295"/>
              <a:ext cx="1400735" cy="1333500"/>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TextBox 12"/>
            <xdr:cNvSpPr txBox="1"/>
          </xdr:nvSpPr>
          <xdr:spPr>
            <a:xfrm>
              <a:off x="683559" y="58024059"/>
              <a:ext cx="2114204"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C00000"/>
                  </a:solidFill>
                  <a:latin typeface="Times New Roman" panose="02020603050405020304" pitchFamily="18" charset="0"/>
                  <a:cs typeface="Times New Roman" panose="02020603050405020304" pitchFamily="18" charset="0"/>
                </a:rPr>
                <a:t>Building No.1</a:t>
              </a:r>
            </a:p>
          </xdr:txBody>
        </xdr:sp>
        <xdr:sp macro="" textlink="">
          <xdr:nvSpPr>
            <xdr:cNvPr id="11" name="Rectangle 10"/>
            <xdr:cNvSpPr/>
          </xdr:nvSpPr>
          <xdr:spPr>
            <a:xfrm>
              <a:off x="1176618" y="59850617"/>
              <a:ext cx="1255058" cy="2151529"/>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Rectangle 11"/>
            <xdr:cNvSpPr/>
          </xdr:nvSpPr>
          <xdr:spPr>
            <a:xfrm>
              <a:off x="1042146" y="62046970"/>
              <a:ext cx="1411941" cy="2151529"/>
            </a:xfrm>
            <a:prstGeom prst="rect">
              <a:avLst/>
            </a:prstGeom>
            <a:noFill/>
            <a:ln w="28575">
              <a:solidFill>
                <a:srgbClr val="FF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TextBox 12"/>
            <xdr:cNvSpPr txBox="1"/>
          </xdr:nvSpPr>
          <xdr:spPr>
            <a:xfrm rot="16200000">
              <a:off x="1523999" y="60657441"/>
              <a:ext cx="2114204"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000FF"/>
                  </a:solidFill>
                  <a:latin typeface="Times New Roman" panose="02020603050405020304" pitchFamily="18" charset="0"/>
                  <a:cs typeface="Times New Roman" panose="02020603050405020304" pitchFamily="18" charset="0"/>
                </a:rPr>
                <a:t>Building No.2</a:t>
              </a:r>
            </a:p>
          </xdr:txBody>
        </xdr:sp>
        <xdr:sp macro="" textlink="">
          <xdr:nvSpPr>
            <xdr:cNvPr id="16" name="TextBox 12"/>
            <xdr:cNvSpPr txBox="1"/>
          </xdr:nvSpPr>
          <xdr:spPr>
            <a:xfrm>
              <a:off x="694765" y="64008000"/>
              <a:ext cx="2114204"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FF3399"/>
                  </a:solidFill>
                  <a:latin typeface="Times New Roman" panose="02020603050405020304" pitchFamily="18" charset="0"/>
                  <a:cs typeface="Times New Roman" panose="02020603050405020304" pitchFamily="18" charset="0"/>
                </a:rPr>
                <a:t>Building No.3</a:t>
              </a:r>
            </a:p>
          </xdr:txBody>
        </xdr:sp>
      </xdr:grpSp>
      <xdr:grpSp>
        <xdr:nvGrpSpPr>
          <xdr:cNvPr id="21" name="Group 20"/>
          <xdr:cNvGrpSpPr/>
        </xdr:nvGrpSpPr>
        <xdr:grpSpPr>
          <a:xfrm>
            <a:off x="3025588" y="63985588"/>
            <a:ext cx="359227" cy="549779"/>
            <a:chOff x="26903" y="-29837"/>
            <a:chExt cx="221944" cy="688514"/>
          </a:xfrm>
        </xdr:grpSpPr>
        <xdr:sp macro="" textlink="">
          <xdr:nvSpPr>
            <xdr:cNvPr id="22" name="TextBox 7"/>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23" name="Straight Arrow Connector 22"/>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270782</xdr:colOff>
      <xdr:row>327</xdr:row>
      <xdr:rowOff>85806</xdr:rowOff>
    </xdr:from>
    <xdr:to>
      <xdr:col>7</xdr:col>
      <xdr:colOff>379638</xdr:colOff>
      <xdr:row>347</xdr:row>
      <xdr:rowOff>169471</xdr:rowOff>
    </xdr:to>
    <xdr:grpSp>
      <xdr:nvGrpSpPr>
        <xdr:cNvPr id="34" name="Group 33"/>
        <xdr:cNvGrpSpPr/>
      </xdr:nvGrpSpPr>
      <xdr:grpSpPr>
        <a:xfrm>
          <a:off x="270782" y="68008581"/>
          <a:ext cx="5690506" cy="4084165"/>
          <a:chOff x="299357" y="69713556"/>
          <a:chExt cx="5690506" cy="4084165"/>
        </a:xfrm>
      </xdr:grpSpPr>
      <xdr:pic>
        <xdr:nvPicPr>
          <xdr:cNvPr id="4" name="Picture 3"/>
          <xdr:cNvPicPr>
            <a:picLocks noChangeAspect="1"/>
          </xdr:cNvPicPr>
        </xdr:nvPicPr>
        <xdr:blipFill>
          <a:blip xmlns:r="http://schemas.openxmlformats.org/officeDocument/2006/relationships" r:embed="rId7"/>
          <a:stretch>
            <a:fillRect/>
          </a:stretch>
        </xdr:blipFill>
        <xdr:spPr>
          <a:xfrm>
            <a:off x="299357" y="69713556"/>
            <a:ext cx="5690506" cy="4084165"/>
          </a:xfrm>
          <a:prstGeom prst="rect">
            <a:avLst/>
          </a:prstGeom>
          <a:ln>
            <a:solidFill>
              <a:sysClr val="windowText" lastClr="000000"/>
            </a:solidFill>
          </a:ln>
        </xdr:spPr>
      </xdr:pic>
      <xdr:sp macro="" textlink="">
        <xdr:nvSpPr>
          <xdr:cNvPr id="14" name="Rectangle 13"/>
          <xdr:cNvSpPr/>
        </xdr:nvSpPr>
        <xdr:spPr>
          <a:xfrm rot="21062276">
            <a:off x="2910849" y="71327223"/>
            <a:ext cx="494729" cy="142937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oneCellAnchor>
    <xdr:from>
      <xdr:col>8</xdr:col>
      <xdr:colOff>889000</xdr:colOff>
      <xdr:row>226</xdr:row>
      <xdr:rowOff>133350</xdr:rowOff>
    </xdr:from>
    <xdr:ext cx="889859" cy="311496"/>
    <xdr:sp macro="" textlink="">
      <xdr:nvSpPr>
        <xdr:cNvPr id="28" name="TextBox 27"/>
        <xdr:cNvSpPr txBox="1"/>
      </xdr:nvSpPr>
      <xdr:spPr>
        <a:xfrm>
          <a:off x="7512050" y="4599305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No.1</a:t>
          </a:r>
        </a:p>
      </xdr:txBody>
    </xdr:sp>
    <xdr:clientData/>
  </xdr:oneCellAnchor>
  <xdr:twoCellAnchor>
    <xdr:from>
      <xdr:col>0</xdr:col>
      <xdr:colOff>101600</xdr:colOff>
      <xdr:row>221</xdr:row>
      <xdr:rowOff>101600</xdr:rowOff>
    </xdr:from>
    <xdr:to>
      <xdr:col>7</xdr:col>
      <xdr:colOff>687135</xdr:colOff>
      <xdr:row>258</xdr:row>
      <xdr:rowOff>144596</xdr:rowOff>
    </xdr:to>
    <xdr:grpSp>
      <xdr:nvGrpSpPr>
        <xdr:cNvPr id="29" name="Group 28"/>
        <xdr:cNvGrpSpPr/>
      </xdr:nvGrpSpPr>
      <xdr:grpSpPr>
        <a:xfrm>
          <a:off x="101600" y="46821725"/>
          <a:ext cx="6167185" cy="7443921"/>
          <a:chOff x="101600" y="44977050"/>
          <a:chExt cx="6440235" cy="7326446"/>
        </a:xfrm>
      </xdr:grpSpPr>
      <xdr:pic>
        <xdr:nvPicPr>
          <xdr:cNvPr id="48" name="Picture 4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25955" y="50143496"/>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01600" y="44977050"/>
            <a:ext cx="2049863"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141656" y="47848273"/>
            <a:ext cx="1618313"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96786" y="44977050"/>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91972" y="44977050"/>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907982" y="47848273"/>
            <a:ext cx="2877333" cy="216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02225" y="50143496"/>
            <a:ext cx="2877333" cy="2160000"/>
          </a:xfrm>
          <a:prstGeom prst="rect">
            <a:avLst/>
          </a:prstGeom>
          <a:ln>
            <a:solidFill>
              <a:schemeClr val="tx1"/>
            </a:solidFill>
          </a:ln>
        </xdr:spPr>
      </xdr:pic>
      <xdr:sp macro="" textlink="">
        <xdr:nvSpPr>
          <xdr:cNvPr id="55" name="TextBox 54"/>
          <xdr:cNvSpPr txBox="1"/>
        </xdr:nvSpPr>
        <xdr:spPr>
          <a:xfrm>
            <a:off x="781050" y="4577080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No.1</a:t>
            </a:r>
          </a:p>
        </xdr:txBody>
      </xdr:sp>
      <xdr:sp macro="" textlink="">
        <xdr:nvSpPr>
          <xdr:cNvPr id="56" name="TextBox 55"/>
          <xdr:cNvSpPr txBox="1"/>
        </xdr:nvSpPr>
        <xdr:spPr>
          <a:xfrm>
            <a:off x="3046086" y="4575810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No.2</a:t>
            </a:r>
          </a:p>
        </xdr:txBody>
      </xdr:sp>
      <xdr:sp macro="" textlink="">
        <xdr:nvSpPr>
          <xdr:cNvPr id="57" name="TextBox 56"/>
          <xdr:cNvSpPr txBox="1"/>
        </xdr:nvSpPr>
        <xdr:spPr>
          <a:xfrm>
            <a:off x="1548056" y="48667423"/>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No.1</a:t>
            </a:r>
          </a:p>
        </xdr:txBody>
      </xdr:sp>
      <xdr:sp macro="" textlink="">
        <xdr:nvSpPr>
          <xdr:cNvPr id="58" name="TextBox 57"/>
          <xdr:cNvSpPr txBox="1"/>
        </xdr:nvSpPr>
        <xdr:spPr>
          <a:xfrm>
            <a:off x="4898372" y="4514215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No.3</a:t>
            </a:r>
          </a:p>
        </xdr:txBody>
      </xdr:sp>
    </xdr:grpSp>
    <xdr:clientData/>
  </xdr:twoCellAnchor>
  <xdr:twoCellAnchor>
    <xdr:from>
      <xdr:col>8</xdr:col>
      <xdr:colOff>488950</xdr:colOff>
      <xdr:row>48</xdr:row>
      <xdr:rowOff>129152</xdr:rowOff>
    </xdr:from>
    <xdr:to>
      <xdr:col>11</xdr:col>
      <xdr:colOff>613050</xdr:colOff>
      <xdr:row>50</xdr:row>
      <xdr:rowOff>136330</xdr:rowOff>
    </xdr:to>
    <xdr:pic>
      <xdr:nvPicPr>
        <xdr:cNvPr id="43" name="Picture 42"/>
        <xdr:cNvPicPr>
          <a:picLocks noChangeAspect="1"/>
        </xdr:cNvPicPr>
      </xdr:nvPicPr>
      <xdr:blipFill>
        <a:blip xmlns:r="http://schemas.openxmlformats.org/officeDocument/2006/relationships" r:embed="rId15"/>
        <a:stretch>
          <a:fillRect/>
        </a:stretch>
      </xdr:blipFill>
      <xdr:spPr>
        <a:xfrm>
          <a:off x="7112000" y="11235302"/>
          <a:ext cx="2880000" cy="629478"/>
        </a:xfrm>
        <a:prstGeom prst="rect">
          <a:avLst/>
        </a:prstGeom>
        <a:ln>
          <a:solidFill>
            <a:schemeClr val="tx1"/>
          </a:solidFill>
        </a:ln>
      </xdr:spPr>
    </xdr:pic>
    <xdr:clientData/>
  </xdr:twoCellAnchor>
  <xdr:twoCellAnchor>
    <xdr:from>
      <xdr:col>8</xdr:col>
      <xdr:colOff>488950</xdr:colOff>
      <xdr:row>51</xdr:row>
      <xdr:rowOff>4128</xdr:rowOff>
    </xdr:from>
    <xdr:to>
      <xdr:col>12</xdr:col>
      <xdr:colOff>807014</xdr:colOff>
      <xdr:row>62</xdr:row>
      <xdr:rowOff>25650</xdr:rowOff>
    </xdr:to>
    <xdr:pic>
      <xdr:nvPicPr>
        <xdr:cNvPr id="45" name="Picture 44"/>
        <xdr:cNvPicPr>
          <a:picLocks noChangeAspect="1"/>
        </xdr:cNvPicPr>
      </xdr:nvPicPr>
      <xdr:blipFill>
        <a:blip xmlns:r="http://schemas.openxmlformats.org/officeDocument/2006/relationships" r:embed="rId16"/>
        <a:stretch>
          <a:fillRect/>
        </a:stretch>
      </xdr:blipFill>
      <xdr:spPr>
        <a:xfrm>
          <a:off x="7112000" y="11929428"/>
          <a:ext cx="4039164" cy="1856672"/>
        </a:xfrm>
        <a:prstGeom prst="rect">
          <a:avLst/>
        </a:prstGeom>
        <a:ln>
          <a:solidFill>
            <a:schemeClr val="tx1"/>
          </a:solidFill>
        </a:ln>
      </xdr:spPr>
    </xdr:pic>
    <xdr:clientData/>
  </xdr:twoCellAnchor>
  <xdr:twoCellAnchor editAs="oneCell">
    <xdr:from>
      <xdr:col>8</xdr:col>
      <xdr:colOff>552450</xdr:colOff>
      <xdr:row>41</xdr:row>
      <xdr:rowOff>120650</xdr:rowOff>
    </xdr:from>
    <xdr:to>
      <xdr:col>10</xdr:col>
      <xdr:colOff>333150</xdr:colOff>
      <xdr:row>48</xdr:row>
      <xdr:rowOff>20251</xdr:rowOff>
    </xdr:to>
    <xdr:pic>
      <xdr:nvPicPr>
        <xdr:cNvPr id="46" name="Picture 45"/>
        <xdr:cNvPicPr>
          <a:picLocks noChangeAspect="1"/>
        </xdr:cNvPicPr>
      </xdr:nvPicPr>
      <xdr:blipFill>
        <a:blip xmlns:r="http://schemas.openxmlformats.org/officeDocument/2006/relationships" r:embed="rId17"/>
        <a:stretch>
          <a:fillRect/>
        </a:stretch>
      </xdr:blipFill>
      <xdr:spPr>
        <a:xfrm>
          <a:off x="7175500" y="9848850"/>
          <a:ext cx="1800000" cy="1277551"/>
        </a:xfrm>
        <a:prstGeom prst="rect">
          <a:avLst/>
        </a:prstGeom>
        <a:ln>
          <a:solidFill>
            <a:schemeClr val="tx1"/>
          </a:solidFill>
        </a:ln>
      </xdr:spPr>
    </xdr:pic>
    <xdr:clientData/>
  </xdr:twoCellAnchor>
  <xdr:twoCellAnchor editAs="oneCell">
    <xdr:from>
      <xdr:col>8</xdr:col>
      <xdr:colOff>263525</xdr:colOff>
      <xdr:row>154</xdr:row>
      <xdr:rowOff>152400</xdr:rowOff>
    </xdr:from>
    <xdr:to>
      <xdr:col>14</xdr:col>
      <xdr:colOff>240625</xdr:colOff>
      <xdr:row>170</xdr:row>
      <xdr:rowOff>185976</xdr:rowOff>
    </xdr:to>
    <xdr:pic>
      <xdr:nvPicPr>
        <xdr:cNvPr id="47" name="Picture 46"/>
        <xdr:cNvPicPr>
          <a:picLocks noChangeAspect="1"/>
        </xdr:cNvPicPr>
      </xdr:nvPicPr>
      <xdr:blipFill>
        <a:blip xmlns:r="http://schemas.openxmlformats.org/officeDocument/2006/relationships" r:embed="rId18"/>
        <a:stretch>
          <a:fillRect/>
        </a:stretch>
      </xdr:blipFill>
      <xdr:spPr>
        <a:xfrm>
          <a:off x="6578600" y="32699325"/>
          <a:ext cx="5158700" cy="3614976"/>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twoCellAnchor editAs="oneCell">
    <xdr:from>
      <xdr:col>1</xdr:col>
      <xdr:colOff>56030</xdr:colOff>
      <xdr:row>9</xdr:row>
      <xdr:rowOff>1</xdr:rowOff>
    </xdr:from>
    <xdr:to>
      <xdr:col>6</xdr:col>
      <xdr:colOff>60596</xdr:colOff>
      <xdr:row>27</xdr:row>
      <xdr:rowOff>171001</xdr:rowOff>
    </xdr:to>
    <xdr:pic>
      <xdr:nvPicPr>
        <xdr:cNvPr id="4" name="Picture 3"/>
        <xdr:cNvPicPr>
          <a:picLocks noChangeAspect="1"/>
        </xdr:cNvPicPr>
      </xdr:nvPicPr>
      <xdr:blipFill>
        <a:blip xmlns:r="http://schemas.openxmlformats.org/officeDocument/2006/relationships" r:embed="rId3"/>
        <a:stretch>
          <a:fillRect/>
        </a:stretch>
      </xdr:blipFill>
      <xdr:spPr>
        <a:xfrm>
          <a:off x="638736" y="1725707"/>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v7ACdcvrf46iqW6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7"/>
  <sheetViews>
    <sheetView tabSelected="1" view="pageBreakPreview" topLeftCell="A108" zoomScaleNormal="100" zoomScaleSheetLayoutView="100" zoomScalePageLayoutView="85" workbookViewId="0">
      <selection activeCell="L129" sqref="L12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7" t="s">
        <v>160</v>
      </c>
      <c r="B1" s="197"/>
      <c r="C1" s="197"/>
      <c r="D1" s="197"/>
      <c r="E1" s="197"/>
      <c r="F1" s="197"/>
      <c r="G1" s="197"/>
      <c r="H1" s="197"/>
    </row>
    <row r="2" spans="1:26" ht="16.5" customHeight="1" x14ac:dyDescent="0.25">
      <c r="A2" s="198" t="s">
        <v>0</v>
      </c>
      <c r="B2" s="198"/>
      <c r="C2" s="198"/>
      <c r="D2" s="198"/>
      <c r="E2" s="198"/>
      <c r="F2" s="198"/>
      <c r="G2" s="198"/>
      <c r="H2" s="198"/>
    </row>
    <row r="3" spans="1:26" x14ac:dyDescent="0.25">
      <c r="A3" s="134" t="s">
        <v>1</v>
      </c>
      <c r="B3" s="134"/>
      <c r="C3" s="134"/>
      <c r="D3" s="134"/>
      <c r="E3" s="134" t="str">
        <f ca="1">TEXT(TODAY(),"DD/MM/YYYY")</f>
        <v>29/09/2025</v>
      </c>
      <c r="F3" s="134"/>
      <c r="G3" s="134"/>
      <c r="H3" s="134"/>
      <c r="K3" s="51" t="s">
        <v>233</v>
      </c>
      <c r="L3" s="48" t="s">
        <v>231</v>
      </c>
      <c r="M3" s="48" t="s">
        <v>236</v>
      </c>
      <c r="N3" s="48" t="s">
        <v>234</v>
      </c>
      <c r="O3" s="48" t="s">
        <v>235</v>
      </c>
      <c r="P3" s="48" t="s">
        <v>237</v>
      </c>
    </row>
    <row r="4" spans="1:26" ht="15" customHeight="1" x14ac:dyDescent="0.25">
      <c r="A4" s="134" t="s">
        <v>230</v>
      </c>
      <c r="B4" s="134"/>
      <c r="C4" s="134"/>
      <c r="D4" s="134"/>
      <c r="E4" s="134" t="s">
        <v>231</v>
      </c>
      <c r="F4" s="134"/>
      <c r="G4" s="134"/>
      <c r="H4" s="134"/>
      <c r="K4" s="47" t="s">
        <v>232</v>
      </c>
      <c r="L4" s="48" t="s">
        <v>166</v>
      </c>
      <c r="M4" s="48" t="s">
        <v>241</v>
      </c>
      <c r="N4" s="48" t="s">
        <v>243</v>
      </c>
      <c r="O4" s="48" t="s">
        <v>245</v>
      </c>
      <c r="P4" s="48"/>
    </row>
    <row r="5" spans="1:26" ht="15" customHeight="1" x14ac:dyDescent="0.25">
      <c r="A5" s="134" t="s">
        <v>2</v>
      </c>
      <c r="B5" s="134"/>
      <c r="C5" s="134"/>
      <c r="D5" s="134"/>
      <c r="E5" s="134" t="s">
        <v>240</v>
      </c>
      <c r="F5" s="134"/>
      <c r="G5" s="134"/>
      <c r="H5" s="134"/>
      <c r="K5" s="47"/>
      <c r="L5" s="48" t="s">
        <v>238</v>
      </c>
      <c r="M5" s="48" t="s">
        <v>242</v>
      </c>
      <c r="N5" s="48" t="s">
        <v>244</v>
      </c>
      <c r="O5" s="48" t="s">
        <v>246</v>
      </c>
      <c r="P5" s="48"/>
    </row>
    <row r="6" spans="1:26" x14ac:dyDescent="0.25">
      <c r="A6" s="134" t="s">
        <v>3</v>
      </c>
      <c r="B6" s="134"/>
      <c r="C6" s="134"/>
      <c r="D6" s="134"/>
      <c r="E6" s="200">
        <v>45919</v>
      </c>
      <c r="F6" s="134"/>
      <c r="G6" s="134"/>
      <c r="H6" s="134"/>
      <c r="K6" s="47"/>
      <c r="L6" s="48" t="s">
        <v>239</v>
      </c>
      <c r="M6" s="48"/>
      <c r="N6" s="48"/>
      <c r="O6" s="48" t="s">
        <v>247</v>
      </c>
      <c r="P6" s="48"/>
    </row>
    <row r="7" spans="1:26" ht="16.5" customHeight="1" x14ac:dyDescent="0.25">
      <c r="A7" s="134" t="s">
        <v>4</v>
      </c>
      <c r="B7" s="134"/>
      <c r="C7" s="134"/>
      <c r="D7" s="134"/>
      <c r="E7" s="134" t="s">
        <v>334</v>
      </c>
      <c r="F7" s="134"/>
      <c r="G7" s="134"/>
      <c r="H7" s="134"/>
      <c r="K7" s="47"/>
      <c r="L7" s="48" t="s">
        <v>240</v>
      </c>
      <c r="M7" s="48"/>
      <c r="N7" s="48"/>
      <c r="O7" s="48" t="s">
        <v>247</v>
      </c>
      <c r="P7" s="48"/>
    </row>
    <row r="8" spans="1:26" ht="15" customHeight="1" x14ac:dyDescent="0.25">
      <c r="A8" s="134" t="s">
        <v>5</v>
      </c>
      <c r="B8" s="134"/>
      <c r="C8" s="134"/>
      <c r="D8" s="134"/>
      <c r="E8" s="134" t="str">
        <f>E7</f>
        <v>M/s.GP Infra</v>
      </c>
      <c r="F8" s="134"/>
      <c r="G8" s="134"/>
      <c r="H8" s="134"/>
      <c r="K8" s="47"/>
      <c r="L8" s="48"/>
      <c r="M8" s="48"/>
      <c r="N8" s="48"/>
      <c r="O8" s="48" t="s">
        <v>248</v>
      </c>
      <c r="P8" s="48"/>
    </row>
    <row r="9" spans="1:26" x14ac:dyDescent="0.25">
      <c r="A9" s="134" t="s">
        <v>6</v>
      </c>
      <c r="B9" s="134"/>
      <c r="C9" s="134"/>
      <c r="D9" s="134"/>
      <c r="E9" s="199" t="s">
        <v>333</v>
      </c>
      <c r="F9" s="199"/>
      <c r="G9" s="199"/>
      <c r="H9" s="199"/>
      <c r="K9" s="47"/>
      <c r="L9" s="48"/>
      <c r="M9" s="48"/>
      <c r="N9" s="48"/>
      <c r="O9" s="48" t="s">
        <v>249</v>
      </c>
      <c r="P9" s="48"/>
    </row>
    <row r="10" spans="1:26" x14ac:dyDescent="0.25">
      <c r="A10" s="134" t="s">
        <v>163</v>
      </c>
      <c r="B10" s="134"/>
      <c r="C10" s="134"/>
      <c r="D10" s="134"/>
      <c r="E10" s="134">
        <v>7303223344</v>
      </c>
      <c r="F10" s="134"/>
      <c r="G10" s="134"/>
      <c r="H10" s="134"/>
      <c r="K10" s="47"/>
      <c r="L10" s="48"/>
      <c r="M10" s="48"/>
      <c r="N10" s="48"/>
      <c r="O10" s="48"/>
      <c r="P10" s="48"/>
    </row>
    <row r="11" spans="1:26" x14ac:dyDescent="0.25">
      <c r="A11" s="134" t="s">
        <v>164</v>
      </c>
      <c r="B11" s="134"/>
      <c r="C11" s="134"/>
      <c r="D11" s="134"/>
      <c r="E11" s="134" t="s">
        <v>376</v>
      </c>
      <c r="F11" s="134"/>
      <c r="G11" s="134"/>
      <c r="H11" s="134"/>
    </row>
    <row r="12" spans="1:26" x14ac:dyDescent="0.25">
      <c r="A12" s="134" t="s">
        <v>7</v>
      </c>
      <c r="B12" s="134"/>
      <c r="C12" s="134"/>
      <c r="D12" s="134"/>
      <c r="E12" s="134" t="s">
        <v>335</v>
      </c>
      <c r="F12" s="134"/>
      <c r="G12" s="134"/>
      <c r="H12" s="134"/>
    </row>
    <row r="13" spans="1:26" x14ac:dyDescent="0.25">
      <c r="A13" s="134" t="s">
        <v>167</v>
      </c>
      <c r="B13" s="134"/>
      <c r="C13" s="134"/>
      <c r="D13" s="134"/>
      <c r="E13" s="134" t="s">
        <v>344</v>
      </c>
      <c r="F13" s="134"/>
      <c r="G13" s="134"/>
      <c r="H13" s="134"/>
      <c r="S13" s="48" t="s">
        <v>176</v>
      </c>
      <c r="T13" s="48" t="s">
        <v>185</v>
      </c>
      <c r="U13" s="48" t="s">
        <v>168</v>
      </c>
      <c r="V13" s="48" t="s">
        <v>190</v>
      </c>
      <c r="W13" s="48" t="s">
        <v>208</v>
      </c>
      <c r="X13"/>
      <c r="Y13" t="s">
        <v>190</v>
      </c>
      <c r="Z13" t="e">
        <f ca="1">OFFSET($S$13,1,MATCH($G20,$S$13:$W$13,0)-1,15,1)</f>
        <v>#VALUE!</v>
      </c>
    </row>
    <row r="14" spans="1:26" x14ac:dyDescent="0.25">
      <c r="A14" s="113" t="s">
        <v>276</v>
      </c>
      <c r="B14" s="113"/>
      <c r="C14" s="113"/>
      <c r="D14" s="113"/>
      <c r="E14" s="133" t="s">
        <v>372</v>
      </c>
      <c r="F14" s="133"/>
      <c r="G14" s="133"/>
      <c r="H14" s="133"/>
      <c r="S14" s="48" t="s">
        <v>176</v>
      </c>
      <c r="T14" s="48" t="s">
        <v>183</v>
      </c>
      <c r="U14" s="48" t="s">
        <v>205</v>
      </c>
      <c r="V14" s="48" t="s">
        <v>191</v>
      </c>
      <c r="W14" s="48" t="s">
        <v>209</v>
      </c>
      <c r="X14"/>
      <c r="Y14"/>
      <c r="Z14"/>
    </row>
    <row r="15" spans="1:26" x14ac:dyDescent="0.25">
      <c r="A15" s="113" t="s">
        <v>8</v>
      </c>
      <c r="B15" s="113"/>
      <c r="C15" s="113"/>
      <c r="D15" s="113"/>
      <c r="E15" s="133" t="s">
        <v>336</v>
      </c>
      <c r="F15" s="134"/>
      <c r="G15" s="134"/>
      <c r="H15" s="134"/>
      <c r="I15" s="108" t="e">
        <f ca="1">OFFSET($D$5,1,MATCH($J13,$D$5:$H$5,0)-1,15,1)</f>
        <v>#N/A</v>
      </c>
      <c r="J15" s="109"/>
      <c r="K15" s="109"/>
      <c r="L15" s="109"/>
      <c r="M15" s="109"/>
      <c r="N15" s="109"/>
      <c r="O15" s="109"/>
      <c r="P15" s="109"/>
      <c r="S15" s="48" t="s">
        <v>177</v>
      </c>
      <c r="T15" s="48" t="s">
        <v>184</v>
      </c>
      <c r="U15" s="48" t="s">
        <v>206</v>
      </c>
      <c r="V15" s="48" t="s">
        <v>192</v>
      </c>
      <c r="W15" s="48" t="s">
        <v>222</v>
      </c>
      <c r="X15"/>
      <c r="Y15"/>
      <c r="Z15"/>
    </row>
    <row r="16" spans="1:26" ht="48.75" customHeight="1" x14ac:dyDescent="0.25">
      <c r="A16" s="119" t="s">
        <v>9</v>
      </c>
      <c r="B16" s="119"/>
      <c r="C16" s="119" t="str">
        <f>CONCATENATE((IF(OR(E9="",E9="NA"),"",E9)),", ",(IF(OR(A17="",A17="NA"),"",A17)),".",(IF(OR(C17="",C17="NA"),"",C17)),", near ",(IF(OR(C22="",C22="NA"),"",C22)),", ",(IF(OR(C19="",C19="NA"),"",C19)),", ",(IF(OR(C18="",C18="NA"),"",C18)),", ",(IF(OR(G19="",G19="NA"),"",G19)),", ",(IF(OR(C20="",C20="NA"),"",C20)),", ",(IF(OR(C21="",C21="NA"),"",C21)),", ",(IF(OR(G20="",G20="NA"),"",G20))," - ",(IF(OR(G21="",G21="NA"),"",G21)),".")</f>
        <v>Imperial Heights, Survey No.29, H.No.17/E/ C.T.S No.7655, Redevelopment of " Jitendra Niwas Co.Op. Housing Society Ltd. ", near Santoshi Mata Mandir, Katemanivali Road, Vijay Nagar, Tisgaon, Kalyan East, Kalyan, Thane - 421306.</v>
      </c>
      <c r="D16" s="119"/>
      <c r="E16" s="119"/>
      <c r="F16" s="119"/>
      <c r="G16" s="119"/>
      <c r="H16" s="119"/>
      <c r="S16" s="48" t="s">
        <v>178</v>
      </c>
      <c r="T16" s="48" t="s">
        <v>186</v>
      </c>
      <c r="U16" s="48" t="s">
        <v>207</v>
      </c>
      <c r="V16" s="48" t="s">
        <v>193</v>
      </c>
      <c r="W16" s="48" t="s">
        <v>210</v>
      </c>
      <c r="X16"/>
      <c r="Y16"/>
      <c r="Z16"/>
    </row>
    <row r="17" spans="1:26" ht="32.25" customHeight="1" x14ac:dyDescent="0.25">
      <c r="A17" s="133" t="s">
        <v>337</v>
      </c>
      <c r="B17" s="133"/>
      <c r="C17" s="133" t="s">
        <v>345</v>
      </c>
      <c r="D17" s="133"/>
      <c r="E17" s="133"/>
      <c r="F17" s="133"/>
      <c r="G17" s="133"/>
      <c r="H17" s="133"/>
      <c r="S17" s="48" t="s">
        <v>179</v>
      </c>
      <c r="T17" s="48" t="s">
        <v>187</v>
      </c>
      <c r="U17" s="48" t="s">
        <v>168</v>
      </c>
      <c r="V17" s="48" t="s">
        <v>194</v>
      </c>
      <c r="W17" s="48" t="s">
        <v>211</v>
      </c>
      <c r="X17"/>
      <c r="Y17"/>
      <c r="Z17"/>
    </row>
    <row r="18" spans="1:26" ht="15.75" customHeight="1" x14ac:dyDescent="0.25">
      <c r="A18" s="133" t="s">
        <v>158</v>
      </c>
      <c r="B18" s="133"/>
      <c r="C18" s="133" t="s">
        <v>347</v>
      </c>
      <c r="D18" s="133"/>
      <c r="E18" s="133"/>
      <c r="F18" s="133"/>
      <c r="G18" s="133"/>
      <c r="H18" s="133"/>
      <c r="S18" s="48" t="s">
        <v>180</v>
      </c>
      <c r="T18" s="48" t="s">
        <v>185</v>
      </c>
      <c r="U18" s="48"/>
      <c r="V18" s="48" t="s">
        <v>195</v>
      </c>
      <c r="W18" s="48" t="s">
        <v>212</v>
      </c>
      <c r="X18"/>
      <c r="Y18"/>
      <c r="Z18"/>
    </row>
    <row r="19" spans="1:26" x14ac:dyDescent="0.25">
      <c r="A19" s="119" t="s">
        <v>10</v>
      </c>
      <c r="B19" s="119"/>
      <c r="C19" s="133" t="s">
        <v>346</v>
      </c>
      <c r="D19" s="133"/>
      <c r="E19" s="133" t="s">
        <v>69</v>
      </c>
      <c r="F19" s="133"/>
      <c r="G19" s="133" t="s">
        <v>343</v>
      </c>
      <c r="H19" s="133"/>
      <c r="S19" s="48" t="s">
        <v>181</v>
      </c>
      <c r="T19" s="48" t="s">
        <v>188</v>
      </c>
      <c r="U19" s="48"/>
      <c r="V19" s="48" t="s">
        <v>196</v>
      </c>
      <c r="W19" s="48" t="s">
        <v>213</v>
      </c>
      <c r="X19"/>
      <c r="Y19"/>
      <c r="Z19"/>
    </row>
    <row r="20" spans="1:26" x14ac:dyDescent="0.25">
      <c r="A20" s="113" t="s">
        <v>12</v>
      </c>
      <c r="B20" s="113"/>
      <c r="C20" s="133" t="s">
        <v>342</v>
      </c>
      <c r="D20" s="133"/>
      <c r="E20" s="133" t="s">
        <v>11</v>
      </c>
      <c r="F20" s="133"/>
      <c r="G20" s="202" t="s">
        <v>176</v>
      </c>
      <c r="H20" s="202"/>
      <c r="S20" s="48" t="s">
        <v>182</v>
      </c>
      <c r="T20" s="48" t="s">
        <v>189</v>
      </c>
      <c r="U20" s="48"/>
      <c r="V20" s="48" t="s">
        <v>197</v>
      </c>
      <c r="W20" s="48" t="s">
        <v>214</v>
      </c>
      <c r="X20"/>
      <c r="Y20"/>
      <c r="Z20"/>
    </row>
    <row r="21" spans="1:26" x14ac:dyDescent="0.25">
      <c r="A21" s="113" t="s">
        <v>70</v>
      </c>
      <c r="B21" s="113"/>
      <c r="C21" s="133" t="s">
        <v>178</v>
      </c>
      <c r="D21" s="133"/>
      <c r="E21" s="133" t="s">
        <v>13</v>
      </c>
      <c r="F21" s="133"/>
      <c r="G21" s="133">
        <v>421306</v>
      </c>
      <c r="H21" s="133"/>
      <c r="S21" s="48"/>
      <c r="T21" s="48"/>
      <c r="U21" s="48"/>
      <c r="V21" s="48" t="s">
        <v>198</v>
      </c>
      <c r="W21" s="48" t="s">
        <v>215</v>
      </c>
      <c r="X21"/>
      <c r="Y21"/>
      <c r="Z21"/>
    </row>
    <row r="22" spans="1:26" ht="32.25" customHeight="1" x14ac:dyDescent="0.25">
      <c r="A22" s="113" t="s">
        <v>117</v>
      </c>
      <c r="B22" s="113"/>
      <c r="C22" s="133" t="s">
        <v>340</v>
      </c>
      <c r="D22" s="133"/>
      <c r="E22" s="119" t="s">
        <v>14</v>
      </c>
      <c r="F22" s="119"/>
      <c r="G22" s="133" t="s">
        <v>341</v>
      </c>
      <c r="H22" s="133"/>
      <c r="S22" s="48"/>
      <c r="T22" s="48"/>
      <c r="U22" s="48"/>
      <c r="V22" s="48" t="s">
        <v>199</v>
      </c>
      <c r="W22" s="48" t="s">
        <v>216</v>
      </c>
      <c r="X22"/>
      <c r="Y22"/>
      <c r="Z22"/>
    </row>
    <row r="23" spans="1:26" ht="15" customHeight="1" x14ac:dyDescent="0.25">
      <c r="A23" s="119" t="s">
        <v>72</v>
      </c>
      <c r="B23" s="119"/>
      <c r="C23" s="119"/>
      <c r="D23" s="119"/>
      <c r="E23" s="134" t="s">
        <v>15</v>
      </c>
      <c r="F23" s="134"/>
      <c r="G23" s="134"/>
      <c r="H23" s="134"/>
      <c r="S23" s="48"/>
      <c r="T23" s="48"/>
      <c r="U23" s="48"/>
      <c r="V23" s="48" t="s">
        <v>200</v>
      </c>
      <c r="W23" s="48" t="s">
        <v>217</v>
      </c>
      <c r="X23"/>
      <c r="Y23"/>
      <c r="Z23"/>
    </row>
    <row r="24" spans="1:26" ht="18.75" customHeight="1" x14ac:dyDescent="0.25">
      <c r="A24" s="119"/>
      <c r="B24" s="119"/>
      <c r="C24" s="119"/>
      <c r="D24" s="119"/>
      <c r="E24" s="134"/>
      <c r="F24" s="134"/>
      <c r="G24" s="134"/>
      <c r="H24" s="134"/>
      <c r="S24" s="48"/>
      <c r="T24" s="48"/>
      <c r="U24" s="48"/>
      <c r="V24" s="48" t="s">
        <v>201</v>
      </c>
      <c r="W24" s="48" t="s">
        <v>218</v>
      </c>
      <c r="X24"/>
      <c r="Y24"/>
      <c r="Z24"/>
    </row>
    <row r="25" spans="1:26" ht="15" customHeight="1" x14ac:dyDescent="0.25">
      <c r="A25" s="119" t="s">
        <v>16</v>
      </c>
      <c r="B25" s="119"/>
      <c r="C25" s="119"/>
      <c r="D25" s="119"/>
      <c r="E25" s="133" t="s">
        <v>17</v>
      </c>
      <c r="F25" s="133"/>
      <c r="G25" s="133"/>
      <c r="H25" s="133"/>
      <c r="S25" s="48"/>
      <c r="T25" s="48"/>
      <c r="U25" s="48"/>
      <c r="V25" s="48" t="s">
        <v>202</v>
      </c>
      <c r="W25" s="48" t="s">
        <v>219</v>
      </c>
      <c r="X25"/>
      <c r="Y25"/>
      <c r="Z25"/>
    </row>
    <row r="26" spans="1:26" ht="15" customHeight="1" x14ac:dyDescent="0.25">
      <c r="A26" s="113" t="s">
        <v>18</v>
      </c>
      <c r="B26" s="113"/>
      <c r="C26" s="113"/>
      <c r="D26" s="113"/>
      <c r="E26" s="133" t="str">
        <f>IF(AND(G20="Mumbai"),"Upper Class","Middle Class")</f>
        <v>Middle Class</v>
      </c>
      <c r="F26" s="133"/>
      <c r="G26" s="133"/>
      <c r="H26" s="133"/>
      <c r="S26" s="48"/>
      <c r="T26" s="48"/>
      <c r="U26" s="48"/>
      <c r="V26" s="48" t="s">
        <v>203</v>
      </c>
      <c r="W26" s="48" t="s">
        <v>220</v>
      </c>
      <c r="X26"/>
      <c r="Y26"/>
      <c r="Z26"/>
    </row>
    <row r="27" spans="1:26" x14ac:dyDescent="0.25">
      <c r="A27" s="113" t="s">
        <v>19</v>
      </c>
      <c r="B27" s="113"/>
      <c r="C27" s="113"/>
      <c r="D27" s="113"/>
      <c r="E27" s="133" t="s">
        <v>20</v>
      </c>
      <c r="F27" s="133"/>
      <c r="G27" s="133"/>
      <c r="H27" s="133"/>
      <c r="S27" s="48"/>
      <c r="T27" s="48"/>
      <c r="U27" s="48"/>
      <c r="V27" s="48" t="s">
        <v>204</v>
      </c>
      <c r="W27" s="48" t="s">
        <v>221</v>
      </c>
      <c r="X27"/>
      <c r="Y27"/>
      <c r="Z27"/>
    </row>
    <row r="28" spans="1:26" ht="15.75" customHeight="1" x14ac:dyDescent="0.25">
      <c r="A28" s="113" t="s">
        <v>21</v>
      </c>
      <c r="B28" s="113"/>
      <c r="C28" s="113"/>
      <c r="D28" s="113"/>
      <c r="E28" s="133" t="str">
        <f>IF(AND(G20="Mumbai"),"Developed","Developing")</f>
        <v>Developing</v>
      </c>
      <c r="F28" s="133"/>
      <c r="G28" s="133"/>
      <c r="H28" s="133"/>
    </row>
    <row r="29" spans="1:26" x14ac:dyDescent="0.25">
      <c r="A29" s="113" t="s">
        <v>22</v>
      </c>
      <c r="B29" s="113"/>
      <c r="C29" s="113"/>
      <c r="D29" s="113"/>
      <c r="E29" s="133" t="s">
        <v>23</v>
      </c>
      <c r="F29" s="133"/>
      <c r="G29" s="133"/>
      <c r="H29" s="133"/>
    </row>
    <row r="30" spans="1:26" ht="15.75" customHeight="1" x14ac:dyDescent="0.25">
      <c r="A30" s="113" t="s">
        <v>77</v>
      </c>
      <c r="B30" s="113"/>
      <c r="C30" s="113"/>
      <c r="D30" s="113"/>
      <c r="E30" s="133" t="s">
        <v>78</v>
      </c>
      <c r="F30" s="133"/>
      <c r="G30" s="133"/>
      <c r="H30" s="133"/>
    </row>
    <row r="31" spans="1:26" ht="15" customHeight="1" x14ac:dyDescent="0.25">
      <c r="A31" s="113" t="s">
        <v>30</v>
      </c>
      <c r="B31" s="113"/>
      <c r="C31" s="113"/>
      <c r="D31" s="113"/>
      <c r="E31" s="13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3"/>
      <c r="G31" s="133"/>
      <c r="H31" s="133"/>
    </row>
    <row r="32" spans="1:26" ht="15.75" customHeight="1" x14ac:dyDescent="0.25">
      <c r="A32" s="113" t="s">
        <v>88</v>
      </c>
      <c r="B32" s="113"/>
      <c r="C32" s="113"/>
      <c r="D32" s="113"/>
      <c r="E32" s="133" t="s">
        <v>31</v>
      </c>
      <c r="F32" s="133"/>
      <c r="G32" s="133"/>
      <c r="H32" s="133"/>
    </row>
    <row r="33" spans="1:19" s="19" customFormat="1" x14ac:dyDescent="0.25">
      <c r="A33" s="206" t="s">
        <v>89</v>
      </c>
      <c r="B33" s="206"/>
      <c r="C33" s="111" t="s">
        <v>169</v>
      </c>
      <c r="D33" s="111"/>
      <c r="E33" s="111"/>
      <c r="F33" s="111" t="s">
        <v>29</v>
      </c>
      <c r="G33" s="111"/>
      <c r="H33" s="111"/>
      <c r="S33" s="19" t="e">
        <f ca="1">OFFSET($S$13,1,MATCH($G20,$S$13:$W$13,0)-1,15,1)</f>
        <v>#VALUE!</v>
      </c>
    </row>
    <row r="34" spans="1:19" s="19" customFormat="1" x14ac:dyDescent="0.25">
      <c r="A34" s="205" t="s">
        <v>24</v>
      </c>
      <c r="B34" s="205" t="s">
        <v>28</v>
      </c>
      <c r="C34" s="201" t="s">
        <v>352</v>
      </c>
      <c r="D34" s="201"/>
      <c r="E34" s="201"/>
      <c r="F34" s="201" t="s">
        <v>348</v>
      </c>
      <c r="G34" s="201"/>
      <c r="H34" s="201"/>
    </row>
    <row r="35" spans="1:19" x14ac:dyDescent="0.25">
      <c r="A35" s="205" t="s">
        <v>25</v>
      </c>
      <c r="B35" s="205" t="s">
        <v>28</v>
      </c>
      <c r="C35" s="201" t="s">
        <v>352</v>
      </c>
      <c r="D35" s="201"/>
      <c r="E35" s="201"/>
      <c r="F35" s="201" t="s">
        <v>349</v>
      </c>
      <c r="G35" s="201"/>
      <c r="H35" s="201"/>
    </row>
    <row r="36" spans="1:19" s="19" customFormat="1" ht="30" customHeight="1" x14ac:dyDescent="0.25">
      <c r="A36" s="203" t="s">
        <v>27</v>
      </c>
      <c r="B36" s="203" t="s">
        <v>28</v>
      </c>
      <c r="C36" s="203" t="s">
        <v>351</v>
      </c>
      <c r="D36" s="203"/>
      <c r="E36" s="203"/>
      <c r="F36" s="204" t="s">
        <v>350</v>
      </c>
      <c r="G36" s="204"/>
      <c r="H36" s="204"/>
    </row>
    <row r="37" spans="1:19" x14ac:dyDescent="0.25">
      <c r="A37" s="205" t="s">
        <v>26</v>
      </c>
      <c r="B37" s="205" t="s">
        <v>28</v>
      </c>
      <c r="C37" s="201" t="s">
        <v>352</v>
      </c>
      <c r="D37" s="201"/>
      <c r="E37" s="201"/>
      <c r="F37" s="201" t="s">
        <v>349</v>
      </c>
      <c r="G37" s="201"/>
      <c r="H37" s="201"/>
    </row>
    <row r="38" spans="1:19" x14ac:dyDescent="0.25">
      <c r="A38" s="113" t="s">
        <v>277</v>
      </c>
      <c r="B38" s="113"/>
      <c r="C38" s="113"/>
      <c r="D38" s="113"/>
      <c r="E38" s="113"/>
      <c r="F38" s="113"/>
      <c r="G38" s="113"/>
      <c r="H38" s="113"/>
    </row>
    <row r="39" spans="1:19" ht="15.75" customHeight="1" x14ac:dyDescent="0.25">
      <c r="A39" s="113" t="s">
        <v>161</v>
      </c>
      <c r="B39" s="113"/>
      <c r="C39" s="211" t="s">
        <v>339</v>
      </c>
      <c r="D39" s="211"/>
      <c r="E39" s="211"/>
      <c r="F39" s="211"/>
      <c r="G39" s="211"/>
      <c r="H39" s="211"/>
    </row>
    <row r="40" spans="1:19" x14ac:dyDescent="0.25">
      <c r="A40" s="113" t="s">
        <v>157</v>
      </c>
      <c r="B40" s="113"/>
      <c r="C40" s="222" t="s">
        <v>338</v>
      </c>
      <c r="D40" s="133"/>
      <c r="E40" s="133"/>
      <c r="F40" s="133"/>
      <c r="G40" s="133"/>
      <c r="H40" s="133"/>
    </row>
    <row r="41" spans="1:19" x14ac:dyDescent="0.25">
      <c r="A41" s="211" t="s">
        <v>32</v>
      </c>
      <c r="B41" s="211"/>
      <c r="C41" s="211"/>
      <c r="D41" s="211"/>
      <c r="E41" s="211"/>
      <c r="F41" s="211"/>
      <c r="G41" s="211"/>
      <c r="H41" s="211"/>
    </row>
    <row r="42" spans="1:19" x14ac:dyDescent="0.25">
      <c r="A42" s="113" t="s">
        <v>33</v>
      </c>
      <c r="B42" s="113"/>
      <c r="C42" s="113"/>
      <c r="D42" s="113"/>
      <c r="E42" s="210">
        <v>1439</v>
      </c>
      <c r="F42" s="210"/>
      <c r="G42" s="210"/>
      <c r="H42" s="210"/>
    </row>
    <row r="43" spans="1:19" x14ac:dyDescent="0.25">
      <c r="A43" s="113" t="s">
        <v>34</v>
      </c>
      <c r="B43" s="113"/>
      <c r="C43" s="113"/>
      <c r="D43" s="113"/>
      <c r="E43" s="120">
        <f>1582.9/E42</f>
        <v>1.1000000000000001</v>
      </c>
      <c r="F43" s="120"/>
      <c r="G43" s="120"/>
      <c r="H43" s="120"/>
    </row>
    <row r="44" spans="1:19" x14ac:dyDescent="0.25">
      <c r="A44" s="113" t="s">
        <v>35</v>
      </c>
      <c r="B44" s="113"/>
      <c r="C44" s="113"/>
      <c r="D44" s="113"/>
      <c r="E44" s="120">
        <f>E46/E42-E43</f>
        <v>3.5123974982626822</v>
      </c>
      <c r="F44" s="120"/>
      <c r="G44" s="120"/>
      <c r="H44" s="120"/>
    </row>
    <row r="45" spans="1:19" x14ac:dyDescent="0.25">
      <c r="A45" s="113" t="s">
        <v>36</v>
      </c>
      <c r="B45" s="113"/>
      <c r="C45" s="113"/>
      <c r="D45" s="113"/>
      <c r="E45" s="120">
        <f>E43+E44</f>
        <v>4.6123974982626823</v>
      </c>
      <c r="F45" s="120"/>
      <c r="G45" s="120"/>
      <c r="H45" s="120"/>
    </row>
    <row r="46" spans="1:19" x14ac:dyDescent="0.25">
      <c r="A46" s="113" t="s">
        <v>87</v>
      </c>
      <c r="B46" s="113"/>
      <c r="C46" s="113"/>
      <c r="D46" s="113"/>
      <c r="E46" s="214">
        <v>6637.24</v>
      </c>
      <c r="F46" s="214"/>
      <c r="G46" s="214"/>
      <c r="H46" s="214"/>
    </row>
    <row r="47" spans="1:19" x14ac:dyDescent="0.25">
      <c r="A47" s="134" t="s">
        <v>37</v>
      </c>
      <c r="B47" s="134"/>
      <c r="C47" s="134"/>
      <c r="D47" s="134"/>
      <c r="E47" s="134" t="s">
        <v>397</v>
      </c>
      <c r="F47" s="134"/>
      <c r="G47" s="134"/>
      <c r="H47" s="134"/>
    </row>
    <row r="48" spans="1:19" x14ac:dyDescent="0.25">
      <c r="A48" s="211" t="s">
        <v>38</v>
      </c>
      <c r="B48" s="211"/>
      <c r="C48" s="211"/>
      <c r="D48" s="211"/>
      <c r="E48" s="211"/>
      <c r="F48" s="211"/>
      <c r="G48" s="211"/>
      <c r="H48" s="211"/>
    </row>
    <row r="49" spans="1:24" ht="33.75" customHeight="1" x14ac:dyDescent="0.25">
      <c r="A49" s="128" t="s">
        <v>146</v>
      </c>
      <c r="B49" s="129"/>
      <c r="C49" s="229" t="s">
        <v>258</v>
      </c>
      <c r="D49" s="230"/>
      <c r="E49" s="230"/>
      <c r="F49" s="230"/>
      <c r="G49" s="230"/>
      <c r="H49" s="231"/>
      <c r="R49" t="s">
        <v>250</v>
      </c>
      <c r="S49" t="s">
        <v>168</v>
      </c>
      <c r="T49" t="s">
        <v>175</v>
      </c>
      <c r="U49" t="s">
        <v>190</v>
      </c>
      <c r="V49" t="s">
        <v>185</v>
      </c>
    </row>
    <row r="50" spans="1:24" ht="15.75" customHeight="1" x14ac:dyDescent="0.25">
      <c r="A50" s="128" t="s">
        <v>39</v>
      </c>
      <c r="B50" s="129"/>
      <c r="C50" s="128" t="s">
        <v>392</v>
      </c>
      <c r="D50" s="130"/>
      <c r="E50" s="129"/>
      <c r="F50" s="15" t="s">
        <v>40</v>
      </c>
      <c r="G50" s="131">
        <v>45698</v>
      </c>
      <c r="H50" s="129"/>
      <c r="R50"/>
      <c r="S50" t="s">
        <v>251</v>
      </c>
      <c r="T50" t="s">
        <v>256</v>
      </c>
      <c r="U50" t="s">
        <v>267</v>
      </c>
      <c r="V50" t="s">
        <v>272</v>
      </c>
    </row>
    <row r="51" spans="1:24" x14ac:dyDescent="0.25">
      <c r="A51" s="128" t="s">
        <v>41</v>
      </c>
      <c r="B51" s="129"/>
      <c r="C51" s="128" t="str">
        <f>C50</f>
        <v>KDMC/TPD/BP/KD/2023-24/67/179</v>
      </c>
      <c r="D51" s="130"/>
      <c r="E51" s="129"/>
      <c r="F51" s="15" t="s">
        <v>40</v>
      </c>
      <c r="G51" s="131">
        <f>G50</f>
        <v>45698</v>
      </c>
      <c r="H51" s="129"/>
      <c r="R51"/>
      <c r="S51" t="s">
        <v>252</v>
      </c>
      <c r="T51" t="s">
        <v>257</v>
      </c>
      <c r="U51" t="s">
        <v>265</v>
      </c>
      <c r="V51" t="s">
        <v>273</v>
      </c>
    </row>
    <row r="52" spans="1:24" s="20" customFormat="1" ht="15.75" customHeight="1" x14ac:dyDescent="0.25">
      <c r="A52" s="141" t="s">
        <v>150</v>
      </c>
      <c r="B52" s="142"/>
      <c r="C52" s="128" t="s">
        <v>378</v>
      </c>
      <c r="D52" s="130"/>
      <c r="E52" s="129"/>
      <c r="F52" s="15" t="s">
        <v>40</v>
      </c>
      <c r="G52" s="131">
        <v>45540</v>
      </c>
      <c r="H52" s="129"/>
      <c r="R52"/>
      <c r="S52" t="s">
        <v>253</v>
      </c>
      <c r="T52" t="s">
        <v>258</v>
      </c>
      <c r="U52" t="s">
        <v>255</v>
      </c>
      <c r="V52" t="s">
        <v>274</v>
      </c>
    </row>
    <row r="53" spans="1:24" s="20" customFormat="1" ht="65.099999999999994" customHeight="1" x14ac:dyDescent="0.25">
      <c r="A53" s="143"/>
      <c r="B53" s="144"/>
      <c r="C53" s="128" t="s">
        <v>379</v>
      </c>
      <c r="D53" s="130"/>
      <c r="E53" s="130"/>
      <c r="F53" s="130"/>
      <c r="G53" s="130"/>
      <c r="H53" s="129"/>
      <c r="R53"/>
      <c r="S53" t="s">
        <v>254</v>
      </c>
      <c r="T53" t="s">
        <v>261</v>
      </c>
      <c r="U53" t="s">
        <v>268</v>
      </c>
    </row>
    <row r="54" spans="1:24" s="20" customFormat="1" hidden="1" x14ac:dyDescent="0.25">
      <c r="A54" s="137" t="s">
        <v>278</v>
      </c>
      <c r="B54" s="138"/>
      <c r="C54" s="128" t="str">
        <f>C53</f>
        <v>Building No.1 = Natural St.+ Gr + 1st to 2nd Floor (Commercial) + 3rd to 7th Floor (Residential)
Building No.2 = Natural St. + 1st to 7th Floor
Building No.3 = Natural St.+ Gr + 1st to 14th Floor</v>
      </c>
      <c r="D54" s="130"/>
      <c r="E54" s="129"/>
      <c r="F54" s="15" t="s">
        <v>40</v>
      </c>
      <c r="G54" s="128"/>
      <c r="H54" s="129"/>
      <c r="R54"/>
      <c r="S54" t="s">
        <v>253</v>
      </c>
      <c r="T54" t="s">
        <v>258</v>
      </c>
      <c r="U54" t="s">
        <v>255</v>
      </c>
      <c r="V54" t="s">
        <v>274</v>
      </c>
    </row>
    <row r="55" spans="1:24" s="20" customFormat="1" ht="32.25" hidden="1" customHeight="1" x14ac:dyDescent="0.25">
      <c r="A55" s="139"/>
      <c r="B55" s="140"/>
      <c r="C55" s="226"/>
      <c r="D55" s="227"/>
      <c r="E55" s="227"/>
      <c r="F55" s="227"/>
      <c r="G55" s="227"/>
      <c r="H55" s="228"/>
      <c r="R55"/>
      <c r="S55" t="s">
        <v>255</v>
      </c>
      <c r="T55" t="s">
        <v>259</v>
      </c>
      <c r="U55" t="s">
        <v>269</v>
      </c>
      <c r="V55" s="18"/>
      <c r="W55" s="18"/>
      <c r="X55" s="18"/>
    </row>
    <row r="56" spans="1:24" s="20" customFormat="1" ht="34.5" hidden="1" customHeight="1" x14ac:dyDescent="0.25">
      <c r="A56" s="137" t="s">
        <v>279</v>
      </c>
      <c r="B56" s="138"/>
      <c r="C56" s="128">
        <f>C55</f>
        <v>0</v>
      </c>
      <c r="D56" s="130"/>
      <c r="E56" s="129"/>
      <c r="F56" s="15" t="s">
        <v>40</v>
      </c>
      <c r="G56" s="128">
        <f>G55</f>
        <v>0</v>
      </c>
      <c r="H56" s="129"/>
      <c r="R56"/>
      <c r="S56" s="18"/>
      <c r="T56" t="s">
        <v>260</v>
      </c>
      <c r="U56" t="s">
        <v>270</v>
      </c>
      <c r="V56" s="18"/>
      <c r="W56" s="18"/>
      <c r="X56" s="18"/>
    </row>
    <row r="57" spans="1:24" s="20" customFormat="1" ht="41.25" hidden="1" customHeight="1" x14ac:dyDescent="0.25">
      <c r="A57" s="139"/>
      <c r="B57" s="140"/>
      <c r="C57" s="128"/>
      <c r="D57" s="130"/>
      <c r="E57" s="130"/>
      <c r="F57" s="130"/>
      <c r="G57" s="130"/>
      <c r="H57" s="129"/>
      <c r="R57"/>
      <c r="S57" s="18"/>
      <c r="T57" t="s">
        <v>262</v>
      </c>
      <c r="U57" t="s">
        <v>271</v>
      </c>
      <c r="V57" s="18"/>
      <c r="W57" s="18"/>
      <c r="X57" s="18"/>
    </row>
    <row r="58" spans="1:24" s="20" customFormat="1" ht="15.75" hidden="1" customHeight="1" x14ac:dyDescent="0.25">
      <c r="A58" s="137" t="s">
        <v>280</v>
      </c>
      <c r="B58" s="138"/>
      <c r="C58" s="128">
        <f>C57</f>
        <v>0</v>
      </c>
      <c r="D58" s="130"/>
      <c r="E58" s="129"/>
      <c r="F58" s="15" t="s">
        <v>40</v>
      </c>
      <c r="G58" s="128">
        <f>G57</f>
        <v>0</v>
      </c>
      <c r="H58" s="129"/>
      <c r="R58"/>
      <c r="S58" s="18"/>
      <c r="T58" t="s">
        <v>263</v>
      </c>
      <c r="U58" s="18" t="s">
        <v>294</v>
      </c>
      <c r="V58" s="18"/>
      <c r="W58" s="18"/>
      <c r="X58" s="18"/>
    </row>
    <row r="59" spans="1:24" s="20" customFormat="1" ht="33.75" hidden="1" customHeight="1" x14ac:dyDescent="0.25">
      <c r="A59" s="139"/>
      <c r="B59" s="140"/>
      <c r="C59" s="128"/>
      <c r="D59" s="130"/>
      <c r="E59" s="130"/>
      <c r="F59" s="130"/>
      <c r="G59" s="130"/>
      <c r="H59" s="129"/>
      <c r="R59"/>
      <c r="S59" s="18"/>
      <c r="T59" t="s">
        <v>264</v>
      </c>
      <c r="U59" s="18"/>
      <c r="V59" s="18"/>
      <c r="W59" s="18"/>
      <c r="X59" s="18"/>
    </row>
    <row r="60" spans="1:24" x14ac:dyDescent="0.25">
      <c r="A60" s="114" t="s">
        <v>42</v>
      </c>
      <c r="B60" s="115"/>
      <c r="C60" s="114" t="s">
        <v>101</v>
      </c>
      <c r="D60" s="116"/>
      <c r="E60" s="115"/>
      <c r="F60" s="40" t="s">
        <v>40</v>
      </c>
      <c r="G60" s="135" t="s">
        <v>28</v>
      </c>
      <c r="H60" s="136"/>
      <c r="R60"/>
      <c r="T60" t="s">
        <v>266</v>
      </c>
    </row>
    <row r="61" spans="1:24" x14ac:dyDescent="0.25">
      <c r="A61" s="132" t="s">
        <v>44</v>
      </c>
      <c r="B61" s="132"/>
      <c r="C61" s="132"/>
      <c r="D61" s="132"/>
      <c r="E61" s="132"/>
      <c r="F61" s="132"/>
      <c r="G61" s="132"/>
      <c r="H61" s="132"/>
      <c r="T61" t="s">
        <v>275</v>
      </c>
    </row>
    <row r="62" spans="1:24" ht="33" customHeight="1" x14ac:dyDescent="0.25">
      <c r="A62" s="119" t="s">
        <v>353</v>
      </c>
      <c r="B62" s="119"/>
      <c r="C62" s="119"/>
      <c r="D62" s="113">
        <f>E46</f>
        <v>6637.24</v>
      </c>
      <c r="E62" s="113"/>
      <c r="F62" s="113"/>
      <c r="G62" s="113"/>
      <c r="H62" s="113"/>
      <c r="R62"/>
    </row>
    <row r="63" spans="1:24" x14ac:dyDescent="0.25">
      <c r="A63" s="133" t="s">
        <v>45</v>
      </c>
      <c r="B63" s="134"/>
      <c r="C63" s="134"/>
      <c r="D63" s="134" t="s">
        <v>389</v>
      </c>
      <c r="E63" s="134"/>
      <c r="F63" s="134"/>
      <c r="G63" s="134"/>
      <c r="H63" s="134"/>
      <c r="I63" s="21"/>
      <c r="R63"/>
    </row>
    <row r="64" spans="1:24" ht="48.75" customHeight="1" x14ac:dyDescent="0.25">
      <c r="A64" s="145" t="s">
        <v>46</v>
      </c>
      <c r="B64" s="146"/>
      <c r="C64" s="221"/>
      <c r="D64" s="219" t="s">
        <v>390</v>
      </c>
      <c r="E64" s="220"/>
      <c r="F64" s="220"/>
      <c r="G64" s="220"/>
      <c r="H64" s="220"/>
      <c r="R64"/>
    </row>
    <row r="65" spans="1:19" ht="15.75" customHeight="1" x14ac:dyDescent="0.25">
      <c r="A65" s="145" t="s">
        <v>85</v>
      </c>
      <c r="B65" s="146"/>
      <c r="C65" s="146"/>
      <c r="D65" s="134" t="s">
        <v>360</v>
      </c>
      <c r="E65" s="134"/>
      <c r="F65" s="134"/>
      <c r="G65" s="134"/>
      <c r="H65" s="134"/>
      <c r="R65"/>
    </row>
    <row r="66" spans="1:19" ht="15.75" customHeight="1" x14ac:dyDescent="0.25">
      <c r="A66" s="147"/>
      <c r="B66" s="148"/>
      <c r="C66" s="148"/>
      <c r="D66" s="134" t="s">
        <v>357</v>
      </c>
      <c r="E66" s="134"/>
      <c r="F66" s="134"/>
      <c r="G66" s="134"/>
      <c r="H66" s="134"/>
      <c r="R66"/>
    </row>
    <row r="67" spans="1:19" ht="15.75" customHeight="1" x14ac:dyDescent="0.25">
      <c r="A67" s="149"/>
      <c r="B67" s="150"/>
      <c r="C67" s="150"/>
      <c r="D67" s="134" t="s">
        <v>356</v>
      </c>
      <c r="E67" s="134"/>
      <c r="F67" s="134"/>
      <c r="G67" s="134"/>
      <c r="H67" s="134"/>
      <c r="S67"/>
    </row>
    <row r="68" spans="1:19" ht="15.75" customHeight="1" x14ac:dyDescent="0.25">
      <c r="A68" s="113" t="s">
        <v>43</v>
      </c>
      <c r="B68" s="113"/>
      <c r="C68" s="113"/>
      <c r="D68" s="212" t="s">
        <v>354</v>
      </c>
      <c r="E68" s="212"/>
      <c r="F68" s="212"/>
      <c r="G68" s="212"/>
      <c r="H68" s="212"/>
      <c r="J68" s="22"/>
      <c r="K68" s="21"/>
      <c r="N68" s="21"/>
      <c r="S68"/>
    </row>
    <row r="69" spans="1:19" ht="15.75" customHeight="1" x14ac:dyDescent="0.25">
      <c r="A69" s="113" t="s">
        <v>83</v>
      </c>
      <c r="B69" s="113"/>
      <c r="C69" s="113"/>
      <c r="D69" s="213" t="str">
        <f>(IF(G60="NA","60 Years After Completion",IF(G60&lt;&gt;"NA",""&amp;60-ROUNDDOWN((E3-G60)/360,0)&amp;" Years"," ")))</f>
        <v>60 Years After Completion</v>
      </c>
      <c r="E69" s="213"/>
      <c r="F69" s="213"/>
      <c r="G69" s="213"/>
      <c r="H69" s="213"/>
      <c r="N69" s="21"/>
      <c r="S69"/>
    </row>
    <row r="70" spans="1:19" ht="15.75" customHeight="1" x14ac:dyDescent="0.25">
      <c r="A70" s="113" t="s">
        <v>84</v>
      </c>
      <c r="B70" s="113"/>
      <c r="C70" s="113"/>
      <c r="D70" s="119" t="s">
        <v>23</v>
      </c>
      <c r="E70" s="119"/>
      <c r="F70" s="119"/>
      <c r="G70" s="119"/>
      <c r="H70" s="119"/>
      <c r="J70" s="23"/>
      <c r="K70" s="23"/>
      <c r="S70"/>
    </row>
    <row r="71" spans="1:19" ht="31.5" customHeight="1" x14ac:dyDescent="0.25">
      <c r="A71" s="134" t="s">
        <v>355</v>
      </c>
      <c r="B71" s="134"/>
      <c r="C71" s="134"/>
      <c r="D71" s="133" t="s">
        <v>373</v>
      </c>
      <c r="E71" s="133"/>
      <c r="F71" s="133"/>
      <c r="G71" s="133"/>
      <c r="H71" s="133"/>
      <c r="I71" s="18" t="s">
        <v>358</v>
      </c>
      <c r="S71"/>
    </row>
    <row r="72" spans="1:19" x14ac:dyDescent="0.25">
      <c r="A72" s="119" t="s">
        <v>143</v>
      </c>
      <c r="B72" s="119"/>
      <c r="C72" s="119"/>
      <c r="D72" s="119" t="s">
        <v>28</v>
      </c>
      <c r="E72" s="119"/>
      <c r="F72" s="119"/>
      <c r="G72" s="119"/>
      <c r="H72" s="119"/>
      <c r="I72" s="24"/>
      <c r="J72" s="24"/>
      <c r="K72" s="24"/>
      <c r="L72" s="24"/>
      <c r="M72" s="24"/>
      <c r="N72" s="24"/>
    </row>
    <row r="73" spans="1:19" ht="15.75" customHeight="1" x14ac:dyDescent="0.25">
      <c r="A73" s="113" t="s">
        <v>82</v>
      </c>
      <c r="B73" s="113"/>
      <c r="C73" s="113"/>
      <c r="D73" s="133" t="str">
        <f ca="1">(IF(G79&gt;95%,"Nothing",IF(G79&gt;0%,"Cement, Aggregate, Steel, etc",IF(G79=0%,"Work not yet Started"))))</f>
        <v>Cement, Aggregate, Steel, etc</v>
      </c>
      <c r="E73" s="133"/>
      <c r="F73" s="133"/>
      <c r="G73" s="133"/>
      <c r="H73" s="133"/>
      <c r="J73" s="23"/>
      <c r="S73"/>
    </row>
    <row r="74" spans="1:19" ht="33.75" customHeight="1" thickBot="1" x14ac:dyDescent="0.3">
      <c r="A74" s="119" t="s">
        <v>114</v>
      </c>
      <c r="B74" s="119"/>
      <c r="C74" s="119"/>
      <c r="D74" s="133" t="str">
        <f ca="1">(IF(D73="Nothing","Yes",IF(D73="Cement, Aggregate, Steel, etc","Under Construction",IF(D73="Work not yet Started","Work not yet Started"))))</f>
        <v>Under Construction</v>
      </c>
      <c r="E74" s="133"/>
      <c r="F74" s="133" t="str">
        <f ca="1">(IF(D73="Nothing","Yes",IF(D73="Cement, Aggregate, Steel, etc","Under Construction",IF(D73="Work not yet Started","Work not yet Started"))))</f>
        <v>Under Construction</v>
      </c>
      <c r="G74" s="133"/>
      <c r="H74" s="133"/>
      <c r="S74"/>
    </row>
    <row r="75" spans="1:19" ht="15.75" customHeight="1" x14ac:dyDescent="0.25">
      <c r="A75" s="232" t="s">
        <v>135</v>
      </c>
      <c r="B75" s="232"/>
      <c r="C75" s="232" t="str">
        <f>D65</f>
        <v>Building No.1 = 1B + Gr/St + 1st to 7th Floor</v>
      </c>
      <c r="D75" s="232"/>
      <c r="E75" s="232"/>
      <c r="F75" s="232"/>
      <c r="G75" s="232"/>
      <c r="H75" s="232"/>
      <c r="I75" s="88" t="str">
        <f ca="1">IF(D88=100%,"All work Completed. Possession granted to the Building.",IF(D87=100%,"All work Completed, Waiting for OC",I76&amp;""&amp;I77&amp;""&amp;J76&amp;""&amp;J75&amp;" "&amp;J77))</f>
        <v>Excavation, Plinth Completed, RCC upto 6 Slab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6 Slab</v>
      </c>
      <c r="S75"/>
    </row>
    <row r="76" spans="1:19" x14ac:dyDescent="0.25">
      <c r="A76" s="77" t="s">
        <v>137</v>
      </c>
      <c r="B76" s="77">
        <f>IF(AND(ISNUMBER(SEARCH("1B",C75))),1,IF(AND(ISNUMBER(SEARCH("2B",C75))),2,IF(AND(ISNUMBER(SEARCH("3B",C75))),3,IF(AND(ISNUMBER(SEARCH("4B",C75))),4,IF(ISNUMBER(SEARCH("5B",C75)),5,0)))))</f>
        <v>1</v>
      </c>
      <c r="C76" s="77" t="s">
        <v>68</v>
      </c>
      <c r="D76" s="77">
        <v>1</v>
      </c>
      <c r="E76" s="77" t="s">
        <v>67</v>
      </c>
      <c r="F76" s="77">
        <v>0</v>
      </c>
      <c r="G76" s="77" t="s">
        <v>76</v>
      </c>
      <c r="H76" s="77">
        <f ca="1">--TRIM(RIGHT(SUBSTITUTE(LEFT(C75,_xlfn.AGGREGATE(16,6,FIND({0,1,2,3,4,5,6,7,8,9},C75,ROW(INDIRECT("1:"&amp;LEN(C75)))),1))," ",REPT(" ",LEN(C75))),LEN(C75)))</f>
        <v>7</v>
      </c>
      <c r="I76" s="89"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72" t="s">
        <v>86</v>
      </c>
      <c r="B77" s="172"/>
      <c r="C77" s="232" t="str">
        <f ca="1">I75</f>
        <v>Excavation, Plinth Completed, RCC upto 6 Slab Completed</v>
      </c>
      <c r="D77" s="232"/>
      <c r="E77" s="232"/>
      <c r="F77" s="232"/>
      <c r="G77" s="232"/>
      <c r="H77" s="232"/>
      <c r="I77" s="89" t="str">
        <f ca="1">IF(I76&lt;&gt;""," Completed","")</f>
        <v xml:space="preserve"> Completed</v>
      </c>
      <c r="J77" s="45" t="str">
        <f ca="1">IF(J75&lt;&gt;"","Completed","")</f>
        <v>Completed</v>
      </c>
      <c r="S77"/>
    </row>
    <row r="78" spans="1:19" ht="15.75" customHeight="1" x14ac:dyDescent="0.25">
      <c r="A78" s="127" t="s">
        <v>47</v>
      </c>
      <c r="B78" s="127"/>
      <c r="C78" s="86" t="s">
        <v>134</v>
      </c>
      <c r="D78" s="86" t="s">
        <v>79</v>
      </c>
      <c r="E78" s="127" t="s">
        <v>81</v>
      </c>
      <c r="F78" s="127"/>
      <c r="G78" s="127" t="s">
        <v>80</v>
      </c>
      <c r="H78" s="127"/>
      <c r="I78" s="13" t="s">
        <v>136</v>
      </c>
      <c r="J78" s="25">
        <f ca="1">H76*25%</f>
        <v>1.75</v>
      </c>
      <c r="S78"/>
    </row>
    <row r="79" spans="1:19" x14ac:dyDescent="0.25">
      <c r="A79" s="126" t="s">
        <v>123</v>
      </c>
      <c r="B79" s="127"/>
      <c r="C79" s="73">
        <f ca="1">J80</f>
        <v>7</v>
      </c>
      <c r="D79" s="16">
        <f ca="1">((100/H76)*C79)/100</f>
        <v>1</v>
      </c>
      <c r="E79" s="165">
        <f ca="1">(((C80/H76*10)+(40/(D76+F76+H76)*C81)+(7.5/(H76)*C82)+(7.5/(H76)*C83)+(10/H76*C84)+(10/H76*C85)+(5/H76*C86)+(5/H76*C87)+(5/H76*C88))/100)</f>
        <v>0.4</v>
      </c>
      <c r="F79" s="166"/>
      <c r="G79" s="165">
        <f ca="1">((((C79/H76)*20)+((C80/H76)*25)+(30/(H76+F76+D76)*C81)+(5/H76*C82)+(5/H76*C83)+(5/H76*C84)+(5/H76*C85)+(0/H76*C86)+(0/H76*C87)+(5/H76*C88))/100)</f>
        <v>0.67500000000000004</v>
      </c>
      <c r="H79" s="207"/>
      <c r="I79" s="13" t="s">
        <v>96</v>
      </c>
      <c r="J79" s="26">
        <f ca="1">H76*50%</f>
        <v>3.5</v>
      </c>
    </row>
    <row r="80" spans="1:19" x14ac:dyDescent="0.25">
      <c r="A80" s="126" t="s">
        <v>48</v>
      </c>
      <c r="B80" s="127"/>
      <c r="C80" s="79">
        <f ca="1">J88</f>
        <v>7</v>
      </c>
      <c r="D80" s="16">
        <f ca="1">((100/H76)*C80)/100</f>
        <v>1</v>
      </c>
      <c r="E80" s="167"/>
      <c r="F80" s="168"/>
      <c r="G80" s="167"/>
      <c r="H80" s="208"/>
      <c r="I80" s="13" t="s">
        <v>97</v>
      </c>
      <c r="J80" s="26">
        <f ca="1">H76</f>
        <v>7</v>
      </c>
      <c r="S80"/>
    </row>
    <row r="81" spans="1:19" ht="15.75" customHeight="1" x14ac:dyDescent="0.25">
      <c r="A81" s="126" t="s">
        <v>124</v>
      </c>
      <c r="B81" s="127"/>
      <c r="C81" s="73">
        <v>6</v>
      </c>
      <c r="D81" s="16">
        <f ca="1">((100/(D76+F76+H76))*C81)/100</f>
        <v>0.75</v>
      </c>
      <c r="E81" s="167"/>
      <c r="F81" s="168"/>
      <c r="G81" s="167"/>
      <c r="H81" s="208"/>
      <c r="I81" s="13" t="s">
        <v>98</v>
      </c>
      <c r="J81" s="27">
        <f ca="1">(IF(B76&gt;1,(H76/(B76+2)),H76/4))</f>
        <v>1.75</v>
      </c>
      <c r="S81"/>
    </row>
    <row r="82" spans="1:19" ht="15.75" customHeight="1" x14ac:dyDescent="0.25">
      <c r="A82" s="126" t="s">
        <v>131</v>
      </c>
      <c r="B82" s="127" t="s">
        <v>125</v>
      </c>
      <c r="C82" s="73">
        <v>0</v>
      </c>
      <c r="D82" s="16">
        <f ca="1">((100/H76)*C82)/100</f>
        <v>0</v>
      </c>
      <c r="E82" s="167"/>
      <c r="F82" s="168"/>
      <c r="G82" s="167"/>
      <c r="H82" s="208"/>
      <c r="I82" s="13" t="s">
        <v>99</v>
      </c>
      <c r="J82" s="27">
        <f ca="1">(IF(B76&gt;1,(H76/(B76+2)+J81),H76/4+J81))</f>
        <v>3.5</v>
      </c>
    </row>
    <row r="83" spans="1:19" ht="15.75" customHeight="1" x14ac:dyDescent="0.25">
      <c r="A83" s="126" t="s">
        <v>132</v>
      </c>
      <c r="B83" s="127" t="s">
        <v>125</v>
      </c>
      <c r="C83" s="73">
        <v>0</v>
      </c>
      <c r="D83" s="16">
        <f ca="1">((100/H76)*C83)/100</f>
        <v>0</v>
      </c>
      <c r="E83" s="167"/>
      <c r="F83" s="168"/>
      <c r="G83" s="167"/>
      <c r="H83" s="208"/>
      <c r="I83" s="13" t="s">
        <v>141</v>
      </c>
      <c r="J83" s="27">
        <f>(IF(B76&gt;1,(H76/(B76+2)+J82),0))</f>
        <v>0</v>
      </c>
    </row>
    <row r="84" spans="1:19" ht="15" customHeight="1" x14ac:dyDescent="0.25">
      <c r="A84" s="126" t="s">
        <v>130</v>
      </c>
      <c r="B84" s="127" t="s">
        <v>127</v>
      </c>
      <c r="C84" s="73">
        <v>0</v>
      </c>
      <c r="D84" s="16">
        <f ca="1">((100/(H76))*C84)/100</f>
        <v>0</v>
      </c>
      <c r="E84" s="167"/>
      <c r="F84" s="168"/>
      <c r="G84" s="167"/>
      <c r="H84" s="208"/>
      <c r="I84" s="13" t="s">
        <v>138</v>
      </c>
      <c r="J84" s="27">
        <f>(IF(B76&gt;2,(H76/(B76+2)+J83),0))</f>
        <v>0</v>
      </c>
    </row>
    <row r="85" spans="1:19" ht="15.75" customHeight="1" x14ac:dyDescent="0.25">
      <c r="A85" s="126" t="s">
        <v>126</v>
      </c>
      <c r="B85" s="127" t="s">
        <v>126</v>
      </c>
      <c r="C85" s="73">
        <v>0</v>
      </c>
      <c r="D85" s="16">
        <f ca="1">((100/H76)*C85)/100</f>
        <v>0</v>
      </c>
      <c r="E85" s="167"/>
      <c r="F85" s="168"/>
      <c r="G85" s="167"/>
      <c r="H85" s="208"/>
      <c r="I85" s="13" t="s">
        <v>139</v>
      </c>
      <c r="J85" s="28">
        <f>(IF(B76&gt;3,(H76/(B76+2)+J84),0))</f>
        <v>0</v>
      </c>
    </row>
    <row r="86" spans="1:19" ht="15.75" customHeight="1" x14ac:dyDescent="0.25">
      <c r="A86" s="126" t="s">
        <v>133</v>
      </c>
      <c r="B86" s="127"/>
      <c r="C86" s="73">
        <v>0</v>
      </c>
      <c r="D86" s="16">
        <f ca="1">((100/H76)*C86)/100</f>
        <v>0</v>
      </c>
      <c r="E86" s="167"/>
      <c r="F86" s="168"/>
      <c r="G86" s="167"/>
      <c r="H86" s="208"/>
      <c r="I86" s="13" t="s">
        <v>140</v>
      </c>
      <c r="J86" s="27">
        <f>(IF(B76&gt;4,(H76/(B76+2)+J85),0))</f>
        <v>0</v>
      </c>
    </row>
    <row r="87" spans="1:19" ht="15.75" customHeight="1" x14ac:dyDescent="0.25">
      <c r="A87" s="126" t="s">
        <v>128</v>
      </c>
      <c r="B87" s="127" t="s">
        <v>128</v>
      </c>
      <c r="C87" s="73">
        <v>0</v>
      </c>
      <c r="D87" s="16">
        <f ca="1">((100/(H76))*C87)/100</f>
        <v>0</v>
      </c>
      <c r="E87" s="167"/>
      <c r="F87" s="168"/>
      <c r="G87" s="167"/>
      <c r="H87" s="208"/>
      <c r="I87" s="13" t="s">
        <v>142</v>
      </c>
      <c r="J87" s="27">
        <f ca="1">(IF(B76=1,(H76/(B76+3)+J82),IF(B76=0,(H76/4+J82),IF(B76&gt;1,0))))</f>
        <v>5.25</v>
      </c>
    </row>
    <row r="88" spans="1:19" ht="16.5" thickBot="1" x14ac:dyDescent="0.3">
      <c r="A88" s="157" t="s">
        <v>129</v>
      </c>
      <c r="B88" s="158"/>
      <c r="C88" s="72">
        <v>0</v>
      </c>
      <c r="D88" s="17">
        <f ca="1">((100/(H76))*C88)/100</f>
        <v>0</v>
      </c>
      <c r="E88" s="169"/>
      <c r="F88" s="170"/>
      <c r="G88" s="169"/>
      <c r="H88" s="209"/>
      <c r="I88" s="14" t="s">
        <v>100</v>
      </c>
      <c r="J88" s="29">
        <f ca="1">(IF(B76&gt;1.5,(H76/(B76+2)+J82+MAX(0,J83-J82)+MAX(0,J84-J83)+MAX(0,J85-J84)+MAX(0,J86-J85)+MAX(0,J87-J86)),IF(B76=1,(H76/(B76+3)+J87),IF(B76=0,H76/4+J87))))</f>
        <v>7</v>
      </c>
    </row>
    <row r="89" spans="1:19" ht="15.75" customHeight="1" x14ac:dyDescent="0.25">
      <c r="A89" s="121" t="s">
        <v>135</v>
      </c>
      <c r="B89" s="122"/>
      <c r="C89" s="123" t="str">
        <f>D66</f>
        <v>Building No.2 = Gr/St + 1st to 14th Floor</v>
      </c>
      <c r="D89" s="124"/>
      <c r="E89" s="124"/>
      <c r="F89" s="124"/>
      <c r="G89" s="124"/>
      <c r="H89" s="125"/>
      <c r="I89" s="42" t="str">
        <f ca="1">IF(D102=100%,"All work Completed. Possession granted to the Building.",IF(D101=100%,"All work Completed, Waiting for OC",I90&amp;""&amp;I91&amp;""&amp;J90&amp;""&amp;J89&amp;" "&amp;J91))</f>
        <v>Excavation, Plinth Completed, RCC upto 7 Slab, Brickwork upto 4 Floor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7 Slab, Brickwork upto 4 Floor</v>
      </c>
    </row>
    <row r="90" spans="1:19" x14ac:dyDescent="0.25">
      <c r="A90" s="76" t="s">
        <v>137</v>
      </c>
      <c r="B90" s="77">
        <f>IF(AND(ISNUMBER(SEARCH("1B",C89))),1,IF(AND(ISNUMBER(SEARCH("2B",C89))),2,IF(AND(ISNUMBER(SEARCH("3B",C89))),3,IF(AND(ISNUMBER(SEARCH("4B",C89))),4,IF(ISNUMBER(SEARCH("5B",C89)),5,0)))))</f>
        <v>0</v>
      </c>
      <c r="C90" s="77" t="s">
        <v>68</v>
      </c>
      <c r="D90" s="77">
        <v>1</v>
      </c>
      <c r="E90" s="77" t="s">
        <v>67</v>
      </c>
      <c r="F90" s="77">
        <v>0</v>
      </c>
      <c r="G90" s="77" t="s">
        <v>76</v>
      </c>
      <c r="H90" s="78">
        <f ca="1">--TRIM(RIGHT(SUBSTITUTE(LEFT(C89,_xlfn.AGGREGATE(16,6,FIND({0,1,2,3,4,5,6,7,8,9},C89,ROW(INDIRECT("1:"&amp;LEN(C89)))),1))," ",REPT(" ",LEN(C89))),LEN(C89)))</f>
        <v>14</v>
      </c>
      <c r="I90" s="44" t="str">
        <f ca="1">IF(D93=100%,"Excavation","")&amp;IF(D94=100%,", Plinth","")&amp;IF(D95=100%,", RCC Slab","")&amp;IF(D96=100%,", Brickwork","")&amp;IF(D97=100%,", Internal Plaster","")&amp;IF(D98=100%,", External Plaster","")&amp;IF(D99=100%,", Flooring","")&amp;IF(D100=100%,", Painting","")&amp;IF(D101=100%,", Building common Amenities","")</f>
        <v>Excavation, Plinth</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2.1" customHeight="1" x14ac:dyDescent="0.25">
      <c r="A91" s="215" t="s">
        <v>86</v>
      </c>
      <c r="B91" s="199"/>
      <c r="C91" s="232" t="str">
        <f ca="1">(IF($G$60="NA",I89,"All work Completed. OC Received."))</f>
        <v>Excavation, Plinth Completed, RCC upto 7 Slab, Brickwork upto 4 Floor Completed</v>
      </c>
      <c r="D91" s="232"/>
      <c r="E91" s="232"/>
      <c r="F91" s="232"/>
      <c r="G91" s="232"/>
      <c r="H91" s="233"/>
      <c r="I91" s="44" t="str">
        <f ca="1">IF(I90&lt;&gt;""," Completed","")</f>
        <v xml:space="preserve"> Completed</v>
      </c>
      <c r="J91" s="45" t="str">
        <f ca="1">IF(J89&lt;&gt;"","Completed","")</f>
        <v>Completed</v>
      </c>
    </row>
    <row r="92" spans="1:19" ht="15.75" customHeight="1" x14ac:dyDescent="0.25">
      <c r="A92" s="126" t="s">
        <v>47</v>
      </c>
      <c r="B92" s="127"/>
      <c r="C92" s="73" t="s">
        <v>134</v>
      </c>
      <c r="D92" s="73" t="s">
        <v>79</v>
      </c>
      <c r="E92" s="127" t="s">
        <v>81</v>
      </c>
      <c r="F92" s="127"/>
      <c r="G92" s="127" t="s">
        <v>80</v>
      </c>
      <c r="H92" s="164"/>
      <c r="I92" s="13" t="s">
        <v>136</v>
      </c>
      <c r="J92" s="25">
        <f ca="1">H90*25%</f>
        <v>3.5</v>
      </c>
    </row>
    <row r="93" spans="1:19" x14ac:dyDescent="0.25">
      <c r="A93" s="126" t="s">
        <v>123</v>
      </c>
      <c r="B93" s="127"/>
      <c r="C93" s="73">
        <f ca="1">J94</f>
        <v>14</v>
      </c>
      <c r="D93" s="16">
        <f ca="1">((100/H90)*C93)/100</f>
        <v>1</v>
      </c>
      <c r="E93" s="165">
        <f ca="1">(((C94/H90*10)+(40/(D90+F90+H90)*C95)+(7.5/(H90)*C96)+(7.5/(H90)*C97)+(10/H90*C98)+(10/H90*C99)+(5/H90*C100)+(5/H90*C101)+(5/H90*C102))/100)</f>
        <v>0.30809523809523809</v>
      </c>
      <c r="F93" s="166"/>
      <c r="G93" s="165">
        <f ca="1">((((C93/H90)*20)+((C94/H90)*25)+(30/(H90+F90+D90)*C95)+(5/H90*C96)+(5/H90*C97)+(5/H90*C98)+(5/H90*C99)+(0/H90*C100)+(0/H90*C101)+(5/H90*C102))/100)</f>
        <v>0.60428571428571431</v>
      </c>
      <c r="H93" s="207"/>
      <c r="I93" s="13" t="s">
        <v>96</v>
      </c>
      <c r="J93" s="26">
        <f ca="1">H90*50%</f>
        <v>7</v>
      </c>
    </row>
    <row r="94" spans="1:19" x14ac:dyDescent="0.25">
      <c r="A94" s="126" t="s">
        <v>48</v>
      </c>
      <c r="B94" s="127"/>
      <c r="C94" s="79">
        <f ca="1">J102</f>
        <v>14</v>
      </c>
      <c r="D94" s="16">
        <f ca="1">((100/H90)*C94)/100</f>
        <v>1</v>
      </c>
      <c r="E94" s="167"/>
      <c r="F94" s="168"/>
      <c r="G94" s="167"/>
      <c r="H94" s="208"/>
      <c r="I94" s="13" t="s">
        <v>97</v>
      </c>
      <c r="J94" s="26">
        <f ca="1">H90</f>
        <v>14</v>
      </c>
    </row>
    <row r="95" spans="1:19" ht="15.75" customHeight="1" x14ac:dyDescent="0.25">
      <c r="A95" s="126" t="s">
        <v>124</v>
      </c>
      <c r="B95" s="127"/>
      <c r="C95" s="73">
        <v>7</v>
      </c>
      <c r="D95" s="16">
        <f ca="1">((100/(D90+F90+H90))*C95)/100</f>
        <v>0.46666666666666673</v>
      </c>
      <c r="E95" s="167"/>
      <c r="F95" s="168"/>
      <c r="G95" s="167"/>
      <c r="H95" s="208"/>
      <c r="I95" s="13" t="s">
        <v>98</v>
      </c>
      <c r="J95" s="27">
        <f ca="1">(IF(B90&gt;1,(H90/(B90+2)),H90/4))</f>
        <v>3.5</v>
      </c>
    </row>
    <row r="96" spans="1:19" ht="15.75" customHeight="1" x14ac:dyDescent="0.25">
      <c r="A96" s="126" t="s">
        <v>131</v>
      </c>
      <c r="B96" s="127" t="s">
        <v>125</v>
      </c>
      <c r="C96" s="73">
        <v>4</v>
      </c>
      <c r="D96" s="16">
        <f ca="1">((100/H90)*C96)/100</f>
        <v>0.28571428571428575</v>
      </c>
      <c r="E96" s="167"/>
      <c r="F96" s="168"/>
      <c r="G96" s="167"/>
      <c r="H96" s="208"/>
      <c r="I96" s="13" t="s">
        <v>99</v>
      </c>
      <c r="J96" s="27">
        <f ca="1">(IF(B90&gt;1,(H90/(B90+2)+J95),H90/4+J95))</f>
        <v>7</v>
      </c>
    </row>
    <row r="97" spans="1:10" ht="15.75" customHeight="1" x14ac:dyDescent="0.25">
      <c r="A97" s="126" t="s">
        <v>132</v>
      </c>
      <c r="B97" s="127" t="s">
        <v>125</v>
      </c>
      <c r="C97" s="73">
        <v>0</v>
      </c>
      <c r="D97" s="16">
        <f ca="1">((100/H90)*C97)/100</f>
        <v>0</v>
      </c>
      <c r="E97" s="167"/>
      <c r="F97" s="168"/>
      <c r="G97" s="167"/>
      <c r="H97" s="208"/>
      <c r="I97" s="13" t="s">
        <v>141</v>
      </c>
      <c r="J97" s="27">
        <f>(IF(B90&gt;1,(H90/(B90+2)+J96),0))</f>
        <v>0</v>
      </c>
    </row>
    <row r="98" spans="1:10" ht="15" customHeight="1" x14ac:dyDescent="0.25">
      <c r="A98" s="126" t="s">
        <v>130</v>
      </c>
      <c r="B98" s="127" t="s">
        <v>127</v>
      </c>
      <c r="C98" s="73">
        <v>0</v>
      </c>
      <c r="D98" s="16">
        <f ca="1">((100/(H90))*C98)/100</f>
        <v>0</v>
      </c>
      <c r="E98" s="167"/>
      <c r="F98" s="168"/>
      <c r="G98" s="167"/>
      <c r="H98" s="208"/>
      <c r="I98" s="13" t="s">
        <v>138</v>
      </c>
      <c r="J98" s="27">
        <f>(IF(B90&gt;2,(H90/(B90+2)+J97),0))</f>
        <v>0</v>
      </c>
    </row>
    <row r="99" spans="1:10" ht="15.75" customHeight="1" x14ac:dyDescent="0.25">
      <c r="A99" s="126" t="s">
        <v>126</v>
      </c>
      <c r="B99" s="127" t="s">
        <v>126</v>
      </c>
      <c r="C99" s="73">
        <v>0</v>
      </c>
      <c r="D99" s="16">
        <f ca="1">((100/H90)*C99)/100</f>
        <v>0</v>
      </c>
      <c r="E99" s="167"/>
      <c r="F99" s="168"/>
      <c r="G99" s="167"/>
      <c r="H99" s="208"/>
      <c r="I99" s="13" t="s">
        <v>139</v>
      </c>
      <c r="J99" s="28">
        <f>(IF(B90&gt;3,(H90/(B90+2)+J98),0))</f>
        <v>0</v>
      </c>
    </row>
    <row r="100" spans="1:10" ht="15.75" customHeight="1" x14ac:dyDescent="0.25">
      <c r="A100" s="126" t="s">
        <v>133</v>
      </c>
      <c r="B100" s="127"/>
      <c r="C100" s="73">
        <v>0</v>
      </c>
      <c r="D100" s="16">
        <f ca="1">((100/H90)*C100)/100</f>
        <v>0</v>
      </c>
      <c r="E100" s="167"/>
      <c r="F100" s="168"/>
      <c r="G100" s="167"/>
      <c r="H100" s="208"/>
      <c r="I100" s="13" t="s">
        <v>140</v>
      </c>
      <c r="J100" s="27">
        <f>(IF(B90&gt;4,(H90/(B90+2)+J99),0))</f>
        <v>0</v>
      </c>
    </row>
    <row r="101" spans="1:10" ht="15.75" customHeight="1" x14ac:dyDescent="0.25">
      <c r="A101" s="126" t="s">
        <v>128</v>
      </c>
      <c r="B101" s="127" t="s">
        <v>128</v>
      </c>
      <c r="C101" s="73">
        <v>0</v>
      </c>
      <c r="D101" s="16">
        <f ca="1">((100/(H90))*C101)/100</f>
        <v>0</v>
      </c>
      <c r="E101" s="167"/>
      <c r="F101" s="168"/>
      <c r="G101" s="167"/>
      <c r="H101" s="208"/>
      <c r="I101" s="13" t="s">
        <v>142</v>
      </c>
      <c r="J101" s="27">
        <f ca="1">(IF(B90=1,(H90/(B90+3)+J96),IF(B90=0,(H90/4+J96),IF(B90&gt;1,0))))</f>
        <v>10.5</v>
      </c>
    </row>
    <row r="102" spans="1:10" ht="16.5" thickBot="1" x14ac:dyDescent="0.3">
      <c r="A102" s="157" t="s">
        <v>129</v>
      </c>
      <c r="B102" s="158"/>
      <c r="C102" s="72">
        <v>0</v>
      </c>
      <c r="D102" s="17">
        <f ca="1">((100/(H90))*C102)/100</f>
        <v>0</v>
      </c>
      <c r="E102" s="169"/>
      <c r="F102" s="170"/>
      <c r="G102" s="169"/>
      <c r="H102" s="209"/>
      <c r="I102" s="14" t="s">
        <v>100</v>
      </c>
      <c r="J102" s="29">
        <f ca="1">(IF(B90&gt;1.5,(H90/(B90+2)+J96+MAX(0,J97-J96)+MAX(0,J98-J97)+MAX(0,J99-J98)+MAX(0,J100-J99)+MAX(0,J101-J100)),IF(B90=1,(H90/(B90+3)+J101),IF(B90=0,H90/4+J101))))</f>
        <v>14</v>
      </c>
    </row>
    <row r="103" spans="1:10" ht="15.75" customHeight="1" x14ac:dyDescent="0.25">
      <c r="A103" s="121" t="s">
        <v>135</v>
      </c>
      <c r="B103" s="122"/>
      <c r="C103" s="123" t="str">
        <f>D67</f>
        <v xml:space="preserve">Building No.3 = Gr/St + 1st to 14th Floor </v>
      </c>
      <c r="D103" s="124"/>
      <c r="E103" s="124"/>
      <c r="F103" s="124"/>
      <c r="G103" s="124"/>
      <c r="H103" s="125"/>
      <c r="I103" s="42" t="str">
        <f ca="1">IF(D116=100%,"All work Completed. Possession granted to the Building.",IF(D115=100%,"All work Completed, Waiting for OC",I104&amp;""&amp;I105&amp;""&amp;J104&amp;""&amp;J103&amp;" "&amp;J105))</f>
        <v>Excavation, Plinth Completed, RCC upto 12 Slab, Brickwork upto 2 Floor Completed</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RCC upto 12 Slab, Brickwork upto 2 Floor</v>
      </c>
    </row>
    <row r="104" spans="1:10" x14ac:dyDescent="0.25">
      <c r="A104" s="76" t="s">
        <v>137</v>
      </c>
      <c r="B104" s="77">
        <f>IF(AND(ISNUMBER(SEARCH("1B",C103))),1,IF(AND(ISNUMBER(SEARCH("2B",C103))),2,IF(AND(ISNUMBER(SEARCH("3B",C103))),3,IF(AND(ISNUMBER(SEARCH("4B",C103))),4,IF(ISNUMBER(SEARCH("5B",C103)),5,0)))))</f>
        <v>0</v>
      </c>
      <c r="C104" s="77" t="s">
        <v>68</v>
      </c>
      <c r="D104" s="77">
        <v>1</v>
      </c>
      <c r="E104" s="77" t="s">
        <v>67</v>
      </c>
      <c r="F104" s="77">
        <v>0</v>
      </c>
      <c r="G104" s="77" t="s">
        <v>76</v>
      </c>
      <c r="H104" s="78">
        <f ca="1">--TRIM(RIGHT(SUBSTITUTE(LEFT(C103,_xlfn.AGGREGATE(16,6,FIND({0,1,2,3,4,5,6,7,8,9},C103,ROW(INDIRECT("1:"&amp;LEN(C103)))),1))," ",REPT(" ",LEN(C103))),LEN(C103)))</f>
        <v>14</v>
      </c>
      <c r="I104" s="44" t="str">
        <f ca="1">IF(D107=100%,"Excavation","")&amp;IF(D108=100%,", Plinth","")&amp;IF(D109=100%,", RCC Slab","")&amp;IF(D110=100%,", Brickwork","")&amp;IF(D111=100%,", Internal Plaster","")&amp;IF(D112=100%,", External Plaster","")&amp;IF(D113=100%,", Flooring","")&amp;IF(D114=100%,", Painting","")&amp;IF(D115=100%,", Building common Amenities","")</f>
        <v>Excavation, Plinth</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0.95" customHeight="1" x14ac:dyDescent="0.25">
      <c r="A105" s="171" t="s">
        <v>86</v>
      </c>
      <c r="B105" s="172"/>
      <c r="C105" s="232" t="str">
        <f ca="1">(IF($G$60="NA",I103,"All work Completed. OC Received."))</f>
        <v>Excavation, Plinth Completed, RCC upto 12 Slab, Brickwork upto 2 Floor Completed</v>
      </c>
      <c r="D105" s="232"/>
      <c r="E105" s="232"/>
      <c r="F105" s="232"/>
      <c r="G105" s="232"/>
      <c r="H105" s="233"/>
      <c r="I105" s="44" t="str">
        <f ca="1">IF(I104&lt;&gt;""," Completed","")</f>
        <v xml:space="preserve"> Completed</v>
      </c>
      <c r="J105" s="45" t="str">
        <f ca="1">IF(J103&lt;&gt;"","Completed","")</f>
        <v>Completed</v>
      </c>
    </row>
    <row r="106" spans="1:10" ht="15.75" customHeight="1" x14ac:dyDescent="0.25">
      <c r="A106" s="126" t="s">
        <v>47</v>
      </c>
      <c r="B106" s="127"/>
      <c r="C106" s="73" t="s">
        <v>134</v>
      </c>
      <c r="D106" s="73" t="s">
        <v>79</v>
      </c>
      <c r="E106" s="127" t="s">
        <v>81</v>
      </c>
      <c r="F106" s="127"/>
      <c r="G106" s="127" t="s">
        <v>80</v>
      </c>
      <c r="H106" s="164"/>
      <c r="I106" s="13" t="s">
        <v>136</v>
      </c>
      <c r="J106" s="25">
        <f ca="1">H104*25%</f>
        <v>3.5</v>
      </c>
    </row>
    <row r="107" spans="1:10" x14ac:dyDescent="0.25">
      <c r="A107" s="126" t="s">
        <v>123</v>
      </c>
      <c r="B107" s="127"/>
      <c r="C107" s="73">
        <f ca="1">J108</f>
        <v>14</v>
      </c>
      <c r="D107" s="16">
        <f ca="1">((100/H104)*C107)/100</f>
        <v>1</v>
      </c>
      <c r="E107" s="165">
        <f ca="1">(((C108/H104*10)+(40/(D104+F104+H104)*C109)+(7.5/(H104)*C110)+(7.5/(H104)*C111)+(10/H104*C112)+(10/H104*C113)+(5/H104*C114)+(5/H104*C115)+(5/H104*C116))/100)</f>
        <v>0.43071428571428572</v>
      </c>
      <c r="F107" s="166"/>
      <c r="G107" s="165">
        <f ca="1">((((C107/H104)*20)+((C108/H104)*25)+(30/(H104+F104+D104)*C109)+(5/H104*C110)+(5/H104*C111)+(5/H104*C112)+(5/H104*C113)+(0/H104*C114)+(0/H104*C115)+(5/H104*C116))/100)</f>
        <v>0.69714285714285706</v>
      </c>
      <c r="H107" s="207"/>
      <c r="I107" s="13" t="s">
        <v>96</v>
      </c>
      <c r="J107" s="26">
        <f ca="1">H104*50%</f>
        <v>7</v>
      </c>
    </row>
    <row r="108" spans="1:10" x14ac:dyDescent="0.25">
      <c r="A108" s="126" t="s">
        <v>48</v>
      </c>
      <c r="B108" s="127"/>
      <c r="C108" s="79">
        <f ca="1">J116</f>
        <v>14</v>
      </c>
      <c r="D108" s="16">
        <f ca="1">((100/H104)*C108)/100</f>
        <v>1</v>
      </c>
      <c r="E108" s="167"/>
      <c r="F108" s="168"/>
      <c r="G108" s="167"/>
      <c r="H108" s="208"/>
      <c r="I108" s="13" t="s">
        <v>97</v>
      </c>
      <c r="J108" s="26">
        <f ca="1">H104</f>
        <v>14</v>
      </c>
    </row>
    <row r="109" spans="1:10" ht="15.75" customHeight="1" x14ac:dyDescent="0.25">
      <c r="A109" s="126" t="s">
        <v>124</v>
      </c>
      <c r="B109" s="127"/>
      <c r="C109" s="73">
        <v>12</v>
      </c>
      <c r="D109" s="16">
        <f ca="1">((100/(D104+F104+H104))*C109)/100</f>
        <v>0.8</v>
      </c>
      <c r="E109" s="167"/>
      <c r="F109" s="168"/>
      <c r="G109" s="167"/>
      <c r="H109" s="208"/>
      <c r="I109" s="13" t="s">
        <v>98</v>
      </c>
      <c r="J109" s="27">
        <f ca="1">(IF(B104&gt;1,(H104/(B104+2)),H104/4))</f>
        <v>3.5</v>
      </c>
    </row>
    <row r="110" spans="1:10" ht="15.75" customHeight="1" x14ac:dyDescent="0.25">
      <c r="A110" s="126" t="s">
        <v>131</v>
      </c>
      <c r="B110" s="127" t="s">
        <v>125</v>
      </c>
      <c r="C110" s="73">
        <v>2</v>
      </c>
      <c r="D110" s="16">
        <f ca="1">((100/H104)*C110)/100</f>
        <v>0.14285714285714288</v>
      </c>
      <c r="E110" s="167"/>
      <c r="F110" s="168"/>
      <c r="G110" s="167"/>
      <c r="H110" s="208"/>
      <c r="I110" s="13" t="s">
        <v>99</v>
      </c>
      <c r="J110" s="27">
        <f ca="1">(IF(B104&gt;1,(H104/(B104+2)+J109),H104/4+J109))</f>
        <v>7</v>
      </c>
    </row>
    <row r="111" spans="1:10" ht="15.75" customHeight="1" x14ac:dyDescent="0.25">
      <c r="A111" s="126" t="s">
        <v>132</v>
      </c>
      <c r="B111" s="127" t="s">
        <v>125</v>
      </c>
      <c r="C111" s="73">
        <v>0</v>
      </c>
      <c r="D111" s="16">
        <f ca="1">((100/H104)*C111)/100</f>
        <v>0</v>
      </c>
      <c r="E111" s="167"/>
      <c r="F111" s="168"/>
      <c r="G111" s="167"/>
      <c r="H111" s="208"/>
      <c r="I111" s="13" t="s">
        <v>141</v>
      </c>
      <c r="J111" s="27">
        <f>(IF(B104&gt;1,(H104/(B104+2)+J110),0))</f>
        <v>0</v>
      </c>
    </row>
    <row r="112" spans="1:10" ht="15" customHeight="1" x14ac:dyDescent="0.25">
      <c r="A112" s="126" t="s">
        <v>130</v>
      </c>
      <c r="B112" s="127" t="s">
        <v>127</v>
      </c>
      <c r="C112" s="73">
        <v>0</v>
      </c>
      <c r="D112" s="16">
        <f ca="1">((100/(H104))*C112)/100</f>
        <v>0</v>
      </c>
      <c r="E112" s="167"/>
      <c r="F112" s="168"/>
      <c r="G112" s="167"/>
      <c r="H112" s="208"/>
      <c r="I112" s="13" t="s">
        <v>138</v>
      </c>
      <c r="J112" s="27">
        <f>(IF(B104&gt;2,(H104/(B104+2)+J111),0))</f>
        <v>0</v>
      </c>
    </row>
    <row r="113" spans="1:22" ht="15.75" customHeight="1" x14ac:dyDescent="0.25">
      <c r="A113" s="126" t="s">
        <v>126</v>
      </c>
      <c r="B113" s="127" t="s">
        <v>126</v>
      </c>
      <c r="C113" s="73">
        <v>0</v>
      </c>
      <c r="D113" s="16">
        <f ca="1">((100/H104)*C113)/100</f>
        <v>0</v>
      </c>
      <c r="E113" s="167"/>
      <c r="F113" s="168"/>
      <c r="G113" s="167"/>
      <c r="H113" s="208"/>
      <c r="I113" s="13" t="s">
        <v>139</v>
      </c>
      <c r="J113" s="28">
        <f>(IF(B104&gt;3,(H104/(B104+2)+J112),0))</f>
        <v>0</v>
      </c>
    </row>
    <row r="114" spans="1:22" ht="15.75" customHeight="1" x14ac:dyDescent="0.25">
      <c r="A114" s="126" t="s">
        <v>133</v>
      </c>
      <c r="B114" s="127"/>
      <c r="C114" s="73">
        <v>0</v>
      </c>
      <c r="D114" s="16">
        <f ca="1">((100/H104)*C114)/100</f>
        <v>0</v>
      </c>
      <c r="E114" s="167"/>
      <c r="F114" s="168"/>
      <c r="G114" s="167"/>
      <c r="H114" s="208"/>
      <c r="I114" s="13" t="s">
        <v>140</v>
      </c>
      <c r="J114" s="27">
        <f>(IF(B104&gt;4,(H104/(B104+2)+J113),0))</f>
        <v>0</v>
      </c>
    </row>
    <row r="115" spans="1:22" ht="15.75" customHeight="1" x14ac:dyDescent="0.25">
      <c r="A115" s="126" t="s">
        <v>128</v>
      </c>
      <c r="B115" s="127" t="s">
        <v>128</v>
      </c>
      <c r="C115" s="73">
        <v>0</v>
      </c>
      <c r="D115" s="16">
        <f ca="1">((100/(H104))*C115)/100</f>
        <v>0</v>
      </c>
      <c r="E115" s="167"/>
      <c r="F115" s="168"/>
      <c r="G115" s="167"/>
      <c r="H115" s="208"/>
      <c r="I115" s="13" t="s">
        <v>142</v>
      </c>
      <c r="J115" s="27">
        <f ca="1">(IF(B104=1,(H104/(B104+3)+J110),IF(B104=0,(H104/4+J110),IF(B104&gt;1,0))))</f>
        <v>10.5</v>
      </c>
    </row>
    <row r="116" spans="1:22" ht="16.5" thickBot="1" x14ac:dyDescent="0.3">
      <c r="A116" s="157" t="s">
        <v>129</v>
      </c>
      <c r="B116" s="158"/>
      <c r="C116" s="72">
        <v>0</v>
      </c>
      <c r="D116" s="17">
        <f ca="1">((100/(H104))*C116)/100</f>
        <v>0</v>
      </c>
      <c r="E116" s="169"/>
      <c r="F116" s="170"/>
      <c r="G116" s="169"/>
      <c r="H116" s="209"/>
      <c r="I116" s="14" t="s">
        <v>100</v>
      </c>
      <c r="J116" s="29">
        <f ca="1">(IF(B104&gt;1.5,(H104/(B104+2)+J110+MAX(0,J111-J110)+MAX(0,J112-J111)+MAX(0,J113-J112)+MAX(0,J114-J113)+MAX(0,J115-J114)),IF(B104=1,(H104/(B104+3)+J115),IF(B104=0,H104/4+J115))))</f>
        <v>14</v>
      </c>
    </row>
    <row r="117" spans="1:22" x14ac:dyDescent="0.25">
      <c r="A117" s="245" t="s">
        <v>152</v>
      </c>
      <c r="B117" s="245"/>
      <c r="C117" s="245"/>
      <c r="D117" s="245"/>
      <c r="E117" s="245"/>
      <c r="F117" s="196" t="s">
        <v>156</v>
      </c>
      <c r="G117" s="196"/>
      <c r="H117" s="196"/>
      <c r="R117" t="s">
        <v>250</v>
      </c>
      <c r="S117" t="s">
        <v>168</v>
      </c>
      <c r="T117" t="s">
        <v>175</v>
      </c>
      <c r="U117" t="s">
        <v>190</v>
      </c>
      <c r="V117" t="s">
        <v>185</v>
      </c>
    </row>
    <row r="118" spans="1:22" x14ac:dyDescent="0.25">
      <c r="A118" s="113" t="s">
        <v>154</v>
      </c>
      <c r="B118" s="113"/>
      <c r="C118" s="113"/>
      <c r="D118" s="113"/>
      <c r="E118" s="113"/>
      <c r="F118" s="110">
        <v>7000</v>
      </c>
      <c r="G118" s="110"/>
      <c r="H118" s="110"/>
      <c r="R118"/>
      <c r="S118">
        <v>800000</v>
      </c>
      <c r="T118">
        <v>150000</v>
      </c>
      <c r="U118">
        <v>100000</v>
      </c>
      <c r="V118">
        <v>100000</v>
      </c>
    </row>
    <row r="119" spans="1:22" x14ac:dyDescent="0.25">
      <c r="A119" s="113" t="s">
        <v>153</v>
      </c>
      <c r="B119" s="113"/>
      <c r="C119" s="113"/>
      <c r="D119" s="113"/>
      <c r="E119" s="113"/>
      <c r="F119" s="110">
        <v>12000</v>
      </c>
      <c r="G119" s="110"/>
      <c r="H119" s="110"/>
      <c r="R119"/>
      <c r="S119">
        <v>900000</v>
      </c>
      <c r="T119">
        <v>200000</v>
      </c>
      <c r="U119">
        <v>150000</v>
      </c>
      <c r="V119">
        <v>150000</v>
      </c>
    </row>
    <row r="120" spans="1:22" x14ac:dyDescent="0.25">
      <c r="A120" s="113" t="s">
        <v>155</v>
      </c>
      <c r="B120" s="113"/>
      <c r="C120" s="113"/>
      <c r="D120" s="113"/>
      <c r="E120" s="113"/>
      <c r="F120" s="110">
        <v>9500</v>
      </c>
      <c r="G120" s="110"/>
      <c r="H120" s="110"/>
      <c r="R120"/>
      <c r="S120">
        <v>1000000</v>
      </c>
      <c r="T120">
        <v>250000</v>
      </c>
      <c r="U120">
        <v>200000</v>
      </c>
      <c r="V120">
        <v>200000</v>
      </c>
    </row>
    <row r="121" spans="1:22" s="30" customFormat="1" hidden="1" x14ac:dyDescent="0.25">
      <c r="A121" s="113" t="s">
        <v>171</v>
      </c>
      <c r="B121" s="113"/>
      <c r="C121" s="113"/>
      <c r="D121" s="113"/>
      <c r="E121" s="113"/>
      <c r="F121" s="110"/>
      <c r="G121" s="110"/>
      <c r="H121" s="110"/>
      <c r="R121"/>
      <c r="S121">
        <v>1100000</v>
      </c>
      <c r="T121">
        <v>300000</v>
      </c>
      <c r="U121">
        <v>250000</v>
      </c>
      <c r="V121" s="20">
        <v>250000</v>
      </c>
    </row>
    <row r="122" spans="1:22" s="30" customFormat="1" hidden="1" x14ac:dyDescent="0.25">
      <c r="A122" s="113" t="s">
        <v>90</v>
      </c>
      <c r="B122" s="113"/>
      <c r="C122" s="113"/>
      <c r="D122" s="113"/>
      <c r="E122" s="113"/>
      <c r="F122" s="110"/>
      <c r="G122" s="110"/>
      <c r="H122" s="110"/>
      <c r="R122"/>
      <c r="S122">
        <v>1200000</v>
      </c>
      <c r="T122">
        <v>350000</v>
      </c>
      <c r="U122">
        <v>300000</v>
      </c>
      <c r="V122">
        <v>300000</v>
      </c>
    </row>
    <row r="123" spans="1:22" s="30" customFormat="1" hidden="1" x14ac:dyDescent="0.25">
      <c r="A123" s="113" t="s">
        <v>91</v>
      </c>
      <c r="B123" s="113"/>
      <c r="C123" s="113"/>
      <c r="D123" s="113"/>
      <c r="E123" s="113"/>
      <c r="F123" s="110"/>
      <c r="G123" s="110"/>
      <c r="H123" s="110"/>
      <c r="R123"/>
      <c r="S123">
        <v>1300000</v>
      </c>
      <c r="T123">
        <v>400000</v>
      </c>
      <c r="U123">
        <v>350000</v>
      </c>
      <c r="V123" s="20">
        <v>400000</v>
      </c>
    </row>
    <row r="124" spans="1:22" s="30" customFormat="1" hidden="1" x14ac:dyDescent="0.25">
      <c r="A124" s="113" t="s">
        <v>92</v>
      </c>
      <c r="B124" s="113"/>
      <c r="C124" s="113"/>
      <c r="D124" s="113"/>
      <c r="E124" s="113"/>
      <c r="F124" s="110"/>
      <c r="G124" s="110"/>
      <c r="H124" s="110"/>
      <c r="R124"/>
      <c r="S124">
        <v>1400000</v>
      </c>
      <c r="T124">
        <v>500000</v>
      </c>
      <c r="U124">
        <v>400000</v>
      </c>
      <c r="V124"/>
    </row>
    <row r="125" spans="1:22" s="30" customFormat="1" hidden="1" x14ac:dyDescent="0.25">
      <c r="A125" s="113" t="s">
        <v>93</v>
      </c>
      <c r="B125" s="113"/>
      <c r="C125" s="113"/>
      <c r="D125" s="113"/>
      <c r="E125" s="113"/>
      <c r="F125" s="110"/>
      <c r="G125" s="110"/>
      <c r="H125" s="110"/>
      <c r="R125"/>
      <c r="S125">
        <v>1500000</v>
      </c>
      <c r="T125">
        <v>600000</v>
      </c>
      <c r="U125">
        <v>500000</v>
      </c>
      <c r="V125" s="20"/>
    </row>
    <row r="126" spans="1:22" s="30" customFormat="1" hidden="1" x14ac:dyDescent="0.25">
      <c r="A126" s="113" t="s">
        <v>94</v>
      </c>
      <c r="B126" s="113"/>
      <c r="C126" s="113"/>
      <c r="D126" s="113"/>
      <c r="E126" s="113"/>
      <c r="F126" s="110"/>
      <c r="G126" s="110"/>
      <c r="H126" s="110"/>
      <c r="R126"/>
      <c r="S126">
        <v>1600000</v>
      </c>
      <c r="T126">
        <v>700000</v>
      </c>
      <c r="U126">
        <v>600000</v>
      </c>
      <c r="V126"/>
    </row>
    <row r="127" spans="1:22" s="30" customFormat="1" hidden="1" x14ac:dyDescent="0.25">
      <c r="A127" s="113" t="s">
        <v>95</v>
      </c>
      <c r="B127" s="113"/>
      <c r="C127" s="113"/>
      <c r="D127" s="113"/>
      <c r="E127" s="113"/>
      <c r="F127" s="110"/>
      <c r="G127" s="110"/>
      <c r="H127" s="110"/>
      <c r="R127"/>
      <c r="S127">
        <v>1700000</v>
      </c>
      <c r="T127">
        <v>800000</v>
      </c>
      <c r="U127"/>
      <c r="V127" s="20"/>
    </row>
    <row r="128" spans="1:22" x14ac:dyDescent="0.25">
      <c r="A128" s="113" t="s">
        <v>49</v>
      </c>
      <c r="B128" s="113"/>
      <c r="C128" s="113"/>
      <c r="D128" s="113"/>
      <c r="E128" s="113"/>
      <c r="F128" s="110">
        <v>200000</v>
      </c>
      <c r="G128" s="110"/>
      <c r="H128" s="110"/>
      <c r="R128"/>
      <c r="S128">
        <v>1800000</v>
      </c>
      <c r="T128">
        <v>900000</v>
      </c>
      <c r="U128"/>
    </row>
    <row r="129" spans="1:22" s="31" customFormat="1" x14ac:dyDescent="0.25">
      <c r="A129" s="211" t="s">
        <v>50</v>
      </c>
      <c r="B129" s="211"/>
      <c r="C129" s="211"/>
      <c r="D129" s="211"/>
      <c r="E129" s="211"/>
      <c r="F129" s="110">
        <f>F118*0.8</f>
        <v>5600</v>
      </c>
      <c r="G129" s="110"/>
      <c r="H129" s="110"/>
      <c r="R129" s="18"/>
      <c r="S129" s="18"/>
      <c r="T129">
        <v>1000000</v>
      </c>
      <c r="U129"/>
      <c r="V129" s="18"/>
    </row>
    <row r="130" spans="1:22" s="32" customFormat="1" ht="15.75" customHeight="1" x14ac:dyDescent="0.25">
      <c r="A130" s="191" t="s">
        <v>71</v>
      </c>
      <c r="B130" s="191"/>
      <c r="C130" s="191"/>
      <c r="D130" s="191"/>
      <c r="E130" s="191"/>
      <c r="F130" s="191"/>
      <c r="G130" s="191"/>
      <c r="H130" s="191"/>
      <c r="R130"/>
      <c r="S130" s="18"/>
      <c r="T130"/>
      <c r="U130"/>
      <c r="V130" s="18"/>
    </row>
    <row r="131" spans="1:22" s="32" customFormat="1" ht="15.75" customHeight="1" x14ac:dyDescent="0.25">
      <c r="A131" s="112" t="s">
        <v>51</v>
      </c>
      <c r="B131" s="112"/>
      <c r="C131" s="118" t="s">
        <v>74</v>
      </c>
      <c r="D131" s="118"/>
      <c r="E131" s="117" t="s">
        <v>52</v>
      </c>
      <c r="F131" s="117"/>
      <c r="G131" s="112" t="s">
        <v>53</v>
      </c>
      <c r="H131" s="112"/>
      <c r="R131"/>
      <c r="S131" s="18"/>
      <c r="T131"/>
      <c r="U131" s="18"/>
      <c r="V131" s="18"/>
    </row>
    <row r="132" spans="1:22" s="32" customFormat="1" ht="15.75" customHeight="1" x14ac:dyDescent="0.25">
      <c r="A132" s="173" t="s">
        <v>359</v>
      </c>
      <c r="B132" s="74" t="s">
        <v>361</v>
      </c>
      <c r="C132" s="155">
        <f>COUNT(F148:F151)</f>
        <v>4</v>
      </c>
      <c r="D132" s="156"/>
      <c r="E132" s="155">
        <f>SUM(F148:F151)</f>
        <v>1311.7871520000001</v>
      </c>
      <c r="F132" s="156"/>
      <c r="G132" s="155">
        <f>SUM(H148:H151)</f>
        <v>1967.680728</v>
      </c>
      <c r="H132" s="156"/>
      <c r="R132"/>
      <c r="S132" s="18"/>
      <c r="T132"/>
      <c r="U132" s="18"/>
      <c r="V132" s="18"/>
    </row>
    <row r="133" spans="1:22" s="32" customFormat="1" ht="15.75" customHeight="1" x14ac:dyDescent="0.25">
      <c r="A133" s="174"/>
      <c r="B133" s="84" t="s">
        <v>364</v>
      </c>
      <c r="C133" s="241">
        <f>COUNT(F153:F157)+COUNT(F159:F164)*6</f>
        <v>41</v>
      </c>
      <c r="D133" s="242"/>
      <c r="E133" s="241">
        <f>SUM(F153:F157)+SUM(F159:F164)*6</f>
        <v>10216.362124799998</v>
      </c>
      <c r="F133" s="242"/>
      <c r="G133" s="241">
        <f>SUM(H153:H157)+SUM(H159:H164)*6</f>
        <v>15324.543187199997</v>
      </c>
      <c r="H133" s="242"/>
      <c r="R133"/>
      <c r="S133" s="18"/>
      <c r="T133"/>
      <c r="U133" s="18"/>
      <c r="V133" s="18"/>
    </row>
    <row r="134" spans="1:22" s="32" customFormat="1" x14ac:dyDescent="0.25">
      <c r="A134" s="191" t="s">
        <v>145</v>
      </c>
      <c r="B134" s="191"/>
      <c r="C134" s="243">
        <f>SUM(C132:D133)</f>
        <v>45</v>
      </c>
      <c r="D134" s="118"/>
      <c r="E134" s="244">
        <f t="shared" ref="E134:G134" si="0">SUM(E132:F133)</f>
        <v>11528.149276799999</v>
      </c>
      <c r="F134" s="117"/>
      <c r="G134" s="112">
        <f t="shared" si="0"/>
        <v>17292.223915199997</v>
      </c>
      <c r="H134" s="112"/>
      <c r="R134"/>
      <c r="S134" s="18"/>
      <c r="T134"/>
      <c r="U134" s="18"/>
      <c r="V134" s="18"/>
    </row>
    <row r="135" spans="1:22" s="32" customFormat="1" x14ac:dyDescent="0.25">
      <c r="A135" s="191" t="s">
        <v>66</v>
      </c>
      <c r="B135" s="191"/>
      <c r="C135" s="191"/>
      <c r="D135" s="191"/>
      <c r="E135" s="191"/>
      <c r="F135" s="191"/>
      <c r="G135" s="191"/>
      <c r="H135" s="191"/>
      <c r="T135"/>
    </row>
    <row r="136" spans="1:22" s="32" customFormat="1" ht="15.75" customHeight="1" x14ac:dyDescent="0.25">
      <c r="A136" s="112" t="s">
        <v>51</v>
      </c>
      <c r="B136" s="112"/>
      <c r="C136" s="118" t="s">
        <v>74</v>
      </c>
      <c r="D136" s="118"/>
      <c r="E136" s="117" t="s">
        <v>52</v>
      </c>
      <c r="F136" s="117"/>
      <c r="G136" s="112" t="s">
        <v>53</v>
      </c>
      <c r="H136" s="112"/>
      <c r="T136"/>
    </row>
    <row r="137" spans="1:22" s="32" customFormat="1" x14ac:dyDescent="0.25">
      <c r="A137" s="190" t="s">
        <v>365</v>
      </c>
      <c r="B137" s="190"/>
      <c r="C137" s="155">
        <f>COUNT(F171:F174)*6+COUNT(F176:F177,F179)</f>
        <v>27</v>
      </c>
      <c r="D137" s="155"/>
      <c r="E137" s="155">
        <f>SUM(F171:F174)*6+SUM(F176:F177,F179)</f>
        <v>10292.590619999999</v>
      </c>
      <c r="F137" s="155"/>
      <c r="G137" s="155">
        <f>SUM(H171:H174)*6+SUM(H176:H177,H179)</f>
        <v>14924.256399</v>
      </c>
      <c r="H137" s="155"/>
      <c r="T137"/>
    </row>
    <row r="138" spans="1:22" s="32" customFormat="1" x14ac:dyDescent="0.25">
      <c r="A138" s="190" t="s">
        <v>369</v>
      </c>
      <c r="B138" s="190"/>
      <c r="C138" s="155">
        <f>COUNT(F183:F186)*12+COUNT(F188,F190:F191)*2</f>
        <v>54</v>
      </c>
      <c r="D138" s="155"/>
      <c r="E138" s="155">
        <f>SUM(F183:F186)*12+SUM(F188,F190:F191)*2</f>
        <v>33672.429179999999</v>
      </c>
      <c r="F138" s="155"/>
      <c r="G138" s="155">
        <f>SUM(H183:H186)*12+SUM(H188,H190:H191)*2</f>
        <v>48825.022310999993</v>
      </c>
      <c r="H138" s="155"/>
      <c r="T138"/>
    </row>
    <row r="139" spans="1:22" s="32" customFormat="1" ht="16.5" thickBot="1" x14ac:dyDescent="0.3">
      <c r="A139" s="237" t="s">
        <v>145</v>
      </c>
      <c r="B139" s="237"/>
      <c r="C139" s="159">
        <f>SUM(C137:D138)</f>
        <v>81</v>
      </c>
      <c r="D139" s="160"/>
      <c r="E139" s="238">
        <f t="shared" ref="E139:G139" si="1">SUM(E137:F138)</f>
        <v>43965.019799999995</v>
      </c>
      <c r="F139" s="239"/>
      <c r="G139" s="240">
        <f t="shared" si="1"/>
        <v>63749.278709999991</v>
      </c>
      <c r="H139" s="240"/>
      <c r="T139"/>
    </row>
    <row r="140" spans="1:22" s="32" customFormat="1" ht="16.5" thickBot="1" x14ac:dyDescent="0.3">
      <c r="A140" s="180" t="s">
        <v>162</v>
      </c>
      <c r="B140" s="181"/>
      <c r="C140" s="182">
        <f>C134+C139</f>
        <v>126</v>
      </c>
      <c r="D140" s="182"/>
      <c r="E140" s="183">
        <f>E134+E139</f>
        <v>55493.169076799997</v>
      </c>
      <c r="F140" s="183"/>
      <c r="G140" s="224">
        <f>G134+G139</f>
        <v>81041.502625199995</v>
      </c>
      <c r="H140" s="225"/>
      <c r="T140"/>
    </row>
    <row r="141" spans="1:22" s="31" customFormat="1" x14ac:dyDescent="0.25">
      <c r="A141" s="196" t="s">
        <v>332</v>
      </c>
      <c r="B141" s="196"/>
      <c r="C141" s="196"/>
      <c r="D141" s="196"/>
      <c r="E141" s="196"/>
      <c r="F141" s="196"/>
      <c r="G141" s="196"/>
      <c r="H141" s="196"/>
      <c r="T141" s="32"/>
    </row>
    <row r="142" spans="1:22" x14ac:dyDescent="0.25">
      <c r="A142" s="111" t="s">
        <v>170</v>
      </c>
      <c r="B142" s="111"/>
      <c r="C142" s="111"/>
      <c r="D142" s="111"/>
      <c r="E142" s="111"/>
      <c r="F142" s="111"/>
      <c r="G142" s="111"/>
      <c r="H142" s="111"/>
      <c r="T142" s="32"/>
    </row>
    <row r="143" spans="1:22" ht="47.25" customHeight="1" x14ac:dyDescent="0.25">
      <c r="A143" s="192" t="s">
        <v>115</v>
      </c>
      <c r="B143" s="192" t="s">
        <v>172</v>
      </c>
      <c r="C143" s="192" t="s">
        <v>54</v>
      </c>
      <c r="D143" s="194" t="s">
        <v>228</v>
      </c>
      <c r="E143" s="217" t="s">
        <v>151</v>
      </c>
      <c r="F143" s="192" t="s">
        <v>55</v>
      </c>
      <c r="G143" s="217" t="s">
        <v>56</v>
      </c>
      <c r="H143" s="80" t="s">
        <v>144</v>
      </c>
      <c r="T143" s="32"/>
    </row>
    <row r="144" spans="1:22" s="34" customFormat="1" x14ac:dyDescent="0.25">
      <c r="A144" s="193"/>
      <c r="B144" s="193"/>
      <c r="C144" s="193"/>
      <c r="D144" s="195"/>
      <c r="E144" s="218"/>
      <c r="F144" s="193"/>
      <c r="G144" s="218"/>
      <c r="H144" s="81">
        <v>0.5</v>
      </c>
      <c r="I144" s="83">
        <v>10.763999999999999</v>
      </c>
      <c r="T144" s="32"/>
    </row>
    <row r="145" spans="1:20" s="34" customFormat="1" x14ac:dyDescent="0.25">
      <c r="A145" s="161" t="s">
        <v>359</v>
      </c>
      <c r="B145" s="162"/>
      <c r="C145" s="162"/>
      <c r="D145" s="162"/>
      <c r="E145" s="162"/>
      <c r="F145" s="162"/>
      <c r="G145" s="162"/>
      <c r="H145" s="163"/>
      <c r="J145" s="33"/>
      <c r="T145" s="32"/>
    </row>
    <row r="146" spans="1:20" s="34" customFormat="1" ht="15.75" customHeight="1" x14ac:dyDescent="0.25">
      <c r="A146" s="104" t="s">
        <v>382</v>
      </c>
      <c r="B146" s="105"/>
      <c r="C146" s="105"/>
      <c r="D146" s="105"/>
      <c r="E146" s="105"/>
      <c r="F146" s="105"/>
      <c r="G146" s="105"/>
      <c r="H146" s="106"/>
      <c r="I146" s="33"/>
      <c r="L146" s="216"/>
      <c r="M146" s="216"/>
      <c r="N146" s="33"/>
      <c r="T146" s="32"/>
    </row>
    <row r="147" spans="1:20" s="34" customFormat="1" ht="15.75" customHeight="1" x14ac:dyDescent="0.25">
      <c r="A147" s="104" t="s">
        <v>362</v>
      </c>
      <c r="B147" s="105"/>
      <c r="C147" s="105"/>
      <c r="D147" s="105"/>
      <c r="E147" s="105"/>
      <c r="F147" s="105"/>
      <c r="G147" s="105"/>
      <c r="H147" s="106"/>
      <c r="I147" s="33"/>
      <c r="L147" s="216"/>
      <c r="M147" s="216"/>
      <c r="N147" s="33"/>
      <c r="T147" s="31"/>
    </row>
    <row r="148" spans="1:20" s="34" customFormat="1" ht="15.75" customHeight="1" x14ac:dyDescent="0.25">
      <c r="A148" s="97">
        <v>1</v>
      </c>
      <c r="B148" s="99"/>
      <c r="C148" s="39" t="s">
        <v>361</v>
      </c>
      <c r="D148" s="83">
        <f>(10.4*4.42)*10.764</f>
        <v>494.79955200000001</v>
      </c>
      <c r="E148" s="83">
        <v>0</v>
      </c>
      <c r="F148" s="56">
        <f>D148+(IF(E148&lt;201,E148,IF(E148&lt;301,E148/2,E148/3)))</f>
        <v>494.79955200000001</v>
      </c>
      <c r="G148" s="57">
        <v>0</v>
      </c>
      <c r="H148" s="56">
        <f>(F148+(IF(G148&lt;101,G148,IF(G148&lt;201,G148/2,IF(G148&lt;=301,G148/3,G148/4)))))*(($H$144)+1)</f>
        <v>742.19932800000004</v>
      </c>
      <c r="I148" s="33">
        <f>10.55*3.07</f>
        <v>32.388500000000001</v>
      </c>
      <c r="L148" s="216"/>
      <c r="M148" s="216"/>
      <c r="N148" s="33"/>
      <c r="T148" s="18"/>
    </row>
    <row r="149" spans="1:20" s="34" customFormat="1" ht="15.75" customHeight="1" x14ac:dyDescent="0.25">
      <c r="A149" s="97">
        <f>A148+1</f>
        <v>2</v>
      </c>
      <c r="B149" s="99"/>
      <c r="C149" s="75" t="s">
        <v>361</v>
      </c>
      <c r="D149" s="83">
        <f>(10.4*4.4)*10.764</f>
        <v>492.56064000000003</v>
      </c>
      <c r="E149" s="83">
        <v>0</v>
      </c>
      <c r="F149" s="56">
        <f t="shared" ref="F149:F151" si="2">D149+(IF(E149&lt;201,E149,IF(E149&lt;301,E149/2,E149/3)))</f>
        <v>492.56064000000003</v>
      </c>
      <c r="G149" s="49">
        <v>0</v>
      </c>
      <c r="H149" s="56">
        <f t="shared" ref="H149:H151" si="3">(F149+(IF(G149&lt;101,G149,IF(G149&lt;201,G149/2,IF(G149&lt;=301,G149/3,G149/4)))))*(($H$144)+1)</f>
        <v>738.84096</v>
      </c>
      <c r="I149" s="33"/>
      <c r="L149" s="216"/>
      <c r="M149" s="216"/>
      <c r="N149" s="33"/>
      <c r="T149" s="18"/>
    </row>
    <row r="150" spans="1:20" s="34" customFormat="1" x14ac:dyDescent="0.25">
      <c r="A150" s="97">
        <f>A149+1</f>
        <v>3</v>
      </c>
      <c r="B150" s="99"/>
      <c r="C150" s="75" t="s">
        <v>361</v>
      </c>
      <c r="D150" s="83">
        <f>(5.45*2.2)*10.764</f>
        <v>129.06036</v>
      </c>
      <c r="E150" s="83">
        <f>(1.85*2.2)*10.764</f>
        <v>43.809480000000001</v>
      </c>
      <c r="F150" s="56">
        <f t="shared" si="2"/>
        <v>172.86984000000001</v>
      </c>
      <c r="G150" s="49">
        <v>0</v>
      </c>
      <c r="H150" s="56">
        <f t="shared" si="3"/>
        <v>259.30475999999999</v>
      </c>
      <c r="I150" s="33">
        <f>5.6*2.6</f>
        <v>14.559999999999999</v>
      </c>
      <c r="N150" s="33"/>
    </row>
    <row r="151" spans="1:20" x14ac:dyDescent="0.25">
      <c r="A151" s="97" t="s">
        <v>380</v>
      </c>
      <c r="B151" s="99"/>
      <c r="C151" s="75" t="s">
        <v>361</v>
      </c>
      <c r="D151" s="83">
        <f>(4.8*2.2)*10.764</f>
        <v>113.66784</v>
      </c>
      <c r="E151" s="83">
        <f>(1.6*2.2)*10.764</f>
        <v>37.889279999999999</v>
      </c>
      <c r="F151" s="56">
        <f t="shared" si="2"/>
        <v>151.55712</v>
      </c>
      <c r="G151" s="49">
        <v>0</v>
      </c>
      <c r="H151" s="56">
        <f t="shared" si="3"/>
        <v>227.33568</v>
      </c>
      <c r="I151" s="33"/>
      <c r="T151" s="34"/>
    </row>
    <row r="152" spans="1:20" s="34" customFormat="1" x14ac:dyDescent="0.25">
      <c r="A152" s="104" t="s">
        <v>363</v>
      </c>
      <c r="B152" s="105"/>
      <c r="C152" s="105"/>
      <c r="D152" s="105"/>
      <c r="E152" s="105"/>
      <c r="F152" s="105"/>
      <c r="G152" s="105"/>
      <c r="H152" s="106"/>
      <c r="J152" s="33"/>
    </row>
    <row r="153" spans="1:20" s="34" customFormat="1" ht="15.75" customHeight="1" x14ac:dyDescent="0.25">
      <c r="A153" s="97">
        <v>1</v>
      </c>
      <c r="B153" s="99"/>
      <c r="C153" s="75" t="s">
        <v>364</v>
      </c>
      <c r="D153" s="83">
        <f>(3.4*5.45)*10.764</f>
        <v>199.45692</v>
      </c>
      <c r="E153" s="83">
        <v>0</v>
      </c>
      <c r="F153" s="75">
        <f>D153+(IF(E153&lt;201,E153,IF(E153&lt;301,E153/2,E153/3)))</f>
        <v>199.45692</v>
      </c>
      <c r="G153" s="57">
        <v>0</v>
      </c>
      <c r="H153" s="75">
        <f>(F153+(IF(G153&lt;101,G153,IF(G153&lt;201,G153/2,IF(G153&lt;=301,G153/3,G153/4)))))*(($H$144)+1)</f>
        <v>299.18538000000001</v>
      </c>
      <c r="I153" s="33"/>
      <c r="J153" s="34">
        <f>3000000/H157</f>
        <v>6234.0054900392752</v>
      </c>
      <c r="L153" s="216"/>
      <c r="M153" s="216"/>
      <c r="N153" s="33"/>
    </row>
    <row r="154" spans="1:20" s="34" customFormat="1" ht="15.75" customHeight="1" x14ac:dyDescent="0.25">
      <c r="A154" s="97">
        <f>A153+1</f>
        <v>2</v>
      </c>
      <c r="B154" s="99"/>
      <c r="C154" s="75" t="s">
        <v>364</v>
      </c>
      <c r="D154" s="83">
        <f>(3.45*5.45)*10.764</f>
        <v>202.39011000000002</v>
      </c>
      <c r="E154" s="83">
        <v>0</v>
      </c>
      <c r="F154" s="75">
        <f t="shared" ref="F154:F157" si="4">D154+(IF(E154&lt;201,E154,IF(E154&lt;301,E154/2,E154/3)))</f>
        <v>202.39011000000002</v>
      </c>
      <c r="G154" s="75">
        <v>0</v>
      </c>
      <c r="H154" s="75">
        <f t="shared" ref="H154:H157" si="5">(F154+(IF(G154&lt;101,G154,IF(G154&lt;201,G154/2,IF(G154&lt;=301,G154/3,G154/4)))))*(($H$144)+1)</f>
        <v>303.58516500000002</v>
      </c>
      <c r="I154" s="33"/>
      <c r="L154" s="216"/>
      <c r="M154" s="216"/>
      <c r="N154" s="33"/>
    </row>
    <row r="155" spans="1:20" s="34" customFormat="1" ht="15.75" customHeight="1" x14ac:dyDescent="0.25">
      <c r="A155" s="97">
        <f>A154+1</f>
        <v>3</v>
      </c>
      <c r="B155" s="99"/>
      <c r="C155" s="75" t="s">
        <v>364</v>
      </c>
      <c r="D155" s="83">
        <f>(4.4*5.45)*10.764</f>
        <v>258.12072000000001</v>
      </c>
      <c r="E155" s="83">
        <v>0</v>
      </c>
      <c r="F155" s="75">
        <f t="shared" si="4"/>
        <v>258.12072000000001</v>
      </c>
      <c r="G155" s="75">
        <v>0</v>
      </c>
      <c r="H155" s="75">
        <f t="shared" si="5"/>
        <v>387.18108000000001</v>
      </c>
      <c r="I155" s="33"/>
      <c r="L155" s="216"/>
      <c r="M155" s="216"/>
      <c r="N155" s="33"/>
    </row>
    <row r="156" spans="1:20" s="34" customFormat="1" ht="15.75" customHeight="1" x14ac:dyDescent="0.25">
      <c r="A156" s="97">
        <f>A155+1</f>
        <v>4</v>
      </c>
      <c r="B156" s="99"/>
      <c r="C156" s="75" t="s">
        <v>364</v>
      </c>
      <c r="D156" s="83">
        <f>(3.05*1.65+6.15*4.1)*10.764</f>
        <v>325.58408999999995</v>
      </c>
      <c r="E156" s="83">
        <v>0</v>
      </c>
      <c r="F156" s="75">
        <f t="shared" si="4"/>
        <v>325.58408999999995</v>
      </c>
      <c r="G156" s="75">
        <v>0</v>
      </c>
      <c r="H156" s="75">
        <f t="shared" si="5"/>
        <v>488.37613499999992</v>
      </c>
      <c r="I156" s="33"/>
      <c r="L156" s="216"/>
      <c r="M156" s="216"/>
      <c r="N156" s="33"/>
      <c r="T156" s="18"/>
    </row>
    <row r="157" spans="1:20" s="34" customFormat="1" x14ac:dyDescent="0.25">
      <c r="A157" s="97">
        <f>A156+1</f>
        <v>5</v>
      </c>
      <c r="B157" s="99"/>
      <c r="C157" s="75" t="s">
        <v>364</v>
      </c>
      <c r="D157" s="83">
        <f>(5.25*4.1+3.6*2.3)*10.764</f>
        <v>320.82101999999998</v>
      </c>
      <c r="E157" s="83">
        <v>0</v>
      </c>
      <c r="F157" s="75">
        <f t="shared" si="4"/>
        <v>320.82101999999998</v>
      </c>
      <c r="G157" s="75">
        <v>0</v>
      </c>
      <c r="H157" s="75">
        <f t="shared" si="5"/>
        <v>481.23152999999996</v>
      </c>
      <c r="I157" s="33"/>
      <c r="L157" s="216"/>
      <c r="M157" s="216"/>
    </row>
    <row r="158" spans="1:20" s="34" customFormat="1" x14ac:dyDescent="0.25">
      <c r="A158" s="107" t="s">
        <v>386</v>
      </c>
      <c r="B158" s="107"/>
      <c r="C158" s="107"/>
      <c r="D158" s="107"/>
      <c r="E158" s="107"/>
      <c r="F158" s="107"/>
      <c r="G158" s="107"/>
      <c r="H158" s="107"/>
      <c r="I158" s="33"/>
      <c r="N158" s="33"/>
    </row>
    <row r="159" spans="1:20" s="34" customFormat="1" x14ac:dyDescent="0.25">
      <c r="A159" s="100">
        <v>1</v>
      </c>
      <c r="B159" s="100"/>
      <c r="C159" s="75" t="s">
        <v>364</v>
      </c>
      <c r="D159" s="83">
        <f>(3.65*4.12+1.85*1.2+1.3*1.5)*10.764</f>
        <v>206.75491199999996</v>
      </c>
      <c r="E159" s="75">
        <v>0</v>
      </c>
      <c r="F159" s="75">
        <f>D159+(IF(E159&lt;201,E159,IF(E159&lt;301,E159/2,E159/3)))</f>
        <v>206.75491199999996</v>
      </c>
      <c r="G159" s="57">
        <v>0</v>
      </c>
      <c r="H159" s="75">
        <f>(F159+(IF(G159&lt;101,G159,IF(G159&lt;201,G159/2,IF(G159&lt;=301,G159/3,G159/4)))))*(($H$144)+1)</f>
        <v>310.13236799999993</v>
      </c>
      <c r="I159" s="33"/>
      <c r="N159" s="33"/>
    </row>
    <row r="160" spans="1:20" s="34" customFormat="1" x14ac:dyDescent="0.25">
      <c r="A160" s="100">
        <f>A159+1</f>
        <v>2</v>
      </c>
      <c r="B160" s="100"/>
      <c r="C160" s="75" t="s">
        <v>364</v>
      </c>
      <c r="D160" s="83">
        <f>(3.65*4.12+1.85*1.2+1.3*1.5)*10.764</f>
        <v>206.75491199999996</v>
      </c>
      <c r="E160" s="75">
        <v>0</v>
      </c>
      <c r="F160" s="75">
        <f t="shared" ref="F160:F162" si="6">D160+(IF(E160&lt;201,E160,IF(E160&lt;301,E160/2,E160/3)))</f>
        <v>206.75491199999996</v>
      </c>
      <c r="G160" s="75">
        <v>0</v>
      </c>
      <c r="H160" s="75">
        <f t="shared" ref="H160:H162" si="7">(F160+(IF(G160&lt;101,G160,IF(G160&lt;201,G160/2,IF(G160&lt;=301,G160/3,G160/4)))))*(($H$144)+1)</f>
        <v>310.13236799999993</v>
      </c>
      <c r="I160" s="33"/>
      <c r="N160" s="33"/>
    </row>
    <row r="161" spans="1:14" s="34" customFormat="1" x14ac:dyDescent="0.25">
      <c r="A161" s="100">
        <f>A160+1</f>
        <v>3</v>
      </c>
      <c r="B161" s="100"/>
      <c r="C161" s="75" t="s">
        <v>364</v>
      </c>
      <c r="D161" s="83">
        <f>(3.88*4.12+2.53*1.2+1.3*1.5)*10.764</f>
        <v>225.73830239999998</v>
      </c>
      <c r="E161" s="75">
        <v>0</v>
      </c>
      <c r="F161" s="75">
        <f t="shared" si="6"/>
        <v>225.73830239999998</v>
      </c>
      <c r="G161" s="75">
        <v>0</v>
      </c>
      <c r="H161" s="75">
        <f t="shared" si="7"/>
        <v>338.60745359999999</v>
      </c>
      <c r="I161" s="33"/>
      <c r="N161" s="33"/>
    </row>
    <row r="162" spans="1:14" s="34" customFormat="1" x14ac:dyDescent="0.25">
      <c r="A162" s="100">
        <f>A161+1</f>
        <v>4</v>
      </c>
      <c r="B162" s="100"/>
      <c r="C162" s="75" t="s">
        <v>364</v>
      </c>
      <c r="D162" s="83">
        <f>(3.88*5.62+2.53*1.5)*10.764</f>
        <v>275.56485839999999</v>
      </c>
      <c r="E162" s="75">
        <v>0</v>
      </c>
      <c r="F162" s="75">
        <f t="shared" si="6"/>
        <v>275.56485839999999</v>
      </c>
      <c r="G162" s="75">
        <v>0</v>
      </c>
      <c r="H162" s="75">
        <f t="shared" si="7"/>
        <v>413.34728759999996</v>
      </c>
      <c r="I162" s="33"/>
      <c r="N162" s="33"/>
    </row>
    <row r="163" spans="1:14" s="94" customFormat="1" x14ac:dyDescent="0.25">
      <c r="A163" s="100">
        <f>A162+1</f>
        <v>5</v>
      </c>
      <c r="B163" s="100"/>
      <c r="C163" s="92" t="s">
        <v>364</v>
      </c>
      <c r="D163" s="83">
        <f>(3.65*4.27+1.85*1.2+1.3*1.5)*10.764</f>
        <v>212.64820199999997</v>
      </c>
      <c r="E163" s="92">
        <v>0</v>
      </c>
      <c r="F163" s="92">
        <f t="shared" ref="F163:F164" si="8">D163+(IF(E163&lt;201,E163,IF(E163&lt;301,E163/2,E163/3)))</f>
        <v>212.64820199999997</v>
      </c>
      <c r="G163" s="92">
        <v>0</v>
      </c>
      <c r="H163" s="92">
        <f t="shared" ref="H163:H164" si="9">(F163+(IF(G163&lt;101,G163,IF(G163&lt;201,G163/2,IF(G163&lt;=301,G163/3,G163/4)))))*(($H$144)+1)</f>
        <v>318.97230299999995</v>
      </c>
      <c r="I163" s="33"/>
      <c r="N163" s="33"/>
    </row>
    <row r="164" spans="1:14" s="94" customFormat="1" x14ac:dyDescent="0.25">
      <c r="A164" s="100">
        <f>A163+1</f>
        <v>6</v>
      </c>
      <c r="B164" s="100"/>
      <c r="C164" s="92" t="s">
        <v>364</v>
      </c>
      <c r="D164" s="83">
        <f>(3.65*4.12+3.4*4.12+1.85*1.2+1.3*1.5)*10.764</f>
        <v>357.53702399999997</v>
      </c>
      <c r="E164" s="92">
        <v>0</v>
      </c>
      <c r="F164" s="92">
        <f t="shared" si="8"/>
        <v>357.53702399999997</v>
      </c>
      <c r="G164" s="92">
        <v>0</v>
      </c>
      <c r="H164" s="92">
        <f t="shared" si="9"/>
        <v>536.30553599999996</v>
      </c>
      <c r="I164" s="33"/>
      <c r="N164" s="33"/>
    </row>
    <row r="165" spans="1:14" s="34" customFormat="1" ht="15.75" customHeight="1" x14ac:dyDescent="0.25">
      <c r="A165" s="100"/>
      <c r="B165" s="100"/>
      <c r="C165" s="100"/>
      <c r="D165" s="100"/>
      <c r="E165" s="100"/>
      <c r="F165" s="100"/>
      <c r="G165" s="100"/>
      <c r="H165" s="100"/>
      <c r="I165" s="33"/>
    </row>
    <row r="166" spans="1:14" s="34" customFormat="1" ht="45.75" customHeight="1" x14ac:dyDescent="0.25">
      <c r="A166" s="154" t="s">
        <v>116</v>
      </c>
      <c r="B166" s="154" t="s">
        <v>173</v>
      </c>
      <c r="C166" s="154" t="s">
        <v>54</v>
      </c>
      <c r="D166" s="152" t="s">
        <v>228</v>
      </c>
      <c r="E166" s="154" t="s">
        <v>367</v>
      </c>
      <c r="F166" s="154" t="s">
        <v>55</v>
      </c>
      <c r="G166" s="223" t="s">
        <v>56</v>
      </c>
      <c r="H166" s="90" t="s">
        <v>144</v>
      </c>
      <c r="I166" s="33"/>
    </row>
    <row r="167" spans="1:14" s="34" customFormat="1" ht="15.75" customHeight="1" x14ac:dyDescent="0.25">
      <c r="A167" s="154"/>
      <c r="B167" s="154"/>
      <c r="C167" s="154"/>
      <c r="D167" s="153"/>
      <c r="E167" s="154"/>
      <c r="F167" s="154"/>
      <c r="G167" s="223"/>
      <c r="H167" s="91">
        <v>0.45</v>
      </c>
      <c r="I167" s="33"/>
    </row>
    <row r="168" spans="1:14" s="34" customFormat="1" ht="15.75" customHeight="1" x14ac:dyDescent="0.25">
      <c r="A168" s="161" t="s">
        <v>365</v>
      </c>
      <c r="B168" s="162"/>
      <c r="C168" s="162"/>
      <c r="D168" s="162"/>
      <c r="E168" s="162"/>
      <c r="F168" s="162"/>
      <c r="G168" s="162"/>
      <c r="H168" s="163"/>
      <c r="I168" s="33"/>
    </row>
    <row r="169" spans="1:14" s="34" customFormat="1" ht="15.75" customHeight="1" x14ac:dyDescent="0.25">
      <c r="A169" s="104" t="s">
        <v>381</v>
      </c>
      <c r="B169" s="105"/>
      <c r="C169" s="105"/>
      <c r="D169" s="105"/>
      <c r="E169" s="105"/>
      <c r="F169" s="105"/>
      <c r="G169" s="105"/>
      <c r="H169" s="106"/>
      <c r="I169" s="33">
        <f>I170+5.41</f>
        <v>31.970000000000002</v>
      </c>
    </row>
    <row r="170" spans="1:14" s="34" customFormat="1" x14ac:dyDescent="0.25">
      <c r="A170" s="104" t="s">
        <v>383</v>
      </c>
      <c r="B170" s="105"/>
      <c r="C170" s="105"/>
      <c r="D170" s="105"/>
      <c r="E170" s="105"/>
      <c r="F170" s="105"/>
      <c r="G170" s="105"/>
      <c r="H170" s="106"/>
      <c r="I170" s="33">
        <f>I171-2.275-2.25</f>
        <v>26.560000000000002</v>
      </c>
    </row>
    <row r="171" spans="1:14" s="34" customFormat="1" ht="15.75" customHeight="1" x14ac:dyDescent="0.25">
      <c r="A171" s="97">
        <v>1</v>
      </c>
      <c r="B171" s="99"/>
      <c r="C171" s="39" t="s">
        <v>366</v>
      </c>
      <c r="D171" s="83">
        <f>(27.83)*10.764</f>
        <v>299.56211999999994</v>
      </c>
      <c r="E171" s="83">
        <f>(5.41+2.9*0.75)*10.764</f>
        <v>81.644939999999991</v>
      </c>
      <c r="F171" s="39">
        <f>D171+E171</f>
        <v>381.20705999999996</v>
      </c>
      <c r="G171" s="49">
        <v>0</v>
      </c>
      <c r="H171" s="49">
        <f>F171*(($H$167)+1)+(IF(G171&lt;101,G171,IF(G171&lt;201,G171/2,IF(G171&lt;=301,G171/3,G171/4))))</f>
        <v>552.75023699999997</v>
      </c>
      <c r="I171" s="33">
        <f>2.9*3.95+2.25*3.35+2.75*3.35+1.2*1.5+1.2*0.9</f>
        <v>31.085000000000001</v>
      </c>
      <c r="J171" s="34">
        <f>27.83+5.41</f>
        <v>33.239999999999995</v>
      </c>
      <c r="K171" s="82">
        <f>2.25+2.75</f>
        <v>5</v>
      </c>
    </row>
    <row r="172" spans="1:14" s="34" customFormat="1" ht="15.75" customHeight="1" x14ac:dyDescent="0.25">
      <c r="A172" s="97">
        <f>A171+1</f>
        <v>2</v>
      </c>
      <c r="B172" s="99"/>
      <c r="C172" s="75" t="s">
        <v>366</v>
      </c>
      <c r="D172" s="83">
        <f>(27.83)*10.764</f>
        <v>299.56211999999994</v>
      </c>
      <c r="E172" s="83">
        <f>(5.41+2.9*0.75)*10.764</f>
        <v>81.644939999999991</v>
      </c>
      <c r="F172" s="49">
        <f>D172+E172</f>
        <v>381.20705999999996</v>
      </c>
      <c r="G172" s="49">
        <v>0</v>
      </c>
      <c r="H172" s="49">
        <f>F172*(($H$167)+1)+(IF(G172&lt;101,G172,IF(G172&lt;201,G172/2,IF(G172&lt;=301,G172/3,G172/4))))</f>
        <v>552.75023699999997</v>
      </c>
      <c r="I172" s="33"/>
    </row>
    <row r="173" spans="1:14" s="34" customFormat="1" ht="15.75" customHeight="1" x14ac:dyDescent="0.25">
      <c r="A173" s="97">
        <f>A172+1</f>
        <v>3</v>
      </c>
      <c r="B173" s="99"/>
      <c r="C173" s="75" t="s">
        <v>366</v>
      </c>
      <c r="D173" s="83">
        <f>(27.83)*10.764</f>
        <v>299.56211999999994</v>
      </c>
      <c r="E173" s="83">
        <f>(5.41+2.9*0.75)*10.764</f>
        <v>81.644939999999991</v>
      </c>
      <c r="F173" s="49">
        <f>D173+E173</f>
        <v>381.20705999999996</v>
      </c>
      <c r="G173" s="49">
        <v>0</v>
      </c>
      <c r="H173" s="49">
        <f>F173*(($H$167)+1)+(IF(G173&lt;101,G173,IF(G173&lt;201,G173/2,IF(G173&lt;=301,G173/3,G173/4))))</f>
        <v>552.75023699999997</v>
      </c>
      <c r="I173" s="33"/>
    </row>
    <row r="174" spans="1:14" s="34" customFormat="1" ht="15.75" customHeight="1" x14ac:dyDescent="0.25">
      <c r="A174" s="97">
        <f>A173+1</f>
        <v>4</v>
      </c>
      <c r="B174" s="99"/>
      <c r="C174" s="75" t="s">
        <v>366</v>
      </c>
      <c r="D174" s="83">
        <f>(27.83)*10.764</f>
        <v>299.56211999999994</v>
      </c>
      <c r="E174" s="83">
        <f>(5.41+2.9*0.75)*10.764</f>
        <v>81.644939999999991</v>
      </c>
      <c r="F174" s="49">
        <f>D174+E174</f>
        <v>381.20705999999996</v>
      </c>
      <c r="G174" s="49">
        <v>0</v>
      </c>
      <c r="H174" s="49">
        <f>F174*(($H$167)+1)+(IF(G174&lt;101,G174,IF(G174&lt;201,G174/2,IF(G174&lt;=301,G174/3,G174/4))))</f>
        <v>552.75023699999997</v>
      </c>
      <c r="I174" s="33"/>
      <c r="J174" s="34">
        <f>5700000/H174</f>
        <v>10312.071562259684</v>
      </c>
      <c r="K174" s="34">
        <v>7000</v>
      </c>
    </row>
    <row r="175" spans="1:14" s="94" customFormat="1" x14ac:dyDescent="0.25">
      <c r="A175" s="104" t="s">
        <v>388</v>
      </c>
      <c r="B175" s="105"/>
      <c r="C175" s="105"/>
      <c r="D175" s="105"/>
      <c r="E175" s="105"/>
      <c r="F175" s="105"/>
      <c r="G175" s="105"/>
      <c r="H175" s="106"/>
      <c r="I175" s="33"/>
    </row>
    <row r="176" spans="1:14" s="94" customFormat="1" ht="15.75" customHeight="1" x14ac:dyDescent="0.25">
      <c r="A176" s="97">
        <v>1</v>
      </c>
      <c r="B176" s="99"/>
      <c r="C176" s="92" t="s">
        <v>366</v>
      </c>
      <c r="D176" s="83">
        <f>(27.83)*10.764</f>
        <v>299.56211999999994</v>
      </c>
      <c r="E176" s="83">
        <f>(5.41+2.9*0.75)*10.764</f>
        <v>81.644939999999991</v>
      </c>
      <c r="F176" s="92">
        <f>D176+E176</f>
        <v>381.20705999999996</v>
      </c>
      <c r="G176" s="92">
        <v>0</v>
      </c>
      <c r="H176" s="92">
        <f>F176*(($H$167)+1)+(IF(G176&lt;101,G176,IF(G176&lt;201,G176/2,IF(G176&lt;=301,G176/3,G176/4))))</f>
        <v>552.75023699999997</v>
      </c>
      <c r="I176" s="33">
        <f>2.9*3.95+2.25*2.35+2.75*2.35+1.2*1.5+1.2*0.9+1.2*0.4</f>
        <v>26.565000000000001</v>
      </c>
      <c r="J176" s="94">
        <f>27.83+5.41</f>
        <v>33.239999999999995</v>
      </c>
      <c r="K176" s="82">
        <f>K$174*H176</f>
        <v>3869251.659</v>
      </c>
    </row>
    <row r="177" spans="1:20" s="94" customFormat="1" ht="15.75" customHeight="1" x14ac:dyDescent="0.25">
      <c r="A177" s="97">
        <f>A176+1</f>
        <v>2</v>
      </c>
      <c r="B177" s="99"/>
      <c r="C177" s="92" t="s">
        <v>366</v>
      </c>
      <c r="D177" s="83">
        <f>(27.83)*10.764</f>
        <v>299.56211999999994</v>
      </c>
      <c r="E177" s="83">
        <f>(5.41+2.9*0.75)*10.764</f>
        <v>81.644939999999991</v>
      </c>
      <c r="F177" s="92">
        <f>D177+E177</f>
        <v>381.20705999999996</v>
      </c>
      <c r="G177" s="92">
        <v>0</v>
      </c>
      <c r="H177" s="92">
        <f>F177*(($H$167)+1)+(IF(G177&lt;101,G177,IF(G177&lt;201,G177/2,IF(G177&lt;=301,G177/3,G177/4))))</f>
        <v>552.75023699999997</v>
      </c>
      <c r="I177" s="33"/>
      <c r="K177" s="82">
        <f t="shared" ref="K177:K191" si="10">K$174*H177</f>
        <v>3869251.659</v>
      </c>
    </row>
    <row r="178" spans="1:20" s="94" customFormat="1" ht="15.75" customHeight="1" x14ac:dyDescent="0.25">
      <c r="A178" s="97">
        <f>A177+1</f>
        <v>3</v>
      </c>
      <c r="B178" s="99"/>
      <c r="C178" s="97" t="s">
        <v>368</v>
      </c>
      <c r="D178" s="98"/>
      <c r="E178" s="98"/>
      <c r="F178" s="98"/>
      <c r="G178" s="98"/>
      <c r="H178" s="99"/>
      <c r="I178" s="33"/>
      <c r="K178" s="82">
        <f t="shared" si="10"/>
        <v>0</v>
      </c>
    </row>
    <row r="179" spans="1:20" s="94" customFormat="1" ht="15.75" customHeight="1" x14ac:dyDescent="0.25">
      <c r="A179" s="97">
        <f>A178+1</f>
        <v>4</v>
      </c>
      <c r="B179" s="99"/>
      <c r="C179" s="92" t="s">
        <v>366</v>
      </c>
      <c r="D179" s="83">
        <f>(27.83)*10.764</f>
        <v>299.56211999999994</v>
      </c>
      <c r="E179" s="83">
        <f>(5.41+2.9*0.75)*10.764</f>
        <v>81.644939999999991</v>
      </c>
      <c r="F179" s="92">
        <f>D179+E179</f>
        <v>381.20705999999996</v>
      </c>
      <c r="G179" s="92">
        <v>0</v>
      </c>
      <c r="H179" s="92">
        <f>F179*(($H$167)+1)+(IF(G179&lt;101,G179,IF(G179&lt;201,G179/2,IF(G179&lt;=301,G179/3,G179/4))))</f>
        <v>552.75023699999997</v>
      </c>
      <c r="I179" s="33"/>
      <c r="J179" s="94">
        <f>5700000/H179</f>
        <v>10312.071562259684</v>
      </c>
      <c r="K179" s="82">
        <f t="shared" si="10"/>
        <v>3869251.659</v>
      </c>
    </row>
    <row r="180" spans="1:20" s="34" customFormat="1" ht="15.75" customHeight="1" x14ac:dyDescent="0.25">
      <c r="A180" s="161" t="s">
        <v>369</v>
      </c>
      <c r="B180" s="162"/>
      <c r="C180" s="162"/>
      <c r="D180" s="162"/>
      <c r="E180" s="162"/>
      <c r="F180" s="162"/>
      <c r="G180" s="162"/>
      <c r="H180" s="163"/>
      <c r="I180" s="33"/>
      <c r="K180" s="82">
        <f t="shared" si="10"/>
        <v>0</v>
      </c>
    </row>
    <row r="181" spans="1:20" s="32" customFormat="1" ht="15.75" customHeight="1" x14ac:dyDescent="0.25">
      <c r="A181" s="104" t="s">
        <v>381</v>
      </c>
      <c r="B181" s="105"/>
      <c r="C181" s="105"/>
      <c r="D181" s="105"/>
      <c r="E181" s="105"/>
      <c r="F181" s="105"/>
      <c r="G181" s="105"/>
      <c r="H181" s="106"/>
      <c r="K181" s="82">
        <f t="shared" si="10"/>
        <v>0</v>
      </c>
      <c r="T181" s="34"/>
    </row>
    <row r="182" spans="1:20" s="32" customFormat="1" ht="15.75" customHeight="1" x14ac:dyDescent="0.25">
      <c r="A182" s="104" t="s">
        <v>387</v>
      </c>
      <c r="B182" s="105"/>
      <c r="C182" s="105"/>
      <c r="D182" s="105"/>
      <c r="E182" s="105"/>
      <c r="F182" s="105"/>
      <c r="G182" s="105"/>
      <c r="H182" s="106"/>
      <c r="K182" s="82">
        <f t="shared" si="10"/>
        <v>0</v>
      </c>
      <c r="T182" s="34"/>
    </row>
    <row r="183" spans="1:20" s="32" customFormat="1" x14ac:dyDescent="0.25">
      <c r="A183" s="97">
        <v>1</v>
      </c>
      <c r="B183" s="99"/>
      <c r="C183" s="75" t="s">
        <v>371</v>
      </c>
      <c r="D183" s="83">
        <f>(36.57)*10.764</f>
        <v>393.63947999999999</v>
      </c>
      <c r="E183" s="83">
        <f>(6.29+0.75*(2.75+5.4))*10.764</f>
        <v>133.50050999999999</v>
      </c>
      <c r="F183" s="49">
        <f>D183+E183</f>
        <v>527.13999000000001</v>
      </c>
      <c r="G183" s="49">
        <v>0</v>
      </c>
      <c r="H183" s="49">
        <f>F183*(($H$167)+1)+(IF(G183&lt;101,G183,IF(G183&lt;201,G183/2,IF(G183&lt;=301,G183/3,G183/4))))</f>
        <v>764.35298550000005</v>
      </c>
      <c r="K183" s="82">
        <f t="shared" si="10"/>
        <v>5350470.8985000001</v>
      </c>
      <c r="T183" s="34"/>
    </row>
    <row r="184" spans="1:20" s="32" customFormat="1" x14ac:dyDescent="0.25">
      <c r="A184" s="97">
        <f>A183+1</f>
        <v>2</v>
      </c>
      <c r="B184" s="99"/>
      <c r="C184" s="75" t="s">
        <v>366</v>
      </c>
      <c r="D184" s="83">
        <f>(36.33)*10.764</f>
        <v>391.05611999999996</v>
      </c>
      <c r="E184" s="83">
        <f>(8.23+0.75*5.4)*10.764</f>
        <v>132.18191999999999</v>
      </c>
      <c r="F184" s="49">
        <f>D184+E184</f>
        <v>523.23803999999996</v>
      </c>
      <c r="G184" s="49">
        <v>0</v>
      </c>
      <c r="H184" s="49">
        <f>F184*(($H$167)+1)+(IF(G184&lt;101,G184,IF(G184&lt;201,G184/2,IF(G184&lt;=301,G184/3,G184/4))))</f>
        <v>758.69515799999988</v>
      </c>
      <c r="K184" s="82">
        <f t="shared" si="10"/>
        <v>5310866.1059999987</v>
      </c>
      <c r="T184" s="34"/>
    </row>
    <row r="185" spans="1:20" s="32" customFormat="1" x14ac:dyDescent="0.25">
      <c r="A185" s="97">
        <v>3</v>
      </c>
      <c r="B185" s="99"/>
      <c r="C185" s="39" t="s">
        <v>370</v>
      </c>
      <c r="D185" s="83">
        <f>(44.17)*10.764</f>
        <v>475.44587999999999</v>
      </c>
      <c r="E185" s="83">
        <f>(12.14+0.75*(6.75+2.9+3.3))*10.764</f>
        <v>235.22030999999998</v>
      </c>
      <c r="F185" s="49">
        <f>D185+E185</f>
        <v>710.66618999999992</v>
      </c>
      <c r="G185" s="49">
        <v>0</v>
      </c>
      <c r="H185" s="49">
        <f>F185*(($H$167)+1)+(IF(G185&lt;101,G185,IF(G185&lt;201,G185/2,IF(G185&lt;=301,G185/3,G185/4))))</f>
        <v>1030.4659754999998</v>
      </c>
      <c r="I185" s="96">
        <f>3*5.08+2.25*2.8+3.35*1.75+3.3*1.75+2.25*1.2+1.2*2.25+1.5*0.9</f>
        <v>39.927500000000009</v>
      </c>
      <c r="J185" s="85">
        <f>44.4+9.35</f>
        <v>53.75</v>
      </c>
      <c r="K185" s="82">
        <f t="shared" si="10"/>
        <v>7213261.8284999989</v>
      </c>
      <c r="T185" s="34"/>
    </row>
    <row r="186" spans="1:20" s="32" customFormat="1" x14ac:dyDescent="0.25">
      <c r="A186" s="97">
        <f>A185+1</f>
        <v>4</v>
      </c>
      <c r="B186" s="99"/>
      <c r="C186" s="75" t="s">
        <v>370</v>
      </c>
      <c r="D186" s="83">
        <f>(44.96)*10.764</f>
        <v>483.94943999999998</v>
      </c>
      <c r="E186" s="83">
        <f>(12.14+0.75*(6.75+2.9+3.3))*10.764</f>
        <v>235.22030999999998</v>
      </c>
      <c r="F186" s="49">
        <f>D186+E186</f>
        <v>719.16975000000002</v>
      </c>
      <c r="G186" s="49">
        <v>0</v>
      </c>
      <c r="H186" s="49">
        <f>F186*(($H$167)+1)+(IF(G186&lt;101,G186,IF(G186&lt;201,G186/2,IF(G186&lt;=301,G186/3,G186/4))))</f>
        <v>1042.7961375</v>
      </c>
      <c r="J186" s="85">
        <f>44.4+9.13</f>
        <v>53.53</v>
      </c>
      <c r="K186" s="82">
        <f t="shared" si="10"/>
        <v>7299572.9624999994</v>
      </c>
      <c r="T186" s="34"/>
    </row>
    <row r="187" spans="1:20" s="32" customFormat="1" ht="15.75" customHeight="1" x14ac:dyDescent="0.25">
      <c r="A187" s="104" t="s">
        <v>385</v>
      </c>
      <c r="B187" s="105"/>
      <c r="C187" s="105"/>
      <c r="D187" s="105"/>
      <c r="E187" s="105"/>
      <c r="F187" s="105"/>
      <c r="G187" s="105"/>
      <c r="H187" s="106"/>
      <c r="K187" s="82">
        <f t="shared" si="10"/>
        <v>0</v>
      </c>
      <c r="T187" s="94"/>
    </row>
    <row r="188" spans="1:20" s="32" customFormat="1" x14ac:dyDescent="0.25">
      <c r="A188" s="97">
        <v>1</v>
      </c>
      <c r="B188" s="99"/>
      <c r="C188" s="92" t="s">
        <v>371</v>
      </c>
      <c r="D188" s="83">
        <f>(36.57)*10.764</f>
        <v>393.63947999999999</v>
      </c>
      <c r="E188" s="83">
        <f>(6.29+0.75*(2.75+5.4))*10.764</f>
        <v>133.50050999999999</v>
      </c>
      <c r="F188" s="92">
        <f>D188+E188</f>
        <v>527.13999000000001</v>
      </c>
      <c r="G188" s="92">
        <v>0</v>
      </c>
      <c r="H188" s="92">
        <f>F188*(($H$167)+1)+(IF(G188&lt;101,G188,IF(G188&lt;201,G188/2,IF(G188&lt;=301,G188/3,G188/4))))</f>
        <v>764.35298550000005</v>
      </c>
      <c r="K188" s="82">
        <f t="shared" si="10"/>
        <v>5350470.8985000001</v>
      </c>
      <c r="T188" s="94"/>
    </row>
    <row r="189" spans="1:20" s="32" customFormat="1" x14ac:dyDescent="0.25">
      <c r="A189" s="97">
        <f>A188+1</f>
        <v>2</v>
      </c>
      <c r="B189" s="99"/>
      <c r="C189" s="97" t="s">
        <v>368</v>
      </c>
      <c r="D189" s="98"/>
      <c r="E189" s="98"/>
      <c r="F189" s="98"/>
      <c r="G189" s="98"/>
      <c r="H189" s="99"/>
      <c r="K189" s="82">
        <f t="shared" si="10"/>
        <v>0</v>
      </c>
      <c r="T189" s="94"/>
    </row>
    <row r="190" spans="1:20" s="32" customFormat="1" x14ac:dyDescent="0.25">
      <c r="A190" s="97">
        <v>3</v>
      </c>
      <c r="B190" s="99"/>
      <c r="C190" s="92" t="s">
        <v>370</v>
      </c>
      <c r="D190" s="83">
        <f>(44.17)*10.764</f>
        <v>475.44587999999999</v>
      </c>
      <c r="E190" s="83">
        <f>(12.14+0.75*(6.75+2.9+3.3))*10.764</f>
        <v>235.22030999999998</v>
      </c>
      <c r="F190" s="92">
        <f>D190+E190</f>
        <v>710.66618999999992</v>
      </c>
      <c r="G190" s="92">
        <v>0</v>
      </c>
      <c r="H190" s="92">
        <f>F190*(($H$167)+1)+(IF(G190&lt;101,G190,IF(G190&lt;201,G190/2,IF(G190&lt;=301,G190/3,G190/4))))</f>
        <v>1030.4659754999998</v>
      </c>
      <c r="I190" s="96">
        <f>3*5.08+2.25*2.8+3.35*1.75+3.3*1.75+2.25*1.2+1.2*2.25+1.5*0.9</f>
        <v>39.927500000000009</v>
      </c>
      <c r="J190" s="85">
        <f>44.4+9.35</f>
        <v>53.75</v>
      </c>
      <c r="K190" s="82">
        <f t="shared" si="10"/>
        <v>7213261.8284999989</v>
      </c>
      <c r="T190" s="94"/>
    </row>
    <row r="191" spans="1:20" s="32" customFormat="1" x14ac:dyDescent="0.25">
      <c r="A191" s="97">
        <f>A190+1</f>
        <v>4</v>
      </c>
      <c r="B191" s="99"/>
      <c r="C191" s="92" t="s">
        <v>370</v>
      </c>
      <c r="D191" s="83">
        <f>(44.96)*10.764</f>
        <v>483.94943999999998</v>
      </c>
      <c r="E191" s="83">
        <f>(11.95+0.75*(6.75+2.9+3.3))*10.764</f>
        <v>233.17514999999997</v>
      </c>
      <c r="F191" s="92">
        <f>D191+E191</f>
        <v>717.1245899999999</v>
      </c>
      <c r="G191" s="92">
        <v>0</v>
      </c>
      <c r="H191" s="92">
        <f>F191*(($H$167)+1)+(IF(G191&lt;101,G191,IF(G191&lt;201,G191/2,IF(G191&lt;=301,G191/3,G191/4))))</f>
        <v>1039.8306554999999</v>
      </c>
      <c r="J191" s="85">
        <f>44.4+9.13</f>
        <v>53.53</v>
      </c>
      <c r="K191" s="82">
        <f t="shared" si="10"/>
        <v>7278814.5884999996</v>
      </c>
      <c r="T191" s="94"/>
    </row>
    <row r="192" spans="1:20" x14ac:dyDescent="0.25">
      <c r="A192" s="187" t="s">
        <v>64</v>
      </c>
      <c r="B192" s="188"/>
      <c r="C192" s="188"/>
      <c r="D192" s="188"/>
      <c r="E192" s="188"/>
      <c r="F192" s="188"/>
      <c r="G192" s="188"/>
      <c r="H192" s="189"/>
    </row>
    <row r="193" spans="1:8" x14ac:dyDescent="0.25">
      <c r="A193" s="41" t="s">
        <v>148</v>
      </c>
      <c r="B193" s="251" t="s">
        <v>375</v>
      </c>
      <c r="C193" s="252"/>
      <c r="D193" s="252"/>
      <c r="E193" s="252"/>
      <c r="F193" s="252"/>
      <c r="G193" s="252"/>
      <c r="H193" s="253"/>
    </row>
    <row r="194" spans="1:8" x14ac:dyDescent="0.25">
      <c r="A194" s="41" t="s">
        <v>148</v>
      </c>
      <c r="B194" s="177" t="str">
        <f>(IF(H166="Saleable area Loading :","We have considered Saleable area of Flats as per our Calculation.","We considered Saleable area of Flat as per Builder area Sheet."))</f>
        <v>We have considered Saleable area of Flats as per our Calculation.</v>
      </c>
      <c r="C194" s="178"/>
      <c r="D194" s="178"/>
      <c r="E194" s="178"/>
      <c r="F194" s="178"/>
      <c r="G194" s="178"/>
      <c r="H194" s="179"/>
    </row>
    <row r="195" spans="1:8" x14ac:dyDescent="0.25">
      <c r="A195" s="41" t="s">
        <v>148</v>
      </c>
      <c r="B195" s="177" t="str">
        <f>(IF(H143="Saleable area Loading :","We have considered Saleable area of Commercial as per our Calculation.","We considered Saleable area of Commercial as per Builder area Sheet."))</f>
        <v>We have considered Saleable area of Commercial as per our Calculation.</v>
      </c>
      <c r="C195" s="178"/>
      <c r="D195" s="178"/>
      <c r="E195" s="178"/>
      <c r="F195" s="178"/>
      <c r="G195" s="178"/>
      <c r="H195" s="179"/>
    </row>
    <row r="196" spans="1:8" x14ac:dyDescent="0.25">
      <c r="A196" s="41" t="s">
        <v>148</v>
      </c>
      <c r="B196" s="101" t="s">
        <v>118</v>
      </c>
      <c r="C196" s="102"/>
      <c r="D196" s="102"/>
      <c r="E196" s="102"/>
      <c r="F196" s="102"/>
      <c r="G196" s="102"/>
      <c r="H196" s="103"/>
    </row>
    <row r="197" spans="1:8" x14ac:dyDescent="0.25">
      <c r="A197" s="41" t="s">
        <v>148</v>
      </c>
      <c r="B197" s="101" t="s">
        <v>384</v>
      </c>
      <c r="C197" s="102"/>
      <c r="D197" s="102"/>
      <c r="E197" s="102"/>
      <c r="F197" s="102"/>
      <c r="G197" s="102"/>
      <c r="H197" s="103"/>
    </row>
    <row r="198" spans="1:8" x14ac:dyDescent="0.25">
      <c r="A198" s="41" t="s">
        <v>148</v>
      </c>
      <c r="B198" s="101" t="s">
        <v>147</v>
      </c>
      <c r="C198" s="102"/>
      <c r="D198" s="102"/>
      <c r="E198" s="102"/>
      <c r="F198" s="102"/>
      <c r="G198" s="102"/>
      <c r="H198" s="103"/>
    </row>
    <row r="199" spans="1:8" x14ac:dyDescent="0.25">
      <c r="A199" s="41" t="s">
        <v>148</v>
      </c>
      <c r="B199" s="101" t="s">
        <v>119</v>
      </c>
      <c r="C199" s="102"/>
      <c r="D199" s="102"/>
      <c r="E199" s="102"/>
      <c r="F199" s="102"/>
      <c r="G199" s="102"/>
      <c r="H199" s="103"/>
    </row>
    <row r="200" spans="1:8" ht="30.75" customHeight="1" x14ac:dyDescent="0.25">
      <c r="A200" s="41" t="s">
        <v>148</v>
      </c>
      <c r="B200" s="101" t="s">
        <v>149</v>
      </c>
      <c r="C200" s="102"/>
      <c r="D200" s="102"/>
      <c r="E200" s="102"/>
      <c r="F200" s="102"/>
      <c r="G200" s="102"/>
      <c r="H200" s="103"/>
    </row>
    <row r="201" spans="1:8" ht="15" customHeight="1" x14ac:dyDescent="0.25">
      <c r="A201" s="41" t="s">
        <v>148</v>
      </c>
      <c r="B201" s="101" t="s">
        <v>120</v>
      </c>
      <c r="C201" s="102"/>
      <c r="D201" s="102"/>
      <c r="E201" s="102"/>
      <c r="F201" s="102"/>
      <c r="G201" s="102"/>
      <c r="H201" s="103"/>
    </row>
    <row r="202" spans="1:8" ht="35.25" customHeight="1" x14ac:dyDescent="0.25">
      <c r="A202" s="46" t="s">
        <v>148</v>
      </c>
      <c r="B202" s="177" t="s">
        <v>174</v>
      </c>
      <c r="C202" s="178"/>
      <c r="D202" s="178"/>
      <c r="E202" s="178"/>
      <c r="F202" s="178"/>
      <c r="G202" s="178"/>
      <c r="H202" s="179"/>
    </row>
    <row r="203" spans="1:8" hidden="1" x14ac:dyDescent="0.25">
      <c r="A203" s="50" t="s">
        <v>148</v>
      </c>
      <c r="B203" s="234" t="s">
        <v>229</v>
      </c>
      <c r="C203" s="235"/>
      <c r="D203" s="235"/>
      <c r="E203" s="235"/>
      <c r="F203" s="235"/>
      <c r="G203" s="235"/>
      <c r="H203" s="236"/>
    </row>
    <row r="204" spans="1:8" ht="48.6" hidden="1" customHeight="1" x14ac:dyDescent="0.25">
      <c r="A204" s="95" t="s">
        <v>148</v>
      </c>
      <c r="B204" s="234" t="s">
        <v>391</v>
      </c>
      <c r="C204" s="235"/>
      <c r="D204" s="235"/>
      <c r="E204" s="235"/>
      <c r="F204" s="235"/>
      <c r="G204" s="235"/>
      <c r="H204" s="236"/>
    </row>
    <row r="205" spans="1:8" ht="78" customHeight="1" x14ac:dyDescent="0.25">
      <c r="A205" s="93" t="s">
        <v>148</v>
      </c>
      <c r="B205" s="184" t="s">
        <v>393</v>
      </c>
      <c r="C205" s="185"/>
      <c r="D205" s="185"/>
      <c r="E205" s="185"/>
      <c r="F205" s="185"/>
      <c r="G205" s="185"/>
      <c r="H205" s="186"/>
    </row>
    <row r="206" spans="1:8" ht="15" customHeight="1" x14ac:dyDescent="0.25">
      <c r="A206" s="87" t="s">
        <v>148</v>
      </c>
      <c r="B206" s="184" t="s">
        <v>395</v>
      </c>
      <c r="C206" s="185"/>
      <c r="D206" s="185"/>
      <c r="E206" s="185"/>
      <c r="F206" s="185"/>
      <c r="G206" s="185"/>
      <c r="H206" s="186"/>
    </row>
    <row r="207" spans="1:8" x14ac:dyDescent="0.25">
      <c r="A207" s="93" t="s">
        <v>148</v>
      </c>
      <c r="B207" s="184" t="s">
        <v>396</v>
      </c>
      <c r="C207" s="185"/>
      <c r="D207" s="185"/>
      <c r="E207" s="185"/>
      <c r="F207" s="185"/>
      <c r="G207" s="185"/>
      <c r="H207" s="186"/>
    </row>
    <row r="208" spans="1:8" ht="30.95" hidden="1" customHeight="1" x14ac:dyDescent="0.25">
      <c r="A208" s="95" t="s">
        <v>148</v>
      </c>
      <c r="B208" s="184" t="s">
        <v>394</v>
      </c>
      <c r="C208" s="185"/>
      <c r="D208" s="185"/>
      <c r="E208" s="185"/>
      <c r="F208" s="185"/>
      <c r="G208" s="185"/>
      <c r="H208" s="186"/>
    </row>
    <row r="209" spans="1:8" x14ac:dyDescent="0.25">
      <c r="A209" s="132" t="s">
        <v>57</v>
      </c>
      <c r="B209" s="132"/>
      <c r="C209" s="132"/>
      <c r="D209" s="132"/>
      <c r="E209" s="132"/>
      <c r="F209" s="132"/>
      <c r="G209" s="132"/>
      <c r="H209" s="132"/>
    </row>
    <row r="210" spans="1:8" x14ac:dyDescent="0.25">
      <c r="A210" s="113" t="s">
        <v>58</v>
      </c>
      <c r="B210" s="113"/>
      <c r="C210" s="113"/>
      <c r="D210" s="113"/>
      <c r="E210" s="113"/>
      <c r="F210" s="113"/>
      <c r="G210" s="113"/>
      <c r="H210" s="113"/>
    </row>
    <row r="211" spans="1:8" x14ac:dyDescent="0.25">
      <c r="A211" s="151" t="s">
        <v>59</v>
      </c>
      <c r="B211" s="151"/>
      <c r="C211" s="151"/>
      <c r="D211" s="151"/>
      <c r="E211" s="151"/>
      <c r="F211" s="151"/>
      <c r="G211" s="151"/>
      <c r="H211" s="151"/>
    </row>
    <row r="212" spans="1:8" x14ac:dyDescent="0.25">
      <c r="A212" s="113" t="s">
        <v>60</v>
      </c>
      <c r="B212" s="113"/>
      <c r="C212" s="113"/>
      <c r="D212" s="113"/>
      <c r="E212" s="113"/>
      <c r="F212" s="113"/>
      <c r="G212" s="113"/>
      <c r="H212" s="113"/>
    </row>
    <row r="213" spans="1:8" x14ac:dyDescent="0.25">
      <c r="A213" s="113" t="s">
        <v>61</v>
      </c>
      <c r="B213" s="113"/>
      <c r="C213" s="113"/>
      <c r="D213" s="113"/>
      <c r="E213" s="113"/>
      <c r="F213" s="113"/>
      <c r="G213" s="113"/>
      <c r="H213" s="113"/>
    </row>
    <row r="214" spans="1:8" x14ac:dyDescent="0.25">
      <c r="A214" s="113" t="s">
        <v>121</v>
      </c>
      <c r="B214" s="113"/>
      <c r="C214" s="113"/>
      <c r="D214" s="113"/>
      <c r="E214" s="113"/>
      <c r="F214" s="113"/>
      <c r="G214" s="113"/>
      <c r="H214" s="113"/>
    </row>
    <row r="215" spans="1:8" x14ac:dyDescent="0.25">
      <c r="A215" s="119" t="s">
        <v>122</v>
      </c>
      <c r="B215" s="119"/>
      <c r="C215" s="119"/>
      <c r="D215" s="119"/>
      <c r="E215" s="119"/>
      <c r="F215" s="119"/>
      <c r="G215" s="119"/>
      <c r="H215" s="119"/>
    </row>
    <row r="216" spans="1:8" x14ac:dyDescent="0.25">
      <c r="A216" s="176" t="s">
        <v>73</v>
      </c>
      <c r="B216" s="176"/>
      <c r="C216" s="176" t="s">
        <v>377</v>
      </c>
      <c r="D216" s="176"/>
      <c r="E216" s="176" t="s">
        <v>102</v>
      </c>
      <c r="F216" s="176"/>
      <c r="G216" s="176" t="s">
        <v>374</v>
      </c>
      <c r="H216" s="176"/>
    </row>
    <row r="217" spans="1:8" x14ac:dyDescent="0.25">
      <c r="A217" s="175" t="s">
        <v>75</v>
      </c>
      <c r="B217" s="175"/>
      <c r="C217" s="175"/>
      <c r="D217" s="175"/>
      <c r="E217" s="175"/>
      <c r="F217" s="175"/>
      <c r="G217" s="175"/>
      <c r="H217" s="175"/>
    </row>
    <row r="218" spans="1:8" x14ac:dyDescent="0.25">
      <c r="A218" s="175"/>
      <c r="B218" s="175"/>
      <c r="C218" s="175"/>
      <c r="D218" s="175"/>
      <c r="E218" s="175"/>
      <c r="F218" s="175"/>
      <c r="G218" s="175"/>
      <c r="H218" s="175"/>
    </row>
    <row r="219" spans="1:8" x14ac:dyDescent="0.25">
      <c r="A219" s="175"/>
      <c r="B219" s="175"/>
      <c r="C219" s="175"/>
      <c r="D219" s="175"/>
      <c r="E219" s="175"/>
      <c r="F219" s="175"/>
      <c r="G219" s="175"/>
      <c r="H219" s="175"/>
    </row>
    <row r="220" spans="1:8" x14ac:dyDescent="0.25">
      <c r="A220" s="175"/>
      <c r="B220" s="175"/>
      <c r="C220" s="175"/>
      <c r="D220" s="175"/>
      <c r="E220" s="175"/>
      <c r="F220" s="175"/>
      <c r="G220" s="175"/>
      <c r="H220" s="175"/>
    </row>
    <row r="221" spans="1:8" x14ac:dyDescent="0.25">
      <c r="A221" s="35" t="s">
        <v>62</v>
      </c>
      <c r="B221" s="36"/>
      <c r="C221" s="36"/>
      <c r="D221" s="35" t="str">
        <f>E9</f>
        <v>Imperial Heights</v>
      </c>
      <c r="F221" s="36"/>
      <c r="G221" s="36"/>
      <c r="H221" s="36"/>
    </row>
    <row r="222" spans="1:8" x14ac:dyDescent="0.25">
      <c r="A222" s="36"/>
      <c r="B222" s="36"/>
      <c r="C222" s="36"/>
      <c r="D222" s="36"/>
      <c r="E222" s="36"/>
      <c r="F222" s="36"/>
      <c r="G222" s="36"/>
      <c r="H222" s="36"/>
    </row>
    <row r="223" spans="1:8" x14ac:dyDescent="0.25">
      <c r="A223" s="36"/>
      <c r="B223" s="36"/>
      <c r="C223" s="36"/>
      <c r="D223" s="36"/>
      <c r="E223" s="36"/>
      <c r="F223" s="36"/>
      <c r="G223" s="36"/>
      <c r="H223" s="36"/>
    </row>
    <row r="264" spans="1:1" x14ac:dyDescent="0.25">
      <c r="A264" s="38" t="s">
        <v>159</v>
      </c>
    </row>
    <row r="307" spans="1:1" x14ac:dyDescent="0.25">
      <c r="A307" s="38" t="s">
        <v>63</v>
      </c>
    </row>
  </sheetData>
  <mergeCells count="376">
    <mergeCell ref="B204:H204"/>
    <mergeCell ref="B208:H208"/>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A109:B109"/>
    <mergeCell ref="G93:H102"/>
    <mergeCell ref="A117:E117"/>
    <mergeCell ref="F121:H121"/>
    <mergeCell ref="G106:H106"/>
    <mergeCell ref="G143:G144"/>
    <mergeCell ref="F117:H117"/>
    <mergeCell ref="F122:H122"/>
    <mergeCell ref="B203:H203"/>
    <mergeCell ref="A122:E122"/>
    <mergeCell ref="B200:H200"/>
    <mergeCell ref="L157:M157"/>
    <mergeCell ref="A177:B177"/>
    <mergeCell ref="A178:B178"/>
    <mergeCell ref="A188:B188"/>
    <mergeCell ref="L156:M156"/>
    <mergeCell ref="L153:M153"/>
    <mergeCell ref="A172:B172"/>
    <mergeCell ref="L154:M154"/>
    <mergeCell ref="A173:B173"/>
    <mergeCell ref="L155:M155"/>
    <mergeCell ref="A179:B179"/>
    <mergeCell ref="A130:H130"/>
    <mergeCell ref="A128:E128"/>
    <mergeCell ref="F128:H128"/>
    <mergeCell ref="A129:E129"/>
    <mergeCell ref="F129:H129"/>
    <mergeCell ref="A175:H175"/>
    <mergeCell ref="A40:B40"/>
    <mergeCell ref="C40:H40"/>
    <mergeCell ref="F143:F144"/>
    <mergeCell ref="C132:D132"/>
    <mergeCell ref="E132:F132"/>
    <mergeCell ref="B143:B144"/>
    <mergeCell ref="A143:A144"/>
    <mergeCell ref="C166:C167"/>
    <mergeCell ref="G166:G167"/>
    <mergeCell ref="G140:H140"/>
    <mergeCell ref="C55:H55"/>
    <mergeCell ref="A49:B49"/>
    <mergeCell ref="C49:H49"/>
    <mergeCell ref="A45:D45"/>
    <mergeCell ref="C91:H91"/>
    <mergeCell ref="A77:B77"/>
    <mergeCell ref="A75:B75"/>
    <mergeCell ref="C75:H75"/>
    <mergeCell ref="A83:B83"/>
    <mergeCell ref="A70:C70"/>
    <mergeCell ref="D70:H70"/>
    <mergeCell ref="C77:H77"/>
    <mergeCell ref="A80:B80"/>
    <mergeCell ref="A82:B82"/>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A81:B81"/>
    <mergeCell ref="A108:B108"/>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A78:B78"/>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78:F78"/>
    <mergeCell ref="A71:C71"/>
    <mergeCell ref="D71:H71"/>
    <mergeCell ref="A74:C74"/>
    <mergeCell ref="D74:H74"/>
    <mergeCell ref="A72:C72"/>
    <mergeCell ref="D73:H73"/>
    <mergeCell ref="A79:B79"/>
    <mergeCell ref="G78:H78"/>
    <mergeCell ref="A137:B137"/>
    <mergeCell ref="A184:B184"/>
    <mergeCell ref="A212:H212"/>
    <mergeCell ref="A135:H135"/>
    <mergeCell ref="A209:H209"/>
    <mergeCell ref="G136:H136"/>
    <mergeCell ref="A186:B186"/>
    <mergeCell ref="C143:C144"/>
    <mergeCell ref="B166:B167"/>
    <mergeCell ref="A210:H210"/>
    <mergeCell ref="A174:B174"/>
    <mergeCell ref="D143:D144"/>
    <mergeCell ref="E136:F136"/>
    <mergeCell ref="A141:H141"/>
    <mergeCell ref="A166:A167"/>
    <mergeCell ref="F166:F167"/>
    <mergeCell ref="A189:B189"/>
    <mergeCell ref="A190:B190"/>
    <mergeCell ref="B198:H198"/>
    <mergeCell ref="A146:H146"/>
    <mergeCell ref="A147:H147"/>
    <mergeCell ref="A182:H182"/>
    <mergeCell ref="A160:B160"/>
    <mergeCell ref="B206:H206"/>
    <mergeCell ref="A105:B105"/>
    <mergeCell ref="A132:A133"/>
    <mergeCell ref="A162:B162"/>
    <mergeCell ref="A217:H220"/>
    <mergeCell ref="A216:B216"/>
    <mergeCell ref="E216:F216"/>
    <mergeCell ref="C216:D216"/>
    <mergeCell ref="G216:H216"/>
    <mergeCell ref="A215:H215"/>
    <mergeCell ref="A213:H213"/>
    <mergeCell ref="B202:H202"/>
    <mergeCell ref="A140:B140"/>
    <mergeCell ref="C140:D140"/>
    <mergeCell ref="E140:F140"/>
    <mergeCell ref="B201:H201"/>
    <mergeCell ref="B199:H199"/>
    <mergeCell ref="B195:H195"/>
    <mergeCell ref="B193:H193"/>
    <mergeCell ref="B194:H194"/>
    <mergeCell ref="B196:H196"/>
    <mergeCell ref="B197:H197"/>
    <mergeCell ref="A192:H192"/>
    <mergeCell ref="A191:B191"/>
    <mergeCell ref="A187:H187"/>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94:B94"/>
    <mergeCell ref="A95:B95"/>
    <mergeCell ref="A96:B96"/>
    <mergeCell ref="F119:H119"/>
    <mergeCell ref="A119:E119"/>
    <mergeCell ref="A121:E121"/>
    <mergeCell ref="A112:B112"/>
    <mergeCell ref="A114:B114"/>
    <mergeCell ref="A115:B115"/>
    <mergeCell ref="A120:E120"/>
    <mergeCell ref="A148:B148"/>
    <mergeCell ref="D67:H67"/>
    <mergeCell ref="C52:E52"/>
    <mergeCell ref="A65:C67"/>
    <mergeCell ref="D65:H65"/>
    <mergeCell ref="D66:H66"/>
    <mergeCell ref="C51:E51"/>
    <mergeCell ref="A214:H214"/>
    <mergeCell ref="A211:H211"/>
    <mergeCell ref="A176:B176"/>
    <mergeCell ref="A136:B136"/>
    <mergeCell ref="D166:D167"/>
    <mergeCell ref="E166:E167"/>
    <mergeCell ref="A97:B97"/>
    <mergeCell ref="A98:B98"/>
    <mergeCell ref="A99:B99"/>
    <mergeCell ref="A113:B113"/>
    <mergeCell ref="F118:H118"/>
    <mergeCell ref="G132:H132"/>
    <mergeCell ref="A116:B116"/>
    <mergeCell ref="F124:H124"/>
    <mergeCell ref="C131:D131"/>
    <mergeCell ref="C139:D139"/>
    <mergeCell ref="A168:H168"/>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9:H59"/>
    <mergeCell ref="I15:P15"/>
    <mergeCell ref="F127:H127"/>
    <mergeCell ref="F125:H125"/>
    <mergeCell ref="A183:B183"/>
    <mergeCell ref="A142:H142"/>
    <mergeCell ref="G131:H131"/>
    <mergeCell ref="A126:E126"/>
    <mergeCell ref="A149:B149"/>
    <mergeCell ref="A60:B60"/>
    <mergeCell ref="C60:E60"/>
    <mergeCell ref="D62:H62"/>
    <mergeCell ref="F126:H126"/>
    <mergeCell ref="E131:F131"/>
    <mergeCell ref="A131:B131"/>
    <mergeCell ref="C136:D136"/>
    <mergeCell ref="D72:H72"/>
    <mergeCell ref="A73:C73"/>
    <mergeCell ref="E43:H43"/>
    <mergeCell ref="A43:D43"/>
    <mergeCell ref="A89:B89"/>
    <mergeCell ref="C89:H89"/>
    <mergeCell ref="A84:B84"/>
    <mergeCell ref="A50:B50"/>
    <mergeCell ref="C50:E50"/>
    <mergeCell ref="C189:H189"/>
    <mergeCell ref="A163:B163"/>
    <mergeCell ref="A164:B164"/>
    <mergeCell ref="C178:H178"/>
    <mergeCell ref="B207:H207"/>
    <mergeCell ref="B205:H205"/>
    <mergeCell ref="A151:B151"/>
    <mergeCell ref="A150:B150"/>
    <mergeCell ref="A165:H165"/>
    <mergeCell ref="A169:H169"/>
    <mergeCell ref="A170:H170"/>
    <mergeCell ref="A181:H181"/>
    <mergeCell ref="A152:H152"/>
    <mergeCell ref="A153:B153"/>
    <mergeCell ref="A154:B154"/>
    <mergeCell ref="A155:B155"/>
    <mergeCell ref="A156:B156"/>
    <mergeCell ref="A157:B157"/>
    <mergeCell ref="A158:H158"/>
    <mergeCell ref="A159:B159"/>
    <mergeCell ref="A171:B171"/>
    <mergeCell ref="A161:B161"/>
    <mergeCell ref="A185:B185"/>
    <mergeCell ref="A180:H18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16:H21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66:B16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6:E167">
      <formula1>"Fungible area,Balcony + A.P  Area,Chajja Area,Cornice Area,AP Area,WS Area"</formula1>
    </dataValidation>
    <dataValidation type="list" allowBlank="1" showInputMessage="1" showErrorMessage="1" sqref="H144 H167">
      <formula1>".45,.50,.55,.60"</formula1>
    </dataValidation>
    <dataValidation type="list" allowBlank="1" showInputMessage="1" showErrorMessage="1" sqref="E4:H4">
      <formula1>$L$3:$P$3</formula1>
    </dataValidation>
    <dataValidation type="list" allowBlank="1" showInputMessage="1" showErrorMessage="1" sqref="C49:H49">
      <formula1>$T$50:$T$56</formula1>
    </dataValidation>
    <dataValidation type="whole" allowBlank="1" showInputMessage="1" showErrorMessage="1" sqref="C84">
      <formula1>0</formula1>
      <formula2>H76</formula2>
    </dataValidation>
    <dataValidation type="list" allowBlank="1" showInputMessage="1" showErrorMessage="1" sqref="H143 H166">
      <formula1>"Saleable area Loading :,Builder Saleable Area"</formula1>
    </dataValidation>
    <dataValidation type="list" allowBlank="1" showInputMessage="1" showErrorMessage="1" sqref="D143:D144 D166:D16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7" man="1"/>
    <brk id="220" max="7" man="1"/>
    <brk id="263" max="7" man="1"/>
    <brk id="306"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9" sqref="E9"/>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6"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6" t="s">
        <v>103</v>
      </c>
      <c r="C3" s="246"/>
      <c r="D3" s="246"/>
      <c r="E3" s="246"/>
      <c r="F3" s="246"/>
      <c r="G3" s="246"/>
      <c r="H3" s="246"/>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175</v>
      </c>
      <c r="E4" s="48" t="s">
        <v>185</v>
      </c>
      <c r="F4" s="48" t="s">
        <v>168</v>
      </c>
      <c r="G4" s="48" t="s">
        <v>190</v>
      </c>
      <c r="H4" s="48" t="s">
        <v>208</v>
      </c>
      <c r="J4" t="s">
        <v>190</v>
      </c>
      <c r="K4" t="s">
        <v>206</v>
      </c>
    </row>
    <row r="5" spans="2:11" x14ac:dyDescent="0.25">
      <c r="B5" s="47"/>
      <c r="C5" s="47"/>
      <c r="D5" s="48" t="s">
        <v>176</v>
      </c>
      <c r="E5" s="48" t="s">
        <v>183</v>
      </c>
      <c r="F5" s="48" t="s">
        <v>205</v>
      </c>
      <c r="G5" s="48" t="s">
        <v>191</v>
      </c>
      <c r="H5" s="48" t="s">
        <v>209</v>
      </c>
    </row>
    <row r="6" spans="2:11" x14ac:dyDescent="0.25">
      <c r="B6" s="47"/>
      <c r="C6" s="47"/>
      <c r="D6" s="48" t="s">
        <v>177</v>
      </c>
      <c r="E6" s="48" t="s">
        <v>184</v>
      </c>
      <c r="F6" s="48" t="s">
        <v>206</v>
      </c>
      <c r="G6" s="48" t="s">
        <v>192</v>
      </c>
      <c r="H6" s="48" t="s">
        <v>222</v>
      </c>
    </row>
    <row r="7" spans="2:11" x14ac:dyDescent="0.25">
      <c r="B7" s="47"/>
      <c r="C7" s="47"/>
      <c r="D7" s="48" t="s">
        <v>178</v>
      </c>
      <c r="E7" s="48" t="s">
        <v>186</v>
      </c>
      <c r="F7" s="48" t="s">
        <v>207</v>
      </c>
      <c r="G7" s="48" t="s">
        <v>193</v>
      </c>
      <c r="H7" s="48" t="s">
        <v>210</v>
      </c>
    </row>
    <row r="8" spans="2:11" x14ac:dyDescent="0.25">
      <c r="B8" s="47"/>
      <c r="C8" s="47"/>
      <c r="D8" s="48" t="s">
        <v>179</v>
      </c>
      <c r="E8" s="48" t="s">
        <v>187</v>
      </c>
      <c r="F8" s="48"/>
      <c r="G8" s="48" t="s">
        <v>194</v>
      </c>
      <c r="H8" s="48" t="s">
        <v>211</v>
      </c>
    </row>
    <row r="9" spans="2:11" x14ac:dyDescent="0.25">
      <c r="B9" s="47"/>
      <c r="C9" s="47"/>
      <c r="D9" s="48" t="s">
        <v>180</v>
      </c>
      <c r="E9" s="48" t="s">
        <v>185</v>
      </c>
      <c r="F9" s="48"/>
      <c r="G9" s="48" t="s">
        <v>195</v>
      </c>
      <c r="H9" s="48" t="s">
        <v>212</v>
      </c>
    </row>
    <row r="10" spans="2:11" x14ac:dyDescent="0.25">
      <c r="B10" s="47"/>
      <c r="C10" s="47"/>
      <c r="D10" s="48" t="s">
        <v>181</v>
      </c>
      <c r="E10" s="48" t="s">
        <v>188</v>
      </c>
      <c r="F10" s="48"/>
      <c r="G10" s="48" t="s">
        <v>196</v>
      </c>
      <c r="H10" s="48" t="s">
        <v>213</v>
      </c>
    </row>
    <row r="11" spans="2:11" x14ac:dyDescent="0.25">
      <c r="B11" s="47"/>
      <c r="C11" s="47"/>
      <c r="D11" s="48" t="s">
        <v>182</v>
      </c>
      <c r="E11" s="48" t="s">
        <v>189</v>
      </c>
      <c r="F11" s="48"/>
      <c r="G11" s="48" t="s">
        <v>197</v>
      </c>
      <c r="H11" s="48" t="s">
        <v>214</v>
      </c>
    </row>
    <row r="12" spans="2:11" x14ac:dyDescent="0.25">
      <c r="B12" s="47"/>
      <c r="C12" s="47"/>
      <c r="D12" s="48"/>
      <c r="E12" s="48"/>
      <c r="F12" s="48"/>
      <c r="G12" s="48" t="s">
        <v>198</v>
      </c>
      <c r="H12" s="48" t="s">
        <v>215</v>
      </c>
    </row>
    <row r="13" spans="2:11" x14ac:dyDescent="0.25">
      <c r="B13" s="47"/>
      <c r="C13" s="47"/>
      <c r="D13" s="48"/>
      <c r="E13" s="48"/>
      <c r="F13" s="48"/>
      <c r="G13" s="48" t="s">
        <v>199</v>
      </c>
      <c r="H13" s="48" t="s">
        <v>216</v>
      </c>
    </row>
    <row r="14" spans="2:11" x14ac:dyDescent="0.25">
      <c r="B14" s="47"/>
      <c r="C14" s="47"/>
      <c r="D14" s="48"/>
      <c r="E14" s="48"/>
      <c r="F14" s="48"/>
      <c r="G14" s="48" t="s">
        <v>200</v>
      </c>
      <c r="H14" s="48" t="s">
        <v>217</v>
      </c>
    </row>
    <row r="15" spans="2:11" x14ac:dyDescent="0.25">
      <c r="B15" s="47"/>
      <c r="C15" s="47"/>
      <c r="D15" s="48"/>
      <c r="E15" s="48"/>
      <c r="F15" s="48"/>
      <c r="G15" s="48" t="s">
        <v>201</v>
      </c>
      <c r="H15" s="48" t="s">
        <v>218</v>
      </c>
    </row>
    <row r="16" spans="2:11" x14ac:dyDescent="0.25">
      <c r="B16" s="47"/>
      <c r="C16" s="47"/>
      <c r="D16" s="48"/>
      <c r="E16" s="48"/>
      <c r="F16" s="48"/>
      <c r="G16" s="48" t="s">
        <v>202</v>
      </c>
      <c r="H16" s="48" t="s">
        <v>219</v>
      </c>
    </row>
    <row r="17" spans="2:8" x14ac:dyDescent="0.25">
      <c r="B17" s="47"/>
      <c r="C17" s="47"/>
      <c r="D17" s="48"/>
      <c r="E17" s="48"/>
      <c r="F17" s="48"/>
      <c r="G17" s="48" t="s">
        <v>203</v>
      </c>
      <c r="H17" s="48" t="s">
        <v>220</v>
      </c>
    </row>
    <row r="18" spans="2:8" x14ac:dyDescent="0.25">
      <c r="B18" s="47"/>
      <c r="C18" s="47"/>
      <c r="D18" s="48"/>
      <c r="E18" s="48"/>
      <c r="F18" s="48"/>
      <c r="G18" s="48" t="s">
        <v>204</v>
      </c>
      <c r="H18" s="48"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51" t="s">
        <v>233</v>
      </c>
      <c r="D34" s="48" t="s">
        <v>231</v>
      </c>
      <c r="E34" s="48" t="s">
        <v>236</v>
      </c>
      <c r="F34" s="48" t="s">
        <v>234</v>
      </c>
      <c r="G34" s="48" t="s">
        <v>235</v>
      </c>
      <c r="H34" s="48" t="s">
        <v>237</v>
      </c>
      <c r="J34" t="s">
        <v>190</v>
      </c>
      <c r="K34" t="s">
        <v>206</v>
      </c>
    </row>
    <row r="35" spans="3:11" x14ac:dyDescent="0.25">
      <c r="C35" s="47" t="s">
        <v>232</v>
      </c>
      <c r="D35" s="48" t="s">
        <v>166</v>
      </c>
      <c r="E35" s="48" t="s">
        <v>241</v>
      </c>
      <c r="F35" s="48" t="s">
        <v>243</v>
      </c>
      <c r="G35" s="48" t="s">
        <v>245</v>
      </c>
      <c r="H35" s="48"/>
    </row>
    <row r="36" spans="3:11" x14ac:dyDescent="0.25">
      <c r="C36" s="47"/>
      <c r="D36" s="48" t="s">
        <v>238</v>
      </c>
      <c r="E36" s="48" t="s">
        <v>242</v>
      </c>
      <c r="F36" s="48" t="s">
        <v>244</v>
      </c>
      <c r="G36" s="48" t="s">
        <v>246</v>
      </c>
      <c r="H36" s="48"/>
    </row>
    <row r="37" spans="3:11" x14ac:dyDescent="0.25">
      <c r="C37" s="47"/>
      <c r="D37" s="48" t="s">
        <v>239</v>
      </c>
      <c r="E37" s="48"/>
      <c r="F37" s="48"/>
      <c r="G37" s="48" t="s">
        <v>247</v>
      </c>
      <c r="H37" s="48"/>
    </row>
    <row r="38" spans="3:11" x14ac:dyDescent="0.25">
      <c r="C38" s="47"/>
      <c r="D38" s="48" t="s">
        <v>240</v>
      </c>
      <c r="E38" s="48"/>
      <c r="F38" s="48"/>
      <c r="G38" s="48" t="s">
        <v>247</v>
      </c>
      <c r="H38" s="48"/>
    </row>
    <row r="39" spans="3:11" x14ac:dyDescent="0.25">
      <c r="C39" s="47"/>
      <c r="D39" s="48"/>
      <c r="E39" s="48"/>
      <c r="F39" s="48"/>
      <c r="G39" s="48" t="s">
        <v>248</v>
      </c>
      <c r="H39" s="48"/>
    </row>
    <row r="40" spans="3:11" x14ac:dyDescent="0.25">
      <c r="C40" s="47"/>
      <c r="D40" s="48"/>
      <c r="E40" s="48"/>
      <c r="F40" s="48"/>
      <c r="G40" s="48" t="s">
        <v>249</v>
      </c>
      <c r="H40" s="48"/>
    </row>
    <row r="41" spans="3:11" x14ac:dyDescent="0.25">
      <c r="C41" s="47"/>
      <c r="D41" s="48"/>
      <c r="E41" s="48"/>
      <c r="F41" s="48"/>
      <c r="G41" s="48"/>
      <c r="H41" s="48"/>
    </row>
    <row r="43" spans="3:11" x14ac:dyDescent="0.25">
      <c r="C43" t="s">
        <v>250</v>
      </c>
    </row>
    <row r="44" spans="3:11" x14ac:dyDescent="0.25">
      <c r="C44" t="s">
        <v>168</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52">
        <v>1</v>
      </c>
      <c r="C2" s="55" t="s">
        <v>281</v>
      </c>
    </row>
    <row r="3" spans="2:3" x14ac:dyDescent="0.25">
      <c r="B3" s="52">
        <v>2</v>
      </c>
      <c r="C3" s="53" t="s">
        <v>282</v>
      </c>
    </row>
    <row r="4" spans="2:3" x14ac:dyDescent="0.25">
      <c r="B4" s="52">
        <v>3</v>
      </c>
      <c r="C4" s="54" t="s">
        <v>283</v>
      </c>
    </row>
    <row r="5" spans="2:3" x14ac:dyDescent="0.25">
      <c r="B5" s="52">
        <v>4</v>
      </c>
      <c r="C5" s="53" t="s">
        <v>284</v>
      </c>
    </row>
    <row r="6" spans="2:3" x14ac:dyDescent="0.25">
      <c r="B6" s="52">
        <v>5</v>
      </c>
      <c r="C6" s="54" t="s">
        <v>285</v>
      </c>
    </row>
    <row r="7" spans="2:3" ht="30" x14ac:dyDescent="0.25">
      <c r="B7" s="52">
        <v>6</v>
      </c>
      <c r="C7" s="53" t="s">
        <v>286</v>
      </c>
    </row>
    <row r="8" spans="2:3" ht="75" x14ac:dyDescent="0.25">
      <c r="B8" s="52">
        <v>7</v>
      </c>
      <c r="C8" s="53" t="s">
        <v>287</v>
      </c>
    </row>
    <row r="9" spans="2:3" x14ac:dyDescent="0.25">
      <c r="B9" s="52">
        <v>8</v>
      </c>
      <c r="C9" s="54" t="s">
        <v>288</v>
      </c>
    </row>
    <row r="10" spans="2:3" x14ac:dyDescent="0.25">
      <c r="B10" s="52">
        <v>9</v>
      </c>
      <c r="C10" s="54" t="s">
        <v>289</v>
      </c>
    </row>
    <row r="11" spans="2:3" x14ac:dyDescent="0.25">
      <c r="B11" s="52">
        <v>10</v>
      </c>
      <c r="C11" s="54" t="s">
        <v>290</v>
      </c>
    </row>
    <row r="12" spans="2:3" x14ac:dyDescent="0.25">
      <c r="B12" s="52">
        <v>11</v>
      </c>
      <c r="C12" s="54" t="s">
        <v>291</v>
      </c>
    </row>
    <row r="13" spans="2:3" x14ac:dyDescent="0.25">
      <c r="B13" s="52">
        <v>12</v>
      </c>
      <c r="C13" s="54" t="s">
        <v>292</v>
      </c>
    </row>
    <row r="14" spans="2:3" x14ac:dyDescent="0.25">
      <c r="B14" s="52">
        <v>13</v>
      </c>
      <c r="C14" s="54" t="s">
        <v>293</v>
      </c>
    </row>
    <row r="15" spans="2:3" x14ac:dyDescent="0.25">
      <c r="B15" s="52">
        <v>14</v>
      </c>
      <c r="C15" s="54" t="s">
        <v>283</v>
      </c>
    </row>
    <row r="16" spans="2:3" x14ac:dyDescent="0.25">
      <c r="B16" s="52">
        <v>15</v>
      </c>
      <c r="C16" s="54" t="s">
        <v>295</v>
      </c>
    </row>
    <row r="17" spans="2:3" ht="31.5" customHeight="1" x14ac:dyDescent="0.25">
      <c r="B17" s="58">
        <v>16</v>
      </c>
      <c r="C17" s="60" t="s">
        <v>296</v>
      </c>
    </row>
    <row r="18" spans="2:3" x14ac:dyDescent="0.25">
      <c r="B18" s="59">
        <v>17</v>
      </c>
      <c r="C18" s="60" t="s">
        <v>297</v>
      </c>
    </row>
    <row r="19" spans="2:3" x14ac:dyDescent="0.25">
      <c r="B19" s="58">
        <v>18</v>
      </c>
      <c r="C19" s="52" t="s">
        <v>298</v>
      </c>
    </row>
    <row r="20" spans="2:3" x14ac:dyDescent="0.25">
      <c r="B20" s="59">
        <v>19</v>
      </c>
      <c r="C20" s="52" t="s">
        <v>299</v>
      </c>
    </row>
    <row r="21" spans="2:3" x14ac:dyDescent="0.25">
      <c r="B21" s="61">
        <v>20</v>
      </c>
      <c r="C21" s="52" t="s">
        <v>300</v>
      </c>
    </row>
    <row r="22" spans="2:3" x14ac:dyDescent="0.25">
      <c r="B22" s="59">
        <v>21</v>
      </c>
      <c r="C22" s="52" t="s">
        <v>298</v>
      </c>
    </row>
    <row r="23" spans="2:3" s="69" customFormat="1" ht="29.25" customHeight="1" x14ac:dyDescent="0.25">
      <c r="B23" s="68">
        <v>22</v>
      </c>
      <c r="C23" s="55" t="s">
        <v>327</v>
      </c>
    </row>
    <row r="24" spans="2:3" s="69" customFormat="1" ht="30.75" customHeight="1" x14ac:dyDescent="0.25">
      <c r="B24" s="70">
        <v>23</v>
      </c>
      <c r="C24" s="55" t="s">
        <v>328</v>
      </c>
    </row>
    <row r="25" spans="2:3" x14ac:dyDescent="0.25">
      <c r="B25" s="61">
        <v>24</v>
      </c>
      <c r="C25" s="52" t="s">
        <v>331</v>
      </c>
    </row>
    <row r="26" spans="2:3" x14ac:dyDescent="0.25">
      <c r="B26" s="59">
        <v>25</v>
      </c>
      <c r="C26" s="52" t="s">
        <v>329</v>
      </c>
    </row>
    <row r="27" spans="2:3" x14ac:dyDescent="0.25">
      <c r="B27" s="70">
        <v>26</v>
      </c>
      <c r="C27" s="61" t="s">
        <v>330</v>
      </c>
    </row>
    <row r="28" spans="2:3" x14ac:dyDescent="0.25">
      <c r="B28" s="71">
        <v>27</v>
      </c>
      <c r="C28" s="52"/>
    </row>
    <row r="29" spans="2:3" x14ac:dyDescent="0.25">
      <c r="B29" s="59">
        <v>28</v>
      </c>
      <c r="C29" s="52"/>
    </row>
    <row r="30" spans="2:3" x14ac:dyDescent="0.25">
      <c r="B30" s="70">
        <v>29</v>
      </c>
      <c r="C30" s="52"/>
    </row>
    <row r="31" spans="2:3" x14ac:dyDescent="0.25">
      <c r="B31" s="71">
        <v>30</v>
      </c>
      <c r="C31" s="52"/>
    </row>
    <row r="32" spans="2:3" x14ac:dyDescent="0.25">
      <c r="B32" s="59">
        <v>31</v>
      </c>
      <c r="C32" s="52"/>
    </row>
    <row r="33" spans="2:3" x14ac:dyDescent="0.25">
      <c r="B33" s="70">
        <v>32</v>
      </c>
      <c r="C33" s="52"/>
    </row>
    <row r="34" spans="2:3" x14ac:dyDescent="0.25">
      <c r="B34" s="71">
        <v>33</v>
      </c>
      <c r="C34" s="52"/>
    </row>
    <row r="35" spans="2:3" x14ac:dyDescent="0.25">
      <c r="B35" s="59">
        <v>34</v>
      </c>
      <c r="C35" s="52"/>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62" t="s">
        <v>301</v>
      </c>
      <c r="C2" s="247"/>
      <c r="D2" s="247"/>
    </row>
    <row r="3" spans="1:12" x14ac:dyDescent="0.25">
      <c r="D3" s="63"/>
      <c r="E3" s="63"/>
      <c r="F3" s="63"/>
      <c r="G3" s="63"/>
      <c r="H3" s="63"/>
      <c r="I3" s="63"/>
    </row>
    <row r="4" spans="1:12" x14ac:dyDescent="0.25">
      <c r="A4" s="62" t="s">
        <v>65</v>
      </c>
      <c r="B4" s="64" t="s">
        <v>302</v>
      </c>
      <c r="C4" s="248" t="s">
        <v>303</v>
      </c>
      <c r="D4" s="248"/>
      <c r="E4" s="248"/>
      <c r="F4" s="64"/>
      <c r="G4" s="249" t="s">
        <v>304</v>
      </c>
      <c r="H4" s="249"/>
      <c r="I4" s="249"/>
      <c r="J4" s="250" t="s">
        <v>305</v>
      </c>
      <c r="K4" s="250"/>
      <c r="L4" s="250"/>
    </row>
    <row r="5" spans="1:12" x14ac:dyDescent="0.25">
      <c r="A5" s="62"/>
      <c r="B5" s="64"/>
      <c r="C5" s="64" t="s">
        <v>306</v>
      </c>
      <c r="D5" s="64" t="s">
        <v>307</v>
      </c>
      <c r="E5" s="64" t="s">
        <v>308</v>
      </c>
      <c r="F5" s="64"/>
      <c r="G5" s="64" t="s">
        <v>306</v>
      </c>
      <c r="H5" s="64" t="s">
        <v>307</v>
      </c>
      <c r="I5" s="64" t="s">
        <v>308</v>
      </c>
      <c r="J5" s="64" t="s">
        <v>306</v>
      </c>
      <c r="K5" s="64" t="s">
        <v>307</v>
      </c>
      <c r="L5" s="64" t="s">
        <v>308</v>
      </c>
    </row>
    <row r="6" spans="1:12" x14ac:dyDescent="0.25">
      <c r="B6" s="48" t="s">
        <v>309</v>
      </c>
      <c r="C6" s="48"/>
      <c r="D6" s="48"/>
      <c r="E6" s="48">
        <f>C6*D6</f>
        <v>0</v>
      </c>
      <c r="F6" s="48" t="s">
        <v>326</v>
      </c>
      <c r="G6" s="48"/>
      <c r="H6" s="48"/>
      <c r="I6" s="48">
        <f>G6*H6</f>
        <v>0</v>
      </c>
      <c r="J6" s="48"/>
      <c r="K6" s="48"/>
      <c r="L6" s="48">
        <f>J6*K6</f>
        <v>0</v>
      </c>
    </row>
    <row r="7" spans="1:12" x14ac:dyDescent="0.25">
      <c r="B7" s="48"/>
      <c r="C7" s="48"/>
      <c r="D7" s="48"/>
      <c r="E7" s="48">
        <f t="shared" ref="E7:E41" si="0">C7*D7</f>
        <v>0</v>
      </c>
      <c r="F7" s="48" t="s">
        <v>326</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310</v>
      </c>
      <c r="G9" s="48"/>
      <c r="H9" s="48"/>
      <c r="I9" s="48">
        <f t="shared" si="1"/>
        <v>0</v>
      </c>
      <c r="J9" s="48"/>
      <c r="K9" s="48"/>
      <c r="L9" s="48">
        <f t="shared" si="2"/>
        <v>0</v>
      </c>
    </row>
    <row r="10" spans="1:12" x14ac:dyDescent="0.25">
      <c r="B10" s="48" t="s">
        <v>311</v>
      </c>
      <c r="C10" s="48"/>
      <c r="D10" s="48"/>
      <c r="E10" s="48">
        <f t="shared" si="0"/>
        <v>0</v>
      </c>
      <c r="F10" s="48" t="s">
        <v>310</v>
      </c>
      <c r="G10" s="48"/>
      <c r="H10" s="48"/>
      <c r="I10" s="48">
        <f t="shared" si="1"/>
        <v>0</v>
      </c>
      <c r="J10" s="48"/>
      <c r="K10" s="48"/>
      <c r="L10" s="48">
        <f t="shared" si="2"/>
        <v>0</v>
      </c>
    </row>
    <row r="11" spans="1:12" x14ac:dyDescent="0.25">
      <c r="B11" s="48"/>
      <c r="C11" s="48"/>
      <c r="D11" s="48"/>
      <c r="E11" s="48">
        <f t="shared" si="0"/>
        <v>0</v>
      </c>
      <c r="F11" s="48" t="s">
        <v>312</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313</v>
      </c>
      <c r="C14" s="48"/>
      <c r="D14" s="48"/>
      <c r="E14" s="48">
        <f t="shared" si="0"/>
        <v>0</v>
      </c>
      <c r="F14" s="48" t="s">
        <v>310</v>
      </c>
      <c r="G14" s="48"/>
      <c r="H14" s="48"/>
      <c r="I14" s="48">
        <f t="shared" si="1"/>
        <v>0</v>
      </c>
      <c r="J14" s="48"/>
      <c r="K14" s="48"/>
      <c r="L14" s="48">
        <f t="shared" si="2"/>
        <v>0</v>
      </c>
    </row>
    <row r="15" spans="1:12" x14ac:dyDescent="0.25">
      <c r="B15" s="48"/>
      <c r="C15" s="48"/>
      <c r="D15" s="48"/>
      <c r="E15" s="48">
        <f t="shared" si="0"/>
        <v>0</v>
      </c>
      <c r="F15" s="48" t="s">
        <v>312</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314</v>
      </c>
      <c r="C18" s="48"/>
      <c r="D18" s="48"/>
      <c r="E18" s="48">
        <f t="shared" si="0"/>
        <v>0</v>
      </c>
      <c r="F18" s="48" t="s">
        <v>310</v>
      </c>
      <c r="G18" s="48"/>
      <c r="H18" s="48"/>
      <c r="I18" s="48">
        <f t="shared" si="1"/>
        <v>0</v>
      </c>
      <c r="J18" s="48"/>
      <c r="K18" s="48"/>
      <c r="L18" s="48">
        <f t="shared" si="2"/>
        <v>0</v>
      </c>
    </row>
    <row r="19" spans="2:12" x14ac:dyDescent="0.25">
      <c r="B19" s="48"/>
      <c r="C19" s="48"/>
      <c r="D19" s="48"/>
      <c r="E19" s="48">
        <f t="shared" si="0"/>
        <v>0</v>
      </c>
      <c r="F19" s="48" t="s">
        <v>312</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315</v>
      </c>
      <c r="C21" s="48"/>
      <c r="D21" s="48"/>
      <c r="E21" s="48">
        <f t="shared" si="0"/>
        <v>0</v>
      </c>
      <c r="F21" s="48" t="s">
        <v>310</v>
      </c>
      <c r="G21" s="48"/>
      <c r="H21" s="48"/>
      <c r="I21" s="48">
        <f t="shared" si="1"/>
        <v>0</v>
      </c>
      <c r="J21" s="48"/>
      <c r="K21" s="48"/>
      <c r="L21" s="48">
        <f t="shared" si="2"/>
        <v>0</v>
      </c>
    </row>
    <row r="22" spans="2:12" x14ac:dyDescent="0.25">
      <c r="B22" s="48"/>
      <c r="C22" s="48"/>
      <c r="D22" s="48"/>
      <c r="E22" s="48">
        <f t="shared" si="0"/>
        <v>0</v>
      </c>
      <c r="F22" s="48" t="s">
        <v>312</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316</v>
      </c>
      <c r="C24" s="48"/>
      <c r="D24" s="48"/>
      <c r="E24" s="48">
        <f t="shared" si="0"/>
        <v>0</v>
      </c>
      <c r="F24" s="48" t="s">
        <v>317</v>
      </c>
      <c r="G24" s="48"/>
      <c r="H24" s="48"/>
      <c r="I24" s="48">
        <f t="shared" si="1"/>
        <v>0</v>
      </c>
      <c r="J24" s="48"/>
      <c r="K24" s="48"/>
      <c r="L24" s="48">
        <f t="shared" si="2"/>
        <v>0</v>
      </c>
    </row>
    <row r="25" spans="2:12" x14ac:dyDescent="0.25">
      <c r="B25" s="48"/>
      <c r="C25" s="48"/>
      <c r="D25" s="48"/>
      <c r="E25" s="48">
        <f t="shared" ref="E25:E27" si="3">C25*D25</f>
        <v>0</v>
      </c>
      <c r="F25" s="48" t="s">
        <v>317</v>
      </c>
      <c r="G25" s="48"/>
      <c r="H25" s="48"/>
      <c r="I25" s="48">
        <f t="shared" ref="I25:I27" si="4">G25*H25</f>
        <v>0</v>
      </c>
      <c r="J25" s="48"/>
      <c r="K25" s="48"/>
      <c r="L25" s="48">
        <f t="shared" ref="L25:L27" si="5">J25*K25</f>
        <v>0</v>
      </c>
    </row>
    <row r="26" spans="2:12" x14ac:dyDescent="0.25">
      <c r="B26" s="48"/>
      <c r="C26" s="48"/>
      <c r="D26" s="48"/>
      <c r="E26" s="48">
        <f t="shared" si="3"/>
        <v>0</v>
      </c>
      <c r="F26" s="48" t="s">
        <v>317</v>
      </c>
      <c r="G26" s="48"/>
      <c r="H26" s="48"/>
      <c r="I26" s="48">
        <f t="shared" si="4"/>
        <v>0</v>
      </c>
      <c r="J26" s="48"/>
      <c r="K26" s="48"/>
      <c r="L26" s="48">
        <f t="shared" si="5"/>
        <v>0</v>
      </c>
    </row>
    <row r="27" spans="2:12" x14ac:dyDescent="0.25">
      <c r="B27" s="48"/>
      <c r="C27" s="48"/>
      <c r="D27" s="48"/>
      <c r="E27" s="48">
        <f t="shared" si="3"/>
        <v>0</v>
      </c>
      <c r="F27" s="48" t="s">
        <v>317</v>
      </c>
      <c r="G27" s="48"/>
      <c r="H27" s="48"/>
      <c r="I27" s="48">
        <f t="shared" si="4"/>
        <v>0</v>
      </c>
      <c r="J27" s="48"/>
      <c r="K27" s="48"/>
      <c r="L27" s="48">
        <f t="shared" si="5"/>
        <v>0</v>
      </c>
    </row>
    <row r="28" spans="2:12" x14ac:dyDescent="0.25">
      <c r="B28" s="48" t="s">
        <v>318</v>
      </c>
      <c r="C28" s="48"/>
      <c r="D28" s="48"/>
      <c r="E28" s="48">
        <f t="shared" si="0"/>
        <v>0</v>
      </c>
      <c r="F28" s="48" t="s">
        <v>317</v>
      </c>
      <c r="G28" s="48"/>
      <c r="H28" s="48"/>
      <c r="I28" s="48">
        <f t="shared" si="1"/>
        <v>0</v>
      </c>
      <c r="J28" s="48"/>
      <c r="K28" s="48"/>
      <c r="L28" s="48">
        <f t="shared" si="2"/>
        <v>0</v>
      </c>
    </row>
    <row r="29" spans="2:12" x14ac:dyDescent="0.25">
      <c r="B29" s="48" t="s">
        <v>319</v>
      </c>
      <c r="C29" s="48"/>
      <c r="D29" s="48"/>
      <c r="E29" s="48">
        <f t="shared" si="0"/>
        <v>0</v>
      </c>
      <c r="F29" s="48" t="s">
        <v>317</v>
      </c>
      <c r="G29" s="48"/>
      <c r="H29" s="48"/>
      <c r="I29" s="48">
        <f t="shared" si="1"/>
        <v>0</v>
      </c>
      <c r="J29" s="48"/>
      <c r="K29" s="48"/>
      <c r="L29" s="48">
        <f t="shared" si="2"/>
        <v>0</v>
      </c>
    </row>
    <row r="30" spans="2:12" x14ac:dyDescent="0.25">
      <c r="B30" s="48" t="s">
        <v>323</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320</v>
      </c>
      <c r="C33" s="48"/>
      <c r="D33" s="48"/>
      <c r="E33" s="48">
        <f t="shared" si="0"/>
        <v>0</v>
      </c>
      <c r="F33" s="48"/>
      <c r="G33" s="48"/>
      <c r="H33" s="48"/>
      <c r="I33" s="48">
        <f t="shared" si="1"/>
        <v>0</v>
      </c>
      <c r="J33" s="48"/>
      <c r="K33" s="48"/>
      <c r="L33" s="48">
        <f t="shared" si="2"/>
        <v>0</v>
      </c>
    </row>
    <row r="34" spans="2:12" x14ac:dyDescent="0.25">
      <c r="B34" s="48" t="s">
        <v>324</v>
      </c>
      <c r="C34" s="48"/>
      <c r="D34" s="48"/>
      <c r="E34" s="48">
        <f t="shared" si="0"/>
        <v>0</v>
      </c>
      <c r="F34" s="48"/>
      <c r="G34" s="48"/>
      <c r="H34" s="48"/>
      <c r="I34" s="48">
        <f t="shared" si="1"/>
        <v>0</v>
      </c>
      <c r="J34" s="48"/>
      <c r="K34" s="48"/>
      <c r="L34" s="48">
        <f t="shared" si="2"/>
        <v>0</v>
      </c>
    </row>
    <row r="35" spans="2:12" x14ac:dyDescent="0.25">
      <c r="B35" s="48" t="s">
        <v>321</v>
      </c>
      <c r="C35" s="48"/>
      <c r="D35" s="48"/>
      <c r="E35" s="48">
        <f t="shared" si="0"/>
        <v>0</v>
      </c>
      <c r="F35" s="48"/>
      <c r="G35" s="48"/>
      <c r="H35" s="48"/>
      <c r="I35" s="48">
        <f t="shared" si="1"/>
        <v>0</v>
      </c>
      <c r="J35" s="48"/>
      <c r="K35" s="48"/>
      <c r="L35" s="48">
        <f t="shared" si="2"/>
        <v>0</v>
      </c>
    </row>
    <row r="36" spans="2:12" x14ac:dyDescent="0.25">
      <c r="B36" s="48" t="s">
        <v>322</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325</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145</v>
      </c>
      <c r="C42" s="48"/>
      <c r="D42" s="48">
        <f>E42*10.764</f>
        <v>0</v>
      </c>
      <c r="E42" s="67">
        <f>SUM(E6:E41)</f>
        <v>0</v>
      </c>
      <c r="F42" s="48"/>
      <c r="G42" s="48"/>
      <c r="H42" s="48">
        <f>I42*10.764</f>
        <v>0</v>
      </c>
      <c r="I42" s="66">
        <f>SUM(I6:I41)</f>
        <v>0</v>
      </c>
      <c r="J42" s="48"/>
      <c r="K42" s="48">
        <f>L42*10.764</f>
        <v>0</v>
      </c>
      <c r="L42" s="65">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Sheet1</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2025-09-29T09:45:11Z</cp:lastPrinted>
  <dcterms:created xsi:type="dcterms:W3CDTF">2019-07-16T09:29:46Z</dcterms:created>
  <dcterms:modified xsi:type="dcterms:W3CDTF">2025-09-29T09:52:55Z</dcterms:modified>
</cp:coreProperties>
</file>