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20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1" l="1"/>
  <c r="J107" i="1" l="1"/>
  <c r="C143" i="1" l="1"/>
  <c r="C144" i="1" s="1"/>
  <c r="C145" i="1" l="1"/>
  <c r="C86" i="1"/>
  <c r="C87" i="1" s="1"/>
  <c r="C88" i="1" s="1"/>
  <c r="C157" i="1" l="1"/>
  <c r="C159" i="1" s="1"/>
  <c r="C129" i="1" l="1"/>
  <c r="C131" i="1" s="1"/>
  <c r="C130" i="1" l="1"/>
  <c r="L156" i="1"/>
  <c r="K129" i="1"/>
  <c r="J147" i="1"/>
  <c r="J146" i="1"/>
  <c r="J145" i="1"/>
  <c r="J144" i="1"/>
  <c r="H137" i="1"/>
  <c r="D148" i="1" l="1"/>
  <c r="D144" i="1"/>
  <c r="E140" i="1"/>
  <c r="D146" i="1"/>
  <c r="J139" i="1"/>
  <c r="J141" i="1"/>
  <c r="C140" i="1" s="1"/>
  <c r="D149" i="1"/>
  <c r="D141" i="1"/>
  <c r="J140" i="1"/>
  <c r="D147" i="1"/>
  <c r="D143" i="1"/>
  <c r="J142" i="1"/>
  <c r="J143" i="1" s="1"/>
  <c r="J148" i="1" s="1"/>
  <c r="J149" i="1" s="1"/>
  <c r="J136" i="1"/>
  <c r="J138" i="1" s="1"/>
  <c r="D142" i="1"/>
  <c r="D145" i="1"/>
  <c r="J190" i="1"/>
  <c r="J189" i="1"/>
  <c r="J188" i="1"/>
  <c r="J187" i="1"/>
  <c r="C186" i="1"/>
  <c r="C187" i="1" s="1"/>
  <c r="C188" i="1" s="1"/>
  <c r="L185" i="1"/>
  <c r="K185" i="1"/>
  <c r="H180" i="1"/>
  <c r="G140" i="1" l="1"/>
  <c r="D140" i="1"/>
  <c r="I137" i="1" s="1"/>
  <c r="I138" i="1" s="1"/>
  <c r="D190" i="1"/>
  <c r="J184" i="1"/>
  <c r="C183" i="1" s="1"/>
  <c r="D183" i="1" s="1"/>
  <c r="J182" i="1"/>
  <c r="D186" i="1"/>
  <c r="D191" i="1"/>
  <c r="J185" i="1"/>
  <c r="J186" i="1" s="1"/>
  <c r="J191" i="1" s="1"/>
  <c r="J192" i="1" s="1"/>
  <c r="C184" i="1" s="1"/>
  <c r="D189" i="1"/>
  <c r="J183" i="1"/>
  <c r="D192" i="1"/>
  <c r="D188" i="1"/>
  <c r="D187" i="1"/>
  <c r="D185" i="1"/>
  <c r="J179" i="1"/>
  <c r="J181" i="1" s="1"/>
  <c r="C172" i="1"/>
  <c r="C115" i="1"/>
  <c r="C100" i="1"/>
  <c r="C72" i="1"/>
  <c r="C73" i="1" s="1"/>
  <c r="C74" i="1" s="1"/>
  <c r="J137" i="1" l="1"/>
  <c r="I136" i="1" s="1"/>
  <c r="C138" i="1" s="1"/>
  <c r="E183" i="1"/>
  <c r="D184" i="1"/>
  <c r="I180" i="1" s="1"/>
  <c r="I181" i="1" s="1"/>
  <c r="G183" i="1"/>
  <c r="J180" i="1"/>
  <c r="J161" i="1"/>
  <c r="J160" i="1"/>
  <c r="J159" i="1"/>
  <c r="J158" i="1"/>
  <c r="L171" i="1"/>
  <c r="K171" i="1"/>
  <c r="J176" i="1"/>
  <c r="J175" i="1"/>
  <c r="J174" i="1"/>
  <c r="J173" i="1"/>
  <c r="H151" i="1"/>
  <c r="H165" i="1"/>
  <c r="J167" i="1" l="1"/>
  <c r="I179" i="1"/>
  <c r="C181" i="1" s="1"/>
  <c r="D162" i="1"/>
  <c r="D158" i="1"/>
  <c r="J154" i="1"/>
  <c r="D161" i="1"/>
  <c r="D157" i="1"/>
  <c r="J156" i="1"/>
  <c r="J157" i="1" s="1"/>
  <c r="D160" i="1"/>
  <c r="D156" i="1"/>
  <c r="J150" i="1"/>
  <c r="J152" i="1" s="1"/>
  <c r="J155" i="1"/>
  <c r="C154" i="1" s="1"/>
  <c r="D154" i="1" s="1"/>
  <c r="J153" i="1"/>
  <c r="D163" i="1"/>
  <c r="D159" i="1"/>
  <c r="J170" i="1"/>
  <c r="J168" i="1"/>
  <c r="D176" i="1"/>
  <c r="D172" i="1"/>
  <c r="D175" i="1"/>
  <c r="D171" i="1"/>
  <c r="D178" i="1"/>
  <c r="D174" i="1"/>
  <c r="D177" i="1"/>
  <c r="D173" i="1"/>
  <c r="J169" i="1"/>
  <c r="J171" i="1"/>
  <c r="J172" i="1" s="1"/>
  <c r="J177" i="1" s="1"/>
  <c r="J178" i="1" s="1"/>
  <c r="C170" i="1" s="1"/>
  <c r="J164" i="1"/>
  <c r="J166" i="1" s="1"/>
  <c r="J133" i="1"/>
  <c r="J132" i="1"/>
  <c r="J131" i="1"/>
  <c r="J130" i="1"/>
  <c r="J119" i="1"/>
  <c r="J118" i="1"/>
  <c r="J117" i="1"/>
  <c r="J116" i="1"/>
  <c r="J104" i="1"/>
  <c r="J103" i="1"/>
  <c r="J102" i="1"/>
  <c r="J101" i="1"/>
  <c r="H94" i="1"/>
  <c r="H109" i="1"/>
  <c r="H123" i="1"/>
  <c r="D106" i="1" l="1"/>
  <c r="C169" i="1"/>
  <c r="D169" i="1" s="1"/>
  <c r="J162" i="1"/>
  <c r="J163" i="1" s="1"/>
  <c r="C155" i="1" s="1"/>
  <c r="E169" i="1"/>
  <c r="C167" i="1" s="1"/>
  <c r="D170" i="1"/>
  <c r="D135" i="1"/>
  <c r="D131" i="1"/>
  <c r="D132" i="1"/>
  <c r="D134" i="1"/>
  <c r="D130" i="1"/>
  <c r="J126" i="1"/>
  <c r="J127" i="1"/>
  <c r="D133" i="1"/>
  <c r="D129" i="1"/>
  <c r="J128" i="1"/>
  <c r="J129" i="1" s="1"/>
  <c r="J134" i="1" s="1"/>
  <c r="J135" i="1" s="1"/>
  <c r="J122" i="1"/>
  <c r="J124" i="1" s="1"/>
  <c r="D128" i="1"/>
  <c r="J125" i="1"/>
  <c r="D121" i="1"/>
  <c r="D117" i="1"/>
  <c r="D114" i="1"/>
  <c r="J111" i="1"/>
  <c r="D120" i="1"/>
  <c r="D116" i="1"/>
  <c r="J112" i="1"/>
  <c r="D118" i="1"/>
  <c r="J108" i="1"/>
  <c r="J110" i="1" s="1"/>
  <c r="D119" i="1"/>
  <c r="D115" i="1"/>
  <c r="J114" i="1"/>
  <c r="J115" i="1" s="1"/>
  <c r="J120" i="1" s="1"/>
  <c r="J121" i="1" s="1"/>
  <c r="C113" i="1" s="1"/>
  <c r="J113" i="1"/>
  <c r="C112" i="1" s="1"/>
  <c r="D112" i="1" s="1"/>
  <c r="J98" i="1"/>
  <c r="C97" i="1" s="1"/>
  <c r="D97" i="1" s="1"/>
  <c r="J96" i="1"/>
  <c r="D101" i="1"/>
  <c r="D102" i="1"/>
  <c r="D105" i="1"/>
  <c r="J97" i="1"/>
  <c r="J99" i="1"/>
  <c r="J93" i="1"/>
  <c r="J95" i="1" s="1"/>
  <c r="D104" i="1"/>
  <c r="D100" i="1"/>
  <c r="D103" i="1"/>
  <c r="D99" i="1"/>
  <c r="J76" i="1"/>
  <c r="J75" i="1"/>
  <c r="J74" i="1"/>
  <c r="J73" i="1"/>
  <c r="K234" i="1"/>
  <c r="E7" i="1"/>
  <c r="H66" i="1"/>
  <c r="G169" i="1" l="1"/>
  <c r="G167" i="1" s="1"/>
  <c r="E154" i="1"/>
  <c r="D155" i="1"/>
  <c r="I151" i="1" s="1"/>
  <c r="G154" i="1"/>
  <c r="J151" i="1"/>
  <c r="I165" i="1"/>
  <c r="J165" i="1"/>
  <c r="C126" i="1"/>
  <c r="D126" i="1" s="1"/>
  <c r="E126" i="1"/>
  <c r="D127" i="1"/>
  <c r="E112" i="1"/>
  <c r="D113" i="1"/>
  <c r="I109" i="1" s="1"/>
  <c r="I110" i="1" s="1"/>
  <c r="G112" i="1"/>
  <c r="J109" i="1"/>
  <c r="J100" i="1"/>
  <c r="J105" i="1" s="1"/>
  <c r="J106" i="1" s="1"/>
  <c r="C98" i="1" s="1"/>
  <c r="D98" i="1" s="1"/>
  <c r="I94" i="1" s="1"/>
  <c r="I95" i="1" s="1"/>
  <c r="J70" i="1"/>
  <c r="C69" i="1" s="1"/>
  <c r="D78" i="1"/>
  <c r="D76" i="1"/>
  <c r="D74" i="1"/>
  <c r="D72" i="1"/>
  <c r="J71" i="1"/>
  <c r="J72" i="1" s="1"/>
  <c r="J69" i="1"/>
  <c r="J65" i="1"/>
  <c r="J67" i="1" s="1"/>
  <c r="D77" i="1"/>
  <c r="D75" i="1"/>
  <c r="D73" i="1"/>
  <c r="D71" i="1"/>
  <c r="J68" i="1"/>
  <c r="D225" i="1"/>
  <c r="D226" i="1"/>
  <c r="D234" i="1"/>
  <c r="D235" i="1"/>
  <c r="D246" i="1"/>
  <c r="D245" i="1"/>
  <c r="D249" i="1"/>
  <c r="D250" i="1"/>
  <c r="D255" i="1"/>
  <c r="D258" i="1"/>
  <c r="D259" i="1"/>
  <c r="K225" i="1"/>
  <c r="I166" i="1" l="1"/>
  <c r="I164" i="1"/>
  <c r="C166" i="1" s="1"/>
  <c r="I152" i="1"/>
  <c r="I150" i="1" s="1"/>
  <c r="C152" i="1" s="1"/>
  <c r="G126" i="1"/>
  <c r="I123" i="1"/>
  <c r="I124" i="1" s="1"/>
  <c r="J123" i="1"/>
  <c r="I108" i="1"/>
  <c r="C110" i="1" s="1"/>
  <c r="J94" i="1"/>
  <c r="I93" i="1" s="1"/>
  <c r="C95" i="1" s="1"/>
  <c r="G97" i="1"/>
  <c r="G107" i="1" s="1"/>
  <c r="E97" i="1"/>
  <c r="D107" i="1" s="1"/>
  <c r="D69" i="1"/>
  <c r="J77" i="1"/>
  <c r="J78" i="1" s="1"/>
  <c r="C70" i="1" s="1"/>
  <c r="G69" i="1" s="1"/>
  <c r="I225" i="1"/>
  <c r="I122" i="1" l="1"/>
  <c r="C124" i="1" s="1"/>
  <c r="J66" i="1"/>
  <c r="D70" i="1"/>
  <c r="I66" i="1" s="1"/>
  <c r="I67" i="1" s="1"/>
  <c r="E69" i="1"/>
  <c r="D397" i="1"/>
  <c r="F397" i="1" s="1"/>
  <c r="D395" i="1"/>
  <c r="F395" i="1" s="1"/>
  <c r="D394" i="1"/>
  <c r="F394" i="1" s="1"/>
  <c r="D393" i="1"/>
  <c r="F393" i="1" s="1"/>
  <c r="D392" i="1"/>
  <c r="F392" i="1" s="1"/>
  <c r="D391" i="1"/>
  <c r="F391" i="1" s="1"/>
  <c r="D390" i="1"/>
  <c r="F390" i="1" s="1"/>
  <c r="D388" i="1"/>
  <c r="F388" i="1" s="1"/>
  <c r="D387" i="1"/>
  <c r="F387" i="1" s="1"/>
  <c r="D386" i="1"/>
  <c r="F386" i="1" s="1"/>
  <c r="D385" i="1"/>
  <c r="F385" i="1" s="1"/>
  <c r="D384" i="1"/>
  <c r="F384" i="1" s="1"/>
  <c r="D383" i="1"/>
  <c r="F383" i="1" s="1"/>
  <c r="D382" i="1"/>
  <c r="F382" i="1" s="1"/>
  <c r="D381" i="1"/>
  <c r="F381" i="1" s="1"/>
  <c r="D377" i="1"/>
  <c r="F377" i="1" s="1"/>
  <c r="D375" i="1"/>
  <c r="F375" i="1" s="1"/>
  <c r="D374" i="1"/>
  <c r="F374" i="1" s="1"/>
  <c r="D373" i="1"/>
  <c r="F373" i="1" s="1"/>
  <c r="D372" i="1"/>
  <c r="F372" i="1" s="1"/>
  <c r="D371" i="1"/>
  <c r="F371" i="1" s="1"/>
  <c r="D370" i="1"/>
  <c r="F370" i="1" s="1"/>
  <c r="D368" i="1"/>
  <c r="F368" i="1" s="1"/>
  <c r="D367" i="1"/>
  <c r="F367" i="1" s="1"/>
  <c r="D366" i="1"/>
  <c r="F366" i="1" s="1"/>
  <c r="D365" i="1"/>
  <c r="F365" i="1" s="1"/>
  <c r="D364" i="1"/>
  <c r="F364" i="1" s="1"/>
  <c r="D363" i="1"/>
  <c r="F363" i="1" s="1"/>
  <c r="D362" i="1"/>
  <c r="F362" i="1" s="1"/>
  <c r="D361" i="1"/>
  <c r="D357" i="1"/>
  <c r="F357" i="1" s="1"/>
  <c r="D355" i="1"/>
  <c r="F355" i="1" s="1"/>
  <c r="D354" i="1"/>
  <c r="F354" i="1" s="1"/>
  <c r="D353" i="1"/>
  <c r="F353" i="1" s="1"/>
  <c r="D352" i="1"/>
  <c r="F352" i="1" s="1"/>
  <c r="D351" i="1"/>
  <c r="F351" i="1" s="1"/>
  <c r="D350" i="1"/>
  <c r="F350" i="1" s="1"/>
  <c r="D348" i="1"/>
  <c r="F348" i="1" s="1"/>
  <c r="D347" i="1"/>
  <c r="F347" i="1" s="1"/>
  <c r="D346" i="1"/>
  <c r="F346" i="1" s="1"/>
  <c r="D345" i="1"/>
  <c r="F345" i="1" s="1"/>
  <c r="D344" i="1"/>
  <c r="D343" i="1"/>
  <c r="F343" i="1" s="1"/>
  <c r="D342" i="1"/>
  <c r="F342" i="1" s="1"/>
  <c r="D341" i="1"/>
  <c r="D337" i="1"/>
  <c r="F337" i="1" s="1"/>
  <c r="D335" i="1"/>
  <c r="F335" i="1" s="1"/>
  <c r="D334" i="1"/>
  <c r="F334" i="1" s="1"/>
  <c r="D333" i="1"/>
  <c r="F333" i="1" s="1"/>
  <c r="D332" i="1"/>
  <c r="F332" i="1" s="1"/>
  <c r="D331" i="1"/>
  <c r="F331" i="1" s="1"/>
  <c r="D330" i="1"/>
  <c r="F330" i="1" s="1"/>
  <c r="D328" i="1"/>
  <c r="F328" i="1" s="1"/>
  <c r="D327" i="1"/>
  <c r="F327" i="1" s="1"/>
  <c r="D326" i="1"/>
  <c r="F326" i="1" s="1"/>
  <c r="D325" i="1"/>
  <c r="F325" i="1" s="1"/>
  <c r="D324" i="1"/>
  <c r="F324" i="1" s="1"/>
  <c r="D323" i="1"/>
  <c r="F323" i="1" s="1"/>
  <c r="D322" i="1"/>
  <c r="F322" i="1" s="1"/>
  <c r="D321" i="1"/>
  <c r="F321" i="1" s="1"/>
  <c r="D317" i="1"/>
  <c r="F317" i="1" s="1"/>
  <c r="D315" i="1"/>
  <c r="F315" i="1" s="1"/>
  <c r="D314" i="1"/>
  <c r="F314" i="1" s="1"/>
  <c r="D313" i="1"/>
  <c r="F313" i="1" s="1"/>
  <c r="D312" i="1"/>
  <c r="F312" i="1" s="1"/>
  <c r="D310" i="1"/>
  <c r="F310" i="1" s="1"/>
  <c r="D309" i="1"/>
  <c r="F309" i="1" s="1"/>
  <c r="D308" i="1"/>
  <c r="F308" i="1" s="1"/>
  <c r="D307" i="1"/>
  <c r="F307" i="1" s="1"/>
  <c r="D306" i="1"/>
  <c r="F306" i="1" s="1"/>
  <c r="D305" i="1"/>
  <c r="F305" i="1" s="1"/>
  <c r="J305" i="1" s="1"/>
  <c r="D301" i="1"/>
  <c r="F301" i="1" s="1"/>
  <c r="D299" i="1"/>
  <c r="F299" i="1" s="1"/>
  <c r="D298" i="1"/>
  <c r="F298" i="1" s="1"/>
  <c r="D297" i="1"/>
  <c r="F297" i="1" s="1"/>
  <c r="D296" i="1"/>
  <c r="F296" i="1" s="1"/>
  <c r="D295" i="1"/>
  <c r="F295" i="1" s="1"/>
  <c r="D294" i="1"/>
  <c r="F294" i="1" s="1"/>
  <c r="D292" i="1"/>
  <c r="F292" i="1" s="1"/>
  <c r="D291" i="1"/>
  <c r="F291" i="1" s="1"/>
  <c r="D290" i="1"/>
  <c r="F290" i="1" s="1"/>
  <c r="D289" i="1"/>
  <c r="F289" i="1" s="1"/>
  <c r="D288" i="1"/>
  <c r="F288" i="1" s="1"/>
  <c r="D287" i="1"/>
  <c r="F287" i="1" s="1"/>
  <c r="D286" i="1"/>
  <c r="F286" i="1" s="1"/>
  <c r="D285" i="1"/>
  <c r="F285" i="1" s="1"/>
  <c r="D281" i="1"/>
  <c r="F281" i="1" s="1"/>
  <c r="D279" i="1"/>
  <c r="F279" i="1" s="1"/>
  <c r="D278" i="1"/>
  <c r="F278" i="1" s="1"/>
  <c r="D277" i="1"/>
  <c r="F277" i="1" s="1"/>
  <c r="D276" i="1"/>
  <c r="F276" i="1" s="1"/>
  <c r="D275" i="1"/>
  <c r="F275" i="1" s="1"/>
  <c r="D274" i="1"/>
  <c r="F274" i="1" s="1"/>
  <c r="I274" i="1" s="1"/>
  <c r="D272" i="1"/>
  <c r="F272" i="1" s="1"/>
  <c r="D271" i="1"/>
  <c r="F271" i="1" s="1"/>
  <c r="D270" i="1"/>
  <c r="F270" i="1" s="1"/>
  <c r="D269" i="1"/>
  <c r="F269" i="1" s="1"/>
  <c r="D268" i="1"/>
  <c r="F268" i="1" s="1"/>
  <c r="D267" i="1"/>
  <c r="F267" i="1" s="1"/>
  <c r="D266" i="1"/>
  <c r="F266" i="1" s="1"/>
  <c r="D265" i="1"/>
  <c r="D261" i="1"/>
  <c r="F261" i="1" s="1"/>
  <c r="D260" i="1"/>
  <c r="F260" i="1" s="1"/>
  <c r="F259" i="1"/>
  <c r="F258" i="1"/>
  <c r="D257" i="1"/>
  <c r="F257" i="1" s="1"/>
  <c r="D256" i="1"/>
  <c r="F255" i="1"/>
  <c r="D252" i="1"/>
  <c r="F252" i="1" s="1"/>
  <c r="J252" i="1" s="1"/>
  <c r="D251" i="1"/>
  <c r="F251" i="1" s="1"/>
  <c r="J251" i="1" s="1"/>
  <c r="F250" i="1"/>
  <c r="J250" i="1" s="1"/>
  <c r="F249" i="1"/>
  <c r="J249" i="1" s="1"/>
  <c r="D248" i="1"/>
  <c r="F248" i="1" s="1"/>
  <c r="J248" i="1" s="1"/>
  <c r="D247" i="1"/>
  <c r="F247" i="1" s="1"/>
  <c r="J247" i="1" s="1"/>
  <c r="F246" i="1"/>
  <c r="F245" i="1"/>
  <c r="D241" i="1"/>
  <c r="F241" i="1" s="1"/>
  <c r="J241" i="1" s="1"/>
  <c r="D239" i="1"/>
  <c r="F239" i="1" s="1"/>
  <c r="J239" i="1" s="1"/>
  <c r="D238" i="1"/>
  <c r="F238" i="1" s="1"/>
  <c r="J238" i="1" s="1"/>
  <c r="D237" i="1"/>
  <c r="F237" i="1" s="1"/>
  <c r="J237" i="1" s="1"/>
  <c r="D236" i="1"/>
  <c r="F236" i="1" s="1"/>
  <c r="J236" i="1" s="1"/>
  <c r="F235" i="1"/>
  <c r="J235" i="1" s="1"/>
  <c r="F234" i="1"/>
  <c r="D232" i="1"/>
  <c r="F232" i="1" s="1"/>
  <c r="J232" i="1" s="1"/>
  <c r="D231" i="1"/>
  <c r="F231" i="1" s="1"/>
  <c r="J231" i="1" s="1"/>
  <c r="D230" i="1"/>
  <c r="F230" i="1" s="1"/>
  <c r="J230" i="1" s="1"/>
  <c r="D229" i="1"/>
  <c r="F229" i="1" s="1"/>
  <c r="J229" i="1" s="1"/>
  <c r="D228" i="1"/>
  <c r="D227" i="1"/>
  <c r="G254" i="1"/>
  <c r="F256" i="1"/>
  <c r="A255" i="1"/>
  <c r="A256" i="1" s="1"/>
  <c r="A257" i="1" s="1"/>
  <c r="A258" i="1" s="1"/>
  <c r="A259" i="1" s="1"/>
  <c r="A260" i="1" s="1"/>
  <c r="A261" i="1" s="1"/>
  <c r="A246" i="1"/>
  <c r="A247" i="1" s="1"/>
  <c r="A248" i="1" s="1"/>
  <c r="A249" i="1" s="1"/>
  <c r="A250" i="1" s="1"/>
  <c r="A251" i="1" s="1"/>
  <c r="A252" i="1" s="1"/>
  <c r="G245" i="1"/>
  <c r="A313" i="1"/>
  <c r="A314" i="1" s="1"/>
  <c r="A315" i="1" s="1"/>
  <c r="A316" i="1" s="1"/>
  <c r="A317" i="1" s="1"/>
  <c r="G312" i="1"/>
  <c r="I305" i="1"/>
  <c r="G305" i="1"/>
  <c r="A306" i="1"/>
  <c r="A307" i="1" s="1"/>
  <c r="A308" i="1" s="1"/>
  <c r="A309" i="1" s="1"/>
  <c r="A310" i="1" s="1"/>
  <c r="A391" i="1"/>
  <c r="A392" i="1" s="1"/>
  <c r="A393" i="1" s="1"/>
  <c r="A394" i="1" s="1"/>
  <c r="A395" i="1" s="1"/>
  <c r="A396" i="1" s="1"/>
  <c r="A397" i="1" s="1"/>
  <c r="G390" i="1"/>
  <c r="A382" i="1"/>
  <c r="A383" i="1" s="1"/>
  <c r="A384" i="1" s="1"/>
  <c r="A385" i="1" s="1"/>
  <c r="A386" i="1" s="1"/>
  <c r="A387" i="1" s="1"/>
  <c r="A388" i="1" s="1"/>
  <c r="G381" i="1"/>
  <c r="A371" i="1"/>
  <c r="A372" i="1" s="1"/>
  <c r="A373" i="1" s="1"/>
  <c r="A374" i="1" s="1"/>
  <c r="A375" i="1" s="1"/>
  <c r="A376" i="1" s="1"/>
  <c r="A377" i="1" s="1"/>
  <c r="G370" i="1"/>
  <c r="A362" i="1"/>
  <c r="A363" i="1" s="1"/>
  <c r="A364" i="1" s="1"/>
  <c r="A365" i="1" s="1"/>
  <c r="A366" i="1" s="1"/>
  <c r="A367" i="1" s="1"/>
  <c r="A368" i="1" s="1"/>
  <c r="G361" i="1"/>
  <c r="A351" i="1"/>
  <c r="A352" i="1" s="1"/>
  <c r="A353" i="1" s="1"/>
  <c r="A354" i="1" s="1"/>
  <c r="A355" i="1" s="1"/>
  <c r="A356" i="1" s="1"/>
  <c r="A357" i="1" s="1"/>
  <c r="G350" i="1"/>
  <c r="A342" i="1"/>
  <c r="A343" i="1" s="1"/>
  <c r="A344" i="1" s="1"/>
  <c r="A345" i="1" s="1"/>
  <c r="A346" i="1" s="1"/>
  <c r="A347" i="1" s="1"/>
  <c r="A348" i="1" s="1"/>
  <c r="G341" i="1"/>
  <c r="A331" i="1"/>
  <c r="A332" i="1" s="1"/>
  <c r="A333" i="1" s="1"/>
  <c r="A334" i="1" s="1"/>
  <c r="A335" i="1" s="1"/>
  <c r="A336" i="1" s="1"/>
  <c r="A337" i="1" s="1"/>
  <c r="G330" i="1"/>
  <c r="A322" i="1"/>
  <c r="A323" i="1" s="1"/>
  <c r="A324" i="1" s="1"/>
  <c r="A325" i="1" s="1"/>
  <c r="A326" i="1" s="1"/>
  <c r="A327" i="1" s="1"/>
  <c r="A328" i="1" s="1"/>
  <c r="G321" i="1"/>
  <c r="A295" i="1"/>
  <c r="A296" i="1" s="1"/>
  <c r="A297" i="1" s="1"/>
  <c r="A298" i="1" s="1"/>
  <c r="A299" i="1" s="1"/>
  <c r="A300" i="1" s="1"/>
  <c r="A301" i="1" s="1"/>
  <c r="G294" i="1"/>
  <c r="A286" i="1"/>
  <c r="A287" i="1" s="1"/>
  <c r="A288" i="1" s="1"/>
  <c r="A289" i="1" s="1"/>
  <c r="A290" i="1" s="1"/>
  <c r="A291" i="1" s="1"/>
  <c r="A292" i="1" s="1"/>
  <c r="G285" i="1"/>
  <c r="A275" i="1"/>
  <c r="A276" i="1" s="1"/>
  <c r="A277" i="1" s="1"/>
  <c r="A278" i="1" s="1"/>
  <c r="A279" i="1" s="1"/>
  <c r="A280" i="1" s="1"/>
  <c r="A281" i="1" s="1"/>
  <c r="G274" i="1"/>
  <c r="A266" i="1"/>
  <c r="A267" i="1" s="1"/>
  <c r="A268" i="1" s="1"/>
  <c r="A269" i="1" s="1"/>
  <c r="A270" i="1" s="1"/>
  <c r="A271" i="1" s="1"/>
  <c r="A272" i="1" s="1"/>
  <c r="G265" i="1"/>
  <c r="G234" i="1"/>
  <c r="A235" i="1"/>
  <c r="A236" i="1" s="1"/>
  <c r="A237" i="1" s="1"/>
  <c r="A238" i="1" s="1"/>
  <c r="A239" i="1" s="1"/>
  <c r="A240" i="1" s="1"/>
  <c r="A241" i="1" s="1"/>
  <c r="C14" i="1"/>
  <c r="F361" i="1" l="1"/>
  <c r="C214" i="1"/>
  <c r="I65" i="1"/>
  <c r="C67" i="1" s="1"/>
  <c r="J246" i="1"/>
  <c r="I246" i="1"/>
  <c r="G214" i="1"/>
  <c r="G210" i="1"/>
  <c r="E207" i="1"/>
  <c r="G212" i="1"/>
  <c r="E209" i="1"/>
  <c r="K306" i="1"/>
  <c r="J306" i="1"/>
  <c r="E213" i="1"/>
  <c r="J245" i="1"/>
  <c r="K245" i="1"/>
  <c r="J234" i="1"/>
  <c r="K235" i="1"/>
  <c r="C207" i="1"/>
  <c r="C213" i="1"/>
  <c r="G208" i="1"/>
  <c r="G211" i="1"/>
  <c r="G215" i="1"/>
  <c r="C211" i="1"/>
  <c r="E208" i="1"/>
  <c r="E210" i="1"/>
  <c r="E212" i="1"/>
  <c r="E214" i="1"/>
  <c r="C209" i="1"/>
  <c r="C215" i="1"/>
  <c r="F265" i="1"/>
  <c r="G209" i="1" s="1"/>
  <c r="F344" i="1"/>
  <c r="C208" i="1"/>
  <c r="C210" i="1"/>
  <c r="C212" i="1"/>
  <c r="F341" i="1"/>
  <c r="E211" i="1"/>
  <c r="E215" i="1"/>
  <c r="E29" i="1"/>
  <c r="C216" i="1" l="1"/>
  <c r="E216" i="1"/>
  <c r="G213" i="1"/>
  <c r="F226" i="1"/>
  <c r="J226" i="1" s="1"/>
  <c r="F227" i="1"/>
  <c r="J227" i="1" s="1"/>
  <c r="F228" i="1"/>
  <c r="J228" i="1" s="1"/>
  <c r="F225" i="1"/>
  <c r="A226" i="1"/>
  <c r="A227" i="1" s="1"/>
  <c r="G225" i="1"/>
  <c r="J225" i="1" l="1"/>
  <c r="L225" i="1"/>
  <c r="G207" i="1"/>
  <c r="G216" i="1" s="1"/>
  <c r="A228" i="1"/>
  <c r="A229" i="1" s="1"/>
  <c r="A230" i="1" s="1"/>
  <c r="A231" i="1" s="1"/>
  <c r="A232" i="1" s="1"/>
  <c r="F204" i="1"/>
  <c r="B401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425" i="1"/>
  <c r="J90" i="1"/>
  <c r="J89" i="1"/>
  <c r="J88" i="1"/>
  <c r="J87" i="1"/>
  <c r="D54" i="1"/>
  <c r="G49" i="1"/>
  <c r="G50" i="1" s="1"/>
  <c r="C49" i="1"/>
  <c r="E42" i="1"/>
  <c r="E43" i="1" s="1"/>
  <c r="E26" i="1"/>
  <c r="E24" i="1"/>
  <c r="E3" i="1"/>
  <c r="H80" i="1"/>
  <c r="D92" i="1" l="1"/>
  <c r="D90" i="1"/>
  <c r="D89" i="1"/>
  <c r="D88" i="1"/>
  <c r="D86" i="1"/>
  <c r="J79" i="1"/>
  <c r="D91" i="1"/>
  <c r="D87" i="1"/>
  <c r="J83" i="1"/>
  <c r="J84" i="1"/>
  <c r="J82" i="1"/>
  <c r="J85" i="1"/>
  <c r="J86" i="1" l="1"/>
  <c r="C83" i="1"/>
  <c r="D85" i="1"/>
  <c r="J81" i="1"/>
  <c r="J91" i="1" l="1"/>
  <c r="J92" i="1" s="1"/>
  <c r="E83" i="1"/>
  <c r="D83" i="1"/>
  <c r="G83" i="1" l="1"/>
  <c r="D84" i="1"/>
  <c r="I80" i="1" s="1"/>
  <c r="I81" i="1" s="1"/>
  <c r="J80" i="1"/>
  <c r="D63" i="1" l="1"/>
  <c r="D64" i="1" s="1"/>
  <c r="I79" i="1"/>
  <c r="C81" i="1" s="1"/>
  <c r="F64" i="1" l="1"/>
</calcChain>
</file>

<file path=xl/sharedStrings.xml><?xml version="1.0" encoding="utf-8"?>
<sst xmlns="http://schemas.openxmlformats.org/spreadsheetml/2006/main" count="764" uniqueCount="255">
  <si>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</si>
  <si>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</si>
  <si>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</si>
  <si>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</si>
  <si>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</si>
  <si>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</si>
  <si>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</si>
  <si>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</si>
  <si>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</si>
  <si>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</si>
  <si>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</si>
  <si>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</si>
  <si>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</si>
  <si>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</si>
  <si>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</si>
  <si>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</si>
  <si>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</si>
  <si>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</si>
  <si>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</si>
  <si>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</si>
  <si>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</si>
  <si>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</si>
  <si>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</si>
  <si>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</si>
  <si>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</si>
  <si>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</si>
  <si>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</si>
  <si>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</si>
  <si>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</si>
  <si>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</si>
  <si>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</si>
  <si>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</si>
  <si>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</si>
  <si>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</si>
  <si>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</si>
  <si>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</si>
  <si>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</si>
  <si>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</si>
  <si>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</si>
  <si>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</si>
  <si>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</si>
  <si>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</si>
  <si>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</si>
  <si>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</si>
  <si>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</si>
  <si>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</si>
  <si>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</si>
  <si>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</si>
  <si>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</si>
  <si>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</si>
  <si>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</si>
  <si>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</si>
  <si>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</si>
  <si>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</si>
  <si>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</si>
  <si>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</si>
  <si>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</si>
  <si>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</si>
  <si>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</si>
  <si>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</si>
  <si>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</si>
  <si>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</si>
  <si>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</si>
  <si>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</si>
  <si>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</si>
  <si>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</si>
  <si>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</si>
  <si>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</si>
  <si>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</si>
  <si>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</si>
  <si>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</si>
  <si>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</si>
  <si>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</si>
  <si>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</si>
  <si>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</si>
  <si>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</si>
  <si>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</si>
  <si>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</si>
  <si>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</si>
  <si>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</si>
  <si>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</si>
  <si>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</si>
  <si>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</si>
  <si>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</si>
  <si>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</si>
  <si>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</si>
  <si>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</si>
  <si>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</si>
  <si>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</si>
  <si>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</si>
  <si>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</si>
  <si>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</si>
  <si>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</si>
  <si>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</si>
  <si>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</si>
  <si>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</si>
  <si>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</si>
  <si>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</si>
  <si>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</si>
  <si>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</si>
  <si>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</si>
  <si>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</si>
  <si>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</si>
  <si>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</si>
  <si>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</si>
  <si>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</si>
  <si>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</si>
  <si>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</si>
  <si>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</si>
  <si>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</si>
  <si>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</si>
  <si>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</si>
  <si>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</si>
  <si>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</si>
  <si>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</si>
  <si>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</si>
  <si>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</si>
  <si>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</si>
  <si>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</si>
  <si>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</si>
  <si>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</si>
  <si>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</si>
  <si>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</si>
  <si>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</si>
  <si>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</si>
  <si>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</si>
  <si>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</si>
  <si>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</si>
  <si>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</si>
  <si>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</si>
  <si>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</si>
  <si>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</si>
  <si>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</si>
  <si>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</si>
  <si>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</si>
  <si>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</si>
  <si>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</si>
  <si>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</si>
  <si>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</si>
  <si>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</si>
  <si>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</si>
  <si>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</si>
  <si>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</si>
  <si>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</si>
  <si>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</si>
  <si>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</si>
  <si>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</si>
  <si>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</si>
  <si>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</si>
  <si>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</si>
  <si>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</si>
  <si>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</si>
  <si>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</si>
  <si>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</si>
  <si>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</si>
  <si>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</si>
  <si>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</si>
  <si>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</si>
  <si>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</si>
  <si>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</si>
  <si>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</si>
  <si>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</si>
  <si>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</si>
  <si>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</si>
  <si>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</si>
  <si>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Goregaon</t>
  </si>
  <si>
    <t>Mayfair Housing</t>
  </si>
  <si>
    <t>91-2267232300 / 9167407211</t>
  </si>
  <si>
    <t>Building No. 34 to 42</t>
  </si>
  <si>
    <t>P99000046231</t>
  </si>
  <si>
    <t>Survey No</t>
  </si>
  <si>
    <t>211 to 246, S.No. 223 to 228, H.No. 11/1/3….. &amp; Others</t>
  </si>
  <si>
    <t>Palghar</t>
  </si>
  <si>
    <t>Vasai</t>
  </si>
  <si>
    <t>Bolinj</t>
  </si>
  <si>
    <t>Vasai-Virar City Municipal Corporation</t>
  </si>
  <si>
    <t>VVCMC/TP/AMEND/VP/0278/814/2021-22</t>
  </si>
  <si>
    <t>VVCMC/TP/RDP/VP-0278/814/2021-22</t>
  </si>
  <si>
    <t>As per RERA - 30/06/2028</t>
  </si>
  <si>
    <t>09 Buildings</t>
  </si>
  <si>
    <t>Kharodi Naka</t>
  </si>
  <si>
    <t>Virar Agashi Road</t>
  </si>
  <si>
    <t>Virar (West)</t>
  </si>
  <si>
    <t>Building No. 2 Mayfair Virar Gardens</t>
  </si>
  <si>
    <t>1.4KM from Virar Railway Station</t>
  </si>
  <si>
    <t>Cluster VI</t>
  </si>
  <si>
    <t>Ground Floor for Parking &amp; Amenities</t>
  </si>
  <si>
    <t>1BHK</t>
  </si>
  <si>
    <t>7th, 13th &amp; 19th Floor (Part Refuge Area)</t>
  </si>
  <si>
    <t>Refuge Area</t>
  </si>
  <si>
    <t>1st to 6th, 8th to 12th, 14th to 18th, 20th to 22nd Floor for Residential</t>
  </si>
  <si>
    <t>1RK</t>
  </si>
  <si>
    <t>Building No. 34 ( T Type )</t>
  </si>
  <si>
    <t>Building No. 36 ( T Type )</t>
  </si>
  <si>
    <t>Building No. 37 ( T Type )</t>
  </si>
  <si>
    <t>Building No. 39 ( T Type )</t>
  </si>
  <si>
    <t>Building No. 40 ( T Type )</t>
  </si>
  <si>
    <t>Building No. 41 ( T Type )</t>
  </si>
  <si>
    <t>Building No. 42 ( T Type )</t>
  </si>
  <si>
    <t>Building No. 38 ( T2 Type )</t>
  </si>
  <si>
    <t>Building No. 35 ( T1 Type )</t>
  </si>
  <si>
    <t>Flats - 1513</t>
  </si>
  <si>
    <t>We considered Gross carpet area = Net carpet + A.P. Area.</t>
  </si>
  <si>
    <t>Builder sheet</t>
  </si>
  <si>
    <t>online</t>
  </si>
  <si>
    <t>MIS</t>
  </si>
  <si>
    <t xml:space="preserve">Building No. 34 </t>
  </si>
  <si>
    <t xml:space="preserve">Building No. 35 </t>
  </si>
  <si>
    <t>Building No. 36</t>
  </si>
  <si>
    <t>Zilla Parishad Marathi School Bolinj</t>
  </si>
  <si>
    <t>Open Plot</t>
  </si>
  <si>
    <t>Tulip, Bldg. No. 21, Mayfair Virar Gardens</t>
  </si>
  <si>
    <t>Building No. 37</t>
  </si>
  <si>
    <t>Building No. 38</t>
  </si>
  <si>
    <t>Building No. 39</t>
  </si>
  <si>
    <t>Building No. 40</t>
  </si>
  <si>
    <t>Building No. 41</t>
  </si>
  <si>
    <t>Building No. 42</t>
  </si>
  <si>
    <t>Club Membership Charges</t>
  </si>
  <si>
    <t>Water Connection, Electricity Meter &amp; Society Formation Charges</t>
  </si>
  <si>
    <t>2year Adv.Maintenance Charges (Including GST)</t>
  </si>
  <si>
    <t>Approved Plans, CC, Cost Sheet</t>
  </si>
  <si>
    <t xml:space="preserve">1.Vitrified tiles flooring 2. Granite Kitchen Platform  3. Decorative Enternace  etc. 
</t>
  </si>
  <si>
    <t>On Site, we meet Mr. Sikandar -  9167407211.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</si>
  <si>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 </t>
  </si>
  <si>
    <t>Mayfair Virar Gardens Cluster VI</t>
  </si>
  <si>
    <t>Navnath Bhatkar</t>
  </si>
  <si>
    <t>39 Building not yet started</t>
  </si>
  <si>
    <t xml:space="preserve">Construction details taken from Mr.Sikandar Singh (CRM) </t>
  </si>
  <si>
    <t>the below photo is given from bank of Bldg No. 36</t>
  </si>
  <si>
    <t>Construction details:
Cluster VI</t>
  </si>
  <si>
    <t>Building No.34 to 42 = Gr/Stilt + 1st to 22nd Floor</t>
  </si>
  <si>
    <t>Building No.34 = Gr/Stilt + 1st to 22nd Floor</t>
  </si>
  <si>
    <t>Building No.35 = Gr/Stilt + 1st to 22nd Floor</t>
  </si>
  <si>
    <t>Building No.37 = Gr/Stilt + 1st to 22nd Floor</t>
  </si>
  <si>
    <t>Building No.40 = Gr/Stilt + 1st to 22nd Floor</t>
  </si>
  <si>
    <t>Ask rajesh for stage construction here after</t>
  </si>
  <si>
    <t>Since internal visit were not permitted, Construction details taken from site met person Mr.Rajesh : 9969643500.</t>
  </si>
  <si>
    <t>Building No. 42 = Gr/Stilt + 1st to 22nd Floor</t>
  </si>
  <si>
    <t>Building No. 39 = Gr/Stilt + 1st to 22nd Floor</t>
  </si>
  <si>
    <t>Building No. 41 &amp; 42 = Gr/Stilt + 1st to 22nd Floor</t>
  </si>
  <si>
    <t>Building No.36 &amp; 37 = Gr/Stilt + 1st to 22nd Floor</t>
  </si>
  <si>
    <t>Construction % Given as per architect certificate &amp; mr. sikandar sharma 18/11/2024</t>
  </si>
  <si>
    <t>Done by nilesh on 16/01/2025</t>
  </si>
  <si>
    <t>Building No.38 = Gr/Stilt + 1st to 22nd Floor</t>
  </si>
  <si>
    <t>rate 6600 by akash mote verbal On 29/04/2025</t>
  </si>
  <si>
    <t>Recommended Rates of the Property have been revised on 29/04/2025.</t>
  </si>
  <si>
    <t>https://maps.app.goo.gl/dVrarnDZC45VAbRv7</t>
  </si>
  <si>
    <t xml:space="preserve"> Mr.Sikandar Sharma : 9167407211</t>
  </si>
  <si>
    <r>
      <t xml:space="preserve">VVCMC/TP/O.C/VP-0278/07/PO/2025/APL/00113
Approved upto : </t>
    </r>
    <r>
      <rPr>
        <b/>
        <u/>
        <sz val="12"/>
        <color indexed="8"/>
        <rFont val="Times New Roman"/>
        <family val="1"/>
      </rPr>
      <t>Building No.41</t>
    </r>
    <r>
      <rPr>
        <b/>
        <sz val="12"/>
        <color indexed="8"/>
        <rFont val="Times New Roman"/>
        <family val="1"/>
      </rPr>
      <t xml:space="preserve"> = Gr/St + 1st to 22nd Floor (172 Flats)
BUA = 7957.72 Sq.M.
</t>
    </r>
    <r>
      <rPr>
        <b/>
        <u/>
        <sz val="12"/>
        <color indexed="8"/>
        <rFont val="Times New Roman"/>
        <family val="1"/>
      </rPr>
      <t>Building No.42</t>
    </r>
    <r>
      <rPr>
        <b/>
        <sz val="12"/>
        <color indexed="8"/>
        <rFont val="Times New Roman"/>
        <family val="1"/>
      </rPr>
      <t xml:space="preserve"> = Gr/St + 1st to 22nd Floor (172 Flats)
BUA = 7957.72 Sq.M.</t>
    </r>
  </si>
  <si>
    <t>60 Years After Completion</t>
  </si>
  <si>
    <t>We have updated OC for building no.41 &amp; 42 (On 29/07/2025).</t>
  </si>
  <si>
    <t>Please provide revised approved floor plans.</t>
  </si>
  <si>
    <t>Pooja</t>
  </si>
  <si>
    <t>Building No. 34, 35: Construction work is in process at the time of Visit. (Internal photographs not allowed).
Building No. 38 to 40 : Construction work is in process at the time of Visit. (Internal photographs not allowed).
Building No. 36 &amp; 37 = All work Completed. Please provide OC.
Building No. 41 &amp; 42 = All work Completed. OC Received.
Construction details are taken from Mr. Sikandar Sharma.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</si>
</sst>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u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8" xfId="0" applyFont="1" applyFill="1" applyBorder="1"/>
    <xf numFmtId="0" fontId="25" fillId="0" borderId="29" xfId="0" applyFont="1" applyBorder="1"/>
    <xf numFmtId="0" fontId="25" fillId="0" borderId="1" xfId="0" applyFont="1" applyBorder="1"/>
    <xf numFmtId="0" fontId="25" fillId="0" borderId="4" xfId="0" applyFont="1" applyBorder="1"/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center" vertical="center" wrapText="1"/>
    </xf>
    <xf numFmtId="0" fontId="7" fillId="2" borderId="0" xfId="1" applyFont="1" applyFill="1"/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14" xfId="0" applyFont="1" applyFill="1" applyBorder="1"/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0" borderId="8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9" fontId="10" fillId="0" borderId="34" xfId="1" applyNumberFormat="1" applyFont="1" applyBorder="1" applyAlignment="1" applyProtection="1">
      <alignment horizontal="center" vertical="center" wrapText="1"/>
      <protection locked="0"/>
    </xf>
    <xf numFmtId="0" fontId="7" fillId="0" borderId="15" xfId="1" applyFont="1" applyBorder="1" applyAlignment="1" applyProtection="1">
      <alignment horizontal="center" vertical="top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9" fontId="10" fillId="0" borderId="1" xfId="1" applyNumberFormat="1" applyFont="1" applyBorder="1" applyAlignment="1">
      <alignment horizontal="center" vertical="center"/>
    </xf>
    <xf numFmtId="9" fontId="10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0" fillId="0" borderId="36" xfId="1" applyFont="1" applyBorder="1" applyAlignment="1" applyProtection="1">
      <alignment horizontal="center" vertical="center" wrapText="1"/>
      <protection locked="0"/>
    </xf>
    <xf numFmtId="0" fontId="10" fillId="0" borderId="37" xfId="1" applyFont="1" applyBorder="1" applyAlignment="1" applyProtection="1">
      <alignment horizontal="center" vertical="center" wrapText="1"/>
      <protection locked="0"/>
    </xf>
    <xf numFmtId="0" fontId="10" fillId="0" borderId="34" xfId="1" applyFont="1" applyBorder="1" applyAlignment="1" applyProtection="1">
      <alignment horizontal="center" vertical="center" wrapText="1"/>
      <protection locked="0"/>
    </xf>
    <xf numFmtId="0" fontId="10" fillId="0" borderId="35" xfId="1" applyFont="1" applyBorder="1" applyAlignment="1" applyProtection="1">
      <alignment horizontal="center" vertical="center" wrapText="1"/>
      <protection locked="0"/>
    </xf>
    <xf numFmtId="0" fontId="10" fillId="0" borderId="38" xfId="1" applyFont="1" applyBorder="1" applyAlignment="1" applyProtection="1">
      <alignment horizontal="center" vertical="center" wrapText="1"/>
      <protection locked="0"/>
    </xf>
    <xf numFmtId="9" fontId="10" fillId="0" borderId="34" xfId="1" applyNumberFormat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8" fillId="0" borderId="31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32" xfId="1" applyFont="1" applyBorder="1" applyAlignment="1" applyProtection="1">
      <alignment horizontal="left" vertical="top" wrapText="1"/>
      <protection locked="0"/>
    </xf>
    <xf numFmtId="0" fontId="8" fillId="0" borderId="33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3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3" borderId="4" xfId="1" applyNumberFormat="1" applyFont="1" applyFill="1" applyBorder="1" applyAlignment="1" applyProtection="1">
      <alignment horizontal="center" vertical="center" wrapText="1"/>
      <protection hidden="1"/>
    </xf>
    <xf numFmtId="9" fontId="7" fillId="3" borderId="6" xfId="1" applyNumberFormat="1" applyFont="1" applyFill="1" applyBorder="1" applyAlignment="1" applyProtection="1">
      <alignment horizontal="center" vertical="center" wrapText="1"/>
      <protection hidden="1"/>
    </xf>
    <xf numFmtId="9" fontId="7" fillId="3" borderId="30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25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right"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2" xfId="1" applyFont="1" applyBorder="1" applyAlignment="1" applyProtection="1">
      <alignment horizontal="left" vertical="top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7" fillId="0" borderId="15" xfId="1" applyFont="1" applyBorder="1" applyAlignment="1" applyProtection="1">
      <alignment horizontal="center" vertical="top" wrapText="1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51292</xdr:colOff>
      <xdr:row>542</xdr:row>
      <xdr:rowOff>92850</xdr:rowOff>
    </xdr:from>
    <xdr:to>
      <xdr:col>5</xdr:col>
      <xdr:colOff>718042</xdr:colOff>
      <xdr:row>544</xdr:row>
      <xdr:rowOff>62132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D31B6BDA-00B2-7E22-E6C1-90B6C5AFB21F}"/>
            </a:ext>
          </a:extLst>
        </xdr:cNvPr>
        <xdr:cNvSpPr txBox="1"/>
      </xdr:nvSpPr>
      <xdr:spPr>
        <a:xfrm>
          <a:off x="1727692" y="58252500"/>
          <a:ext cx="3429000" cy="369332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x-none"/>
        </a:p>
      </xdr:txBody>
    </xdr:sp>
    <xdr:clientData/>
  </xdr:twoCellAnchor>
  <xdr:twoCellAnchor editAs="oneCell">
    <xdr:from>
      <xdr:col>1</xdr:col>
      <xdr:colOff>266700</xdr:colOff>
      <xdr:row>543</xdr:row>
      <xdr:rowOff>62135</xdr:rowOff>
    </xdr:from>
    <xdr:to>
      <xdr:col>6</xdr:col>
      <xdr:colOff>558531</xdr:colOff>
      <xdr:row>563</xdr:row>
      <xdr:rowOff>21634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BEA775-E1AD-CCB1-0B1B-C787AC078C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3129" y="87256706"/>
          <a:ext cx="4754973" cy="404164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266700</xdr:colOff>
      <xdr:row>522</xdr:row>
      <xdr:rowOff>133350</xdr:rowOff>
    </xdr:from>
    <xdr:to>
      <xdr:col>6</xdr:col>
      <xdr:colOff>558532</xdr:colOff>
      <xdr:row>542</xdr:row>
      <xdr:rowOff>92851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70F0931-38C6-0496-99E8-EC7D5494BB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5850" y="54292500"/>
          <a:ext cx="4749532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438150</xdr:colOff>
      <xdr:row>481</xdr:row>
      <xdr:rowOff>114299</xdr:rowOff>
    </xdr:from>
    <xdr:to>
      <xdr:col>7</xdr:col>
      <xdr:colOff>357192</xdr:colOff>
      <xdr:row>518</xdr:row>
      <xdr:rowOff>38099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A2EE72F-3A69-2945-5999-4FB4DBF50A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8150" y="45872399"/>
          <a:ext cx="6034092" cy="7324725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3</xdr:col>
      <xdr:colOff>93734</xdr:colOff>
      <xdr:row>509</xdr:row>
      <xdr:rowOff>85855</xdr:rowOff>
    </xdr:from>
    <xdr:to>
      <xdr:col>4</xdr:col>
      <xdr:colOff>44618</xdr:colOff>
      <xdr:row>518</xdr:row>
      <xdr:rowOff>2742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A071FAA8-5195-E723-A960-B96E2216C9C7}"/>
            </a:ext>
          </a:extLst>
        </xdr:cNvPr>
        <xdr:cNvSpPr/>
      </xdr:nvSpPr>
      <xdr:spPr>
        <a:xfrm rot="18242383">
          <a:off x="2306245" y="51822944"/>
          <a:ext cx="1717112" cy="960534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x-none" sz="1100"/>
        </a:p>
      </xdr:txBody>
    </xdr:sp>
    <xdr:clientData/>
  </xdr:twoCellAnchor>
  <xdr:twoCellAnchor>
    <xdr:from>
      <xdr:col>3</xdr:col>
      <xdr:colOff>130574</xdr:colOff>
      <xdr:row>503</xdr:row>
      <xdr:rowOff>71044</xdr:rowOff>
    </xdr:from>
    <xdr:to>
      <xdr:col>4</xdr:col>
      <xdr:colOff>817760</xdr:colOff>
      <xdr:row>509</xdr:row>
      <xdr:rowOff>57662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683DA2AD-EBD5-4685-9ABF-AA53D43D70F7}"/>
            </a:ext>
          </a:extLst>
        </xdr:cNvPr>
        <xdr:cNvSpPr/>
      </xdr:nvSpPr>
      <xdr:spPr>
        <a:xfrm rot="1979715">
          <a:off x="2721374" y="50229694"/>
          <a:ext cx="1696836" cy="118676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x-none" sz="1100"/>
        </a:p>
      </xdr:txBody>
    </xdr:sp>
    <xdr:clientData/>
  </xdr:twoCellAnchor>
  <xdr:oneCellAnchor>
    <xdr:from>
      <xdr:col>4</xdr:col>
      <xdr:colOff>409575</xdr:colOff>
      <xdr:row>514</xdr:row>
      <xdr:rowOff>161925</xdr:rowOff>
    </xdr:from>
    <xdr:ext cx="839845" cy="311496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46F4DD2-D9F8-F522-8BE7-E6B185E0C08E}"/>
            </a:ext>
          </a:extLst>
        </xdr:cNvPr>
        <xdr:cNvSpPr txBox="1"/>
      </xdr:nvSpPr>
      <xdr:spPr>
        <a:xfrm>
          <a:off x="4010025" y="52520850"/>
          <a:ext cx="839845" cy="31149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Cluster 6</a:t>
          </a:r>
          <a:endParaRPr lang="x-none" sz="1400" b="1"/>
        </a:p>
      </xdr:txBody>
    </xdr:sp>
    <xdr:clientData/>
  </xdr:oneCellAnchor>
  <xdr:twoCellAnchor>
    <xdr:from>
      <xdr:col>4</xdr:col>
      <xdr:colOff>85725</xdr:colOff>
      <xdr:row>514</xdr:row>
      <xdr:rowOff>47625</xdr:rowOff>
    </xdr:from>
    <xdr:to>
      <xdr:col>4</xdr:col>
      <xdr:colOff>409575</xdr:colOff>
      <xdr:row>515</xdr:row>
      <xdr:rowOff>117648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95809D91-BF4D-A5A2-CB26-1120FE789548}"/>
            </a:ext>
          </a:extLst>
        </xdr:cNvPr>
        <xdr:cNvCxnSpPr>
          <a:stCxn id="17" idx="1"/>
        </xdr:cNvCxnSpPr>
      </xdr:nvCxnSpPr>
      <xdr:spPr>
        <a:xfrm flipH="1" flipV="1">
          <a:off x="3686175" y="52406550"/>
          <a:ext cx="323850" cy="270048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495301</xdr:colOff>
      <xdr:row>501</xdr:row>
      <xdr:rowOff>171450</xdr:rowOff>
    </xdr:from>
    <xdr:ext cx="275653" cy="311496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5437A6D-CB96-A11E-EF8A-813C84E5ACAD}"/>
            </a:ext>
          </a:extLst>
        </xdr:cNvPr>
        <xdr:cNvSpPr txBox="1"/>
      </xdr:nvSpPr>
      <xdr:spPr>
        <a:xfrm rot="2025961">
          <a:off x="3086101" y="49930050"/>
          <a:ext cx="275653" cy="31149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4</a:t>
          </a:r>
          <a:endParaRPr lang="x-none" sz="1400" b="1"/>
        </a:p>
      </xdr:txBody>
    </xdr:sp>
    <xdr:clientData/>
  </xdr:oneCellAnchor>
  <xdr:twoCellAnchor>
    <xdr:from>
      <xdr:col>3</xdr:col>
      <xdr:colOff>952499</xdr:colOff>
      <xdr:row>492</xdr:row>
      <xdr:rowOff>180974</xdr:rowOff>
    </xdr:from>
    <xdr:to>
      <xdr:col>5</xdr:col>
      <xdr:colOff>676275</xdr:colOff>
      <xdr:row>502</xdr:row>
      <xdr:rowOff>57149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38D084D-F8F9-4B26-A5F0-9D41EED72378}"/>
            </a:ext>
          </a:extLst>
        </xdr:cNvPr>
        <xdr:cNvSpPr/>
      </xdr:nvSpPr>
      <xdr:spPr>
        <a:xfrm>
          <a:off x="3543299" y="48139349"/>
          <a:ext cx="1571626" cy="187642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x-none" sz="1100"/>
        </a:p>
      </xdr:txBody>
    </xdr:sp>
    <xdr:clientData/>
  </xdr:twoCellAnchor>
  <xdr:oneCellAnchor>
    <xdr:from>
      <xdr:col>3</xdr:col>
      <xdr:colOff>971551</xdr:colOff>
      <xdr:row>492</xdr:row>
      <xdr:rowOff>200024</xdr:rowOff>
    </xdr:from>
    <xdr:ext cx="275653" cy="31149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10C412A1-9265-4AF2-B09C-6FA709B4FB32}"/>
            </a:ext>
          </a:extLst>
        </xdr:cNvPr>
        <xdr:cNvSpPr txBox="1"/>
      </xdr:nvSpPr>
      <xdr:spPr>
        <a:xfrm>
          <a:off x="3562351" y="48158399"/>
          <a:ext cx="275653" cy="31149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5</a:t>
          </a:r>
          <a:endParaRPr lang="x-none" sz="1400" b="1"/>
        </a:p>
      </xdr:txBody>
    </xdr:sp>
    <xdr:clientData/>
  </xdr:oneCellAnchor>
  <xdr:twoCellAnchor>
    <xdr:from>
      <xdr:col>2</xdr:col>
      <xdr:colOff>45251</xdr:colOff>
      <xdr:row>509</xdr:row>
      <xdr:rowOff>127504</xdr:rowOff>
    </xdr:from>
    <xdr:to>
      <xdr:col>3</xdr:col>
      <xdr:colOff>7888</xdr:colOff>
      <xdr:row>516</xdr:row>
      <xdr:rowOff>40226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B7A7A19C-2EFE-4B8E-9523-6D808DF8C348}"/>
            </a:ext>
          </a:extLst>
        </xdr:cNvPr>
        <xdr:cNvSpPr/>
      </xdr:nvSpPr>
      <xdr:spPr>
        <a:xfrm rot="18242383">
          <a:off x="1503721" y="51704234"/>
          <a:ext cx="1312897" cy="87703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x-none" sz="1100"/>
        </a:p>
      </xdr:txBody>
    </xdr:sp>
    <xdr:clientData/>
  </xdr:twoCellAnchor>
  <xdr:oneCellAnchor>
    <xdr:from>
      <xdr:col>1</xdr:col>
      <xdr:colOff>677403</xdr:colOff>
      <xdr:row>513</xdr:row>
      <xdr:rowOff>113170</xdr:rowOff>
    </xdr:from>
    <xdr:ext cx="311496" cy="27565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EA78C505-3824-45DA-B982-7E30BB074EB1}"/>
            </a:ext>
          </a:extLst>
        </xdr:cNvPr>
        <xdr:cNvSpPr txBox="1"/>
      </xdr:nvSpPr>
      <xdr:spPr>
        <a:xfrm rot="18209493">
          <a:off x="1514474" y="52254149"/>
          <a:ext cx="275653" cy="31149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3</a:t>
          </a:r>
          <a:endParaRPr lang="x-none" sz="1400" b="1"/>
        </a:p>
      </xdr:txBody>
    </xdr:sp>
    <xdr:clientData/>
  </xdr:oneCellAnchor>
  <xdr:twoCellAnchor>
    <xdr:from>
      <xdr:col>9</xdr:col>
      <xdr:colOff>0</xdr:colOff>
      <xdr:row>421</xdr:row>
      <xdr:rowOff>0</xdr:rowOff>
    </xdr:from>
    <xdr:to>
      <xdr:col>10</xdr:col>
      <xdr:colOff>10122</xdr:colOff>
      <xdr:row>422</xdr:row>
      <xdr:rowOff>67710</xdr:rowOff>
    </xdr:to>
    <xdr:sp macro="" textlink="">
      <xdr:nvSpPr>
        <xdr:cNvPr id="35" name="TextBox 34"/>
        <xdr:cNvSpPr txBox="1"/>
      </xdr:nvSpPr>
      <xdr:spPr>
        <a:xfrm>
          <a:off x="8064500" y="82861150"/>
          <a:ext cx="81022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No.34</a:t>
          </a:r>
        </a:p>
      </xdr:txBody>
    </xdr:sp>
    <xdr:clientData/>
  </xdr:twoCellAnchor>
  <xdr:twoCellAnchor>
    <xdr:from>
      <xdr:col>8</xdr:col>
      <xdr:colOff>520700</xdr:colOff>
      <xdr:row>425</xdr:row>
      <xdr:rowOff>101600</xdr:rowOff>
    </xdr:from>
    <xdr:to>
      <xdr:col>16</xdr:col>
      <xdr:colOff>335098</xdr:colOff>
      <xdr:row>465</xdr:row>
      <xdr:rowOff>59862</xdr:rowOff>
    </xdr:to>
    <xdr:grpSp>
      <xdr:nvGrpSpPr>
        <xdr:cNvPr id="12" name="Group 11"/>
        <xdr:cNvGrpSpPr/>
      </xdr:nvGrpSpPr>
      <xdr:grpSpPr>
        <a:xfrm>
          <a:off x="7366000" y="82537300"/>
          <a:ext cx="6513648" cy="7819562"/>
          <a:chOff x="196850" y="83731100"/>
          <a:chExt cx="6494598" cy="7819562"/>
        </a:xfrm>
      </xdr:grpSpPr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23726" y="8939066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4514" y="837311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851" y="837311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92177" y="837311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850" y="86560881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4513" y="86560881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92176" y="86560881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39798" y="8939066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850" y="89390662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3" name="TextBox 52"/>
          <xdr:cNvSpPr txBox="1"/>
        </xdr:nvSpPr>
        <xdr:spPr>
          <a:xfrm>
            <a:off x="685801" y="83927950"/>
            <a:ext cx="81022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No.34</a:t>
            </a:r>
          </a:p>
        </xdr:txBody>
      </xdr:sp>
      <xdr:sp macro="" textlink="">
        <xdr:nvSpPr>
          <xdr:cNvPr id="54" name="TextBox 53"/>
          <xdr:cNvSpPr txBox="1"/>
        </xdr:nvSpPr>
        <xdr:spPr>
          <a:xfrm>
            <a:off x="2769164" y="83908900"/>
            <a:ext cx="81022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No.34</a:t>
            </a:r>
          </a:p>
        </xdr:txBody>
      </xdr:sp>
      <xdr:sp macro="" textlink="">
        <xdr:nvSpPr>
          <xdr:cNvPr id="55" name="TextBox 54"/>
          <xdr:cNvSpPr txBox="1"/>
        </xdr:nvSpPr>
        <xdr:spPr>
          <a:xfrm>
            <a:off x="4782677" y="83769200"/>
            <a:ext cx="81022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No.36</a:t>
            </a:r>
          </a:p>
        </xdr:txBody>
      </xdr:sp>
      <xdr:sp macro="" textlink="">
        <xdr:nvSpPr>
          <xdr:cNvPr id="56" name="TextBox 55"/>
          <xdr:cNvSpPr txBox="1"/>
        </xdr:nvSpPr>
        <xdr:spPr>
          <a:xfrm>
            <a:off x="2934263" y="88046781"/>
            <a:ext cx="81022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No.39</a:t>
            </a:r>
          </a:p>
        </xdr:txBody>
      </xdr:sp>
      <xdr:sp macro="" textlink="">
        <xdr:nvSpPr>
          <xdr:cNvPr id="57" name="TextBox 56"/>
          <xdr:cNvSpPr txBox="1"/>
        </xdr:nvSpPr>
        <xdr:spPr>
          <a:xfrm>
            <a:off x="3626413" y="86884731"/>
            <a:ext cx="81022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No.40</a:t>
            </a:r>
          </a:p>
        </xdr:txBody>
      </xdr:sp>
      <xdr:cxnSp macro="">
        <xdr:nvCxnSpPr>
          <xdr:cNvPr id="7" name="Straight Arrow Connector 6"/>
          <xdr:cNvCxnSpPr>
            <a:stCxn id="57" idx="2"/>
          </xdr:cNvCxnSpPr>
        </xdr:nvCxnSpPr>
        <xdr:spPr>
          <a:xfrm flipH="1">
            <a:off x="3873500" y="87149291"/>
            <a:ext cx="158024" cy="334659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8" name="TextBox 57"/>
          <xdr:cNvSpPr txBox="1"/>
        </xdr:nvSpPr>
        <xdr:spPr>
          <a:xfrm>
            <a:off x="5881226" y="86598981"/>
            <a:ext cx="81022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No.42</a:t>
            </a:r>
          </a:p>
        </xdr:txBody>
      </xdr:sp>
      <xdr:cxnSp macro="">
        <xdr:nvCxnSpPr>
          <xdr:cNvPr id="59" name="Straight Arrow Connector 58"/>
          <xdr:cNvCxnSpPr>
            <a:stCxn id="58" idx="2"/>
          </xdr:cNvCxnSpPr>
        </xdr:nvCxnSpPr>
        <xdr:spPr>
          <a:xfrm flipH="1">
            <a:off x="6249526" y="86863541"/>
            <a:ext cx="36811" cy="324099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8</xdr:col>
      <xdr:colOff>844550</xdr:colOff>
      <xdr:row>50</xdr:row>
      <xdr:rowOff>184150</xdr:rowOff>
    </xdr:from>
    <xdr:to>
      <xdr:col>12</xdr:col>
      <xdr:colOff>592050</xdr:colOff>
      <xdr:row>51</xdr:row>
      <xdr:rowOff>1458742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689850" y="11709400"/>
          <a:ext cx="3240000" cy="147144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165100</xdr:colOff>
      <xdr:row>425</xdr:row>
      <xdr:rowOff>69850</xdr:rowOff>
    </xdr:from>
    <xdr:to>
      <xdr:col>7</xdr:col>
      <xdr:colOff>664983</xdr:colOff>
      <xdr:row>456</xdr:row>
      <xdr:rowOff>95021</xdr:rowOff>
    </xdr:to>
    <xdr:grpSp>
      <xdr:nvGrpSpPr>
        <xdr:cNvPr id="5" name="Group 4"/>
        <xdr:cNvGrpSpPr/>
      </xdr:nvGrpSpPr>
      <xdr:grpSpPr>
        <a:xfrm>
          <a:off x="165100" y="82505550"/>
          <a:ext cx="6475233" cy="6114821"/>
          <a:chOff x="165100" y="82505550"/>
          <a:chExt cx="6475233" cy="6114821"/>
        </a:xfrm>
      </xdr:grpSpPr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02936" y="86568371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5100" y="86568371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2682" y="86568371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2809" y="86568371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5032" y="825055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5" name="Picture 64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0665" y="825055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6" name="TextBox 65"/>
          <xdr:cNvSpPr txBox="1"/>
        </xdr:nvSpPr>
        <xdr:spPr>
          <a:xfrm>
            <a:off x="1078215" y="82626200"/>
            <a:ext cx="812599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No.34</a:t>
            </a:r>
          </a:p>
        </xdr:txBody>
      </xdr:sp>
      <xdr:sp macro="" textlink="">
        <xdr:nvSpPr>
          <xdr:cNvPr id="67" name="TextBox 66"/>
          <xdr:cNvSpPr txBox="1"/>
        </xdr:nvSpPr>
        <xdr:spPr>
          <a:xfrm rot="2434733">
            <a:off x="4295188" y="83508539"/>
            <a:ext cx="114354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No.39</a:t>
            </a:r>
            <a:r>
              <a:rPr lang="en-IN" sz="1100" b="0" cap="none" spc="0" baseline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&amp; 40</a:t>
            </a:r>
            <a:endParaRPr lang="en-IN" sz="11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522"/>
  <sheetViews>
    <sheetView tabSelected="1" view="pageBreakPreview" topLeftCell="A122" zoomScaleNormal="100" zoomScaleSheetLayoutView="100" zoomScalePageLayoutView="70" workbookViewId="0">
      <selection activeCell="C128" sqref="C128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1796875" style="40" customWidth="1"/>
    <col min="5" max="7" width="11.7265625" style="40" customWidth="1"/>
    <col min="8" max="8" width="12.453125" style="40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10" ht="46.5" customHeight="1" x14ac:dyDescent="0.35">
      <c r="A1" s="184" t="s">
        <v>224</v>
      </c>
      <c r="B1" s="184"/>
      <c r="C1" s="184"/>
      <c r="D1" s="184"/>
      <c r="E1" s="184"/>
      <c r="F1" s="184"/>
      <c r="G1" s="184"/>
      <c r="H1" s="184"/>
    </row>
    <row r="2" spans="1:10" ht="16.5" customHeight="1" x14ac:dyDescent="0.35">
      <c r="A2" s="174" t="s">
        <v>0</v>
      </c>
      <c r="B2" s="174"/>
      <c r="C2" s="174"/>
      <c r="D2" s="174"/>
      <c r="E2" s="174"/>
      <c r="F2" s="174"/>
      <c r="G2" s="174"/>
      <c r="H2" s="174"/>
    </row>
    <row r="3" spans="1:10" x14ac:dyDescent="0.35">
      <c r="A3" s="173" t="s">
        <v>1</v>
      </c>
      <c r="B3" s="173"/>
      <c r="C3" s="173"/>
      <c r="D3" s="173"/>
      <c r="E3" s="173" t="str">
        <f ca="1">TEXT(TODAY(),"DD/MM/YYYY")</f>
        <v>05/10/2025</v>
      </c>
      <c r="F3" s="173"/>
      <c r="G3" s="173"/>
      <c r="H3" s="173"/>
    </row>
    <row r="4" spans="1:10" ht="15" customHeight="1" x14ac:dyDescent="0.35">
      <c r="A4" s="173" t="s">
        <v>2</v>
      </c>
      <c r="B4" s="173"/>
      <c r="C4" s="173"/>
      <c r="D4" s="173"/>
      <c r="E4" s="173" t="s">
        <v>165</v>
      </c>
      <c r="F4" s="173"/>
      <c r="G4" s="173"/>
      <c r="H4" s="173"/>
    </row>
    <row r="5" spans="1:10" x14ac:dyDescent="0.35">
      <c r="A5" s="173" t="s">
        <v>3</v>
      </c>
      <c r="B5" s="173"/>
      <c r="C5" s="173"/>
      <c r="D5" s="173"/>
      <c r="E5" s="182">
        <v>45919</v>
      </c>
      <c r="F5" s="173"/>
      <c r="G5" s="173"/>
      <c r="H5" s="173"/>
    </row>
    <row r="6" spans="1:10" ht="16.5" customHeight="1" x14ac:dyDescent="0.35">
      <c r="A6" s="173" t="s">
        <v>4</v>
      </c>
      <c r="B6" s="173"/>
      <c r="C6" s="173"/>
      <c r="D6" s="173"/>
      <c r="E6" s="173" t="s">
        <v>166</v>
      </c>
      <c r="F6" s="173"/>
      <c r="G6" s="173"/>
      <c r="H6" s="173"/>
    </row>
    <row r="7" spans="1:10" ht="15" customHeight="1" x14ac:dyDescent="0.35">
      <c r="A7" s="173" t="s">
        <v>5</v>
      </c>
      <c r="B7" s="173"/>
      <c r="C7" s="173"/>
      <c r="D7" s="173"/>
      <c r="E7" s="173" t="str">
        <f>E6</f>
        <v>Mayfair Housing</v>
      </c>
      <c r="F7" s="173"/>
      <c r="G7" s="173"/>
      <c r="H7" s="173"/>
    </row>
    <row r="8" spans="1:10" x14ac:dyDescent="0.35">
      <c r="A8" s="173" t="s">
        <v>6</v>
      </c>
      <c r="B8" s="173"/>
      <c r="C8" s="173"/>
      <c r="D8" s="173"/>
      <c r="E8" s="98" t="s">
        <v>225</v>
      </c>
      <c r="F8" s="98"/>
      <c r="G8" s="98"/>
      <c r="H8" s="98"/>
    </row>
    <row r="9" spans="1:10" x14ac:dyDescent="0.35">
      <c r="A9" s="173" t="s">
        <v>162</v>
      </c>
      <c r="B9" s="173"/>
      <c r="C9" s="173"/>
      <c r="D9" s="173"/>
      <c r="E9" s="173" t="s">
        <v>167</v>
      </c>
      <c r="F9" s="173"/>
      <c r="G9" s="173"/>
      <c r="H9" s="173"/>
    </row>
    <row r="10" spans="1:10" x14ac:dyDescent="0.35">
      <c r="A10" s="173" t="s">
        <v>163</v>
      </c>
      <c r="B10" s="173"/>
      <c r="C10" s="173"/>
      <c r="D10" s="173"/>
      <c r="E10" s="152" t="s">
        <v>248</v>
      </c>
      <c r="F10" s="173"/>
      <c r="G10" s="173"/>
      <c r="H10" s="173"/>
      <c r="J10" s="21" t="s">
        <v>236</v>
      </c>
    </row>
    <row r="11" spans="1:10" x14ac:dyDescent="0.35">
      <c r="A11" s="173" t="s">
        <v>7</v>
      </c>
      <c r="B11" s="173"/>
      <c r="C11" s="173"/>
      <c r="D11" s="173"/>
      <c r="E11" s="173" t="s">
        <v>168</v>
      </c>
      <c r="F11" s="173"/>
      <c r="G11" s="173"/>
      <c r="H11" s="173"/>
    </row>
    <row r="12" spans="1:10" x14ac:dyDescent="0.35">
      <c r="A12" s="159" t="s">
        <v>8</v>
      </c>
      <c r="B12" s="159"/>
      <c r="C12" s="159"/>
      <c r="D12" s="159"/>
      <c r="E12" s="152" t="s">
        <v>221</v>
      </c>
      <c r="F12" s="183"/>
      <c r="G12" s="183"/>
      <c r="H12" s="183"/>
    </row>
    <row r="13" spans="1:10" x14ac:dyDescent="0.35">
      <c r="A13" s="159" t="s">
        <v>9</v>
      </c>
      <c r="B13" s="159"/>
      <c r="C13" s="159"/>
      <c r="D13" s="159"/>
      <c r="E13" s="152" t="s">
        <v>169</v>
      </c>
      <c r="F13" s="173"/>
      <c r="G13" s="173"/>
      <c r="H13" s="173"/>
    </row>
    <row r="14" spans="1:10" ht="48.75" customHeight="1" x14ac:dyDescent="0.35">
      <c r="A14" s="180" t="s">
        <v>10</v>
      </c>
      <c r="B14" s="180"/>
      <c r="C14" s="180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Mayfair Virar Gardens Cluster VI, Survey No.211 to 246, S.No. 223 to 228, H.No. 11/1/3….. &amp; Others, near Zilla Parishad Marathi School Bolinj, Virar Agashi Road, Kharodi Naka, Bolinj, Virar (West), Vasai, Palghar - 401303.</v>
      </c>
      <c r="D14" s="180"/>
      <c r="E14" s="180"/>
      <c r="F14" s="180"/>
      <c r="G14" s="180"/>
      <c r="H14" s="180"/>
    </row>
    <row r="15" spans="1:10" x14ac:dyDescent="0.35">
      <c r="A15" s="152" t="s">
        <v>170</v>
      </c>
      <c r="B15" s="152"/>
      <c r="C15" s="152" t="s">
        <v>171</v>
      </c>
      <c r="D15" s="152"/>
      <c r="E15" s="152"/>
      <c r="F15" s="152"/>
      <c r="G15" s="152"/>
      <c r="H15" s="152"/>
    </row>
    <row r="16" spans="1:10" ht="15.75" customHeight="1" x14ac:dyDescent="0.35">
      <c r="A16" s="152" t="s">
        <v>161</v>
      </c>
      <c r="B16" s="152"/>
      <c r="C16" s="152" t="s">
        <v>180</v>
      </c>
      <c r="D16" s="152"/>
      <c r="E16" s="152"/>
      <c r="F16" s="152"/>
      <c r="G16" s="152"/>
      <c r="H16" s="152"/>
    </row>
    <row r="17" spans="1:8" ht="15.75" customHeight="1" x14ac:dyDescent="0.35">
      <c r="A17" s="180" t="s">
        <v>11</v>
      </c>
      <c r="B17" s="180"/>
      <c r="C17" s="173" t="s">
        <v>181</v>
      </c>
      <c r="D17" s="173"/>
      <c r="E17" s="180" t="s">
        <v>77</v>
      </c>
      <c r="F17" s="180"/>
      <c r="G17" s="152" t="s">
        <v>174</v>
      </c>
      <c r="H17" s="152"/>
    </row>
    <row r="18" spans="1:8" x14ac:dyDescent="0.35">
      <c r="A18" s="159" t="s">
        <v>13</v>
      </c>
      <c r="B18" s="159"/>
      <c r="C18" s="152" t="s">
        <v>182</v>
      </c>
      <c r="D18" s="152"/>
      <c r="E18" s="180" t="s">
        <v>12</v>
      </c>
      <c r="F18" s="180"/>
      <c r="G18" s="181" t="s">
        <v>172</v>
      </c>
      <c r="H18" s="181"/>
    </row>
    <row r="19" spans="1:8" x14ac:dyDescent="0.35">
      <c r="A19" s="159" t="s">
        <v>78</v>
      </c>
      <c r="B19" s="159"/>
      <c r="C19" s="152" t="s">
        <v>173</v>
      </c>
      <c r="D19" s="152"/>
      <c r="E19" s="180" t="s">
        <v>14</v>
      </c>
      <c r="F19" s="180"/>
      <c r="G19" s="152">
        <v>401303</v>
      </c>
      <c r="H19" s="152"/>
    </row>
    <row r="20" spans="1:8" ht="32.25" customHeight="1" x14ac:dyDescent="0.35">
      <c r="A20" s="159" t="s">
        <v>120</v>
      </c>
      <c r="B20" s="159"/>
      <c r="C20" s="152" t="s">
        <v>209</v>
      </c>
      <c r="D20" s="152"/>
      <c r="E20" s="180" t="s">
        <v>15</v>
      </c>
      <c r="F20" s="180"/>
      <c r="G20" s="152" t="s">
        <v>184</v>
      </c>
      <c r="H20" s="152"/>
    </row>
    <row r="21" spans="1:8" ht="15" customHeight="1" x14ac:dyDescent="0.35">
      <c r="A21" s="180" t="s">
        <v>80</v>
      </c>
      <c r="B21" s="180"/>
      <c r="C21" s="180"/>
      <c r="D21" s="180"/>
      <c r="E21" s="173" t="s">
        <v>16</v>
      </c>
      <c r="F21" s="173"/>
      <c r="G21" s="173"/>
      <c r="H21" s="173"/>
    </row>
    <row r="22" spans="1:8" ht="18.75" customHeight="1" x14ac:dyDescent="0.35">
      <c r="A22" s="180"/>
      <c r="B22" s="180"/>
      <c r="C22" s="180"/>
      <c r="D22" s="180"/>
      <c r="E22" s="173"/>
      <c r="F22" s="173"/>
      <c r="G22" s="173"/>
      <c r="H22" s="173"/>
    </row>
    <row r="23" spans="1:8" ht="15" customHeight="1" x14ac:dyDescent="0.35">
      <c r="A23" s="180" t="s">
        <v>17</v>
      </c>
      <c r="B23" s="180"/>
      <c r="C23" s="180"/>
      <c r="D23" s="180"/>
      <c r="E23" s="152" t="s">
        <v>18</v>
      </c>
      <c r="F23" s="152"/>
      <c r="G23" s="152"/>
      <c r="H23" s="152"/>
    </row>
    <row r="24" spans="1:8" ht="15" customHeight="1" x14ac:dyDescent="0.35">
      <c r="A24" s="159" t="s">
        <v>19</v>
      </c>
      <c r="B24" s="159"/>
      <c r="C24" s="159"/>
      <c r="D24" s="159"/>
      <c r="E24" s="152" t="str">
        <f>IF(AND(G18="Mumbai"),"Upper Class","Middle Class")</f>
        <v>Middle Class</v>
      </c>
      <c r="F24" s="152"/>
      <c r="G24" s="152"/>
      <c r="H24" s="152"/>
    </row>
    <row r="25" spans="1:8" x14ac:dyDescent="0.35">
      <c r="A25" s="159" t="s">
        <v>20</v>
      </c>
      <c r="B25" s="159"/>
      <c r="C25" s="159"/>
      <c r="D25" s="159"/>
      <c r="E25" s="152" t="s">
        <v>21</v>
      </c>
      <c r="F25" s="152"/>
      <c r="G25" s="152"/>
      <c r="H25" s="152"/>
    </row>
    <row r="26" spans="1:8" ht="15.75" customHeight="1" x14ac:dyDescent="0.35">
      <c r="A26" s="159" t="s">
        <v>22</v>
      </c>
      <c r="B26" s="159"/>
      <c r="C26" s="159"/>
      <c r="D26" s="159"/>
      <c r="E26" s="152" t="str">
        <f>IF(AND(G18="Mumbai"),"Developed","Developing")</f>
        <v>Developing</v>
      </c>
      <c r="F26" s="152"/>
      <c r="G26" s="152"/>
      <c r="H26" s="152"/>
    </row>
    <row r="27" spans="1:8" x14ac:dyDescent="0.35">
      <c r="A27" s="159" t="s">
        <v>23</v>
      </c>
      <c r="B27" s="159"/>
      <c r="C27" s="159"/>
      <c r="D27" s="159"/>
      <c r="E27" s="152" t="s">
        <v>24</v>
      </c>
      <c r="F27" s="152"/>
      <c r="G27" s="152"/>
      <c r="H27" s="152"/>
    </row>
    <row r="28" spans="1:8" ht="15.75" customHeight="1" x14ac:dyDescent="0.35">
      <c r="A28" s="159" t="s">
        <v>85</v>
      </c>
      <c r="B28" s="159"/>
      <c r="C28" s="159"/>
      <c r="D28" s="159"/>
      <c r="E28" s="152" t="s">
        <v>86</v>
      </c>
      <c r="F28" s="152"/>
      <c r="G28" s="152"/>
      <c r="H28" s="152"/>
    </row>
    <row r="29" spans="1:8" ht="15" customHeight="1" x14ac:dyDescent="0.35">
      <c r="A29" s="159" t="s">
        <v>35</v>
      </c>
      <c r="B29" s="159"/>
      <c r="C29" s="159"/>
      <c r="D29" s="159"/>
      <c r="E29" s="152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52"/>
      <c r="G29" s="152"/>
      <c r="H29" s="152"/>
    </row>
    <row r="30" spans="1:8" ht="15.75" customHeight="1" x14ac:dyDescent="0.35">
      <c r="A30" s="159" t="s">
        <v>97</v>
      </c>
      <c r="B30" s="159"/>
      <c r="C30" s="159"/>
      <c r="D30" s="159"/>
      <c r="E30" s="152" t="s">
        <v>36</v>
      </c>
      <c r="F30" s="152"/>
      <c r="G30" s="152"/>
      <c r="H30" s="152"/>
    </row>
    <row r="31" spans="1:8" s="22" customFormat="1" x14ac:dyDescent="0.35">
      <c r="A31" s="179" t="s">
        <v>98</v>
      </c>
      <c r="B31" s="179"/>
      <c r="C31" s="177" t="s">
        <v>29</v>
      </c>
      <c r="D31" s="177"/>
      <c r="E31" s="177"/>
      <c r="F31" s="177" t="s">
        <v>31</v>
      </c>
      <c r="G31" s="177"/>
      <c r="H31" s="177"/>
    </row>
    <row r="32" spans="1:8" s="22" customFormat="1" x14ac:dyDescent="0.35">
      <c r="A32" s="178" t="s">
        <v>25</v>
      </c>
      <c r="B32" s="178" t="s">
        <v>30</v>
      </c>
      <c r="C32" s="168" t="s">
        <v>30</v>
      </c>
      <c r="D32" s="168"/>
      <c r="E32" s="168"/>
      <c r="F32" s="168" t="s">
        <v>209</v>
      </c>
      <c r="G32" s="168"/>
      <c r="H32" s="168"/>
    </row>
    <row r="33" spans="1:8" x14ac:dyDescent="0.35">
      <c r="A33" s="178" t="s">
        <v>26</v>
      </c>
      <c r="B33" s="178" t="s">
        <v>30</v>
      </c>
      <c r="C33" s="168" t="s">
        <v>30</v>
      </c>
      <c r="D33" s="168"/>
      <c r="E33" s="168"/>
      <c r="F33" s="168" t="s">
        <v>210</v>
      </c>
      <c r="G33" s="168"/>
      <c r="H33" s="168"/>
    </row>
    <row r="34" spans="1:8" s="22" customFormat="1" x14ac:dyDescent="0.35">
      <c r="A34" s="178" t="s">
        <v>28</v>
      </c>
      <c r="B34" s="178" t="s">
        <v>30</v>
      </c>
      <c r="C34" s="168" t="s">
        <v>30</v>
      </c>
      <c r="D34" s="168"/>
      <c r="E34" s="168"/>
      <c r="F34" s="168" t="s">
        <v>183</v>
      </c>
      <c r="G34" s="168"/>
      <c r="H34" s="168"/>
    </row>
    <row r="35" spans="1:8" x14ac:dyDescent="0.35">
      <c r="A35" s="178" t="s">
        <v>27</v>
      </c>
      <c r="B35" s="178" t="s">
        <v>30</v>
      </c>
      <c r="C35" s="168" t="s">
        <v>30</v>
      </c>
      <c r="D35" s="168"/>
      <c r="E35" s="168"/>
      <c r="F35" s="168" t="s">
        <v>211</v>
      </c>
      <c r="G35" s="168"/>
      <c r="H35" s="168"/>
    </row>
    <row r="36" spans="1:8" x14ac:dyDescent="0.35">
      <c r="A36" s="159" t="s">
        <v>32</v>
      </c>
      <c r="B36" s="159"/>
      <c r="C36" s="159"/>
      <c r="D36" s="159"/>
      <c r="E36" s="159"/>
      <c r="F36" s="159"/>
      <c r="G36" s="159"/>
      <c r="H36" s="159"/>
    </row>
    <row r="37" spans="1:8" ht="15.75" customHeight="1" x14ac:dyDescent="0.35">
      <c r="A37" s="174" t="s">
        <v>33</v>
      </c>
      <c r="B37" s="174"/>
      <c r="C37" s="175">
        <v>19.443743900000001</v>
      </c>
      <c r="D37" s="175"/>
      <c r="E37" s="174" t="s">
        <v>34</v>
      </c>
      <c r="F37" s="174"/>
      <c r="G37" s="176">
        <v>72.800466299999997</v>
      </c>
      <c r="H37" s="176"/>
    </row>
    <row r="38" spans="1:8" x14ac:dyDescent="0.35">
      <c r="A38" s="174" t="s">
        <v>160</v>
      </c>
      <c r="B38" s="174"/>
      <c r="C38" s="151" t="s">
        <v>247</v>
      </c>
      <c r="D38" s="152"/>
      <c r="E38" s="152"/>
      <c r="F38" s="152"/>
      <c r="G38" s="152"/>
      <c r="H38" s="152"/>
    </row>
    <row r="39" spans="1:8" x14ac:dyDescent="0.35">
      <c r="A39" s="169" t="s">
        <v>37</v>
      </c>
      <c r="B39" s="169"/>
      <c r="C39" s="169"/>
      <c r="D39" s="169"/>
      <c r="E39" s="169"/>
      <c r="F39" s="169"/>
      <c r="G39" s="169"/>
      <c r="H39" s="169"/>
    </row>
    <row r="40" spans="1:8" x14ac:dyDescent="0.35">
      <c r="A40" s="159" t="s">
        <v>38</v>
      </c>
      <c r="B40" s="159"/>
      <c r="C40" s="159"/>
      <c r="D40" s="159"/>
      <c r="E40" s="167">
        <v>69093.320000000007</v>
      </c>
      <c r="F40" s="167"/>
      <c r="G40" s="167"/>
      <c r="H40" s="167"/>
    </row>
    <row r="41" spans="1:8" x14ac:dyDescent="0.35">
      <c r="A41" s="159" t="s">
        <v>39</v>
      </c>
      <c r="B41" s="159"/>
      <c r="C41" s="159"/>
      <c r="D41" s="159"/>
      <c r="E41" s="171">
        <v>1.1000000000000001</v>
      </c>
      <c r="F41" s="171"/>
      <c r="G41" s="171"/>
      <c r="H41" s="171"/>
    </row>
    <row r="42" spans="1:8" x14ac:dyDescent="0.35">
      <c r="A42" s="159" t="s">
        <v>40</v>
      </c>
      <c r="B42" s="159"/>
      <c r="C42" s="159"/>
      <c r="D42" s="159"/>
      <c r="E42" s="171">
        <f>E44/E40-E41</f>
        <v>2.3747225925747952</v>
      </c>
      <c r="F42" s="171"/>
      <c r="G42" s="171"/>
      <c r="H42" s="171"/>
    </row>
    <row r="43" spans="1:8" x14ac:dyDescent="0.35">
      <c r="A43" s="159" t="s">
        <v>41</v>
      </c>
      <c r="B43" s="159"/>
      <c r="C43" s="159"/>
      <c r="D43" s="159"/>
      <c r="E43" s="171">
        <f>E41+E42</f>
        <v>3.4747225925747953</v>
      </c>
      <c r="F43" s="171"/>
      <c r="G43" s="171"/>
      <c r="H43" s="171"/>
    </row>
    <row r="44" spans="1:8" x14ac:dyDescent="0.35">
      <c r="A44" s="159" t="s">
        <v>96</v>
      </c>
      <c r="B44" s="159"/>
      <c r="C44" s="159"/>
      <c r="D44" s="159"/>
      <c r="E44" s="172">
        <v>240080.12</v>
      </c>
      <c r="F44" s="172"/>
      <c r="G44" s="172"/>
      <c r="H44" s="172"/>
    </row>
    <row r="45" spans="1:8" x14ac:dyDescent="0.35">
      <c r="A45" s="173" t="s">
        <v>42</v>
      </c>
      <c r="B45" s="173"/>
      <c r="C45" s="173"/>
      <c r="D45" s="173"/>
      <c r="E45" s="173" t="s">
        <v>179</v>
      </c>
      <c r="F45" s="173"/>
      <c r="G45" s="173"/>
      <c r="H45" s="173"/>
    </row>
    <row r="46" spans="1:8" x14ac:dyDescent="0.35">
      <c r="A46" s="169" t="s">
        <v>43</v>
      </c>
      <c r="B46" s="169"/>
      <c r="C46" s="169"/>
      <c r="D46" s="169"/>
      <c r="E46" s="169"/>
      <c r="F46" s="169"/>
      <c r="G46" s="169"/>
      <c r="H46" s="169"/>
    </row>
    <row r="47" spans="1:8" ht="33.75" customHeight="1" x14ac:dyDescent="0.35">
      <c r="A47" s="153" t="s">
        <v>148</v>
      </c>
      <c r="B47" s="154"/>
      <c r="C47" s="155" t="s">
        <v>175</v>
      </c>
      <c r="D47" s="156"/>
      <c r="E47" s="156"/>
      <c r="F47" s="156"/>
      <c r="G47" s="156"/>
      <c r="H47" s="157"/>
    </row>
    <row r="48" spans="1:8" ht="31.5" customHeight="1" x14ac:dyDescent="0.35">
      <c r="A48" s="153" t="s">
        <v>44</v>
      </c>
      <c r="B48" s="154"/>
      <c r="C48" s="153" t="s">
        <v>176</v>
      </c>
      <c r="D48" s="206"/>
      <c r="E48" s="154"/>
      <c r="F48" s="18" t="s">
        <v>45</v>
      </c>
      <c r="G48" s="191">
        <v>44566</v>
      </c>
      <c r="H48" s="154"/>
    </row>
    <row r="49" spans="1:14" ht="31.5" customHeight="1" x14ac:dyDescent="0.35">
      <c r="A49" s="153" t="s">
        <v>46</v>
      </c>
      <c r="B49" s="154"/>
      <c r="C49" s="153" t="str">
        <f>C48</f>
        <v>VVCMC/TP/AMEND/VP/0278/814/2021-22</v>
      </c>
      <c r="D49" s="206"/>
      <c r="E49" s="154"/>
      <c r="F49" s="18" t="s">
        <v>45</v>
      </c>
      <c r="G49" s="191">
        <f>G48</f>
        <v>44566</v>
      </c>
      <c r="H49" s="192"/>
    </row>
    <row r="50" spans="1:14" s="23" customFormat="1" ht="15.75" customHeight="1" x14ac:dyDescent="0.35">
      <c r="A50" s="193" t="s">
        <v>152</v>
      </c>
      <c r="B50" s="194"/>
      <c r="C50" s="153" t="s">
        <v>177</v>
      </c>
      <c r="D50" s="206"/>
      <c r="E50" s="154"/>
      <c r="F50" s="18" t="s">
        <v>45</v>
      </c>
      <c r="G50" s="191">
        <f>G49</f>
        <v>44566</v>
      </c>
      <c r="H50" s="192"/>
    </row>
    <row r="51" spans="1:14" s="23" customFormat="1" x14ac:dyDescent="0.35">
      <c r="A51" s="195"/>
      <c r="B51" s="196"/>
      <c r="C51" s="153" t="s">
        <v>231</v>
      </c>
      <c r="D51" s="206"/>
      <c r="E51" s="206"/>
      <c r="F51" s="206"/>
      <c r="G51" s="206"/>
      <c r="H51" s="154"/>
    </row>
    <row r="52" spans="1:14" ht="123.5" customHeight="1" x14ac:dyDescent="0.35">
      <c r="A52" s="207" t="s">
        <v>47</v>
      </c>
      <c r="B52" s="208"/>
      <c r="C52" s="207" t="s">
        <v>249</v>
      </c>
      <c r="D52" s="209"/>
      <c r="E52" s="208"/>
      <c r="F52" s="45" t="s">
        <v>45</v>
      </c>
      <c r="G52" s="219">
        <v>45799</v>
      </c>
      <c r="H52" s="220"/>
    </row>
    <row r="53" spans="1:14" x14ac:dyDescent="0.35">
      <c r="A53" s="199" t="s">
        <v>49</v>
      </c>
      <c r="B53" s="199"/>
      <c r="C53" s="199"/>
      <c r="D53" s="199"/>
      <c r="E53" s="199"/>
      <c r="F53" s="199"/>
      <c r="G53" s="199"/>
      <c r="H53" s="199"/>
    </row>
    <row r="54" spans="1:14" x14ac:dyDescent="0.35">
      <c r="A54" s="180" t="s">
        <v>95</v>
      </c>
      <c r="B54" s="180"/>
      <c r="C54" s="180"/>
      <c r="D54" s="159">
        <f>E44</f>
        <v>240080.12</v>
      </c>
      <c r="E54" s="159"/>
      <c r="F54" s="159"/>
      <c r="G54" s="159"/>
      <c r="H54" s="159"/>
    </row>
    <row r="55" spans="1:14" x14ac:dyDescent="0.35">
      <c r="A55" s="152" t="s">
        <v>50</v>
      </c>
      <c r="B55" s="173"/>
      <c r="C55" s="173"/>
      <c r="D55" s="173" t="s">
        <v>201</v>
      </c>
      <c r="E55" s="173"/>
      <c r="F55" s="173"/>
      <c r="G55" s="173"/>
      <c r="H55" s="173"/>
      <c r="I55" s="24"/>
    </row>
    <row r="56" spans="1:14" x14ac:dyDescent="0.35">
      <c r="A56" s="188" t="s">
        <v>51</v>
      </c>
      <c r="B56" s="189"/>
      <c r="C56" s="190"/>
      <c r="D56" s="185" t="s">
        <v>231</v>
      </c>
      <c r="E56" s="186"/>
      <c r="F56" s="186"/>
      <c r="G56" s="186"/>
      <c r="H56" s="187"/>
    </row>
    <row r="57" spans="1:14" ht="15.75" customHeight="1" x14ac:dyDescent="0.35">
      <c r="A57" s="188" t="s">
        <v>93</v>
      </c>
      <c r="B57" s="189"/>
      <c r="C57" s="189"/>
      <c r="D57" s="185" t="s">
        <v>231</v>
      </c>
      <c r="E57" s="186"/>
      <c r="F57" s="186"/>
      <c r="G57" s="186"/>
      <c r="H57" s="187"/>
    </row>
    <row r="58" spans="1:14" ht="15.75" customHeight="1" x14ac:dyDescent="0.35">
      <c r="A58" s="159" t="s">
        <v>48</v>
      </c>
      <c r="B58" s="159"/>
      <c r="C58" s="159"/>
      <c r="D58" s="170" t="s">
        <v>178</v>
      </c>
      <c r="E58" s="170"/>
      <c r="F58" s="170"/>
      <c r="G58" s="170"/>
      <c r="H58" s="170"/>
      <c r="J58" s="25"/>
      <c r="K58" s="24"/>
      <c r="N58" s="24"/>
    </row>
    <row r="59" spans="1:14" ht="15.75" customHeight="1" x14ac:dyDescent="0.35">
      <c r="A59" s="159" t="s">
        <v>91</v>
      </c>
      <c r="B59" s="159"/>
      <c r="C59" s="159"/>
      <c r="D59" s="84" t="s">
        <v>250</v>
      </c>
      <c r="E59" s="84"/>
      <c r="F59" s="84"/>
      <c r="G59" s="84"/>
      <c r="H59" s="84"/>
      <c r="I59" s="84" t="str">
        <f>(IF(L52="NA","60 Years After Completion",IF(L52&lt;&gt;"NA",""&amp;60-ROUNDDOWN((J3-L52)/360,0)&amp;" Years"," ")))</f>
        <v>60 Years</v>
      </c>
      <c r="J59" s="84"/>
      <c r="K59" s="84"/>
      <c r="L59" s="84"/>
      <c r="M59" s="84"/>
      <c r="N59" s="24"/>
    </row>
    <row r="60" spans="1:14" ht="15.75" customHeight="1" x14ac:dyDescent="0.35">
      <c r="A60" s="159" t="s">
        <v>92</v>
      </c>
      <c r="B60" s="159"/>
      <c r="C60" s="159"/>
      <c r="D60" s="180" t="s">
        <v>24</v>
      </c>
      <c r="E60" s="180"/>
      <c r="F60" s="180"/>
      <c r="G60" s="180"/>
      <c r="H60" s="180"/>
      <c r="J60" s="26"/>
      <c r="K60" s="26"/>
    </row>
    <row r="61" spans="1:14" ht="32.15" customHeight="1" x14ac:dyDescent="0.35">
      <c r="A61" s="159" t="s">
        <v>79</v>
      </c>
      <c r="B61" s="159"/>
      <c r="C61" s="159"/>
      <c r="D61" s="152" t="s">
        <v>222</v>
      </c>
      <c r="E61" s="180"/>
      <c r="F61" s="180"/>
      <c r="G61" s="180"/>
      <c r="H61" s="180"/>
    </row>
    <row r="62" spans="1:14" x14ac:dyDescent="0.35">
      <c r="A62" s="180" t="s">
        <v>145</v>
      </c>
      <c r="B62" s="180"/>
      <c r="C62" s="180"/>
      <c r="D62" s="180" t="s">
        <v>30</v>
      </c>
      <c r="E62" s="180"/>
      <c r="F62" s="180"/>
      <c r="G62" s="180"/>
      <c r="H62" s="180"/>
      <c r="I62" s="27"/>
      <c r="J62" s="27"/>
      <c r="K62" s="27"/>
      <c r="L62" s="27"/>
      <c r="M62" s="27"/>
      <c r="N62" s="27"/>
    </row>
    <row r="63" spans="1:14" ht="15.75" customHeight="1" x14ac:dyDescent="0.35">
      <c r="A63" s="159" t="s">
        <v>90</v>
      </c>
      <c r="B63" s="159"/>
      <c r="C63" s="159"/>
      <c r="D63" s="152" t="str">
        <f ca="1">(IF(G83&gt;95%,"Nothing",IF(G83&gt;0%,"Cement, Aggregate, Steel, etc",IF(G83=0%,"Work not yet Started"))))</f>
        <v>Cement, Aggregate, Steel, etc</v>
      </c>
      <c r="E63" s="152"/>
      <c r="F63" s="152"/>
      <c r="G63" s="152"/>
      <c r="H63" s="152"/>
      <c r="I63" s="21" t="s">
        <v>242</v>
      </c>
      <c r="J63" s="26"/>
    </row>
    <row r="64" spans="1:14" ht="33.75" customHeight="1" thickBot="1" x14ac:dyDescent="0.4">
      <c r="A64" s="180" t="s">
        <v>117</v>
      </c>
      <c r="B64" s="180"/>
      <c r="C64" s="180"/>
      <c r="D64" s="152" t="str">
        <f ca="1">(IF(D63="Nothing","Yes",IF(D63="Cement, Aggregate, Steel, etc","Under Construction",IF(D63="Work not yet Started","Work not yet Started"))))</f>
        <v>Under Construction</v>
      </c>
      <c r="E64" s="152"/>
      <c r="F64" s="152" t="str">
        <f ca="1">(IF(D63="Nothing","Yes",IF(D63="Cement, Aggregate, Steel, etc","Under Construction",IF(D63="Work not yet Started","Work not yet Started"))))</f>
        <v>Under Construction</v>
      </c>
      <c r="G64" s="152"/>
      <c r="H64" s="152"/>
    </row>
    <row r="65" spans="1:10" ht="32.25" customHeight="1" x14ac:dyDescent="0.35">
      <c r="A65" s="116" t="s">
        <v>230</v>
      </c>
      <c r="B65" s="116"/>
      <c r="C65" s="116" t="s">
        <v>232</v>
      </c>
      <c r="D65" s="116"/>
      <c r="E65" s="116"/>
      <c r="F65" s="116"/>
      <c r="G65" s="116"/>
      <c r="H65" s="116"/>
      <c r="I65" s="72" t="str">
        <f ca="1">IF(D78=100%,"All work Completed. Possession granted to the Building.",IF(D77=100%,"All work Completed, Waiting for OC",I66&amp;""&amp;I67&amp;""&amp;J66&amp;""&amp;J65&amp;" "&amp;J67))</f>
        <v>Excavation, Plinth Completed, RCC upto 22 Slab, Brickwork upto 21 Floor, Internal Plaster upto 15.75 Floor, External Plaster upto 15.75 Floor Completed</v>
      </c>
      <c r="J65" s="50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RCC upto 22 Slab, Brickwork upto 21 Floor, Internal Plaster upto 15.75 Floor, External Plaster upto 15.75 Floor</v>
      </c>
    </row>
    <row r="66" spans="1:10" x14ac:dyDescent="0.35">
      <c r="A66" s="70" t="s">
        <v>139</v>
      </c>
      <c r="B66" s="70">
        <v>0</v>
      </c>
      <c r="C66" s="70" t="s">
        <v>76</v>
      </c>
      <c r="D66" s="70">
        <v>1</v>
      </c>
      <c r="E66" s="70" t="s">
        <v>75</v>
      </c>
      <c r="F66" s="70">
        <v>0</v>
      </c>
      <c r="G66" s="71" t="s">
        <v>84</v>
      </c>
      <c r="H66" s="70">
        <f ca="1">--TRIM(RIGHT(SUBSTITUTE(LEFT(C65,_xlfn.AGGREGATE(16,6,FIND({0,1,2,3,4,5,6,7,8,9},C65,ROW(INDIRECT("1:"&amp;LEN(C65)))),1))," ",REPT(" ",LEN(C65))),LEN(C65)))</f>
        <v>22</v>
      </c>
      <c r="I66" s="76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</v>
      </c>
      <c r="J66" s="52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3" customHeight="1" x14ac:dyDescent="0.35">
      <c r="A67" s="98" t="s">
        <v>94</v>
      </c>
      <c r="B67" s="98"/>
      <c r="C67" s="99" t="str">
        <f ca="1">I65</f>
        <v>Excavation, Plinth Completed, RCC upto 22 Slab, Brickwork upto 21 Floor, Internal Plaster upto 15.75 Floor, External Plaster upto 15.75 Floor Completed</v>
      </c>
      <c r="D67" s="99"/>
      <c r="E67" s="99"/>
      <c r="F67" s="99"/>
      <c r="G67" s="99"/>
      <c r="H67" s="99"/>
      <c r="I67" s="76" t="str">
        <f ca="1">IF(I66&lt;&gt;""," Completed","")</f>
        <v xml:space="preserve"> Completed</v>
      </c>
      <c r="J67" s="52" t="str">
        <f ca="1">IF(J65&lt;&gt;"","Completed","")</f>
        <v>Completed</v>
      </c>
    </row>
    <row r="68" spans="1:10" ht="15.75" customHeight="1" x14ac:dyDescent="0.35">
      <c r="A68" s="102" t="s">
        <v>52</v>
      </c>
      <c r="B68" s="102"/>
      <c r="C68" s="69" t="s">
        <v>137</v>
      </c>
      <c r="D68" s="69" t="s">
        <v>87</v>
      </c>
      <c r="E68" s="102" t="s">
        <v>89</v>
      </c>
      <c r="F68" s="102"/>
      <c r="G68" s="102" t="s">
        <v>88</v>
      </c>
      <c r="H68" s="102"/>
      <c r="I68" s="14" t="s">
        <v>138</v>
      </c>
      <c r="J68" s="28">
        <f ca="1">H66*25%</f>
        <v>5.5</v>
      </c>
    </row>
    <row r="69" spans="1:10" x14ac:dyDescent="0.35">
      <c r="A69" s="102" t="s">
        <v>126</v>
      </c>
      <c r="B69" s="102"/>
      <c r="C69" s="69">
        <f ca="1">J70</f>
        <v>22</v>
      </c>
      <c r="D69" s="19">
        <f ca="1">((100/H66)*C69)/100</f>
        <v>1.0000000000000002</v>
      </c>
      <c r="E69" s="117">
        <f ca="1">(((C70/H66*10)+(40/(D66+F66+H66)*C71)+(7.5/(H66)*C72)+(7.5/(H66)*C73)+(10/H66*C74)+(10/H66*C75)+(5/H66*C76)+(5/H66*C77)+(5/H66*C78))/100)</f>
        <v>0.67948369565217392</v>
      </c>
      <c r="F69" s="117"/>
      <c r="G69" s="117">
        <f ca="1">((((C69/H66)*20)+((C70/H66)*25)+(30/(H66+F66+D66)*C71)+(5/H66*C72)+(5/H66*C73)+(5/H66*C74)+(5/H66*C75)+(0/H66*C76)+(0/H66*C77)+(5/H66*C78))/100)</f>
        <v>0.85627470355731217</v>
      </c>
      <c r="H69" s="117"/>
      <c r="I69" s="14" t="s">
        <v>100</v>
      </c>
      <c r="J69" s="29">
        <f ca="1">H66*50%</f>
        <v>11</v>
      </c>
    </row>
    <row r="70" spans="1:10" x14ac:dyDescent="0.35">
      <c r="A70" s="102" t="s">
        <v>53</v>
      </c>
      <c r="B70" s="102"/>
      <c r="C70" s="56">
        <f ca="1">J78</f>
        <v>22</v>
      </c>
      <c r="D70" s="19">
        <f ca="1">((100/H66)*C70)/100</f>
        <v>1.0000000000000002</v>
      </c>
      <c r="E70" s="117"/>
      <c r="F70" s="117"/>
      <c r="G70" s="117"/>
      <c r="H70" s="117"/>
      <c r="I70" s="14" t="s">
        <v>101</v>
      </c>
      <c r="J70" s="29">
        <f ca="1">H66</f>
        <v>22</v>
      </c>
    </row>
    <row r="71" spans="1:10" ht="15.75" customHeight="1" x14ac:dyDescent="0.35">
      <c r="A71" s="102" t="s">
        <v>127</v>
      </c>
      <c r="B71" s="102"/>
      <c r="C71" s="69">
        <v>22</v>
      </c>
      <c r="D71" s="19">
        <f ca="1">((100/(D66+F66+H66))*C71)/100</f>
        <v>0.9565217391304347</v>
      </c>
      <c r="E71" s="117"/>
      <c r="F71" s="117"/>
      <c r="G71" s="117"/>
      <c r="H71" s="117"/>
      <c r="I71" s="14" t="s">
        <v>102</v>
      </c>
      <c r="J71" s="30">
        <f ca="1">(IF(B66&gt;1,(H66/(B66+2)),H66/4))</f>
        <v>5.5</v>
      </c>
    </row>
    <row r="72" spans="1:10" ht="15.75" customHeight="1" x14ac:dyDescent="0.35">
      <c r="A72" s="102" t="s">
        <v>134</v>
      </c>
      <c r="B72" s="102" t="s">
        <v>128</v>
      </c>
      <c r="C72" s="69">
        <f>C71-1</f>
        <v>21</v>
      </c>
      <c r="D72" s="19">
        <f ca="1">((100/H66)*C72)/100</f>
        <v>0.9545454545454547</v>
      </c>
      <c r="E72" s="117"/>
      <c r="F72" s="117"/>
      <c r="G72" s="117"/>
      <c r="H72" s="117"/>
      <c r="I72" s="14" t="s">
        <v>103</v>
      </c>
      <c r="J72" s="30">
        <f ca="1">(IF(B66&gt;1,(H66/(B66+2)+J71),H66/4+J71))</f>
        <v>11</v>
      </c>
    </row>
    <row r="73" spans="1:10" ht="15.75" customHeight="1" x14ac:dyDescent="0.35">
      <c r="A73" s="102" t="s">
        <v>135</v>
      </c>
      <c r="B73" s="102" t="s">
        <v>128</v>
      </c>
      <c r="C73" s="56">
        <f>C72*0.75</f>
        <v>15.75</v>
      </c>
      <c r="D73" s="19">
        <f ca="1">((100/H66)*C73)/100</f>
        <v>0.71590909090909094</v>
      </c>
      <c r="E73" s="117"/>
      <c r="F73" s="117"/>
      <c r="G73" s="117"/>
      <c r="H73" s="117"/>
      <c r="I73" s="14" t="s">
        <v>143</v>
      </c>
      <c r="J73" s="30">
        <f>(IF(B66&gt;1,(H66/(B66+2)+J72),0))</f>
        <v>0</v>
      </c>
    </row>
    <row r="74" spans="1:10" ht="15" customHeight="1" x14ac:dyDescent="0.35">
      <c r="A74" s="102" t="s">
        <v>133</v>
      </c>
      <c r="B74" s="102" t="s">
        <v>130</v>
      </c>
      <c r="C74" s="56">
        <f>C73</f>
        <v>15.75</v>
      </c>
      <c r="D74" s="19">
        <f ca="1">((100/(H66))*C74)/100</f>
        <v>0.71590909090909094</v>
      </c>
      <c r="E74" s="117"/>
      <c r="F74" s="117"/>
      <c r="G74" s="117"/>
      <c r="H74" s="117"/>
      <c r="I74" s="14" t="s">
        <v>140</v>
      </c>
      <c r="J74" s="30">
        <f>(IF(B66&gt;2,(H66/(B66+2)+J73),0))</f>
        <v>0</v>
      </c>
    </row>
    <row r="75" spans="1:10" ht="15.75" customHeight="1" x14ac:dyDescent="0.35">
      <c r="A75" s="102" t="s">
        <v>129</v>
      </c>
      <c r="B75" s="102" t="s">
        <v>129</v>
      </c>
      <c r="C75" s="69">
        <v>0</v>
      </c>
      <c r="D75" s="19">
        <f ca="1">((100/H66)*C75)/100</f>
        <v>0</v>
      </c>
      <c r="E75" s="117"/>
      <c r="F75" s="117"/>
      <c r="G75" s="117"/>
      <c r="H75" s="117"/>
      <c r="I75" s="14" t="s">
        <v>141</v>
      </c>
      <c r="J75" s="31">
        <f>(IF(B66&gt;3,(H66/(B66+2)+J74),0))</f>
        <v>0</v>
      </c>
    </row>
    <row r="76" spans="1:10" ht="15.75" customHeight="1" x14ac:dyDescent="0.35">
      <c r="A76" s="102" t="s">
        <v>136</v>
      </c>
      <c r="B76" s="102"/>
      <c r="C76" s="69">
        <v>0</v>
      </c>
      <c r="D76" s="19">
        <f ca="1">((100/H66)*C76)/100</f>
        <v>0</v>
      </c>
      <c r="E76" s="117"/>
      <c r="F76" s="117"/>
      <c r="G76" s="117"/>
      <c r="H76" s="117"/>
      <c r="I76" s="14" t="s">
        <v>142</v>
      </c>
      <c r="J76" s="30">
        <f>(IF(B66&gt;4,(H66/(B66+2)+J75),0))</f>
        <v>0</v>
      </c>
    </row>
    <row r="77" spans="1:10" ht="15.75" customHeight="1" x14ac:dyDescent="0.35">
      <c r="A77" s="102" t="s">
        <v>131</v>
      </c>
      <c r="B77" s="102" t="s">
        <v>131</v>
      </c>
      <c r="C77" s="69">
        <v>0</v>
      </c>
      <c r="D77" s="19">
        <f ca="1">((100/(H66))*C77)/100</f>
        <v>0</v>
      </c>
      <c r="E77" s="117"/>
      <c r="F77" s="117"/>
      <c r="G77" s="117"/>
      <c r="H77" s="117"/>
      <c r="I77" s="14" t="s">
        <v>144</v>
      </c>
      <c r="J77" s="30">
        <f ca="1">(IF(B66=1,(H66/(B66+3)+J72),IF(B66=0,(H66/4+J72),IF(B66&gt;1,0))))</f>
        <v>16.5</v>
      </c>
    </row>
    <row r="78" spans="1:10" ht="16" thickBot="1" x14ac:dyDescent="0.4">
      <c r="A78" s="102" t="s">
        <v>132</v>
      </c>
      <c r="B78" s="102"/>
      <c r="C78" s="69">
        <v>0</v>
      </c>
      <c r="D78" s="19">
        <f ca="1">((100/(H66))*C78)/100</f>
        <v>0</v>
      </c>
      <c r="E78" s="117"/>
      <c r="F78" s="117"/>
      <c r="G78" s="117"/>
      <c r="H78" s="117"/>
      <c r="I78" s="15" t="s">
        <v>104</v>
      </c>
      <c r="J78" s="32">
        <f ca="1">(IF(B66&gt;1.5,(H66/(B66+2)+J72+MAX(0,J73-J72)+MAX(0,J74-J73)+MAX(0,J75-J74)+MAX(0,J76-J75)+MAX(0,J77-J76)),IF(B66=1,(H66/(B66+3)+J77),IF(B66=0,H66/4+J77))))</f>
        <v>22</v>
      </c>
    </row>
    <row r="79" spans="1:10" ht="33.75" customHeight="1" x14ac:dyDescent="0.35">
      <c r="A79" s="92" t="s">
        <v>230</v>
      </c>
      <c r="B79" s="93"/>
      <c r="C79" s="94" t="s">
        <v>233</v>
      </c>
      <c r="D79" s="95"/>
      <c r="E79" s="95"/>
      <c r="F79" s="95"/>
      <c r="G79" s="95"/>
      <c r="H79" s="96"/>
      <c r="I79" s="49" t="str">
        <f ca="1">IF(D92=100%,"All work Completed. Possession granted to the Building.",IF(D91=100%,"All work Completed, Waiting for OC",I80&amp;""&amp;I81&amp;""&amp;J80&amp;""&amp;J79&amp;" "&amp;J81))</f>
        <v>Excavation, Plinth Completed, RCC upto 18 Slab, Brickwork upto 17 Floor, Internal Plaster upto 12.75 Floor, External Plaster upto 12.75 Floor Completed</v>
      </c>
      <c r="J79" s="50" t="str">
        <f ca="1">(IF(C85=(D80+F80+H80),"",IF(C85&gt;0,", RCC upto "&amp;C85&amp;" Slab","")))&amp;(IF(C86=H80,"",IF(C86&gt;0,", Brickwork upto "&amp;C86&amp;" Floor","")))&amp;(IF(C87=H80,"",IF(C87&gt;0,", Internal Plaster upto "&amp;C87&amp;" Floor","")))&amp;(IF(C88=H80,"",IF(C88&gt;0,", External Plaster upto "&amp;C88&amp;" Floor","")))&amp;(IF(C89=H80,"",IF(C89&gt;0,", Flooring upto "&amp;C89&amp;" Floor","")))&amp;(IF(C90=H80,"",IF(C90&gt;0,", Painting upto "&amp;C90&amp;" Floor","")))&amp;(IF(C91=H80,"",IF(C91&gt;0,", Finishing upto "&amp;C91&amp;" Floor","")))&amp;(IF(C92=H80,"",IF(C92&gt;0,", Possession upto "&amp;C92&amp;" Floor","")))</f>
        <v>, RCC upto 18 Slab, Brickwork upto 17 Floor, Internal Plaster upto 12.75 Floor, External Plaster upto 12.75 Floor</v>
      </c>
    </row>
    <row r="80" spans="1:10" x14ac:dyDescent="0.35">
      <c r="A80" s="16" t="s">
        <v>139</v>
      </c>
      <c r="B80" s="47">
        <v>0</v>
      </c>
      <c r="C80" s="47" t="s">
        <v>76</v>
      </c>
      <c r="D80" s="47">
        <v>1</v>
      </c>
      <c r="E80" s="47" t="s">
        <v>75</v>
      </c>
      <c r="F80" s="47">
        <v>0</v>
      </c>
      <c r="G80" s="48" t="s">
        <v>84</v>
      </c>
      <c r="H80" s="17">
        <f ca="1">--TRIM(RIGHT(SUBSTITUTE(LEFT(C79,_xlfn.AGGREGATE(16,6,FIND({0,1,2,3,4,5,6,7,8,9},C79,ROW(INDIRECT("1:"&amp;LEN(C79)))),1))," ",REPT(" ",LEN(C79))),LEN(C79)))</f>
        <v>22</v>
      </c>
      <c r="I80" s="51" t="str">
        <f ca="1">IF(D83=100%,"Excavation","")&amp;IF(D84=100%,", Plinth","")&amp;IF(D85=100%,", RCC Slab","")&amp;IF(D86=100%,", Brickwork","")&amp;IF(D87=100%,", Internal Plaster","")&amp;IF(D88=100%,", External Plaster","")&amp;IF(D89=100%,", Flooring","")&amp;IF(D90=100%,", Painting","")&amp;IF(D91=100%,", Building common Amenities","")</f>
        <v>Excavation, Plinth</v>
      </c>
      <c r="J80" s="52" t="str">
        <f ca="1">(IF(C83=0,"Work not yet Started.",IF(D83=25%,"Piling work in process",IF(D83=50%,"Excavation work in process",IF(D83=100%,"","0")))))&amp;(IF(C84=0%,"",IF(C84=J85,", Footing work is process",IF(C84=J86,", Footing work Completed",IF(C84=J87,", 1st Basement Completed",IF(C84=J88,", 1st &amp; 2nd Basement Completed",IF(C84=J89,", 1st to 3rd Basement Completed",IF(C84=J90,", 1st to 4th Basement Completed",IF(C84=J91,", Plinth work is process",IF(C84=J92,"","0"))))))))))</f>
        <v/>
      </c>
    </row>
    <row r="81" spans="1:10" ht="30.75" customHeight="1" x14ac:dyDescent="0.35">
      <c r="A81" s="97" t="s">
        <v>94</v>
      </c>
      <c r="B81" s="98"/>
      <c r="C81" s="99" t="str">
        <f ca="1">I79</f>
        <v>Excavation, Plinth Completed, RCC upto 18 Slab, Brickwork upto 17 Floor, Internal Plaster upto 12.75 Floor, External Plaster upto 12.75 Floor Completed</v>
      </c>
      <c r="D81" s="99"/>
      <c r="E81" s="99"/>
      <c r="F81" s="99"/>
      <c r="G81" s="99"/>
      <c r="H81" s="100"/>
      <c r="I81" s="51" t="str">
        <f ca="1">IF(I80&lt;&gt;""," Completed","")</f>
        <v xml:space="preserve"> Completed</v>
      </c>
      <c r="J81" s="52" t="str">
        <f ca="1">IF(J79&lt;&gt;"","Completed","")</f>
        <v>Completed</v>
      </c>
    </row>
    <row r="82" spans="1:10" ht="15.75" customHeight="1" x14ac:dyDescent="0.35">
      <c r="A82" s="101" t="s">
        <v>52</v>
      </c>
      <c r="B82" s="102"/>
      <c r="C82" s="44" t="s">
        <v>137</v>
      </c>
      <c r="D82" s="44" t="s">
        <v>87</v>
      </c>
      <c r="E82" s="102" t="s">
        <v>89</v>
      </c>
      <c r="F82" s="102"/>
      <c r="G82" s="102" t="s">
        <v>88</v>
      </c>
      <c r="H82" s="103"/>
      <c r="I82" s="14" t="s">
        <v>138</v>
      </c>
      <c r="J82" s="28">
        <f ca="1">H80*25%</f>
        <v>5.5</v>
      </c>
    </row>
    <row r="83" spans="1:10" x14ac:dyDescent="0.35">
      <c r="A83" s="102" t="s">
        <v>126</v>
      </c>
      <c r="B83" s="102"/>
      <c r="C83" s="73">
        <f ca="1">J84</f>
        <v>22</v>
      </c>
      <c r="D83" s="19">
        <f ca="1">((100/H80)*C83)/100</f>
        <v>1.0000000000000002</v>
      </c>
      <c r="E83" s="117">
        <f ca="1">(((C84/H80*10)+(40/(D80+F80+H80)*C85)+(7.5/(H80)*C86)+(7.5/(H80)*C87)+(10/H80*C88)+(10/H80*C89)+(5/H80*C90)+(5/H80*C91)+(5/H80*C92))/100)</f>
        <v>0.57241847826086956</v>
      </c>
      <c r="F83" s="117"/>
      <c r="G83" s="110">
        <f ca="1">((((C83/H80)*20)+((C84/H80)*25)+(30/(H80+F80+D80)*C85)+(5/H80*C86)+(5/H80*C87)+(5/H80*C88)+(5/H80*C89)+(0/H80*C90)+(0/H80*C91)+(5/H80*C92))/100)</f>
        <v>0.78137351778656106</v>
      </c>
      <c r="H83" s="110"/>
      <c r="I83" s="14" t="s">
        <v>100</v>
      </c>
      <c r="J83" s="29">
        <f ca="1">H80*50%</f>
        <v>11</v>
      </c>
    </row>
    <row r="84" spans="1:10" x14ac:dyDescent="0.35">
      <c r="A84" s="102" t="s">
        <v>53</v>
      </c>
      <c r="B84" s="102"/>
      <c r="C84" s="56">
        <v>22</v>
      </c>
      <c r="D84" s="19">
        <f ca="1">((100/H80)*C84)/100</f>
        <v>1.0000000000000002</v>
      </c>
      <c r="E84" s="117"/>
      <c r="F84" s="117"/>
      <c r="G84" s="110"/>
      <c r="H84" s="110"/>
      <c r="I84" s="14" t="s">
        <v>101</v>
      </c>
      <c r="J84" s="29">
        <f ca="1">H80</f>
        <v>22</v>
      </c>
    </row>
    <row r="85" spans="1:10" ht="15.75" customHeight="1" x14ac:dyDescent="0.35">
      <c r="A85" s="102" t="s">
        <v>127</v>
      </c>
      <c r="B85" s="102"/>
      <c r="C85" s="73">
        <v>18</v>
      </c>
      <c r="D85" s="19">
        <f ca="1">((100/(D80+F80+H80))*C85)/100</f>
        <v>0.78260869565217395</v>
      </c>
      <c r="E85" s="117"/>
      <c r="F85" s="117"/>
      <c r="G85" s="110"/>
      <c r="H85" s="110"/>
      <c r="I85" s="14" t="s">
        <v>102</v>
      </c>
      <c r="J85" s="30">
        <f ca="1">(IF(B80&gt;1,(H80/(B80+2)),H80/4))</f>
        <v>5.5</v>
      </c>
    </row>
    <row r="86" spans="1:10" ht="15.75" customHeight="1" x14ac:dyDescent="0.35">
      <c r="A86" s="102" t="s">
        <v>134</v>
      </c>
      <c r="B86" s="102" t="s">
        <v>128</v>
      </c>
      <c r="C86" s="73">
        <f>C85-1</f>
        <v>17</v>
      </c>
      <c r="D86" s="19">
        <f ca="1">((100/H80)*C86)/100</f>
        <v>0.77272727272727282</v>
      </c>
      <c r="E86" s="117"/>
      <c r="F86" s="117"/>
      <c r="G86" s="110"/>
      <c r="H86" s="110"/>
      <c r="I86" s="14" t="s">
        <v>103</v>
      </c>
      <c r="J86" s="30">
        <f ca="1">(IF(B80&gt;1,(H80/(B80+2)+J85),H80/4+J85))</f>
        <v>11</v>
      </c>
    </row>
    <row r="87" spans="1:10" ht="15.75" customHeight="1" x14ac:dyDescent="0.35">
      <c r="A87" s="102" t="s">
        <v>135</v>
      </c>
      <c r="B87" s="102" t="s">
        <v>128</v>
      </c>
      <c r="C87" s="56">
        <f>C86*0.75</f>
        <v>12.75</v>
      </c>
      <c r="D87" s="19">
        <f ca="1">((100/H80)*C87)/100</f>
        <v>0.57954545454545459</v>
      </c>
      <c r="E87" s="117"/>
      <c r="F87" s="117"/>
      <c r="G87" s="110"/>
      <c r="H87" s="110"/>
      <c r="I87" s="14" t="s">
        <v>143</v>
      </c>
      <c r="J87" s="30">
        <f>(IF(B80&gt;1,(H80/(B80+2)+J86),0))</f>
        <v>0</v>
      </c>
    </row>
    <row r="88" spans="1:10" ht="15" customHeight="1" x14ac:dyDescent="0.35">
      <c r="A88" s="102" t="s">
        <v>133</v>
      </c>
      <c r="B88" s="102" t="s">
        <v>130</v>
      </c>
      <c r="C88" s="56">
        <f>C87</f>
        <v>12.75</v>
      </c>
      <c r="D88" s="19">
        <f ca="1">((100/(H80))*C88)/100</f>
        <v>0.57954545454545459</v>
      </c>
      <c r="E88" s="117"/>
      <c r="F88" s="117"/>
      <c r="G88" s="110"/>
      <c r="H88" s="110"/>
      <c r="I88" s="14" t="s">
        <v>140</v>
      </c>
      <c r="J88" s="30">
        <f>(IF(B80&gt;2,(H80/(B80+2)+J87),0))</f>
        <v>0</v>
      </c>
    </row>
    <row r="89" spans="1:10" ht="15.75" customHeight="1" x14ac:dyDescent="0.35">
      <c r="A89" s="102" t="s">
        <v>129</v>
      </c>
      <c r="B89" s="102" t="s">
        <v>129</v>
      </c>
      <c r="C89" s="73">
        <v>0</v>
      </c>
      <c r="D89" s="19">
        <f ca="1">((100/H80)*C89)/100</f>
        <v>0</v>
      </c>
      <c r="E89" s="117"/>
      <c r="F89" s="117"/>
      <c r="G89" s="110"/>
      <c r="H89" s="110"/>
      <c r="I89" s="14" t="s">
        <v>141</v>
      </c>
      <c r="J89" s="31">
        <f>(IF(B80&gt;3,(H80/(B80+2)+J88),0))</f>
        <v>0</v>
      </c>
    </row>
    <row r="90" spans="1:10" ht="15.75" customHeight="1" x14ac:dyDescent="0.35">
      <c r="A90" s="102" t="s">
        <v>136</v>
      </c>
      <c r="B90" s="102"/>
      <c r="C90" s="73">
        <v>0</v>
      </c>
      <c r="D90" s="19">
        <f ca="1">((100/H80)*C90)/100</f>
        <v>0</v>
      </c>
      <c r="E90" s="117"/>
      <c r="F90" s="117"/>
      <c r="G90" s="110"/>
      <c r="H90" s="110"/>
      <c r="I90" s="14" t="s">
        <v>142</v>
      </c>
      <c r="J90" s="30">
        <f>(IF(B80&gt;4,(H80/(B80+2)+J89),0))</f>
        <v>0</v>
      </c>
    </row>
    <row r="91" spans="1:10" ht="15.75" customHeight="1" x14ac:dyDescent="0.35">
      <c r="A91" s="102" t="s">
        <v>131</v>
      </c>
      <c r="B91" s="102" t="s">
        <v>131</v>
      </c>
      <c r="C91" s="73">
        <v>0</v>
      </c>
      <c r="D91" s="19">
        <f ca="1">((100/(H80))*C91)/100</f>
        <v>0</v>
      </c>
      <c r="E91" s="117"/>
      <c r="F91" s="117"/>
      <c r="G91" s="110"/>
      <c r="H91" s="110"/>
      <c r="I91" s="14" t="s">
        <v>144</v>
      </c>
      <c r="J91" s="30">
        <f ca="1">(IF(B80=1,(H80/(B80+3)+J86),IF(B80=0,(H80/4+J86),IF(B80&gt;1,0))))</f>
        <v>16.5</v>
      </c>
    </row>
    <row r="92" spans="1:10" ht="16" thickBot="1" x14ac:dyDescent="0.4">
      <c r="A92" s="102" t="s">
        <v>132</v>
      </c>
      <c r="B92" s="102"/>
      <c r="C92" s="73">
        <v>0</v>
      </c>
      <c r="D92" s="19">
        <f ca="1">((100/(H80))*C92)/100</f>
        <v>0</v>
      </c>
      <c r="E92" s="117"/>
      <c r="F92" s="117"/>
      <c r="G92" s="110"/>
      <c r="H92" s="110"/>
      <c r="I92" s="15" t="s">
        <v>104</v>
      </c>
      <c r="J92" s="32">
        <f ca="1">(IF(B80&gt;1.5,(H80/(B80+2)+J86+MAX(0,J87-J86)+MAX(0,J88-J87)+MAX(0,J89-J88)+MAX(0,J90-J89)+MAX(0,J91-J90)),IF(B80=1,(H80/(B80+3)+J91),IF(B80=0,H80/4+J91))))</f>
        <v>22</v>
      </c>
    </row>
    <row r="93" spans="1:10" ht="32.25" customHeight="1" x14ac:dyDescent="0.35">
      <c r="A93" s="116" t="s">
        <v>230</v>
      </c>
      <c r="B93" s="116"/>
      <c r="C93" s="116" t="s">
        <v>241</v>
      </c>
      <c r="D93" s="116"/>
      <c r="E93" s="116"/>
      <c r="F93" s="116"/>
      <c r="G93" s="116"/>
      <c r="H93" s="116"/>
      <c r="I93" s="72" t="str">
        <f ca="1">IF(D106=100%,"All work Completed. Possession granted to the Building.",IF(D105=100%,"All work Completed, Waiting for OC",I94&amp;""&amp;I95&amp;""&amp;J94&amp;""&amp;J93&amp;" "&amp;J95))</f>
        <v>All work Completed. Possession granted to the Building.</v>
      </c>
      <c r="J93" s="50" t="str">
        <f ca="1">(IF(C99=(D94+F94+H94),"",IF(C99&gt;0,", RCC upto "&amp;C99&amp;" Slab","")))&amp;(IF(C100=H94,"",IF(C100&gt;0,", Brickwork upto "&amp;C100&amp;" Floor","")))&amp;(IF(C101=H94,"",IF(C101&gt;0,", Internal Plaster upto "&amp;C101&amp;" Floor","")))&amp;(IF(C102=H94,"",IF(C102&gt;0,", External Plaster upto "&amp;C102&amp;" Floor","")))&amp;(IF(C103=H94,"",IF(C103&gt;0,", Flooring upto "&amp;C103&amp;" Floor","")))&amp;(IF(C104=H94,"",IF(C104&gt;0,", Painting upto "&amp;C104&amp;" Floor","")))&amp;(IF(C105=H94,"",IF(C105&gt;0,", Finishing upto "&amp;C105&amp;" Floor","")))&amp;(IF(C106=H94,"",IF(C106&gt;0,", Possession upto "&amp;C106&amp;" Floor","")))</f>
        <v/>
      </c>
    </row>
    <row r="94" spans="1:10" x14ac:dyDescent="0.35">
      <c r="A94" s="74" t="s">
        <v>139</v>
      </c>
      <c r="B94" s="74">
        <v>0</v>
      </c>
      <c r="C94" s="74" t="s">
        <v>76</v>
      </c>
      <c r="D94" s="74">
        <v>1</v>
      </c>
      <c r="E94" s="74" t="s">
        <v>75</v>
      </c>
      <c r="F94" s="74">
        <v>0</v>
      </c>
      <c r="G94" s="75" t="s">
        <v>84</v>
      </c>
      <c r="H94" s="74">
        <f ca="1">--TRIM(RIGHT(SUBSTITUTE(LEFT(C93,_xlfn.AGGREGATE(16,6,FIND({0,1,2,3,4,5,6,7,8,9},C93,ROW(INDIRECT("1:"&amp;LEN(C93)))),1))," ",REPT(" ",LEN(C93))),LEN(C93)))</f>
        <v>22</v>
      </c>
      <c r="I94" s="76" t="str">
        <f ca="1">IF(D97=100%,"Excavation","")&amp;IF(D98=100%,", Plinth","")&amp;IF(D99=100%,", RCC Slab","")&amp;IF(D100=100%,", Brickwork","")&amp;IF(D101=100%,", Internal Plaster","")&amp;IF(D102=100%,", External Plaster","")&amp;IF(D103=100%,", Flooring","")&amp;IF(D104=100%,", Painting","")&amp;IF(D105=100%,", Building common Amenities","")</f>
        <v>Excavation, Plinth, RCC Slab, Brickwork, Internal Plaster, External Plaster, Flooring, Painting, Building common Amenities</v>
      </c>
      <c r="J94" s="52" t="str">
        <f ca="1">(IF(C97=0,"Work not yet Started.",IF(D97=25%,"Piling work in process",IF(D97=50%,"Excavation work in process",IF(D97=100%,"","0")))))&amp;(IF(C98=0%,"",IF(C98=J99,", Footing work is process",IF(C98=J100,", Footing work Completed",IF(C98=J101,", 1st Basement Completed",IF(C98=J102,", 1st &amp; 2nd Basement Completed",IF(C98=J103,", 1st to 3rd Basement Completed",IF(C98=J104,", 1st to 4th Basement Completed",IF(C98=J105,", Plinth work is process",IF(C98=J106,"","0"))))))))))</f>
        <v/>
      </c>
    </row>
    <row r="95" spans="1:10" ht="16" thickBot="1" x14ac:dyDescent="0.4">
      <c r="A95" s="98" t="s">
        <v>94</v>
      </c>
      <c r="B95" s="98"/>
      <c r="C95" s="99" t="str">
        <f ca="1">I93</f>
        <v>All work Completed. Possession granted to the Building.</v>
      </c>
      <c r="D95" s="99"/>
      <c r="E95" s="99"/>
      <c r="F95" s="99"/>
      <c r="G95" s="99"/>
      <c r="H95" s="99"/>
      <c r="I95" s="76" t="str">
        <f ca="1">IF(I94&lt;&gt;""," Completed","")</f>
        <v xml:space="preserve"> Completed</v>
      </c>
      <c r="J95" s="52" t="str">
        <f ca="1">IF(J93&lt;&gt;"","Completed","")</f>
        <v/>
      </c>
    </row>
    <row r="96" spans="1:10" ht="15.75" hidden="1" customHeight="1" x14ac:dyDescent="0.35">
      <c r="A96" s="101" t="s">
        <v>52</v>
      </c>
      <c r="B96" s="102"/>
      <c r="C96" s="57" t="s">
        <v>137</v>
      </c>
      <c r="D96" s="57" t="s">
        <v>87</v>
      </c>
      <c r="E96" s="102" t="s">
        <v>89</v>
      </c>
      <c r="F96" s="102"/>
      <c r="G96" s="102" t="s">
        <v>88</v>
      </c>
      <c r="H96" s="103"/>
      <c r="I96" s="14" t="s">
        <v>138</v>
      </c>
      <c r="J96" s="28">
        <f ca="1">H94*25%</f>
        <v>5.5</v>
      </c>
    </row>
    <row r="97" spans="1:10" hidden="1" x14ac:dyDescent="0.35">
      <c r="A97" s="101" t="s">
        <v>126</v>
      </c>
      <c r="B97" s="102"/>
      <c r="C97" s="57">
        <f ca="1">J98</f>
        <v>22</v>
      </c>
      <c r="D97" s="19">
        <f ca="1">((100/H94)*C97)/100</f>
        <v>1.0000000000000002</v>
      </c>
      <c r="E97" s="104">
        <f ca="1">(((C98/H94*10)+(40/(D94+F94+H94)*C99)+(7.5/(H94)*C100)+(7.5/(H94)*C101)+(10/H94*C102)+(10/H94*C103)+(5/H94*C104)+(5/H94*C105)+(5/H94*C106))/100)</f>
        <v>1</v>
      </c>
      <c r="F97" s="105"/>
      <c r="G97" s="110">
        <f ca="1">((((C97/H94)*20)+((C98/H94)*25)+(30/(H94+F94+D94)*C99)+(5/H94*C100)+(5/H94*C101)+(5/H94*C102)+(5/H94*C103)+(0/H94*C104)+(0/H94*C105)+(5/H94*C106))/100)</f>
        <v>1</v>
      </c>
      <c r="H97" s="111"/>
      <c r="I97" s="14" t="s">
        <v>100</v>
      </c>
      <c r="J97" s="29">
        <f ca="1">H94*50%</f>
        <v>11</v>
      </c>
    </row>
    <row r="98" spans="1:10" hidden="1" x14ac:dyDescent="0.35">
      <c r="A98" s="101" t="s">
        <v>53</v>
      </c>
      <c r="B98" s="102"/>
      <c r="C98" s="56">
        <f ca="1">J106</f>
        <v>22</v>
      </c>
      <c r="D98" s="19">
        <f ca="1">((100/H94)*C98)/100</f>
        <v>1.0000000000000002</v>
      </c>
      <c r="E98" s="106"/>
      <c r="F98" s="107"/>
      <c r="G98" s="110"/>
      <c r="H98" s="111"/>
      <c r="I98" s="14" t="s">
        <v>101</v>
      </c>
      <c r="J98" s="29">
        <f ca="1">H94</f>
        <v>22</v>
      </c>
    </row>
    <row r="99" spans="1:10" ht="15.75" hidden="1" customHeight="1" x14ac:dyDescent="0.35">
      <c r="A99" s="101" t="s">
        <v>127</v>
      </c>
      <c r="B99" s="102"/>
      <c r="C99" s="57">
        <v>23</v>
      </c>
      <c r="D99" s="19">
        <f ca="1">((100/(D94+F94+H94))*C99)/100</f>
        <v>1</v>
      </c>
      <c r="E99" s="106"/>
      <c r="F99" s="107"/>
      <c r="G99" s="110"/>
      <c r="H99" s="111"/>
      <c r="I99" s="14" t="s">
        <v>102</v>
      </c>
      <c r="J99" s="30">
        <f ca="1">(IF(B94&gt;1,(H94/(B94+2)),H94/4))</f>
        <v>5.5</v>
      </c>
    </row>
    <row r="100" spans="1:10" ht="15.75" hidden="1" customHeight="1" x14ac:dyDescent="0.35">
      <c r="A100" s="101" t="s">
        <v>134</v>
      </c>
      <c r="B100" s="102" t="s">
        <v>128</v>
      </c>
      <c r="C100" s="57">
        <f>C99-1</f>
        <v>22</v>
      </c>
      <c r="D100" s="19">
        <f ca="1">((100/H94)*C100)/100</f>
        <v>1.0000000000000002</v>
      </c>
      <c r="E100" s="106"/>
      <c r="F100" s="107"/>
      <c r="G100" s="110"/>
      <c r="H100" s="111"/>
      <c r="I100" s="14" t="s">
        <v>103</v>
      </c>
      <c r="J100" s="30">
        <f ca="1">(IF(B94&gt;1,(H94/(B94+2)+J99),H94/4+J99))</f>
        <v>11</v>
      </c>
    </row>
    <row r="101" spans="1:10" ht="15.75" hidden="1" customHeight="1" x14ac:dyDescent="0.35">
      <c r="A101" s="101" t="s">
        <v>135</v>
      </c>
      <c r="B101" s="102" t="s">
        <v>128</v>
      </c>
      <c r="C101" s="56">
        <v>22</v>
      </c>
      <c r="D101" s="19">
        <f ca="1">((100/H94)*C101)/100</f>
        <v>1.0000000000000002</v>
      </c>
      <c r="E101" s="106"/>
      <c r="F101" s="107"/>
      <c r="G101" s="110"/>
      <c r="H101" s="111"/>
      <c r="I101" s="14" t="s">
        <v>143</v>
      </c>
      <c r="J101" s="30">
        <f>(IF(B94&gt;1,(H94/(B94+2)+J100),0))</f>
        <v>0</v>
      </c>
    </row>
    <row r="102" spans="1:10" ht="15" hidden="1" customHeight="1" x14ac:dyDescent="0.35">
      <c r="A102" s="101" t="s">
        <v>133</v>
      </c>
      <c r="B102" s="102" t="s">
        <v>130</v>
      </c>
      <c r="C102" s="56">
        <v>22</v>
      </c>
      <c r="D102" s="19">
        <f ca="1">((100/(H94))*C102)/100</f>
        <v>1.0000000000000002</v>
      </c>
      <c r="E102" s="106"/>
      <c r="F102" s="107"/>
      <c r="G102" s="110"/>
      <c r="H102" s="111"/>
      <c r="I102" s="14" t="s">
        <v>140</v>
      </c>
      <c r="J102" s="30">
        <f>(IF(B94&gt;2,(H94/(B94+2)+J101),0))</f>
        <v>0</v>
      </c>
    </row>
    <row r="103" spans="1:10" ht="15.75" hidden="1" customHeight="1" x14ac:dyDescent="0.35">
      <c r="A103" s="101" t="s">
        <v>129</v>
      </c>
      <c r="B103" s="102" t="s">
        <v>129</v>
      </c>
      <c r="C103" s="57">
        <v>22</v>
      </c>
      <c r="D103" s="19">
        <f ca="1">((100/H94)*C103)/100</f>
        <v>1.0000000000000002</v>
      </c>
      <c r="E103" s="106"/>
      <c r="F103" s="107"/>
      <c r="G103" s="110"/>
      <c r="H103" s="111"/>
      <c r="I103" s="14" t="s">
        <v>141</v>
      </c>
      <c r="J103" s="31">
        <f>(IF(B94&gt;3,(H94/(B94+2)+J102),0))</f>
        <v>0</v>
      </c>
    </row>
    <row r="104" spans="1:10" ht="15.75" hidden="1" customHeight="1" x14ac:dyDescent="0.35">
      <c r="A104" s="101" t="s">
        <v>136</v>
      </c>
      <c r="B104" s="102"/>
      <c r="C104" s="57">
        <v>22</v>
      </c>
      <c r="D104" s="19">
        <f ca="1">((100/H94)*C104)/100</f>
        <v>1.0000000000000002</v>
      </c>
      <c r="E104" s="106"/>
      <c r="F104" s="107"/>
      <c r="G104" s="110"/>
      <c r="H104" s="111"/>
      <c r="I104" s="14" t="s">
        <v>142</v>
      </c>
      <c r="J104" s="30">
        <f>(IF(B94&gt;4,(H94/(B94+2)+J103),0))</f>
        <v>0</v>
      </c>
    </row>
    <row r="105" spans="1:10" ht="15.75" hidden="1" customHeight="1" x14ac:dyDescent="0.35">
      <c r="A105" s="101" t="s">
        <v>131</v>
      </c>
      <c r="B105" s="102" t="s">
        <v>131</v>
      </c>
      <c r="C105" s="73">
        <v>22</v>
      </c>
      <c r="D105" s="19">
        <f ca="1">((100/(H94))*C105)/100</f>
        <v>1.0000000000000002</v>
      </c>
      <c r="E105" s="106"/>
      <c r="F105" s="107"/>
      <c r="G105" s="110"/>
      <c r="H105" s="111"/>
      <c r="I105" s="14" t="s">
        <v>144</v>
      </c>
      <c r="J105" s="30">
        <f ca="1">(IF(B94=1,(H94/(B94+3)+J100),IF(B94=0,(H94/4+J100),IF(B94&gt;1,0))))</f>
        <v>16.5</v>
      </c>
    </row>
    <row r="106" spans="1:10" ht="16" hidden="1" thickBot="1" x14ac:dyDescent="0.4">
      <c r="A106" s="114" t="s">
        <v>132</v>
      </c>
      <c r="B106" s="115"/>
      <c r="C106" s="58">
        <v>22</v>
      </c>
      <c r="D106" s="20">
        <f ca="1">((100/(H94))*C106)/100</f>
        <v>1.0000000000000002</v>
      </c>
      <c r="E106" s="108"/>
      <c r="F106" s="109"/>
      <c r="G106" s="112"/>
      <c r="H106" s="113"/>
      <c r="I106" s="15" t="s">
        <v>104</v>
      </c>
      <c r="J106" s="32">
        <f ca="1">(IF(B94&gt;1.5,(H94/(B94+2)+J100+MAX(0,J101-J100)+MAX(0,J102-J101)+MAX(0,J103-J102)+MAX(0,J104-J103)+MAX(0,J105-J104)),IF(B94=1,(H94/(B94+3)+J105),IF(B94=0,H94/4+J105))))</f>
        <v>22</v>
      </c>
    </row>
    <row r="107" spans="1:10" ht="32.25" customHeight="1" thickBot="1" x14ac:dyDescent="0.4">
      <c r="A107" s="87" t="s">
        <v>89</v>
      </c>
      <c r="B107" s="88"/>
      <c r="C107" s="89"/>
      <c r="D107" s="78">
        <f ca="1">E97</f>
        <v>1</v>
      </c>
      <c r="E107" s="85" t="s">
        <v>88</v>
      </c>
      <c r="F107" s="86"/>
      <c r="G107" s="90">
        <f ca="1">G97</f>
        <v>1</v>
      </c>
      <c r="H107" s="91"/>
      <c r="I107" s="14" t="s">
        <v>138</v>
      </c>
      <c r="J107" s="28">
        <f>H105*25%</f>
        <v>0</v>
      </c>
    </row>
    <row r="108" spans="1:10" ht="33.75" hidden="1" customHeight="1" x14ac:dyDescent="0.35">
      <c r="A108" s="119" t="s">
        <v>230</v>
      </c>
      <c r="B108" s="120"/>
      <c r="C108" s="121" t="s">
        <v>234</v>
      </c>
      <c r="D108" s="122"/>
      <c r="E108" s="122"/>
      <c r="F108" s="122"/>
      <c r="G108" s="122"/>
      <c r="H108" s="123"/>
      <c r="I108" s="49" t="str">
        <f ca="1">IF(D121=100%,"All work Completed. Possession granted to the Building.",IF(D120=100%,"All work Completed, Waiting for OC",I109&amp;""&amp;I110&amp;""&amp;J109&amp;""&amp;J108&amp;" "&amp;J110))</f>
        <v>Excavation, Plinth, RCC Slab, Brickwork Completed, Internal Plaster upto 20 Floor, External Plaster upto 18 Floor Completed</v>
      </c>
      <c r="J108" s="50" t="str">
        <f ca="1">(IF(C114=(D109+F109+H109),"",IF(C114&gt;0,", RCC upto "&amp;C114&amp;" Slab","")))&amp;(IF(C115=H109,"",IF(C115&gt;0,", Brickwork upto "&amp;C115&amp;" Floor","")))&amp;(IF(C116=H109,"",IF(C116&gt;0,", Internal Plaster upto "&amp;C116&amp;" Floor","")))&amp;(IF(C117=H109,"",IF(C117&gt;0,", External Plaster upto "&amp;C117&amp;" Floor","")))&amp;(IF(C118=H109,"",IF(C118&gt;0,", Flooring upto "&amp;C118&amp;" Floor","")))&amp;(IF(C119=H109,"",IF(C119&gt;0,", Painting upto "&amp;C119&amp;" Floor","")))&amp;(IF(C120=H109,"",IF(C120&gt;0,", Finishing upto "&amp;C120&amp;" Floor","")))&amp;(IF(C121=H109,"",IF(C121&gt;0,", Possession upto "&amp;C121&amp;" Floor","")))</f>
        <v>, Internal Plaster upto 20 Floor, External Plaster upto 18 Floor</v>
      </c>
    </row>
    <row r="109" spans="1:10" hidden="1" x14ac:dyDescent="0.35">
      <c r="A109" s="16" t="s">
        <v>139</v>
      </c>
      <c r="B109" s="59">
        <v>0</v>
      </c>
      <c r="C109" s="59" t="s">
        <v>76</v>
      </c>
      <c r="D109" s="59">
        <v>1</v>
      </c>
      <c r="E109" s="59" t="s">
        <v>75</v>
      </c>
      <c r="F109" s="59">
        <v>0</v>
      </c>
      <c r="G109" s="60" t="s">
        <v>84</v>
      </c>
      <c r="H109" s="17">
        <f ca="1">--TRIM(RIGHT(SUBSTITUTE(LEFT(C108,_xlfn.AGGREGATE(16,6,FIND({0,1,2,3,4,5,6,7,8,9},C108,ROW(INDIRECT("1:"&amp;LEN(C108)))),1))," ",REPT(" ",LEN(C108))),LEN(C108)))</f>
        <v>22</v>
      </c>
      <c r="I109" s="51" t="str">
        <f ca="1">IF(D112=100%,"Excavation","")&amp;IF(D113=100%,", Plinth","")&amp;IF(D114=100%,", RCC Slab","")&amp;IF(D115=100%,", Brickwork","")&amp;IF(D116=100%,", Internal Plaster","")&amp;IF(D117=100%,", External Plaster","")&amp;IF(D118=100%,", Flooring","")&amp;IF(D119=100%,", Painting","")&amp;IF(D120=100%,", Building common Amenities","")</f>
        <v>Excavation, Plinth, RCC Slab, Brickwork</v>
      </c>
      <c r="J109" s="52" t="str">
        <f ca="1">(IF(C112=0,"Work not yet Started.",IF(D112=25%,"Piling work in process",IF(D112=50%,"Excavation work in process",IF(D112=100%,"","0")))))&amp;(IF(C113=0%,"",IF(C113=J114,", Footing work is process",IF(C113=J115,", Footing work Completed",IF(C113=J116,", 1st Basement Completed",IF(C113=J117,", 1st &amp; 2nd Basement Completed",IF(C113=J118,", 1st to 3rd Basement Completed",IF(C113=J119,", 1st to 4th Basement Completed",IF(C113=J120,", Plinth work is process",IF(C113=J121,"","0"))))))))))</f>
        <v/>
      </c>
    </row>
    <row r="110" spans="1:10" ht="35.25" hidden="1" customHeight="1" x14ac:dyDescent="0.35">
      <c r="A110" s="97" t="s">
        <v>94</v>
      </c>
      <c r="B110" s="98"/>
      <c r="C110" s="99" t="str">
        <f ca="1">I108</f>
        <v>Excavation, Plinth, RCC Slab, Brickwork Completed, Internal Plaster upto 20 Floor, External Plaster upto 18 Floor Completed</v>
      </c>
      <c r="D110" s="99"/>
      <c r="E110" s="99"/>
      <c r="F110" s="99"/>
      <c r="G110" s="99"/>
      <c r="H110" s="100"/>
      <c r="I110" s="51" t="str">
        <f ca="1">IF(I109&lt;&gt;""," Completed","")</f>
        <v xml:space="preserve"> Completed</v>
      </c>
      <c r="J110" s="52" t="str">
        <f ca="1">IF(J108&lt;&gt;"","Completed","")</f>
        <v>Completed</v>
      </c>
    </row>
    <row r="111" spans="1:10" ht="15.75" hidden="1" customHeight="1" x14ac:dyDescent="0.35">
      <c r="A111" s="101" t="s">
        <v>52</v>
      </c>
      <c r="B111" s="102"/>
      <c r="C111" s="57" t="s">
        <v>137</v>
      </c>
      <c r="D111" s="57" t="s">
        <v>87</v>
      </c>
      <c r="E111" s="102" t="s">
        <v>89</v>
      </c>
      <c r="F111" s="102"/>
      <c r="G111" s="102" t="s">
        <v>88</v>
      </c>
      <c r="H111" s="103"/>
      <c r="I111" s="14" t="s">
        <v>138</v>
      </c>
      <c r="J111" s="28">
        <f ca="1">H109*25%</f>
        <v>5.5</v>
      </c>
    </row>
    <row r="112" spans="1:10" hidden="1" x14ac:dyDescent="0.35">
      <c r="A112" s="101" t="s">
        <v>126</v>
      </c>
      <c r="B112" s="102"/>
      <c r="C112" s="57">
        <f ca="1">J113</f>
        <v>22</v>
      </c>
      <c r="D112" s="19">
        <f ca="1">((100/H109)*C112)/100</f>
        <v>1.0000000000000002</v>
      </c>
      <c r="E112" s="104">
        <f ca="1">(((C113/H109*10)+(40/(D109+F109+H109)*C114)+(7.5/(H109)*C115)+(7.5/(H109)*C116)+(10/H109*C117)+(10/H109*C118)+(5/H109*C119)+(5/H109*C120)+(5/H109*C121))/100)</f>
        <v>0.72499999999999998</v>
      </c>
      <c r="F112" s="105"/>
      <c r="G112" s="110">
        <f ca="1">((((C112/H109)*20)+((C113/H109)*25)+(30/(H109+F109+D109)*C114)+(5/H109*C115)+(5/H109*C116)+(5/H109*C117)+(5/H109*C118)+(0/H109*C119)+(0/H109*C120)+(5/H109*C121))/100)</f>
        <v>0.88636363636363635</v>
      </c>
      <c r="H112" s="111"/>
      <c r="I112" s="14" t="s">
        <v>100</v>
      </c>
      <c r="J112" s="29">
        <f ca="1">H109*50%</f>
        <v>11</v>
      </c>
    </row>
    <row r="113" spans="1:13" hidden="1" x14ac:dyDescent="0.35">
      <c r="A113" s="101" t="s">
        <v>53</v>
      </c>
      <c r="B113" s="102"/>
      <c r="C113" s="56">
        <f ca="1">J121</f>
        <v>22</v>
      </c>
      <c r="D113" s="19">
        <f ca="1">((100/H109)*C113)/100</f>
        <v>1.0000000000000002</v>
      </c>
      <c r="E113" s="106"/>
      <c r="F113" s="107"/>
      <c r="G113" s="110"/>
      <c r="H113" s="111"/>
      <c r="I113" s="14" t="s">
        <v>101</v>
      </c>
      <c r="J113" s="29">
        <f ca="1">H109</f>
        <v>22</v>
      </c>
    </row>
    <row r="114" spans="1:13" ht="15.75" hidden="1" customHeight="1" x14ac:dyDescent="0.35">
      <c r="A114" s="101" t="s">
        <v>127</v>
      </c>
      <c r="B114" s="102"/>
      <c r="C114" s="64">
        <v>23</v>
      </c>
      <c r="D114" s="19">
        <f ca="1">((100/(D109+F109+H109))*C114)/100</f>
        <v>1</v>
      </c>
      <c r="E114" s="106"/>
      <c r="F114" s="107"/>
      <c r="G114" s="110"/>
      <c r="H114" s="111"/>
      <c r="I114" s="14" t="s">
        <v>102</v>
      </c>
      <c r="J114" s="30">
        <f ca="1">(IF(B109&gt;1,(H109/(B109+2)),H109/4))</f>
        <v>5.5</v>
      </c>
    </row>
    <row r="115" spans="1:13" ht="15.75" hidden="1" customHeight="1" x14ac:dyDescent="0.35">
      <c r="A115" s="101" t="s">
        <v>134</v>
      </c>
      <c r="B115" s="102" t="s">
        <v>128</v>
      </c>
      <c r="C115" s="64">
        <f>C114-1</f>
        <v>22</v>
      </c>
      <c r="D115" s="19">
        <f ca="1">((100/H109)*C115)/100</f>
        <v>1.0000000000000002</v>
      </c>
      <c r="E115" s="106"/>
      <c r="F115" s="107"/>
      <c r="G115" s="110"/>
      <c r="H115" s="111"/>
      <c r="I115" s="14" t="s">
        <v>103</v>
      </c>
      <c r="J115" s="30">
        <f ca="1">(IF(B109&gt;1,(H109/(B109+2)+J114),H109/4+J114))</f>
        <v>11</v>
      </c>
    </row>
    <row r="116" spans="1:13" ht="15.75" hidden="1" customHeight="1" x14ac:dyDescent="0.35">
      <c r="A116" s="101" t="s">
        <v>135</v>
      </c>
      <c r="B116" s="102" t="s">
        <v>128</v>
      </c>
      <c r="C116" s="56">
        <v>20</v>
      </c>
      <c r="D116" s="19">
        <f ca="1">((100/H109)*C116)/100</f>
        <v>0.90909090909090917</v>
      </c>
      <c r="E116" s="106"/>
      <c r="F116" s="107"/>
      <c r="G116" s="110"/>
      <c r="H116" s="111"/>
      <c r="I116" s="14" t="s">
        <v>143</v>
      </c>
      <c r="J116" s="30">
        <f>(IF(B109&gt;1,(H109/(B109+2)+J115),0))</f>
        <v>0</v>
      </c>
    </row>
    <row r="117" spans="1:13" ht="15" hidden="1" customHeight="1" x14ac:dyDescent="0.35">
      <c r="A117" s="101" t="s">
        <v>133</v>
      </c>
      <c r="B117" s="102" t="s">
        <v>130</v>
      </c>
      <c r="C117" s="56">
        <v>18</v>
      </c>
      <c r="D117" s="19">
        <f ca="1">((100/(H109))*C117)/100</f>
        <v>0.81818181818181823</v>
      </c>
      <c r="E117" s="106"/>
      <c r="F117" s="107"/>
      <c r="G117" s="110"/>
      <c r="H117" s="111"/>
      <c r="I117" s="14" t="s">
        <v>140</v>
      </c>
      <c r="J117" s="30">
        <f>(IF(B109&gt;2,(H109/(B109+2)+J116),0))</f>
        <v>0</v>
      </c>
    </row>
    <row r="118" spans="1:13" ht="15.75" hidden="1" customHeight="1" x14ac:dyDescent="0.35">
      <c r="A118" s="101" t="s">
        <v>129</v>
      </c>
      <c r="B118" s="102" t="s">
        <v>129</v>
      </c>
      <c r="C118" s="57">
        <v>0</v>
      </c>
      <c r="D118" s="19">
        <f ca="1">((100/H109)*C118)/100</f>
        <v>0</v>
      </c>
      <c r="E118" s="106"/>
      <c r="F118" s="107"/>
      <c r="G118" s="110"/>
      <c r="H118" s="111"/>
      <c r="I118" s="14" t="s">
        <v>141</v>
      </c>
      <c r="J118" s="31">
        <f>(IF(B109&gt;3,(H109/(B109+2)+J117),0))</f>
        <v>0</v>
      </c>
    </row>
    <row r="119" spans="1:13" ht="15.75" hidden="1" customHeight="1" x14ac:dyDescent="0.35">
      <c r="A119" s="101" t="s">
        <v>136</v>
      </c>
      <c r="B119" s="102"/>
      <c r="C119" s="57">
        <v>0</v>
      </c>
      <c r="D119" s="19">
        <f ca="1">((100/H109)*C119)/100</f>
        <v>0</v>
      </c>
      <c r="E119" s="106"/>
      <c r="F119" s="107"/>
      <c r="G119" s="110"/>
      <c r="H119" s="111"/>
      <c r="I119" s="14" t="s">
        <v>142</v>
      </c>
      <c r="J119" s="30">
        <f>(IF(B109&gt;4,(H109/(B109+2)+J118),0))</f>
        <v>0</v>
      </c>
    </row>
    <row r="120" spans="1:13" ht="15.75" hidden="1" customHeight="1" x14ac:dyDescent="0.35">
      <c r="A120" s="101" t="s">
        <v>131</v>
      </c>
      <c r="B120" s="102" t="s">
        <v>131</v>
      </c>
      <c r="C120" s="57">
        <v>0</v>
      </c>
      <c r="D120" s="19">
        <f ca="1">((100/(H109))*C120)/100</f>
        <v>0</v>
      </c>
      <c r="E120" s="106"/>
      <c r="F120" s="107"/>
      <c r="G120" s="110"/>
      <c r="H120" s="111"/>
      <c r="I120" s="14" t="s">
        <v>144</v>
      </c>
      <c r="J120" s="30">
        <f ca="1">(IF(B109=1,(H109/(B109+3)+J115),IF(B109=0,(H109/4+J115),IF(B109&gt;1,0))))</f>
        <v>16.5</v>
      </c>
    </row>
    <row r="121" spans="1:13" ht="16" hidden="1" thickBot="1" x14ac:dyDescent="0.4">
      <c r="A121" s="114" t="s">
        <v>132</v>
      </c>
      <c r="B121" s="115"/>
      <c r="C121" s="58">
        <v>0</v>
      </c>
      <c r="D121" s="20">
        <f ca="1">((100/(H109))*C121)/100</f>
        <v>0</v>
      </c>
      <c r="E121" s="108"/>
      <c r="F121" s="109"/>
      <c r="G121" s="112"/>
      <c r="H121" s="113"/>
      <c r="I121" s="15" t="s">
        <v>104</v>
      </c>
      <c r="J121" s="32">
        <f ca="1">(IF(B109&gt;1.5,(H109/(B109+2)+J115+MAX(0,J116-J115)+MAX(0,J117-J116)+MAX(0,J118-J117)+MAX(0,J119-J118)+MAX(0,J120-J119)),IF(B109=1,(H109/(B109+3)+J120),IF(B109=0,H109/4+J120))))</f>
        <v>22</v>
      </c>
    </row>
    <row r="122" spans="1:13" ht="33" customHeight="1" x14ac:dyDescent="0.35">
      <c r="A122" s="119" t="s">
        <v>230</v>
      </c>
      <c r="B122" s="120"/>
      <c r="C122" s="121" t="s">
        <v>244</v>
      </c>
      <c r="D122" s="122"/>
      <c r="E122" s="122"/>
      <c r="F122" s="122"/>
      <c r="G122" s="122"/>
      <c r="H122" s="123"/>
      <c r="I122" s="49" t="str">
        <f ca="1">IF(D135=100%,"All work Completed. Possession granted to the Building.",IF(D134=100%,"All work Completed, Waiting for OC",I123&amp;""&amp;I124&amp;""&amp;J123&amp;""&amp;J122&amp;" "&amp;J124))</f>
        <v>Excavation, Plinth Completed, RCC upto 18 Slab, Brickwork upto 17 Floor, Internal Plaster upto 12.75 Floor, External Plaster upto 11.9 Floor Completed</v>
      </c>
      <c r="J122" s="50" t="str">
        <f ca="1">(IF(C128=(D123+F123+H123),"",IF(C128&gt;0,", RCC upto "&amp;C128&amp;" Slab","")))&amp;(IF(C129=H123,"",IF(C129&gt;0,", Brickwork upto "&amp;C129&amp;" Floor","")))&amp;(IF(C130=H123,"",IF(C130&gt;0,", Internal Plaster upto "&amp;C130&amp;" Floor","")))&amp;(IF(C131=H123,"",IF(C131&gt;0,", External Plaster upto "&amp;C131&amp;" Floor","")))&amp;(IF(C132=H123,"",IF(C132&gt;0,", Flooring upto "&amp;C132&amp;" Floor","")))&amp;(IF(C133=H123,"",IF(C133&gt;0,", Painting upto "&amp;C133&amp;" Floor","")))&amp;(IF(C134=H123,"",IF(C134&gt;0,", Finishing upto "&amp;C134&amp;" Floor","")))&amp;(IF(C135=H123,"",IF(C135&gt;0,", Possession upto "&amp;C135&amp;" Floor","")))</f>
        <v>, RCC upto 18 Slab, Brickwork upto 17 Floor, Internal Plaster upto 12.75 Floor, External Plaster upto 11.9 Floor</v>
      </c>
    </row>
    <row r="123" spans="1:13" x14ac:dyDescent="0.35">
      <c r="A123" s="16" t="s">
        <v>139</v>
      </c>
      <c r="B123" s="59">
        <v>0</v>
      </c>
      <c r="C123" s="59" t="s">
        <v>76</v>
      </c>
      <c r="D123" s="59">
        <v>1</v>
      </c>
      <c r="E123" s="59" t="s">
        <v>75</v>
      </c>
      <c r="F123" s="59">
        <v>0</v>
      </c>
      <c r="G123" s="60" t="s">
        <v>84</v>
      </c>
      <c r="H123" s="17">
        <f ca="1">--TRIM(RIGHT(SUBSTITUTE(LEFT(C122,_xlfn.AGGREGATE(16,6,FIND({0,1,2,3,4,5,6,7,8,9},C122,ROW(INDIRECT("1:"&amp;LEN(C122)))),1))," ",REPT(" ",LEN(C122))),LEN(C122)))</f>
        <v>22</v>
      </c>
      <c r="I123" s="51" t="str">
        <f ca="1">IF(D126=100%,"Excavation","")&amp;IF(D127=100%,", Plinth","")&amp;IF(D128=100%,", RCC Slab","")&amp;IF(D129=100%,", Brickwork","")&amp;IF(D130=100%,", Internal Plaster","")&amp;IF(D131=100%,", External Plaster","")&amp;IF(D132=100%,", Flooring","")&amp;IF(D133=100%,", Painting","")&amp;IF(D134=100%,", Building common Amenities","")</f>
        <v>Excavation, Plinth</v>
      </c>
      <c r="J123" s="52" t="str">
        <f ca="1">(IF(C126=0,"Work not yet Started.",IF(D126=25%,"Piling work in process",IF(D126=50%,"Excavation work in process",IF(D126=100%,"","0")))))&amp;(IF(C127=0%,"",IF(C127=J128,", Footing work is process",IF(C127=J129,", Footing work Completed",IF(C127=J130,", 1st Basement Completed",IF(C127=J131,", 1st &amp; 2nd Basement Completed",IF(C127=J132,", 1st to 3rd Basement Completed",IF(C127=J133,", 1st to 4th Basement Completed",IF(C127=J134,", Plinth work is process",IF(C127=J135,"","0"))))))))))</f>
        <v/>
      </c>
    </row>
    <row r="124" spans="1:13" ht="34.5" customHeight="1" x14ac:dyDescent="0.35">
      <c r="A124" s="97" t="s">
        <v>94</v>
      </c>
      <c r="B124" s="98"/>
      <c r="C124" s="99" t="str">
        <f ca="1">I122</f>
        <v>Excavation, Plinth Completed, RCC upto 18 Slab, Brickwork upto 17 Floor, Internal Plaster upto 12.75 Floor, External Plaster upto 11.9 Floor Completed</v>
      </c>
      <c r="D124" s="99"/>
      <c r="E124" s="99"/>
      <c r="F124" s="99"/>
      <c r="G124" s="99"/>
      <c r="H124" s="100"/>
      <c r="I124" s="51" t="str">
        <f ca="1">IF(I123&lt;&gt;""," Completed","")</f>
        <v xml:space="preserve"> Completed</v>
      </c>
      <c r="J124" s="52" t="str">
        <f ca="1">IF(J122&lt;&gt;"","Completed","")</f>
        <v>Completed</v>
      </c>
    </row>
    <row r="125" spans="1:13" ht="15.75" customHeight="1" x14ac:dyDescent="0.35">
      <c r="A125" s="101" t="s">
        <v>52</v>
      </c>
      <c r="B125" s="102"/>
      <c r="C125" s="57" t="s">
        <v>137</v>
      </c>
      <c r="D125" s="57" t="s">
        <v>87</v>
      </c>
      <c r="E125" s="102" t="s">
        <v>89</v>
      </c>
      <c r="F125" s="102"/>
      <c r="G125" s="102" t="s">
        <v>88</v>
      </c>
      <c r="H125" s="103"/>
      <c r="I125" s="14" t="s">
        <v>138</v>
      </c>
      <c r="J125" s="28">
        <f ca="1">H123*25%</f>
        <v>5.5</v>
      </c>
      <c r="K125" s="63" t="s">
        <v>227</v>
      </c>
      <c r="L125" s="63"/>
      <c r="M125" s="63"/>
    </row>
    <row r="126" spans="1:13" x14ac:dyDescent="0.35">
      <c r="A126" s="102" t="s">
        <v>126</v>
      </c>
      <c r="B126" s="102"/>
      <c r="C126" s="73">
        <f ca="1">J127</f>
        <v>22</v>
      </c>
      <c r="D126" s="19">
        <f ca="1">((100/H123)*C126)/100</f>
        <v>1.0000000000000002</v>
      </c>
      <c r="E126" s="117">
        <f ca="1">(((C127/H123*10)+(40/(D123+F123+H123)*C128)+(7.5/(H123)*C129)+(7.5/(H123)*C130)+(10/H123*C131)+(10/H123*C132)+(5/H123*C133)+(5/H123*C134)+(5/H123*C135))/100)</f>
        <v>0.56855484189723315</v>
      </c>
      <c r="F126" s="117"/>
      <c r="G126" s="110">
        <f ca="1">((((C126/H123)*20)+((C127/H123)*25)+(30/(H123+F123+D123)*C128)+(5/H123*C129)+(5/H123*C130)+(5/H123*C131)+(5/H123*C132)+(0/H123*C133)+(0/H123*C134)+(5/H123*C135))/100)</f>
        <v>0.77944169960474297</v>
      </c>
      <c r="H126" s="110"/>
      <c r="I126" s="14" t="s">
        <v>100</v>
      </c>
      <c r="J126" s="29">
        <f ca="1">H123*50%</f>
        <v>11</v>
      </c>
    </row>
    <row r="127" spans="1:13" x14ac:dyDescent="0.35">
      <c r="A127" s="102" t="s">
        <v>53</v>
      </c>
      <c r="B127" s="102"/>
      <c r="C127" s="56">
        <v>22</v>
      </c>
      <c r="D127" s="19">
        <f ca="1">((100/H123)*C127)/100</f>
        <v>1.0000000000000002</v>
      </c>
      <c r="E127" s="117"/>
      <c r="F127" s="117"/>
      <c r="G127" s="110"/>
      <c r="H127" s="110"/>
      <c r="I127" s="14" t="s">
        <v>101</v>
      </c>
      <c r="J127" s="29">
        <f ca="1">H123</f>
        <v>22</v>
      </c>
    </row>
    <row r="128" spans="1:13" ht="15.75" customHeight="1" x14ac:dyDescent="0.35">
      <c r="A128" s="102" t="s">
        <v>127</v>
      </c>
      <c r="B128" s="102"/>
      <c r="C128" s="73">
        <v>18</v>
      </c>
      <c r="D128" s="19">
        <f ca="1">((100/(D123+F123+H123))*C128)/100</f>
        <v>0.78260869565217395</v>
      </c>
      <c r="E128" s="117"/>
      <c r="F128" s="117"/>
      <c r="G128" s="110"/>
      <c r="H128" s="110"/>
      <c r="I128" s="14" t="s">
        <v>102</v>
      </c>
      <c r="J128" s="30">
        <f ca="1">(IF(B123&gt;1,(H123/(B123+2)),H123/4))</f>
        <v>5.5</v>
      </c>
    </row>
    <row r="129" spans="1:13" ht="15.75" customHeight="1" x14ac:dyDescent="0.35">
      <c r="A129" s="102" t="s">
        <v>134</v>
      </c>
      <c r="B129" s="102" t="s">
        <v>128</v>
      </c>
      <c r="C129" s="73">
        <f>C128-1</f>
        <v>17</v>
      </c>
      <c r="D129" s="19">
        <f ca="1">((100/H123)*C129)/100</f>
        <v>0.77272727272727282</v>
      </c>
      <c r="E129" s="117"/>
      <c r="F129" s="117"/>
      <c r="G129" s="110"/>
      <c r="H129" s="110"/>
      <c r="I129" s="14" t="s">
        <v>103</v>
      </c>
      <c r="J129" s="30">
        <f ca="1">(IF(B123&gt;1,(H123/(B123+2)+J128),H123/4+J128))</f>
        <v>11</v>
      </c>
      <c r="K129" s="21">
        <f>23*0.1</f>
        <v>2.3000000000000003</v>
      </c>
    </row>
    <row r="130" spans="1:13" ht="15.75" customHeight="1" x14ac:dyDescent="0.35">
      <c r="A130" s="102" t="s">
        <v>135</v>
      </c>
      <c r="B130" s="102" t="s">
        <v>128</v>
      </c>
      <c r="C130" s="56">
        <f>C129*0.75</f>
        <v>12.75</v>
      </c>
      <c r="D130" s="19">
        <f ca="1">((100/H123)*C130)/100</f>
        <v>0.57954545454545459</v>
      </c>
      <c r="E130" s="117"/>
      <c r="F130" s="117"/>
      <c r="G130" s="110"/>
      <c r="H130" s="110"/>
      <c r="I130" s="14" t="s">
        <v>143</v>
      </c>
      <c r="J130" s="30">
        <f>(IF(B123&gt;1,(H123/(B123+2)+J129),0))</f>
        <v>0</v>
      </c>
    </row>
    <row r="131" spans="1:13" ht="15" customHeight="1" x14ac:dyDescent="0.35">
      <c r="A131" s="102" t="s">
        <v>133</v>
      </c>
      <c r="B131" s="102" t="s">
        <v>130</v>
      </c>
      <c r="C131" s="56">
        <f>C129*0.7</f>
        <v>11.899999999999999</v>
      </c>
      <c r="D131" s="19">
        <f ca="1">((100/(H123))*C131)/100</f>
        <v>0.54090909090909089</v>
      </c>
      <c r="E131" s="117"/>
      <c r="F131" s="117"/>
      <c r="G131" s="110"/>
      <c r="H131" s="110"/>
      <c r="I131" s="14" t="s">
        <v>140</v>
      </c>
      <c r="J131" s="30">
        <f>(IF(B123&gt;2,(H123/(B123+2)+J130),0))</f>
        <v>0</v>
      </c>
    </row>
    <row r="132" spans="1:13" ht="15.75" customHeight="1" x14ac:dyDescent="0.35">
      <c r="A132" s="102" t="s">
        <v>129</v>
      </c>
      <c r="B132" s="102" t="s">
        <v>129</v>
      </c>
      <c r="C132" s="56">
        <v>0</v>
      </c>
      <c r="D132" s="19">
        <f ca="1">((100/H123)*C132)/100</f>
        <v>0</v>
      </c>
      <c r="E132" s="117"/>
      <c r="F132" s="117"/>
      <c r="G132" s="110"/>
      <c r="H132" s="110"/>
      <c r="I132" s="14" t="s">
        <v>141</v>
      </c>
      <c r="J132" s="31">
        <f>(IF(B123&gt;3,(H123/(B123+2)+J131),0))</f>
        <v>0</v>
      </c>
    </row>
    <row r="133" spans="1:13" ht="15.75" customHeight="1" x14ac:dyDescent="0.35">
      <c r="A133" s="102" t="s">
        <v>136</v>
      </c>
      <c r="B133" s="102"/>
      <c r="C133" s="73">
        <v>0</v>
      </c>
      <c r="D133" s="19">
        <f ca="1">((100/H123)*C133)/100</f>
        <v>0</v>
      </c>
      <c r="E133" s="117"/>
      <c r="F133" s="117"/>
      <c r="G133" s="110"/>
      <c r="H133" s="110"/>
      <c r="I133" s="14" t="s">
        <v>142</v>
      </c>
      <c r="J133" s="30">
        <f>(IF(B123&gt;4,(H123/(B123+2)+J132),0))</f>
        <v>0</v>
      </c>
    </row>
    <row r="134" spans="1:13" ht="15.75" customHeight="1" x14ac:dyDescent="0.35">
      <c r="A134" s="102" t="s">
        <v>131</v>
      </c>
      <c r="B134" s="102" t="s">
        <v>131</v>
      </c>
      <c r="C134" s="73">
        <v>0</v>
      </c>
      <c r="D134" s="19">
        <f ca="1">((100/(H123))*C134)/100</f>
        <v>0</v>
      </c>
      <c r="E134" s="117"/>
      <c r="F134" s="117"/>
      <c r="G134" s="110"/>
      <c r="H134" s="110"/>
      <c r="I134" s="14" t="s">
        <v>144</v>
      </c>
      <c r="J134" s="30">
        <f ca="1">(IF(B123=1,(H123/(B123+3)+J129),IF(B123=0,(H123/4+J129),IF(B123&gt;1,0))))</f>
        <v>16.5</v>
      </c>
    </row>
    <row r="135" spans="1:13" ht="16" thickBot="1" x14ac:dyDescent="0.4">
      <c r="A135" s="102" t="s">
        <v>132</v>
      </c>
      <c r="B135" s="102"/>
      <c r="C135" s="73">
        <v>0</v>
      </c>
      <c r="D135" s="19">
        <f ca="1">((100/(H123))*C135)/100</f>
        <v>0</v>
      </c>
      <c r="E135" s="117"/>
      <c r="F135" s="117"/>
      <c r="G135" s="110"/>
      <c r="H135" s="110"/>
      <c r="I135" s="15" t="s">
        <v>104</v>
      </c>
      <c r="J135" s="32">
        <f ca="1">(IF(B123&gt;1.5,(H123/(B123+2)+J129+MAX(0,J130-J129)+MAX(0,J131-J130)+MAX(0,J132-J131)+MAX(0,J133-J132)+MAX(0,J134-J133)),IF(B123=1,(H123/(B123+3)+J134),IF(B123=0,H123/4+J134))))</f>
        <v>22</v>
      </c>
    </row>
    <row r="136" spans="1:13" ht="33" customHeight="1" x14ac:dyDescent="0.35">
      <c r="A136" s="116" t="s">
        <v>230</v>
      </c>
      <c r="B136" s="116"/>
      <c r="C136" s="116" t="s">
        <v>239</v>
      </c>
      <c r="D136" s="116"/>
      <c r="E136" s="116"/>
      <c r="F136" s="116"/>
      <c r="G136" s="116"/>
      <c r="H136" s="116"/>
      <c r="I136" s="72" t="str">
        <f ca="1">IF(D149=100%,"All work Completed. Possession granted to the Building.",IF(D148=100%,"All work Completed, Waiting for OC",I137&amp;""&amp;I138&amp;""&amp;J137&amp;""&amp;J136&amp;" "&amp;J138))</f>
        <v>Excavation, Plinth, RCC Slab, Brickwork Completed, Internal Plaster upto 16.5 Floor, External Plaster upto 15.4 Floor Completed</v>
      </c>
      <c r="J136" s="50" t="str">
        <f ca="1">(IF(C142=(D137+F137+H137),"",IF(C142&gt;0,", RCC upto "&amp;C142&amp;" Slab","")))&amp;(IF(C143=H137,"",IF(C143&gt;0,", Brickwork upto "&amp;C143&amp;" Floor","")))&amp;(IF(C144=H137,"",IF(C144&gt;0,", Internal Plaster upto "&amp;C144&amp;" Floor","")))&amp;(IF(C145=H137,"",IF(C145&gt;0,", External Plaster upto "&amp;C145&amp;" Floor","")))&amp;(IF(C146=H137,"",IF(C146&gt;0,", Flooring upto "&amp;C146&amp;" Floor","")))&amp;(IF(C147=H137,"",IF(C147&gt;0,", Painting upto "&amp;C147&amp;" Floor","")))&amp;(IF(C148=H137,"",IF(C148&gt;0,", Finishing upto "&amp;C148&amp;" Floor","")))&amp;(IF(C149=H137,"",IF(C149&gt;0,", Possession upto "&amp;C149&amp;" Floor","")))</f>
        <v>, Internal Plaster upto 16.5 Floor, External Plaster upto 15.4 Floor</v>
      </c>
    </row>
    <row r="137" spans="1:13" x14ac:dyDescent="0.35">
      <c r="A137" s="74" t="s">
        <v>139</v>
      </c>
      <c r="B137" s="74">
        <v>0</v>
      </c>
      <c r="C137" s="74" t="s">
        <v>76</v>
      </c>
      <c r="D137" s="74">
        <v>1</v>
      </c>
      <c r="E137" s="74" t="s">
        <v>75</v>
      </c>
      <c r="F137" s="74">
        <v>0</v>
      </c>
      <c r="G137" s="75" t="s">
        <v>84</v>
      </c>
      <c r="H137" s="74">
        <f ca="1">--TRIM(RIGHT(SUBSTITUTE(LEFT(C136,_xlfn.AGGREGATE(16,6,FIND({0,1,2,3,4,5,6,7,8,9},C136,ROW(INDIRECT("1:"&amp;LEN(C136)))),1))," ",REPT(" ",LEN(C136))),LEN(C136)))</f>
        <v>22</v>
      </c>
      <c r="I137" s="76" t="str">
        <f ca="1">IF(D140=100%,"Excavation","")&amp;IF(D141=100%,", Plinth","")&amp;IF(D142=100%,", RCC Slab","")&amp;IF(D143=100%,", Brickwork","")&amp;IF(D144=100%,", Internal Plaster","")&amp;IF(D145=100%,", External Plaster","")&amp;IF(D146=100%,", Flooring","")&amp;IF(D147=100%,", Painting","")&amp;IF(D148=100%,", Building common Amenities","")</f>
        <v>Excavation, Plinth, RCC Slab, Brickwork</v>
      </c>
      <c r="J137" s="52" t="str">
        <f ca="1">(IF(C140=0,"Work not yet Started.",IF(D140=25%,"Piling work in process",IF(D140=50%,"Excavation work in process",IF(D140=100%,"","0")))))&amp;(IF(C141=0%,"",IF(C141=J142,", Footing work is process",IF(C141=J143,", Footing work Completed",IF(C141=J144,", 1st Basement Completed",IF(C141=J145,", 1st &amp; 2nd Basement Completed",IF(C141=J146,", 1st to 3rd Basement Completed",IF(C141=J147,", 1st to 4th Basement Completed",IF(C141=J148,", Plinth work is process",IF(C141=J149,"","0"))))))))))</f>
        <v/>
      </c>
    </row>
    <row r="138" spans="1:13" ht="32.25" customHeight="1" x14ac:dyDescent="0.35">
      <c r="A138" s="98" t="s">
        <v>94</v>
      </c>
      <c r="B138" s="98"/>
      <c r="C138" s="99" t="str">
        <f ca="1">I136</f>
        <v>Excavation, Plinth, RCC Slab, Brickwork Completed, Internal Plaster upto 16.5 Floor, External Plaster upto 15.4 Floor Completed</v>
      </c>
      <c r="D138" s="99"/>
      <c r="E138" s="99"/>
      <c r="F138" s="99"/>
      <c r="G138" s="99"/>
      <c r="H138" s="99"/>
      <c r="I138" s="76" t="str">
        <f ca="1">IF(I137&lt;&gt;""," Completed","")</f>
        <v xml:space="preserve"> Completed</v>
      </c>
      <c r="J138" s="52" t="str">
        <f ca="1">IF(J136&lt;&gt;"","Completed","")</f>
        <v>Completed</v>
      </c>
    </row>
    <row r="139" spans="1:13" ht="15.75" customHeight="1" x14ac:dyDescent="0.35">
      <c r="A139" s="102" t="s">
        <v>52</v>
      </c>
      <c r="B139" s="102"/>
      <c r="C139" s="69" t="s">
        <v>137</v>
      </c>
      <c r="D139" s="69" t="s">
        <v>87</v>
      </c>
      <c r="E139" s="102" t="s">
        <v>89</v>
      </c>
      <c r="F139" s="102"/>
      <c r="G139" s="102" t="s">
        <v>88</v>
      </c>
      <c r="H139" s="102"/>
      <c r="I139" s="14" t="s">
        <v>138</v>
      </c>
      <c r="J139" s="28">
        <f ca="1">H137*25%</f>
        <v>5.5</v>
      </c>
      <c r="K139" s="63" t="s">
        <v>227</v>
      </c>
      <c r="L139" s="63"/>
      <c r="M139" s="63"/>
    </row>
    <row r="140" spans="1:13" x14ac:dyDescent="0.35">
      <c r="A140" s="102" t="s">
        <v>126</v>
      </c>
      <c r="B140" s="102"/>
      <c r="C140" s="73">
        <f ca="1">J141</f>
        <v>22</v>
      </c>
      <c r="D140" s="19">
        <f ca="1">((100/H137)*C140)/100</f>
        <v>1.0000000000000002</v>
      </c>
      <c r="E140" s="117">
        <f ca="1">(((C141/H137*10)+(40/(D137+F137+H137)*C142)+(7.5/(H137)*C143)+(7.5/(H137)*C144)+(10/H137*C145)+(10/H137*C146)+(5/H137*C147)+(5/H137*C148)+(5/H137*C149))/100)</f>
        <v>0.70125000000000004</v>
      </c>
      <c r="F140" s="117"/>
      <c r="G140" s="110">
        <f ca="1">((((C140/H137)*20)+((C141/H137)*25)+(30/(H137+F137+D137)*C142)+(5/H137*C143)+(5/H137*C144)+(5/H137*C145)+(5/H137*C146)+(0/H137*C147)+(0/H137*C148)+(5/H137*C149))/100)</f>
        <v>0.87250000000000005</v>
      </c>
      <c r="H140" s="110"/>
      <c r="I140" s="14" t="s">
        <v>100</v>
      </c>
      <c r="J140" s="29">
        <f ca="1">H137*50%</f>
        <v>11</v>
      </c>
    </row>
    <row r="141" spans="1:13" x14ac:dyDescent="0.35">
      <c r="A141" s="102" t="s">
        <v>53</v>
      </c>
      <c r="B141" s="102"/>
      <c r="C141" s="56">
        <v>22</v>
      </c>
      <c r="D141" s="19">
        <f ca="1">((100/H137)*C141)/100</f>
        <v>1.0000000000000002</v>
      </c>
      <c r="E141" s="117"/>
      <c r="F141" s="117"/>
      <c r="G141" s="110"/>
      <c r="H141" s="110"/>
      <c r="I141" s="14" t="s">
        <v>101</v>
      </c>
      <c r="J141" s="29">
        <f ca="1">H137</f>
        <v>22</v>
      </c>
    </row>
    <row r="142" spans="1:13" ht="15.75" customHeight="1" x14ac:dyDescent="0.35">
      <c r="A142" s="102" t="s">
        <v>127</v>
      </c>
      <c r="B142" s="102"/>
      <c r="C142" s="73">
        <v>23</v>
      </c>
      <c r="D142" s="19">
        <f ca="1">((100/(D137+F137+H137))*C142)/100</f>
        <v>1</v>
      </c>
      <c r="E142" s="117"/>
      <c r="F142" s="117"/>
      <c r="G142" s="110"/>
      <c r="H142" s="110"/>
      <c r="I142" s="14" t="s">
        <v>102</v>
      </c>
      <c r="J142" s="30">
        <f ca="1">(IF(B137&gt;1,(H137/(B137+2)),H137/4))</f>
        <v>5.5</v>
      </c>
    </row>
    <row r="143" spans="1:13" ht="15.75" customHeight="1" x14ac:dyDescent="0.35">
      <c r="A143" s="102" t="s">
        <v>134</v>
      </c>
      <c r="B143" s="102" t="s">
        <v>128</v>
      </c>
      <c r="C143" s="73">
        <f>C142-1</f>
        <v>22</v>
      </c>
      <c r="D143" s="19">
        <f ca="1">((100/H137)*C143)/100</f>
        <v>1.0000000000000002</v>
      </c>
      <c r="E143" s="117"/>
      <c r="F143" s="117"/>
      <c r="G143" s="110"/>
      <c r="H143" s="110"/>
      <c r="I143" s="14" t="s">
        <v>103</v>
      </c>
      <c r="J143" s="30">
        <f ca="1">(IF(B137&gt;1,(H137/(B137+2)+J142),H137/4+J142))</f>
        <v>11</v>
      </c>
    </row>
    <row r="144" spans="1:13" ht="15.75" customHeight="1" x14ac:dyDescent="0.35">
      <c r="A144" s="102" t="s">
        <v>135</v>
      </c>
      <c r="B144" s="102" t="s">
        <v>128</v>
      </c>
      <c r="C144" s="56">
        <f>C143*0.75</f>
        <v>16.5</v>
      </c>
      <c r="D144" s="19">
        <f ca="1">((100/H137)*C144)/100</f>
        <v>0.75</v>
      </c>
      <c r="E144" s="117"/>
      <c r="F144" s="117"/>
      <c r="G144" s="110"/>
      <c r="H144" s="110"/>
      <c r="I144" s="14" t="s">
        <v>143</v>
      </c>
      <c r="J144" s="30">
        <f>(IF(B137&gt;1,(H137/(B137+2)+J143),0))</f>
        <v>0</v>
      </c>
    </row>
    <row r="145" spans="1:12" ht="15" customHeight="1" x14ac:dyDescent="0.35">
      <c r="A145" s="102" t="s">
        <v>133</v>
      </c>
      <c r="B145" s="102" t="s">
        <v>130</v>
      </c>
      <c r="C145" s="56">
        <f>C143*0.7</f>
        <v>15.399999999999999</v>
      </c>
      <c r="D145" s="19">
        <f ca="1">((100/(H137))*C145)/100</f>
        <v>0.7</v>
      </c>
      <c r="E145" s="117"/>
      <c r="F145" s="117"/>
      <c r="G145" s="110"/>
      <c r="H145" s="110"/>
      <c r="I145" s="14" t="s">
        <v>140</v>
      </c>
      <c r="J145" s="30">
        <f>(IF(B137&gt;2,(H137/(B137+2)+J144),0))</f>
        <v>0</v>
      </c>
    </row>
    <row r="146" spans="1:12" ht="15.75" customHeight="1" x14ac:dyDescent="0.35">
      <c r="A146" s="102" t="s">
        <v>129</v>
      </c>
      <c r="B146" s="102" t="s">
        <v>129</v>
      </c>
      <c r="C146" s="73">
        <v>0</v>
      </c>
      <c r="D146" s="19">
        <f ca="1">((100/H137)*C146)/100</f>
        <v>0</v>
      </c>
      <c r="E146" s="117"/>
      <c r="F146" s="117"/>
      <c r="G146" s="110"/>
      <c r="H146" s="110"/>
      <c r="I146" s="14" t="s">
        <v>141</v>
      </c>
      <c r="J146" s="31">
        <f>(IF(B137&gt;3,(H137/(B137+2)+J145),0))</f>
        <v>0</v>
      </c>
    </row>
    <row r="147" spans="1:12" ht="15.75" customHeight="1" x14ac:dyDescent="0.35">
      <c r="A147" s="102" t="s">
        <v>136</v>
      </c>
      <c r="B147" s="102"/>
      <c r="C147" s="73">
        <v>0</v>
      </c>
      <c r="D147" s="19">
        <f ca="1">((100/H137)*C147)/100</f>
        <v>0</v>
      </c>
      <c r="E147" s="117"/>
      <c r="F147" s="117"/>
      <c r="G147" s="110"/>
      <c r="H147" s="110"/>
      <c r="I147" s="14" t="s">
        <v>142</v>
      </c>
      <c r="J147" s="30">
        <f>(IF(B137&gt;4,(H137/(B137+2)+J146),0))</f>
        <v>0</v>
      </c>
    </row>
    <row r="148" spans="1:12" ht="15.75" customHeight="1" x14ac:dyDescent="0.35">
      <c r="A148" s="102" t="s">
        <v>131</v>
      </c>
      <c r="B148" s="102" t="s">
        <v>131</v>
      </c>
      <c r="C148" s="73">
        <v>0</v>
      </c>
      <c r="D148" s="19">
        <f ca="1">((100/(H137))*C148)/100</f>
        <v>0</v>
      </c>
      <c r="E148" s="117"/>
      <c r="F148" s="117"/>
      <c r="G148" s="110"/>
      <c r="H148" s="110"/>
      <c r="I148" s="14" t="s">
        <v>144</v>
      </c>
      <c r="J148" s="30">
        <f ca="1">(IF(B137=1,(H137/(B137+3)+J143),IF(B137=0,(H137/4+J143),IF(B137&gt;1,0))))</f>
        <v>16.5</v>
      </c>
    </row>
    <row r="149" spans="1:12" ht="16" thickBot="1" x14ac:dyDescent="0.4">
      <c r="A149" s="102" t="s">
        <v>132</v>
      </c>
      <c r="B149" s="102"/>
      <c r="C149" s="73">
        <v>0</v>
      </c>
      <c r="D149" s="19">
        <f ca="1">((100/(H137))*C149)/100</f>
        <v>0</v>
      </c>
      <c r="E149" s="117"/>
      <c r="F149" s="117"/>
      <c r="G149" s="110"/>
      <c r="H149" s="110"/>
      <c r="I149" s="15" t="s">
        <v>104</v>
      </c>
      <c r="J149" s="32">
        <f ca="1">(IF(B137&gt;1.5,(H137/(B137+2)+J143+MAX(0,J144-J143)+MAX(0,J145-J144)+MAX(0,J146-J145)+MAX(0,J147-J146)+MAX(0,J148-J147)),IF(B137=1,(H137/(B137+3)+J148),IF(B137=0,H137/4+J148))))</f>
        <v>22</v>
      </c>
    </row>
    <row r="150" spans="1:12" ht="33.75" customHeight="1" x14ac:dyDescent="0.35">
      <c r="A150" s="116" t="s">
        <v>230</v>
      </c>
      <c r="B150" s="116"/>
      <c r="C150" s="116" t="s">
        <v>235</v>
      </c>
      <c r="D150" s="116"/>
      <c r="E150" s="116"/>
      <c r="F150" s="116"/>
      <c r="G150" s="116"/>
      <c r="H150" s="116"/>
      <c r="I150" s="72" t="str">
        <f ca="1">IF(D163=100%,"All work Completed. Possession granted to the Building.",IF(D162=100%,"All work Completed, Waiting for OC",I151&amp;""&amp;I152&amp;""&amp;J151&amp;""&amp;J150&amp;" "&amp;J152))</f>
        <v>Excavation, Plinth, RCC Slab, Brickwork Completed, Internal Plaster upto 20 Floor, External Plaster upto 20 Floor Completed</v>
      </c>
      <c r="J150" s="50" t="str">
        <f ca="1">(IF(C156=(D151+F151+H151),"",IF(C156&gt;0,", RCC upto "&amp;C156&amp;" Slab","")))&amp;(IF(C157=H151,"",IF(C157&gt;0,", Brickwork upto "&amp;C157&amp;" Floor","")))&amp;(IF(C158=H151,"",IF(C158&gt;0,", Internal Plaster upto "&amp;C158&amp;" Floor","")))&amp;(IF(C159=H151,"",IF(C159&gt;0,", External Plaster upto "&amp;C159&amp;" Floor","")))&amp;(IF(C160=H151,"",IF(C160&gt;0,", Flooring upto "&amp;C160&amp;" Floor","")))&amp;(IF(C161=H151,"",IF(C161&gt;0,", Painting upto "&amp;C161&amp;" Floor","")))&amp;(IF(C162=H151,"",IF(C162&gt;0,", Finishing upto "&amp;C162&amp;" Floor","")))&amp;(IF(C163=H151,"",IF(C163&gt;0,", Possession upto "&amp;C163&amp;" Floor","")))</f>
        <v>, Internal Plaster upto 20 Floor, External Plaster upto 20 Floor</v>
      </c>
    </row>
    <row r="151" spans="1:12" x14ac:dyDescent="0.35">
      <c r="A151" s="74" t="s">
        <v>139</v>
      </c>
      <c r="B151" s="74">
        <v>0</v>
      </c>
      <c r="C151" s="74" t="s">
        <v>76</v>
      </c>
      <c r="D151" s="74">
        <v>1</v>
      </c>
      <c r="E151" s="74" t="s">
        <v>75</v>
      </c>
      <c r="F151" s="74">
        <v>0</v>
      </c>
      <c r="G151" s="75" t="s">
        <v>84</v>
      </c>
      <c r="H151" s="74">
        <f ca="1">--TRIM(RIGHT(SUBSTITUTE(LEFT(C150,_xlfn.AGGREGATE(16,6,FIND({0,1,2,3,4,5,6,7,8,9},C150,ROW(INDIRECT("1:"&amp;LEN(C150)))),1))," ",REPT(" ",LEN(C150))),LEN(C150)))</f>
        <v>22</v>
      </c>
      <c r="I151" s="76" t="str">
        <f ca="1">IF(D154=100%,"Excavation","")&amp;IF(D155=100%,", Plinth","")&amp;IF(D156=100%,", RCC Slab","")&amp;IF(D157=100%,", Brickwork","")&amp;IF(D158=100%,", Internal Plaster","")&amp;IF(D159=100%,", External Plaster","")&amp;IF(D160=100%,", Flooring","")&amp;IF(D161=100%,", Painting","")&amp;IF(D162=100%,", Building common Amenities","")</f>
        <v>Excavation, Plinth, RCC Slab, Brickwork</v>
      </c>
      <c r="J151" s="52" t="str">
        <f ca="1">(IF(C154=0,"Work not yet Started.",IF(D154=25%,"Piling work in process",IF(D154=50%,"Excavation work in process",IF(D154=100%,"","0")))))&amp;(IF(C155=0%,"",IF(C155=J156,", Footing work is process",IF(C155=J157,", Footing work Completed",IF(C155=J158,", 1st Basement Completed",IF(C155=J159,", 1st &amp; 2nd Basement Completed",IF(C155=J160,", 1st to 3rd Basement Completed",IF(C155=J161,", 1st to 4th Basement Completed",IF(C155=J162,", Plinth work is process",IF(C155=J163,"","0"))))))))))</f>
        <v/>
      </c>
    </row>
    <row r="152" spans="1:12" ht="33" customHeight="1" x14ac:dyDescent="0.35">
      <c r="A152" s="98" t="s">
        <v>94</v>
      </c>
      <c r="B152" s="98"/>
      <c r="C152" s="99" t="str">
        <f ca="1">I150</f>
        <v>Excavation, Plinth, RCC Slab, Brickwork Completed, Internal Plaster upto 20 Floor, External Plaster upto 20 Floor Completed</v>
      </c>
      <c r="D152" s="99"/>
      <c r="E152" s="99"/>
      <c r="F152" s="99"/>
      <c r="G152" s="99"/>
      <c r="H152" s="99"/>
      <c r="I152" s="76" t="str">
        <f ca="1">IF(I151&lt;&gt;""," Completed","")</f>
        <v xml:space="preserve"> Completed</v>
      </c>
      <c r="J152" s="52" t="str">
        <f ca="1">IF(J150&lt;&gt;"","Completed","")</f>
        <v>Completed</v>
      </c>
      <c r="L152" s="22" t="s">
        <v>243</v>
      </c>
    </row>
    <row r="153" spans="1:12" ht="15.75" customHeight="1" x14ac:dyDescent="0.35">
      <c r="A153" s="101" t="s">
        <v>52</v>
      </c>
      <c r="B153" s="102"/>
      <c r="C153" s="61" t="s">
        <v>137</v>
      </c>
      <c r="D153" s="61" t="s">
        <v>87</v>
      </c>
      <c r="E153" s="102" t="s">
        <v>89</v>
      </c>
      <c r="F153" s="102"/>
      <c r="G153" s="102" t="s">
        <v>88</v>
      </c>
      <c r="H153" s="103"/>
      <c r="I153" s="14" t="s">
        <v>138</v>
      </c>
      <c r="J153" s="28">
        <f ca="1">H151*25%</f>
        <v>5.5</v>
      </c>
    </row>
    <row r="154" spans="1:12" x14ac:dyDescent="0.35">
      <c r="A154" s="102" t="s">
        <v>126</v>
      </c>
      <c r="B154" s="102"/>
      <c r="C154" s="73">
        <f ca="1">J155</f>
        <v>22</v>
      </c>
      <c r="D154" s="19">
        <f ca="1">((100/H151)*C154)/100</f>
        <v>1.0000000000000002</v>
      </c>
      <c r="E154" s="117">
        <f ca="1">(((C155/H151*10)+(40/(D151+F151+H151)*C156)+(7.5/(H151)*C157)+(7.5/(H151)*C158)+(10/H151*C159)+(10/H151*C160)+(5/H151*C161)+(5/H151*C162)+(5/H151*C163))/100)</f>
        <v>0.73409090909090902</v>
      </c>
      <c r="F154" s="117"/>
      <c r="G154" s="117">
        <f ca="1">((((C154/H151)*20)+((C155/H151)*25)+(30/(H151+F151+D151)*C156)+(5/H151*C157)+(5/H151*C158)+(5/H151*C159)+(5/H151*C160)+(0/H151*C161)+(0/H151*C162)+(5/H151*C163))/100)</f>
        <v>0.89090909090909098</v>
      </c>
      <c r="H154" s="117"/>
      <c r="I154" s="14" t="s">
        <v>100</v>
      </c>
      <c r="J154" s="29">
        <f ca="1">H151*50%</f>
        <v>11</v>
      </c>
    </row>
    <row r="155" spans="1:12" x14ac:dyDescent="0.35">
      <c r="A155" s="102" t="s">
        <v>53</v>
      </c>
      <c r="B155" s="102"/>
      <c r="C155" s="56">
        <f ca="1">J163</f>
        <v>22</v>
      </c>
      <c r="D155" s="19">
        <f ca="1">((100/H151)*C155)/100</f>
        <v>1.0000000000000002</v>
      </c>
      <c r="E155" s="117"/>
      <c r="F155" s="117"/>
      <c r="G155" s="117"/>
      <c r="H155" s="117"/>
      <c r="I155" s="14" t="s">
        <v>101</v>
      </c>
      <c r="J155" s="29">
        <f ca="1">H151</f>
        <v>22</v>
      </c>
    </row>
    <row r="156" spans="1:12" ht="15.75" customHeight="1" x14ac:dyDescent="0.35">
      <c r="A156" s="102" t="s">
        <v>127</v>
      </c>
      <c r="B156" s="102"/>
      <c r="C156" s="56">
        <v>23</v>
      </c>
      <c r="D156" s="19">
        <f ca="1">((100/(D151+F151+H151))*C156)/100</f>
        <v>1</v>
      </c>
      <c r="E156" s="117"/>
      <c r="F156" s="117"/>
      <c r="G156" s="117"/>
      <c r="H156" s="117"/>
      <c r="I156" s="14" t="s">
        <v>102</v>
      </c>
      <c r="J156" s="30">
        <f ca="1">(IF(B151&gt;1,(H151/(B151+2)),H151/4))</f>
        <v>5.5</v>
      </c>
      <c r="L156" s="21">
        <f>23*0.45</f>
        <v>10.35</v>
      </c>
    </row>
    <row r="157" spans="1:12" ht="15.75" customHeight="1" x14ac:dyDescent="0.35">
      <c r="A157" s="102" t="s">
        <v>134</v>
      </c>
      <c r="B157" s="102" t="s">
        <v>128</v>
      </c>
      <c r="C157" s="56">
        <f>C156-1</f>
        <v>22</v>
      </c>
      <c r="D157" s="19">
        <f ca="1">((100/H151)*C157)/100</f>
        <v>1.0000000000000002</v>
      </c>
      <c r="E157" s="117"/>
      <c r="F157" s="117"/>
      <c r="G157" s="117"/>
      <c r="H157" s="117"/>
      <c r="I157" s="14" t="s">
        <v>103</v>
      </c>
      <c r="J157" s="30">
        <f ca="1">(IF(B151&gt;1,(H151/(B151+2)+J156),H151/4+J156))</f>
        <v>11</v>
      </c>
    </row>
    <row r="158" spans="1:12" ht="15.75" customHeight="1" x14ac:dyDescent="0.35">
      <c r="A158" s="102" t="s">
        <v>135</v>
      </c>
      <c r="B158" s="102" t="s">
        <v>128</v>
      </c>
      <c r="C158" s="56">
        <v>20</v>
      </c>
      <c r="D158" s="19">
        <f ca="1">((100/H151)*C158)/100</f>
        <v>0.90909090909090917</v>
      </c>
      <c r="E158" s="117"/>
      <c r="F158" s="117"/>
      <c r="G158" s="117"/>
      <c r="H158" s="117"/>
      <c r="I158" s="14" t="s">
        <v>143</v>
      </c>
      <c r="J158" s="30">
        <f>(IF(B151&gt;1,(H151/(B151+2)+J157),0))</f>
        <v>0</v>
      </c>
    </row>
    <row r="159" spans="1:12" ht="15" customHeight="1" x14ac:dyDescent="0.35">
      <c r="A159" s="102" t="s">
        <v>133</v>
      </c>
      <c r="B159" s="102" t="s">
        <v>130</v>
      </c>
      <c r="C159" s="56">
        <f>C158</f>
        <v>20</v>
      </c>
      <c r="D159" s="19">
        <f ca="1">((100/(H151))*C159)/100</f>
        <v>0.90909090909090917</v>
      </c>
      <c r="E159" s="117"/>
      <c r="F159" s="117"/>
      <c r="G159" s="117"/>
      <c r="H159" s="117"/>
      <c r="I159" s="14" t="s">
        <v>140</v>
      </c>
      <c r="J159" s="30">
        <f>(IF(B151&gt;2,(H151/(B151+2)+J158),0))</f>
        <v>0</v>
      </c>
    </row>
    <row r="160" spans="1:12" ht="15.75" customHeight="1" x14ac:dyDescent="0.35">
      <c r="A160" s="102" t="s">
        <v>129</v>
      </c>
      <c r="B160" s="102" t="s">
        <v>129</v>
      </c>
      <c r="C160" s="73">
        <v>0</v>
      </c>
      <c r="D160" s="19">
        <f ca="1">((100/H151)*C160)/100</f>
        <v>0</v>
      </c>
      <c r="E160" s="117"/>
      <c r="F160" s="117"/>
      <c r="G160" s="117"/>
      <c r="H160" s="117"/>
      <c r="I160" s="14" t="s">
        <v>141</v>
      </c>
      <c r="J160" s="31">
        <f>(IF(B151&gt;3,(H151/(B151+2)+J159),0))</f>
        <v>0</v>
      </c>
    </row>
    <row r="161" spans="1:12" ht="15.75" customHeight="1" x14ac:dyDescent="0.35">
      <c r="A161" s="102" t="s">
        <v>136</v>
      </c>
      <c r="B161" s="102"/>
      <c r="C161" s="73">
        <v>0</v>
      </c>
      <c r="D161" s="19">
        <f ca="1">((100/H151)*C161)/100</f>
        <v>0</v>
      </c>
      <c r="E161" s="117"/>
      <c r="F161" s="117"/>
      <c r="G161" s="117"/>
      <c r="H161" s="117"/>
      <c r="I161" s="14" t="s">
        <v>142</v>
      </c>
      <c r="J161" s="30">
        <f>(IF(B151&gt;4,(H151/(B151+2)+J160),0))</f>
        <v>0</v>
      </c>
    </row>
    <row r="162" spans="1:12" ht="15.75" customHeight="1" x14ac:dyDescent="0.35">
      <c r="A162" s="102" t="s">
        <v>131</v>
      </c>
      <c r="B162" s="102" t="s">
        <v>131</v>
      </c>
      <c r="C162" s="73">
        <v>0</v>
      </c>
      <c r="D162" s="19">
        <f ca="1">((100/(H151))*C162)/100</f>
        <v>0</v>
      </c>
      <c r="E162" s="117"/>
      <c r="F162" s="117"/>
      <c r="G162" s="117"/>
      <c r="H162" s="117"/>
      <c r="I162" s="14" t="s">
        <v>144</v>
      </c>
      <c r="J162" s="30">
        <f ca="1">(IF(B151=1,(H151/(B151+3)+J157),IF(B151=0,(H151/4+J157),IF(B151&gt;1,0))))</f>
        <v>16.5</v>
      </c>
    </row>
    <row r="163" spans="1:12" ht="16" thickBot="1" x14ac:dyDescent="0.4">
      <c r="A163" s="102" t="s">
        <v>132</v>
      </c>
      <c r="B163" s="102"/>
      <c r="C163" s="73">
        <v>0</v>
      </c>
      <c r="D163" s="19">
        <f ca="1">((100/(H151))*C163)/100</f>
        <v>0</v>
      </c>
      <c r="E163" s="117"/>
      <c r="F163" s="117"/>
      <c r="G163" s="117"/>
      <c r="H163" s="117"/>
      <c r="I163" s="15" t="s">
        <v>104</v>
      </c>
      <c r="J163" s="32">
        <f ca="1">(IF(B151&gt;1.5,(H151/(B151+2)+J157+MAX(0,J158-J157)+MAX(0,J159-J158)+MAX(0,J160-J159)+MAX(0,J161-J160)+MAX(0,J162-J161)),IF(B151=1,(H151/(B151+3)+J162),IF(B151=0,H151/4+J162))))</f>
        <v>22</v>
      </c>
    </row>
    <row r="164" spans="1:12" ht="34.5" customHeight="1" x14ac:dyDescent="0.35">
      <c r="A164" s="116" t="s">
        <v>230</v>
      </c>
      <c r="B164" s="116"/>
      <c r="C164" s="116" t="s">
        <v>240</v>
      </c>
      <c r="D164" s="116"/>
      <c r="E164" s="116"/>
      <c r="F164" s="116"/>
      <c r="G164" s="116"/>
      <c r="H164" s="116"/>
      <c r="I164" s="72" t="str">
        <f ca="1">IF(D178=100%,"All work Completed. Possession granted to the Building.",IF(D177=100%,"All work Completed, Waiting for OC",I165&amp;""&amp;I166&amp;""&amp;J165&amp;""&amp;J164&amp;" "&amp;J166))</f>
        <v>All work Completed. Possession granted to the Building.</v>
      </c>
      <c r="J164" s="50" t="str">
        <f ca="1">(IF(C171=(D165+F165+H165),"",IF(C171&gt;0,", RCC upto "&amp;C171&amp;" Slab","")))&amp;(IF(C172=H165,"",IF(C172&gt;0,", Brickwork upto "&amp;C172&amp;" Floor","")))&amp;(IF(C173=H165,"",IF(C173&gt;0,", Internal Plaster upto "&amp;C173&amp;" Floor","")))&amp;(IF(C174=H165,"",IF(C174&gt;0,", External Plaster upto "&amp;C174&amp;" Floor","")))&amp;(IF(C175=H165,"",IF(C175&gt;0,", Flooring upto "&amp;C175&amp;" Floor","")))&amp;(IF(C176=H165,"",IF(C176&gt;0,", Painting upto "&amp;C176&amp;" Floor","")))&amp;(IF(C177=H165,"",IF(C177&gt;0,", Finishing upto "&amp;C177&amp;" Floor","")))&amp;(IF(C178=H165,"",IF(C178&gt;0,", Possession upto "&amp;C178&amp;" Floor","")))</f>
        <v/>
      </c>
    </row>
    <row r="165" spans="1:12" x14ac:dyDescent="0.35">
      <c r="A165" s="74" t="s">
        <v>139</v>
      </c>
      <c r="B165" s="74">
        <v>0</v>
      </c>
      <c r="C165" s="74" t="s">
        <v>76</v>
      </c>
      <c r="D165" s="74">
        <v>1</v>
      </c>
      <c r="E165" s="74" t="s">
        <v>75</v>
      </c>
      <c r="F165" s="74">
        <v>0</v>
      </c>
      <c r="G165" s="75" t="s">
        <v>84</v>
      </c>
      <c r="H165" s="74">
        <f ca="1">--TRIM(RIGHT(SUBSTITUTE(LEFT(C164,_xlfn.AGGREGATE(16,6,FIND({0,1,2,3,4,5,6,7,8,9},C164,ROW(INDIRECT("1:"&amp;LEN(C164)))),1))," ",REPT(" ",LEN(C164))),LEN(C164)))</f>
        <v>22</v>
      </c>
      <c r="I165" s="76" t="str">
        <f ca="1">IF(D169=100%,"Excavation","")&amp;IF(D170=100%,", Plinth","")&amp;IF(D171=100%,", RCC Slab","")&amp;IF(D172=100%,", Brickwork","")&amp;IF(D173=100%,", Internal Plaster","")&amp;IF(D174=100%,", External Plaster","")&amp;IF(D175=100%,", Flooring","")&amp;IF(D176=100%,", Painting","")&amp;IF(D177=100%,", Building common Amenities","")</f>
        <v>Excavation, Plinth, RCC Slab, Brickwork, Internal Plaster, External Plaster, Flooring, Painting, Building common Amenities</v>
      </c>
      <c r="J165" s="52" t="str">
        <f ca="1">(IF(C169=0,"Work not yet Started.",IF(D169=25%,"Piling work in process",IF(D169=50%,"Excavation work in process",IF(D169=100%,"","0")))))&amp;(IF(C170=0%,"",IF(C170=J171,", Footing work is process",IF(C170=J172,", Footing work Completed",IF(C170=J173,", 1st Basement Completed",IF(C170=J174,", 1st &amp; 2nd Basement Completed",IF(C170=J175,", 1st to 3rd Basement Completed",IF(C170=J176,", 1st to 4th Basement Completed",IF(C170=J177,", Plinth work is process",IF(C170=J178,"","0"))))))))))</f>
        <v/>
      </c>
    </row>
    <row r="166" spans="1:12" ht="18.5" customHeight="1" x14ac:dyDescent="0.35">
      <c r="A166" s="216" t="s">
        <v>94</v>
      </c>
      <c r="B166" s="216"/>
      <c r="C166" s="217" t="str">
        <f ca="1">I164</f>
        <v>All work Completed. Possession granted to the Building.</v>
      </c>
      <c r="D166" s="217"/>
      <c r="E166" s="217"/>
      <c r="F166" s="217"/>
      <c r="G166" s="217"/>
      <c r="H166" s="217"/>
      <c r="I166" s="76" t="str">
        <f ca="1">IF(I165&lt;&gt;""," Completed","")</f>
        <v xml:space="preserve"> Completed</v>
      </c>
      <c r="J166" s="52" t="str">
        <f ca="1">IF(J164&lt;&gt;"","Completed","")</f>
        <v/>
      </c>
    </row>
    <row r="167" spans="1:12" ht="32.25" customHeight="1" x14ac:dyDescent="0.35">
      <c r="A167" s="80" t="s">
        <v>89</v>
      </c>
      <c r="B167" s="80"/>
      <c r="C167" s="82">
        <f ca="1">E169</f>
        <v>1</v>
      </c>
      <c r="D167" s="82"/>
      <c r="E167" s="80" t="s">
        <v>88</v>
      </c>
      <c r="F167" s="80"/>
      <c r="G167" s="81">
        <f ca="1">G169</f>
        <v>1</v>
      </c>
      <c r="H167" s="81"/>
      <c r="I167" s="14" t="s">
        <v>138</v>
      </c>
      <c r="J167" s="28">
        <f ca="1">H165*25%</f>
        <v>5.5</v>
      </c>
    </row>
    <row r="168" spans="1:12" ht="15.75" hidden="1" customHeight="1" x14ac:dyDescent="0.35">
      <c r="A168" s="218" t="s">
        <v>52</v>
      </c>
      <c r="B168" s="218"/>
      <c r="C168" s="79" t="s">
        <v>137</v>
      </c>
      <c r="D168" s="79" t="s">
        <v>87</v>
      </c>
      <c r="E168" s="218" t="s">
        <v>89</v>
      </c>
      <c r="F168" s="218"/>
      <c r="G168" s="218" t="s">
        <v>88</v>
      </c>
      <c r="H168" s="218"/>
      <c r="I168" s="14" t="s">
        <v>138</v>
      </c>
      <c r="J168" s="28">
        <f ca="1">H165*25%</f>
        <v>5.5</v>
      </c>
    </row>
    <row r="169" spans="1:12" hidden="1" x14ac:dyDescent="0.35">
      <c r="A169" s="102" t="s">
        <v>126</v>
      </c>
      <c r="B169" s="102"/>
      <c r="C169" s="73">
        <f ca="1">J170</f>
        <v>22</v>
      </c>
      <c r="D169" s="19">
        <f ca="1">((100/H165)*C169)/100</f>
        <v>1.0000000000000002</v>
      </c>
      <c r="E169" s="117">
        <f ca="1">(((C170/H165*10)+(40/(D165+F165+H165)*C171)+(7.5/(H165)*C172)+(7.5/(H165)*C173)+(10/H165*C174)+(10/H165*C175)+(5/H165*C176)+(5/H165*C177)+(5/H165*C178))/100)</f>
        <v>1</v>
      </c>
      <c r="F169" s="117"/>
      <c r="G169" s="110">
        <f ca="1">((((C169/H165)*20)+((C170/H165)*25)+(30/(H165+F165+D165)*C171)+(5/H165*C172)+(5/H165*C173)+(5/H165*C174)+(5/H165*C175)+(0/H165*C176)+(0/H165*C177)+(5/H165*C178))/100)</f>
        <v>1</v>
      </c>
      <c r="H169" s="110"/>
      <c r="I169" s="14" t="s">
        <v>100</v>
      </c>
      <c r="J169" s="29">
        <f ca="1">H165*50%</f>
        <v>11</v>
      </c>
    </row>
    <row r="170" spans="1:12" hidden="1" x14ac:dyDescent="0.35">
      <c r="A170" s="102" t="s">
        <v>53</v>
      </c>
      <c r="B170" s="102"/>
      <c r="C170" s="56">
        <f ca="1">J178</f>
        <v>22</v>
      </c>
      <c r="D170" s="19">
        <f ca="1">((100/H165)*C170)/100</f>
        <v>1.0000000000000002</v>
      </c>
      <c r="E170" s="117"/>
      <c r="F170" s="117"/>
      <c r="G170" s="110"/>
      <c r="H170" s="110"/>
      <c r="I170" s="14" t="s">
        <v>101</v>
      </c>
      <c r="J170" s="29">
        <f ca="1">H165</f>
        <v>22</v>
      </c>
    </row>
    <row r="171" spans="1:12" ht="15.75" hidden="1" customHeight="1" x14ac:dyDescent="0.35">
      <c r="A171" s="102" t="s">
        <v>127</v>
      </c>
      <c r="B171" s="102"/>
      <c r="C171" s="73">
        <v>23</v>
      </c>
      <c r="D171" s="19">
        <f ca="1">((100/(D165+F165+H165))*C171)/100</f>
        <v>1</v>
      </c>
      <c r="E171" s="117"/>
      <c r="F171" s="117"/>
      <c r="G171" s="110"/>
      <c r="H171" s="110"/>
      <c r="I171" s="14" t="s">
        <v>102</v>
      </c>
      <c r="J171" s="30">
        <f ca="1">(IF(B165&gt;1,(H165/(B165+2)),H165/4))</f>
        <v>5.5</v>
      </c>
      <c r="K171" s="21">
        <f>(22/100)*10</f>
        <v>2.2000000000000002</v>
      </c>
      <c r="L171" s="21">
        <f>22*0.1</f>
        <v>2.2000000000000002</v>
      </c>
    </row>
    <row r="172" spans="1:12" ht="15.75" hidden="1" customHeight="1" x14ac:dyDescent="0.35">
      <c r="A172" s="102" t="s">
        <v>134</v>
      </c>
      <c r="B172" s="102" t="s">
        <v>128</v>
      </c>
      <c r="C172" s="73">
        <f>C171-1</f>
        <v>22</v>
      </c>
      <c r="D172" s="19">
        <f ca="1">((100/H165)*C172)/100</f>
        <v>1.0000000000000002</v>
      </c>
      <c r="E172" s="117"/>
      <c r="F172" s="117"/>
      <c r="G172" s="110"/>
      <c r="H172" s="110"/>
      <c r="I172" s="14" t="s">
        <v>103</v>
      </c>
      <c r="J172" s="30">
        <f ca="1">(IF(B165&gt;1,(H165/(B165+2)+J171),H165/4+J171))</f>
        <v>11</v>
      </c>
    </row>
    <row r="173" spans="1:12" ht="15.75" hidden="1" customHeight="1" x14ac:dyDescent="0.35">
      <c r="A173" s="102" t="s">
        <v>135</v>
      </c>
      <c r="B173" s="102" t="s">
        <v>128</v>
      </c>
      <c r="C173" s="56">
        <v>22</v>
      </c>
      <c r="D173" s="19">
        <f ca="1">((100/H165)*C173)/100</f>
        <v>1.0000000000000002</v>
      </c>
      <c r="E173" s="117"/>
      <c r="F173" s="117"/>
      <c r="G173" s="110"/>
      <c r="H173" s="110"/>
      <c r="I173" s="14" t="s">
        <v>143</v>
      </c>
      <c r="J173" s="30">
        <f>(IF(B165&gt;1,(H165/(B165+2)+J172),0))</f>
        <v>0</v>
      </c>
    </row>
    <row r="174" spans="1:12" ht="15" hidden="1" customHeight="1" x14ac:dyDescent="0.35">
      <c r="A174" s="102" t="s">
        <v>133</v>
      </c>
      <c r="B174" s="102" t="s">
        <v>130</v>
      </c>
      <c r="C174" s="56">
        <v>22</v>
      </c>
      <c r="D174" s="19">
        <f ca="1">((100/(H165))*C174)/100</f>
        <v>1.0000000000000002</v>
      </c>
      <c r="E174" s="117"/>
      <c r="F174" s="117"/>
      <c r="G174" s="110"/>
      <c r="H174" s="110"/>
      <c r="I174" s="14" t="s">
        <v>140</v>
      </c>
      <c r="J174" s="30">
        <f>(IF(B165&gt;2,(H165/(B165+2)+J173),0))</f>
        <v>0</v>
      </c>
    </row>
    <row r="175" spans="1:12" ht="15.75" hidden="1" customHeight="1" x14ac:dyDescent="0.35">
      <c r="A175" s="102" t="s">
        <v>129</v>
      </c>
      <c r="B175" s="102" t="s">
        <v>129</v>
      </c>
      <c r="C175" s="56">
        <v>22</v>
      </c>
      <c r="D175" s="19">
        <f ca="1">((100/H165)*C175)/100</f>
        <v>1.0000000000000002</v>
      </c>
      <c r="E175" s="117"/>
      <c r="F175" s="117"/>
      <c r="G175" s="110"/>
      <c r="H175" s="110"/>
      <c r="I175" s="14" t="s">
        <v>141</v>
      </c>
      <c r="J175" s="31">
        <f>(IF(B165&gt;3,(H165/(B165+2)+J174),0))</f>
        <v>0</v>
      </c>
    </row>
    <row r="176" spans="1:12" ht="15.75" hidden="1" customHeight="1" x14ac:dyDescent="0.35">
      <c r="A176" s="102" t="s">
        <v>136</v>
      </c>
      <c r="B176" s="102"/>
      <c r="C176" s="56">
        <v>22</v>
      </c>
      <c r="D176" s="19">
        <f ca="1">((100/H165)*C176)/100</f>
        <v>1.0000000000000002</v>
      </c>
      <c r="E176" s="117"/>
      <c r="F176" s="117"/>
      <c r="G176" s="110"/>
      <c r="H176" s="110"/>
      <c r="I176" s="14" t="s">
        <v>142</v>
      </c>
      <c r="J176" s="30">
        <f>(IF(B165&gt;4,(H165/(B165+2)+J175),0))</f>
        <v>0</v>
      </c>
    </row>
    <row r="177" spans="1:12" ht="15.75" hidden="1" customHeight="1" x14ac:dyDescent="0.35">
      <c r="A177" s="102" t="s">
        <v>131</v>
      </c>
      <c r="B177" s="102" t="s">
        <v>131</v>
      </c>
      <c r="C177" s="56">
        <v>22</v>
      </c>
      <c r="D177" s="19">
        <f ca="1">((100/(H165))*C177)/100</f>
        <v>1.0000000000000002</v>
      </c>
      <c r="E177" s="117"/>
      <c r="F177" s="117"/>
      <c r="G177" s="110"/>
      <c r="H177" s="110"/>
      <c r="I177" s="14" t="s">
        <v>144</v>
      </c>
      <c r="J177" s="30">
        <f ca="1">(IF(B165=1,(H165/(B165+3)+J172),IF(B165=0,(H165/4+J172),IF(B165&gt;1,0))))</f>
        <v>16.5</v>
      </c>
    </row>
    <row r="178" spans="1:12" ht="16" hidden="1" thickBot="1" x14ac:dyDescent="0.4">
      <c r="A178" s="102" t="s">
        <v>132</v>
      </c>
      <c r="B178" s="102"/>
      <c r="C178" s="73">
        <v>22</v>
      </c>
      <c r="D178" s="19">
        <f ca="1">((100/(H165))*C178)/100</f>
        <v>1.0000000000000002</v>
      </c>
      <c r="E178" s="117"/>
      <c r="F178" s="117"/>
      <c r="G178" s="110"/>
      <c r="H178" s="110"/>
      <c r="I178" s="15" t="s">
        <v>104</v>
      </c>
      <c r="J178" s="32">
        <f ca="1">(IF(B165&gt;1.5,(H165/(B165+2)+J172+MAX(0,J173-J172)+MAX(0,J174-J173)+MAX(0,J175-J174)+MAX(0,J176-J175)+MAX(0,J177-J176)),IF(B165=1,(H165/(B165+3)+J177),IF(B165=0,H165/4+J177))))</f>
        <v>22</v>
      </c>
    </row>
    <row r="179" spans="1:12" ht="34.5" hidden="1" customHeight="1" x14ac:dyDescent="0.35">
      <c r="A179" s="92" t="s">
        <v>230</v>
      </c>
      <c r="B179" s="93"/>
      <c r="C179" s="94" t="s">
        <v>238</v>
      </c>
      <c r="D179" s="95"/>
      <c r="E179" s="95"/>
      <c r="F179" s="95"/>
      <c r="G179" s="95"/>
      <c r="H179" s="96"/>
      <c r="I179" s="49" t="str">
        <f ca="1">IF(D192=100%,"All work Completed. Possession granted to the Building.",IF(D191=100%,"All work Completed, Waiting for OC",I180&amp;""&amp;I181&amp;""&amp;J180&amp;""&amp;J179&amp;" "&amp;J181))</f>
        <v>Excavation, Plinth Completed, RCC upto 21 Slab, Brickwork upto 20 Floor, Internal Plaster upto 15 Floor, External Plaster upto 15 Floor Completed</v>
      </c>
      <c r="J179" s="50" t="str">
        <f ca="1">(IF(C185=(D180+F180+H180),"",IF(C185&gt;0,", RCC upto "&amp;C185&amp;" Slab","")))&amp;(IF(C186=H180,"",IF(C186&gt;0,", Brickwork upto "&amp;C186&amp;" Floor","")))&amp;(IF(C187=H180,"",IF(C187&gt;0,", Internal Plaster upto "&amp;C187&amp;" Floor","")))&amp;(IF(C188=H180,"",IF(C188&gt;0,", External Plaster upto "&amp;C188&amp;" Floor","")))&amp;(IF(C189=H180,"",IF(C189&gt;0,", Flooring upto "&amp;C189&amp;" Floor","")))&amp;(IF(C190=H180,"",IF(C190&gt;0,", Painting upto "&amp;C190&amp;" Floor","")))&amp;(IF(C191=H180,"",IF(C191&gt;0,", Finishing upto "&amp;C191&amp;" Floor","")))&amp;(IF(C192=H180,"",IF(C192&gt;0,", Possession upto "&amp;C192&amp;" Floor","")))</f>
        <v>, RCC upto 21 Slab, Brickwork upto 20 Floor, Internal Plaster upto 15 Floor, External Plaster upto 15 Floor</v>
      </c>
    </row>
    <row r="180" spans="1:12" hidden="1" x14ac:dyDescent="0.35">
      <c r="A180" s="16" t="s">
        <v>139</v>
      </c>
      <c r="B180" s="67">
        <v>0</v>
      </c>
      <c r="C180" s="67" t="s">
        <v>76</v>
      </c>
      <c r="D180" s="67">
        <v>1</v>
      </c>
      <c r="E180" s="67" t="s">
        <v>75</v>
      </c>
      <c r="F180" s="67">
        <v>0</v>
      </c>
      <c r="G180" s="68" t="s">
        <v>84</v>
      </c>
      <c r="H180" s="17">
        <f ca="1">--TRIM(RIGHT(SUBSTITUTE(LEFT(C179,_xlfn.AGGREGATE(16,6,FIND({0,1,2,3,4,5,6,7,8,9},C179,ROW(INDIRECT("1:"&amp;LEN(C179)))),1))," ",REPT(" ",LEN(C179))),LEN(C179)))</f>
        <v>22</v>
      </c>
      <c r="I180" s="51" t="str">
        <f ca="1">IF(D183=100%,"Excavation","")&amp;IF(D184=100%,", Plinth","")&amp;IF(D185=100%,", RCC Slab","")&amp;IF(D186=100%,", Brickwork","")&amp;IF(D187=100%,", Internal Plaster","")&amp;IF(D188=100%,", External Plaster","")&amp;IF(D189=100%,", Flooring","")&amp;IF(D190=100%,", Painting","")&amp;IF(D191=100%,", Building common Amenities","")</f>
        <v>Excavation, Plinth</v>
      </c>
      <c r="J180" s="52" t="str">
        <f ca="1">(IF(C183=0,"Work not yet Started.",IF(D183=25%,"Piling work in process",IF(D183=50%,"Excavation work in process",IF(D183=100%,"","0")))))&amp;(IF(C184=0%,"",IF(C184=J185,", Footing work is process",IF(C184=J186,", Footing work Completed",IF(C184=J187,", 1st Basement Completed",IF(C184=J188,", 1st &amp; 2nd Basement Completed",IF(C184=J189,", 1st to 3rd Basement Completed",IF(C184=J190,", 1st to 4th Basement Completed",IF(C184=J191,", Plinth work is process",IF(C184=J192,"","0"))))))))))</f>
        <v/>
      </c>
    </row>
    <row r="181" spans="1:12" ht="32.25" hidden="1" customHeight="1" x14ac:dyDescent="0.35">
      <c r="A181" s="97" t="s">
        <v>94</v>
      </c>
      <c r="B181" s="98"/>
      <c r="C181" s="99" t="str">
        <f ca="1">I179</f>
        <v>Excavation, Plinth Completed, RCC upto 21 Slab, Brickwork upto 20 Floor, Internal Plaster upto 15 Floor, External Plaster upto 15 Floor Completed</v>
      </c>
      <c r="D181" s="99"/>
      <c r="E181" s="99"/>
      <c r="F181" s="99"/>
      <c r="G181" s="99"/>
      <c r="H181" s="100"/>
      <c r="I181" s="51" t="str">
        <f ca="1">IF(I180&lt;&gt;""," Completed","")</f>
        <v xml:space="preserve"> Completed</v>
      </c>
      <c r="J181" s="52" t="str">
        <f ca="1">IF(J179&lt;&gt;"","Completed","")</f>
        <v>Completed</v>
      </c>
    </row>
    <row r="182" spans="1:12" ht="15.75" hidden="1" customHeight="1" x14ac:dyDescent="0.35">
      <c r="A182" s="101" t="s">
        <v>52</v>
      </c>
      <c r="B182" s="102"/>
      <c r="C182" s="65" t="s">
        <v>137</v>
      </c>
      <c r="D182" s="65" t="s">
        <v>87</v>
      </c>
      <c r="E182" s="102" t="s">
        <v>89</v>
      </c>
      <c r="F182" s="102"/>
      <c r="G182" s="102" t="s">
        <v>88</v>
      </c>
      <c r="H182" s="103"/>
      <c r="I182" s="14" t="s">
        <v>138</v>
      </c>
      <c r="J182" s="28">
        <f ca="1">H180*25%</f>
        <v>5.5</v>
      </c>
    </row>
    <row r="183" spans="1:12" hidden="1" x14ac:dyDescent="0.35">
      <c r="A183" s="101" t="s">
        <v>126</v>
      </c>
      <c r="B183" s="102"/>
      <c r="C183" s="65">
        <f ca="1">J184</f>
        <v>22</v>
      </c>
      <c r="D183" s="19">
        <f ca="1">((100/H180)*C183)/100</f>
        <v>1.0000000000000002</v>
      </c>
      <c r="E183" s="104">
        <f ca="1">(((C184/H180*10)+(40/(D180+F180+H180)*C185)+(7.5/(H180)*C186)+(7.5/(H180)*C187)+(10/H180*C188)+(10/H180*C189)+(5/H180*C190)+(5/H180*C191)+(5/H180*C192))/100)</f>
        <v>0.6527173913043478</v>
      </c>
      <c r="F183" s="105"/>
      <c r="G183" s="110">
        <f ca="1">((((C183/H180)*20)+((C184/H180)*25)+(30/(H180+F180+D180)*C185)+(5/H180*C186)+(5/H180*C187)+(5/H180*C188)+(5/H180*C189)+(0/H180*C190)+(0/H180*C191)+(5/H180*C192))/100)</f>
        <v>0.83754940711462456</v>
      </c>
      <c r="H183" s="111"/>
      <c r="I183" s="14" t="s">
        <v>100</v>
      </c>
      <c r="J183" s="29">
        <f ca="1">H180*50%</f>
        <v>11</v>
      </c>
    </row>
    <row r="184" spans="1:12" hidden="1" x14ac:dyDescent="0.35">
      <c r="A184" s="101" t="s">
        <v>53</v>
      </c>
      <c r="B184" s="102"/>
      <c r="C184" s="56">
        <f ca="1">J192</f>
        <v>22</v>
      </c>
      <c r="D184" s="19">
        <f ca="1">((100/H180)*C184)/100</f>
        <v>1.0000000000000002</v>
      </c>
      <c r="E184" s="106"/>
      <c r="F184" s="107"/>
      <c r="G184" s="110"/>
      <c r="H184" s="111"/>
      <c r="I184" s="14" t="s">
        <v>101</v>
      </c>
      <c r="J184" s="29">
        <f ca="1">H180</f>
        <v>22</v>
      </c>
    </row>
    <row r="185" spans="1:12" ht="15.75" hidden="1" customHeight="1" x14ac:dyDescent="0.35">
      <c r="A185" s="101" t="s">
        <v>127</v>
      </c>
      <c r="B185" s="102"/>
      <c r="C185" s="65">
        <v>21</v>
      </c>
      <c r="D185" s="19">
        <f ca="1">((100/(D180+F180+H180))*C185)/100</f>
        <v>0.91304347826086951</v>
      </c>
      <c r="E185" s="106"/>
      <c r="F185" s="107"/>
      <c r="G185" s="110"/>
      <c r="H185" s="111"/>
      <c r="I185" s="14" t="s">
        <v>102</v>
      </c>
      <c r="J185" s="30">
        <f ca="1">(IF(B180&gt;1,(H180/(B180+2)),H180/4))</f>
        <v>5.5</v>
      </c>
      <c r="K185" s="21">
        <f>(22/100)*10</f>
        <v>2.2000000000000002</v>
      </c>
      <c r="L185" s="21">
        <f>22*0.1</f>
        <v>2.2000000000000002</v>
      </c>
    </row>
    <row r="186" spans="1:12" ht="15.75" hidden="1" customHeight="1" x14ac:dyDescent="0.35">
      <c r="A186" s="101" t="s">
        <v>134</v>
      </c>
      <c r="B186" s="102" t="s">
        <v>128</v>
      </c>
      <c r="C186" s="65">
        <f>C185-1</f>
        <v>20</v>
      </c>
      <c r="D186" s="19">
        <f ca="1">((100/H180)*C186)/100</f>
        <v>0.90909090909090917</v>
      </c>
      <c r="E186" s="106"/>
      <c r="F186" s="107"/>
      <c r="G186" s="110"/>
      <c r="H186" s="111"/>
      <c r="I186" s="14" t="s">
        <v>103</v>
      </c>
      <c r="J186" s="30">
        <f ca="1">(IF(B180&gt;1,(H180/(B180+2)+J185),H180/4+J185))</f>
        <v>11</v>
      </c>
    </row>
    <row r="187" spans="1:12" ht="15.75" hidden="1" customHeight="1" x14ac:dyDescent="0.35">
      <c r="A187" s="101" t="s">
        <v>135</v>
      </c>
      <c r="B187" s="102" t="s">
        <v>128</v>
      </c>
      <c r="C187" s="56">
        <f>C186*0.75</f>
        <v>15</v>
      </c>
      <c r="D187" s="19">
        <f ca="1">((100/H180)*C187)/100</f>
        <v>0.68181818181818188</v>
      </c>
      <c r="E187" s="106"/>
      <c r="F187" s="107"/>
      <c r="G187" s="110"/>
      <c r="H187" s="111"/>
      <c r="I187" s="14" t="s">
        <v>143</v>
      </c>
      <c r="J187" s="30">
        <f>(IF(B180&gt;1,(H180/(B180+2)+J186),0))</f>
        <v>0</v>
      </c>
    </row>
    <row r="188" spans="1:12" ht="15" hidden="1" customHeight="1" x14ac:dyDescent="0.35">
      <c r="A188" s="101" t="s">
        <v>133</v>
      </c>
      <c r="B188" s="102" t="s">
        <v>130</v>
      </c>
      <c r="C188" s="56">
        <f>C187</f>
        <v>15</v>
      </c>
      <c r="D188" s="19">
        <f ca="1">((100/(H180))*C188)/100</f>
        <v>0.68181818181818188</v>
      </c>
      <c r="E188" s="106"/>
      <c r="F188" s="107"/>
      <c r="G188" s="110"/>
      <c r="H188" s="111"/>
      <c r="I188" s="14" t="s">
        <v>140</v>
      </c>
      <c r="J188" s="30">
        <f>(IF(B180&gt;2,(H180/(B180+2)+J187),0))</f>
        <v>0</v>
      </c>
    </row>
    <row r="189" spans="1:12" ht="15.75" hidden="1" customHeight="1" x14ac:dyDescent="0.35">
      <c r="A189" s="101" t="s">
        <v>129</v>
      </c>
      <c r="B189" s="102" t="s">
        <v>129</v>
      </c>
      <c r="C189" s="65">
        <v>0</v>
      </c>
      <c r="D189" s="19">
        <f ca="1">((100/H180)*C189)/100</f>
        <v>0</v>
      </c>
      <c r="E189" s="106"/>
      <c r="F189" s="107"/>
      <c r="G189" s="110"/>
      <c r="H189" s="111"/>
      <c r="I189" s="14" t="s">
        <v>141</v>
      </c>
      <c r="J189" s="31">
        <f>(IF(B180&gt;3,(H180/(B180+2)+J188),0))</f>
        <v>0</v>
      </c>
    </row>
    <row r="190" spans="1:12" ht="15.75" hidden="1" customHeight="1" x14ac:dyDescent="0.35">
      <c r="A190" s="101" t="s">
        <v>136</v>
      </c>
      <c r="B190" s="102"/>
      <c r="C190" s="65">
        <v>0</v>
      </c>
      <c r="D190" s="19">
        <f ca="1">((100/H180)*C190)/100</f>
        <v>0</v>
      </c>
      <c r="E190" s="106"/>
      <c r="F190" s="107"/>
      <c r="G190" s="110"/>
      <c r="H190" s="111"/>
      <c r="I190" s="14" t="s">
        <v>142</v>
      </c>
      <c r="J190" s="30">
        <f>(IF(B180&gt;4,(H180/(B180+2)+J189),0))</f>
        <v>0</v>
      </c>
    </row>
    <row r="191" spans="1:12" ht="15.75" hidden="1" customHeight="1" x14ac:dyDescent="0.35">
      <c r="A191" s="101" t="s">
        <v>131</v>
      </c>
      <c r="B191" s="102" t="s">
        <v>131</v>
      </c>
      <c r="C191" s="65">
        <v>0</v>
      </c>
      <c r="D191" s="19">
        <f ca="1">((100/(H180))*C191)/100</f>
        <v>0</v>
      </c>
      <c r="E191" s="106"/>
      <c r="F191" s="107"/>
      <c r="G191" s="110"/>
      <c r="H191" s="111"/>
      <c r="I191" s="14" t="s">
        <v>144</v>
      </c>
      <c r="J191" s="30">
        <f ca="1">(IF(B180=1,(H180/(B180+3)+J186),IF(B180=0,(H180/4+J186),IF(B180&gt;1,0))))</f>
        <v>16.5</v>
      </c>
    </row>
    <row r="192" spans="1:12" ht="16" hidden="1" thickBot="1" x14ac:dyDescent="0.4">
      <c r="A192" s="114" t="s">
        <v>132</v>
      </c>
      <c r="B192" s="115"/>
      <c r="C192" s="66">
        <v>0</v>
      </c>
      <c r="D192" s="20">
        <f ca="1">((100/(H180))*C192)/100</f>
        <v>0</v>
      </c>
      <c r="E192" s="108"/>
      <c r="F192" s="109"/>
      <c r="G192" s="112"/>
      <c r="H192" s="113"/>
      <c r="I192" s="15" t="s">
        <v>104</v>
      </c>
      <c r="J192" s="32">
        <f ca="1">(IF(B180&gt;1.5,(H180/(B180+2)+J186+MAX(0,J187-J186)+MAX(0,J188-J187)+MAX(0,J189-J188)+MAX(0,J190-J189)+MAX(0,J191-J190)),IF(B180=1,(H180/(B180+3)+J191),IF(B180=0,H180/4+J191))))</f>
        <v>22</v>
      </c>
    </row>
    <row r="193" spans="1:12" x14ac:dyDescent="0.35">
      <c r="A193" s="221" t="s">
        <v>153</v>
      </c>
      <c r="B193" s="221"/>
      <c r="C193" s="221"/>
      <c r="D193" s="221"/>
      <c r="E193" s="221"/>
      <c r="F193" s="203" t="s">
        <v>158</v>
      </c>
      <c r="G193" s="203"/>
      <c r="H193" s="203"/>
      <c r="J193" s="55" t="s">
        <v>203</v>
      </c>
      <c r="K193" s="55" t="s">
        <v>204</v>
      </c>
      <c r="L193" s="55" t="s">
        <v>205</v>
      </c>
    </row>
    <row r="194" spans="1:12" x14ac:dyDescent="0.35">
      <c r="A194" s="159" t="s">
        <v>156</v>
      </c>
      <c r="B194" s="159"/>
      <c r="C194" s="159"/>
      <c r="D194" s="159"/>
      <c r="E194" s="159"/>
      <c r="F194" s="215">
        <v>6600</v>
      </c>
      <c r="G194" s="215"/>
      <c r="H194" s="215"/>
      <c r="J194" s="55">
        <v>6000</v>
      </c>
      <c r="K194" s="55"/>
      <c r="L194" s="55">
        <v>5800</v>
      </c>
    </row>
    <row r="195" spans="1:12" hidden="1" x14ac:dyDescent="0.35">
      <c r="A195" s="159" t="s">
        <v>155</v>
      </c>
      <c r="B195" s="159"/>
      <c r="C195" s="159"/>
      <c r="D195" s="159"/>
      <c r="E195" s="159"/>
      <c r="F195" s="158"/>
      <c r="G195" s="158"/>
      <c r="H195" s="158"/>
    </row>
    <row r="196" spans="1:12" hidden="1" x14ac:dyDescent="0.35">
      <c r="A196" s="159" t="s">
        <v>157</v>
      </c>
      <c r="B196" s="159"/>
      <c r="C196" s="159"/>
      <c r="D196" s="159"/>
      <c r="E196" s="159"/>
      <c r="F196" s="158"/>
      <c r="G196" s="158"/>
      <c r="H196" s="158"/>
    </row>
    <row r="197" spans="1:12" s="33" customFormat="1" hidden="1" x14ac:dyDescent="0.3">
      <c r="A197" s="159" t="s">
        <v>154</v>
      </c>
      <c r="B197" s="159"/>
      <c r="C197" s="159"/>
      <c r="D197" s="159"/>
      <c r="E197" s="159"/>
      <c r="F197" s="158"/>
      <c r="G197" s="158"/>
      <c r="H197" s="158"/>
    </row>
    <row r="198" spans="1:12" s="33" customFormat="1" x14ac:dyDescent="0.3">
      <c r="A198" s="159" t="s">
        <v>99</v>
      </c>
      <c r="B198" s="159"/>
      <c r="C198" s="159"/>
      <c r="D198" s="159"/>
      <c r="E198" s="159"/>
      <c r="F198" s="202">
        <v>200000</v>
      </c>
      <c r="G198" s="202"/>
      <c r="H198" s="202"/>
      <c r="I198" s="33" t="s">
        <v>245</v>
      </c>
    </row>
    <row r="199" spans="1:12" s="33" customFormat="1" x14ac:dyDescent="0.3">
      <c r="A199" s="159" t="s">
        <v>218</v>
      </c>
      <c r="B199" s="159"/>
      <c r="C199" s="159"/>
      <c r="D199" s="159"/>
      <c r="E199" s="159"/>
      <c r="F199" s="202">
        <v>100000</v>
      </c>
      <c r="G199" s="202"/>
      <c r="H199" s="202"/>
    </row>
    <row r="200" spans="1:12" s="33" customFormat="1" x14ac:dyDescent="0.3">
      <c r="A200" s="159" t="s">
        <v>219</v>
      </c>
      <c r="B200" s="159"/>
      <c r="C200" s="159"/>
      <c r="D200" s="159"/>
      <c r="E200" s="159"/>
      <c r="F200" s="202">
        <v>50000</v>
      </c>
      <c r="G200" s="202"/>
      <c r="H200" s="202"/>
    </row>
    <row r="201" spans="1:12" s="33" customFormat="1" hidden="1" x14ac:dyDescent="0.3">
      <c r="A201" s="159" t="s">
        <v>159</v>
      </c>
      <c r="B201" s="159"/>
      <c r="C201" s="159"/>
      <c r="D201" s="159"/>
      <c r="E201" s="159"/>
      <c r="F201" s="202">
        <v>10000</v>
      </c>
      <c r="G201" s="202"/>
      <c r="H201" s="202"/>
    </row>
    <row r="202" spans="1:12" s="33" customFormat="1" x14ac:dyDescent="0.3">
      <c r="A202" s="159" t="s">
        <v>220</v>
      </c>
      <c r="B202" s="159"/>
      <c r="C202" s="159"/>
      <c r="D202" s="159"/>
      <c r="E202" s="159"/>
      <c r="F202" s="202">
        <v>50000</v>
      </c>
      <c r="G202" s="202"/>
      <c r="H202" s="202"/>
    </row>
    <row r="203" spans="1:12" x14ac:dyDescent="0.35">
      <c r="A203" s="159" t="s">
        <v>54</v>
      </c>
      <c r="B203" s="159"/>
      <c r="C203" s="159"/>
      <c r="D203" s="159"/>
      <c r="E203" s="159"/>
      <c r="F203" s="158">
        <v>200000</v>
      </c>
      <c r="G203" s="158"/>
      <c r="H203" s="158"/>
    </row>
    <row r="204" spans="1:12" s="34" customFormat="1" x14ac:dyDescent="0.35">
      <c r="A204" s="169" t="s">
        <v>55</v>
      </c>
      <c r="B204" s="169"/>
      <c r="C204" s="169"/>
      <c r="D204" s="169"/>
      <c r="E204" s="169"/>
      <c r="F204" s="158">
        <f>F194*0.8</f>
        <v>5280</v>
      </c>
      <c r="G204" s="158"/>
      <c r="H204" s="158"/>
    </row>
    <row r="205" spans="1:12" s="35" customFormat="1" x14ac:dyDescent="0.35">
      <c r="A205" s="160" t="s">
        <v>74</v>
      </c>
      <c r="B205" s="160"/>
      <c r="C205" s="160"/>
      <c r="D205" s="160"/>
      <c r="E205" s="160"/>
      <c r="F205" s="160"/>
      <c r="G205" s="160"/>
      <c r="H205" s="160"/>
    </row>
    <row r="206" spans="1:12" s="35" customFormat="1" ht="15.75" customHeight="1" x14ac:dyDescent="0.35">
      <c r="A206" s="162" t="s">
        <v>56</v>
      </c>
      <c r="B206" s="162"/>
      <c r="C206" s="161" t="s">
        <v>82</v>
      </c>
      <c r="D206" s="161"/>
      <c r="E206" s="200" t="s">
        <v>57</v>
      </c>
      <c r="F206" s="200"/>
      <c r="G206" s="162" t="s">
        <v>58</v>
      </c>
      <c r="H206" s="162"/>
    </row>
    <row r="207" spans="1:12" s="35" customFormat="1" ht="31" x14ac:dyDescent="0.35">
      <c r="A207" s="46" t="s">
        <v>206</v>
      </c>
      <c r="B207" s="46" t="s">
        <v>73</v>
      </c>
      <c r="C207" s="125">
        <f>COUNT(D225:D232)*19+COUNT(D234:D239,D241)*3</f>
        <v>173</v>
      </c>
      <c r="D207" s="125"/>
      <c r="E207" s="124">
        <f>SUM(D225:D232)*19+SUM(D234:D239,D241)*3</f>
        <v>64405.775070000003</v>
      </c>
      <c r="F207" s="124"/>
      <c r="G207" s="124">
        <f>SUM(F225:F232)*19+SUM(F234:F239,F241)*3</f>
        <v>96608.662605000005</v>
      </c>
      <c r="H207" s="124"/>
    </row>
    <row r="208" spans="1:12" s="35" customFormat="1" ht="31" x14ac:dyDescent="0.35">
      <c r="A208" s="46" t="s">
        <v>207</v>
      </c>
      <c r="B208" s="46" t="s">
        <v>73</v>
      </c>
      <c r="C208" s="125">
        <f>COUNT(D245:D252)*19+COUNT(D255:D261)*3</f>
        <v>173</v>
      </c>
      <c r="D208" s="125"/>
      <c r="E208" s="124">
        <f>SUM(D245:D252)*19+SUM(D255:D261)*3</f>
        <v>57600.209160000006</v>
      </c>
      <c r="F208" s="124"/>
      <c r="G208" s="124">
        <f>SUM(F245:F252)*19+SUM(F255:F261)*3</f>
        <v>86400.313739999998</v>
      </c>
      <c r="H208" s="124"/>
    </row>
    <row r="209" spans="1:10" s="35" customFormat="1" ht="31" x14ac:dyDescent="0.35">
      <c r="A209" s="46" t="s">
        <v>208</v>
      </c>
      <c r="B209" s="46" t="s">
        <v>73</v>
      </c>
      <c r="C209" s="125">
        <f>COUNT(D265:D272)*19+COUNT(D274:D279,D281)*3</f>
        <v>173</v>
      </c>
      <c r="D209" s="125"/>
      <c r="E209" s="124">
        <f>SUM(D265:D272)*19+SUM(D274:D279,D281)*3</f>
        <v>64405.775070000003</v>
      </c>
      <c r="F209" s="124"/>
      <c r="G209" s="124">
        <f>SUM(F265:F272)*19+SUM(F274:F279,F281)*3</f>
        <v>96608.662605000005</v>
      </c>
      <c r="H209" s="124"/>
    </row>
    <row r="210" spans="1:10" s="35" customFormat="1" ht="31" x14ac:dyDescent="0.35">
      <c r="A210" s="46" t="s">
        <v>212</v>
      </c>
      <c r="B210" s="46" t="s">
        <v>73</v>
      </c>
      <c r="C210" s="125">
        <f>COUNT(D285:D292)*19+COUNT(D294:D299,D301)*3</f>
        <v>173</v>
      </c>
      <c r="D210" s="125"/>
      <c r="E210" s="124">
        <f>SUM(D285:D292)*19+SUM(D294:D299,D301)*3</f>
        <v>64405.775070000003</v>
      </c>
      <c r="F210" s="124"/>
      <c r="G210" s="124">
        <f>SUM(F285:F292)*19+SUM(F294:F299,F301)*3</f>
        <v>96608.662605000005</v>
      </c>
      <c r="H210" s="124"/>
    </row>
    <row r="211" spans="1:10" s="35" customFormat="1" ht="31" x14ac:dyDescent="0.35">
      <c r="A211" s="46" t="s">
        <v>213</v>
      </c>
      <c r="B211" s="46" t="s">
        <v>73</v>
      </c>
      <c r="C211" s="125">
        <f>COUNT(D305:D310)*19+COUNT(D312:D315,D317)*3</f>
        <v>129</v>
      </c>
      <c r="D211" s="125"/>
      <c r="E211" s="124">
        <f>SUM(D305:D310)*19+SUM(D312:D315,D317)*3</f>
        <v>44715.48588</v>
      </c>
      <c r="F211" s="124"/>
      <c r="G211" s="124">
        <f>SUM(F305:F310)*19+SUM(F312:F315,F317)*3</f>
        <v>67073.228820000004</v>
      </c>
      <c r="H211" s="124"/>
    </row>
    <row r="212" spans="1:10" s="35" customFormat="1" ht="31" x14ac:dyDescent="0.35">
      <c r="A212" s="46" t="s">
        <v>214</v>
      </c>
      <c r="B212" s="46" t="s">
        <v>73</v>
      </c>
      <c r="C212" s="125">
        <f>COUNT(D321:D328)*19+COUNT(D330:D335,D337)*3</f>
        <v>173</v>
      </c>
      <c r="D212" s="125"/>
      <c r="E212" s="124">
        <f>SUM(D321:D328)*19+SUM(D330:D335,D337)*3</f>
        <v>64405.775070000003</v>
      </c>
      <c r="F212" s="124"/>
      <c r="G212" s="124">
        <f>SUM(F321:F328)*19+SUM(F330:F335,F337)*3</f>
        <v>96608.662605000005</v>
      </c>
      <c r="H212" s="124"/>
    </row>
    <row r="213" spans="1:10" s="35" customFormat="1" ht="31" x14ac:dyDescent="0.35">
      <c r="A213" s="46" t="s">
        <v>215</v>
      </c>
      <c r="B213" s="46" t="s">
        <v>73</v>
      </c>
      <c r="C213" s="125">
        <f>COUNT(D341:D348)*19+COUNT(D350:D355,D357)*3</f>
        <v>173</v>
      </c>
      <c r="D213" s="125"/>
      <c r="E213" s="124">
        <f>SUM(D341:D348)*19+SUM(D350:D355,D357)*3</f>
        <v>64405.775070000003</v>
      </c>
      <c r="F213" s="124"/>
      <c r="G213" s="124">
        <f>SUM(F341:F348)*19+SUM(F350:F355,F357)*3</f>
        <v>96608.662605000005</v>
      </c>
      <c r="H213" s="124"/>
    </row>
    <row r="214" spans="1:10" s="35" customFormat="1" ht="31" x14ac:dyDescent="0.35">
      <c r="A214" s="46" t="s">
        <v>216</v>
      </c>
      <c r="B214" s="46" t="s">
        <v>73</v>
      </c>
      <c r="C214" s="125">
        <f>COUNT(D361:D368)*19+COUNT(D370:D375,D377)*3</f>
        <v>173</v>
      </c>
      <c r="D214" s="125"/>
      <c r="E214" s="124">
        <f>SUM(D361:D368)*19+SUM(D370:D375,D377)*3</f>
        <v>64405.775070000003</v>
      </c>
      <c r="F214" s="124"/>
      <c r="G214" s="124">
        <f>SUM(F361:F368)*19+SUM(F370:F375,F377)*3</f>
        <v>96608.662605000005</v>
      </c>
      <c r="H214" s="124"/>
    </row>
    <row r="215" spans="1:10" s="35" customFormat="1" ht="31" x14ac:dyDescent="0.35">
      <c r="A215" s="46" t="s">
        <v>217</v>
      </c>
      <c r="B215" s="46" t="s">
        <v>73</v>
      </c>
      <c r="C215" s="125">
        <f>COUNT(D381:D388)*19+COUNT(D390:D395,D397)*3</f>
        <v>173</v>
      </c>
      <c r="D215" s="125"/>
      <c r="E215" s="124">
        <f>SUM(D381:D388)*19+SUM(D390:D395,D397)*3</f>
        <v>64405.775070000003</v>
      </c>
      <c r="F215" s="124"/>
      <c r="G215" s="124">
        <f>SUM(F381:F388)*19+SUM(F390:F395,F397)*3</f>
        <v>96608.662605000005</v>
      </c>
      <c r="H215" s="124"/>
    </row>
    <row r="216" spans="1:10" s="35" customFormat="1" x14ac:dyDescent="0.35">
      <c r="A216" s="160" t="s">
        <v>147</v>
      </c>
      <c r="B216" s="160"/>
      <c r="C216" s="161">
        <f>SUM(C207:C215)</f>
        <v>1513</v>
      </c>
      <c r="D216" s="161"/>
      <c r="E216" s="201">
        <f>SUM(E207:E215)</f>
        <v>553156.12052999996</v>
      </c>
      <c r="F216" s="201"/>
      <c r="G216" s="160">
        <f>SUM(G207:G215)</f>
        <v>829734.18079499993</v>
      </c>
      <c r="H216" s="160"/>
    </row>
    <row r="217" spans="1:10" s="34" customFormat="1" x14ac:dyDescent="0.35">
      <c r="A217" s="174" t="s">
        <v>59</v>
      </c>
      <c r="B217" s="174"/>
      <c r="C217" s="174"/>
      <c r="D217" s="174"/>
      <c r="E217" s="174"/>
      <c r="F217" s="174"/>
      <c r="G217" s="174"/>
      <c r="H217" s="174"/>
    </row>
    <row r="218" spans="1:10" x14ac:dyDescent="0.35">
      <c r="A218" s="174" t="s">
        <v>60</v>
      </c>
      <c r="B218" s="174"/>
      <c r="C218" s="174"/>
      <c r="D218" s="174"/>
      <c r="E218" s="174"/>
      <c r="F218" s="174"/>
      <c r="G218" s="174"/>
      <c r="H218" s="174"/>
    </row>
    <row r="219" spans="1:10" ht="47.25" customHeight="1" x14ac:dyDescent="0.35">
      <c r="A219" s="164" t="s">
        <v>118</v>
      </c>
      <c r="B219" s="164" t="s">
        <v>119</v>
      </c>
      <c r="C219" s="204" t="s">
        <v>61</v>
      </c>
      <c r="D219" s="204" t="s">
        <v>62</v>
      </c>
      <c r="E219" s="211" t="s">
        <v>63</v>
      </c>
      <c r="F219" s="43" t="s">
        <v>146</v>
      </c>
      <c r="G219" s="164" t="s">
        <v>64</v>
      </c>
      <c r="H219" s="213"/>
      <c r="I219" s="36"/>
    </row>
    <row r="220" spans="1:10" s="37" customFormat="1" x14ac:dyDescent="0.35">
      <c r="A220" s="165"/>
      <c r="B220" s="165"/>
      <c r="C220" s="205"/>
      <c r="D220" s="205"/>
      <c r="E220" s="212"/>
      <c r="F220" s="13">
        <v>0.5</v>
      </c>
      <c r="G220" s="165"/>
      <c r="H220" s="214"/>
      <c r="I220" s="36"/>
    </row>
    <row r="221" spans="1:10" s="37" customFormat="1" x14ac:dyDescent="0.35">
      <c r="A221" s="133" t="s">
        <v>185</v>
      </c>
      <c r="B221" s="134"/>
      <c r="C221" s="134"/>
      <c r="D221" s="134"/>
      <c r="E221" s="134"/>
      <c r="F221" s="134"/>
      <c r="G221" s="134"/>
      <c r="H221" s="135"/>
      <c r="J221" s="36"/>
    </row>
    <row r="222" spans="1:10" s="37" customFormat="1" x14ac:dyDescent="0.35">
      <c r="A222" s="133" t="s">
        <v>192</v>
      </c>
      <c r="B222" s="134"/>
      <c r="C222" s="134"/>
      <c r="D222" s="134"/>
      <c r="E222" s="134"/>
      <c r="F222" s="134"/>
      <c r="G222" s="134"/>
      <c r="H222" s="135"/>
      <c r="J222" s="36"/>
    </row>
    <row r="223" spans="1:10" s="37" customFormat="1" x14ac:dyDescent="0.35">
      <c r="A223" s="133" t="s">
        <v>186</v>
      </c>
      <c r="B223" s="134"/>
      <c r="C223" s="134"/>
      <c r="D223" s="134"/>
      <c r="E223" s="134"/>
      <c r="F223" s="134"/>
      <c r="G223" s="134"/>
      <c r="H223" s="135"/>
      <c r="J223" s="36"/>
    </row>
    <row r="224" spans="1:10" s="37" customFormat="1" x14ac:dyDescent="0.35">
      <c r="A224" s="133" t="s">
        <v>190</v>
      </c>
      <c r="B224" s="134"/>
      <c r="C224" s="134"/>
      <c r="D224" s="134"/>
      <c r="E224" s="134"/>
      <c r="F224" s="134"/>
      <c r="G224" s="134"/>
      <c r="H224" s="135"/>
      <c r="J224" s="36"/>
    </row>
    <row r="225" spans="1:14" s="37" customFormat="1" ht="15.75" customHeight="1" x14ac:dyDescent="0.35">
      <c r="A225" s="128">
        <v>1</v>
      </c>
      <c r="B225" s="129"/>
      <c r="C225" s="42" t="s">
        <v>187</v>
      </c>
      <c r="D225" s="54">
        <f>(29.3+0.75*(2.67+4.55))*10.764</f>
        <v>373.67225999999999</v>
      </c>
      <c r="E225" s="54">
        <v>0</v>
      </c>
      <c r="F225" s="42">
        <f t="shared" ref="F225:F232" si="0">D225*(($F$220)+1)+(IF(E225&lt;101,E225,IF(E225&lt;201,E225/2,IF(E225&lt;=301,E225/3,E225/4))))</f>
        <v>560.50838999999996</v>
      </c>
      <c r="G225" s="136" t="str">
        <f>A223</f>
        <v>Ground Floor for Parking &amp; Amenities</v>
      </c>
      <c r="H225" s="137"/>
      <c r="I225" s="53">
        <f>2.67*4+1.55*0.9+1.85*1.8+2.6*2.8+1.72*1.05+1.18*1.8+0.65*0.9</f>
        <v>27.2</v>
      </c>
      <c r="J225" s="36">
        <f>3465000/F225</f>
        <v>6181.8878393595505</v>
      </c>
      <c r="K225" s="37">
        <f>22*8-3</f>
        <v>173</v>
      </c>
      <c r="L225" s="150">
        <f>35000000/F225</f>
        <v>62443.311508682331</v>
      </c>
      <c r="M225" s="150"/>
      <c r="N225" s="36"/>
    </row>
    <row r="226" spans="1:14" s="37" customFormat="1" x14ac:dyDescent="0.35">
      <c r="A226" s="128">
        <f t="shared" ref="A226:A232" si="1">A225+1</f>
        <v>2</v>
      </c>
      <c r="B226" s="129"/>
      <c r="C226" s="42" t="s">
        <v>187</v>
      </c>
      <c r="D226" s="54">
        <f>(29.3+0.75*(2.67+4.55))*10.764</f>
        <v>373.67225999999999</v>
      </c>
      <c r="E226" s="54">
        <v>0</v>
      </c>
      <c r="F226" s="42">
        <f t="shared" si="0"/>
        <v>560.50838999999996</v>
      </c>
      <c r="G226" s="138"/>
      <c r="H226" s="139"/>
      <c r="I226" s="36"/>
      <c r="J226" s="36">
        <f t="shared" ref="J226:J246" si="2">3465000/F226</f>
        <v>6181.8878393595505</v>
      </c>
      <c r="L226" s="126"/>
      <c r="M226" s="126"/>
      <c r="N226" s="36"/>
    </row>
    <row r="227" spans="1:14" s="37" customFormat="1" x14ac:dyDescent="0.35">
      <c r="A227" s="128">
        <f t="shared" si="1"/>
        <v>3</v>
      </c>
      <c r="B227" s="129"/>
      <c r="C227" s="42" t="s">
        <v>187</v>
      </c>
      <c r="D227" s="54">
        <f>(29.3+0.75*(1.77+2.67+2.55))*10.764</f>
        <v>371.81547</v>
      </c>
      <c r="E227" s="54">
        <v>0</v>
      </c>
      <c r="F227" s="42">
        <f t="shared" si="0"/>
        <v>557.72320500000001</v>
      </c>
      <c r="G227" s="138"/>
      <c r="H227" s="139"/>
      <c r="I227" s="36"/>
      <c r="J227" s="36">
        <f t="shared" si="2"/>
        <v>6212.7592485595069</v>
      </c>
      <c r="L227" s="126"/>
      <c r="M227" s="126"/>
      <c r="N227" s="36"/>
    </row>
    <row r="228" spans="1:14" s="37" customFormat="1" x14ac:dyDescent="0.35">
      <c r="A228" s="128">
        <f t="shared" si="1"/>
        <v>4</v>
      </c>
      <c r="B228" s="129"/>
      <c r="C228" s="42" t="s">
        <v>187</v>
      </c>
      <c r="D228" s="54">
        <f>(29.3+0.75*(1.77+2.67+2.55))*10.764</f>
        <v>371.81547</v>
      </c>
      <c r="E228" s="54">
        <v>0</v>
      </c>
      <c r="F228" s="42">
        <f t="shared" si="0"/>
        <v>557.72320500000001</v>
      </c>
      <c r="G228" s="138"/>
      <c r="H228" s="139"/>
      <c r="I228" s="36"/>
      <c r="J228" s="36">
        <f t="shared" si="2"/>
        <v>6212.7592485595069</v>
      </c>
      <c r="L228" s="126"/>
      <c r="M228" s="126"/>
      <c r="N228" s="36"/>
    </row>
    <row r="229" spans="1:14" s="37" customFormat="1" ht="15.75" customHeight="1" x14ac:dyDescent="0.35">
      <c r="A229" s="128">
        <f t="shared" si="1"/>
        <v>5</v>
      </c>
      <c r="B229" s="129"/>
      <c r="C229" s="42" t="s">
        <v>187</v>
      </c>
      <c r="D229" s="54">
        <f>(29.3+0.75*(1.77+2.67+2.55))*10.764</f>
        <v>371.81547</v>
      </c>
      <c r="E229" s="54">
        <v>0</v>
      </c>
      <c r="F229" s="42">
        <f t="shared" si="0"/>
        <v>557.72320500000001</v>
      </c>
      <c r="G229" s="138"/>
      <c r="H229" s="139"/>
      <c r="I229" s="36"/>
      <c r="J229" s="36">
        <f t="shared" si="2"/>
        <v>6212.7592485595069</v>
      </c>
      <c r="L229" s="126"/>
      <c r="M229" s="126"/>
      <c r="N229" s="36"/>
    </row>
    <row r="230" spans="1:14" s="37" customFormat="1" x14ac:dyDescent="0.35">
      <c r="A230" s="128">
        <f t="shared" si="1"/>
        <v>6</v>
      </c>
      <c r="B230" s="129"/>
      <c r="C230" s="42" t="s">
        <v>187</v>
      </c>
      <c r="D230" s="54">
        <f>(29.3+0.75*(2.67+2.55+1.77))*10.764</f>
        <v>371.81547</v>
      </c>
      <c r="E230" s="54">
        <v>0</v>
      </c>
      <c r="F230" s="42">
        <f t="shared" si="0"/>
        <v>557.72320500000001</v>
      </c>
      <c r="G230" s="138"/>
      <c r="H230" s="139"/>
      <c r="I230" s="36"/>
      <c r="J230" s="36">
        <f t="shared" si="2"/>
        <v>6212.7592485595069</v>
      </c>
      <c r="L230" s="126"/>
      <c r="M230" s="126"/>
      <c r="N230" s="36"/>
    </row>
    <row r="231" spans="1:14" s="37" customFormat="1" x14ac:dyDescent="0.35">
      <c r="A231" s="128">
        <f t="shared" si="1"/>
        <v>7</v>
      </c>
      <c r="B231" s="129"/>
      <c r="C231" s="42" t="s">
        <v>187</v>
      </c>
      <c r="D231" s="54">
        <f>(29.3+0.75*(1.77+2.67+2.55))*10.764</f>
        <v>371.81547</v>
      </c>
      <c r="E231" s="54">
        <v>0</v>
      </c>
      <c r="F231" s="42">
        <f t="shared" si="0"/>
        <v>557.72320500000001</v>
      </c>
      <c r="G231" s="138"/>
      <c r="H231" s="139"/>
      <c r="I231" s="36"/>
      <c r="J231" s="36">
        <f t="shared" si="2"/>
        <v>6212.7592485595069</v>
      </c>
      <c r="L231" s="126"/>
      <c r="M231" s="126"/>
      <c r="N231" s="36"/>
    </row>
    <row r="232" spans="1:14" s="37" customFormat="1" x14ac:dyDescent="0.35">
      <c r="A232" s="128">
        <f t="shared" si="1"/>
        <v>8</v>
      </c>
      <c r="B232" s="129"/>
      <c r="C232" s="42" t="s">
        <v>187</v>
      </c>
      <c r="D232" s="54">
        <f>(29.3+0.75*(1.77+2.67+2.55))*10.764</f>
        <v>371.81547</v>
      </c>
      <c r="E232" s="54">
        <v>0</v>
      </c>
      <c r="F232" s="42">
        <f t="shared" si="0"/>
        <v>557.72320500000001</v>
      </c>
      <c r="G232" s="140"/>
      <c r="H232" s="141"/>
      <c r="I232" s="36"/>
      <c r="J232" s="36">
        <f t="shared" si="2"/>
        <v>6212.7592485595069</v>
      </c>
      <c r="L232" s="126"/>
      <c r="M232" s="126"/>
      <c r="N232" s="36"/>
    </row>
    <row r="233" spans="1:14" s="37" customFormat="1" x14ac:dyDescent="0.35">
      <c r="A233" s="149" t="s">
        <v>188</v>
      </c>
      <c r="B233" s="149"/>
      <c r="C233" s="149"/>
      <c r="D233" s="149"/>
      <c r="E233" s="149"/>
      <c r="F233" s="149"/>
      <c r="G233" s="149"/>
      <c r="H233" s="149"/>
      <c r="J233" s="36"/>
    </row>
    <row r="234" spans="1:14" s="37" customFormat="1" ht="15.75" customHeight="1" x14ac:dyDescent="0.35">
      <c r="A234" s="127">
        <v>1</v>
      </c>
      <c r="B234" s="127"/>
      <c r="C234" s="77" t="s">
        <v>187</v>
      </c>
      <c r="D234" s="54">
        <f>(29.3+0.75*(2.67+4.55))*10.764</f>
        <v>373.67225999999999</v>
      </c>
      <c r="E234" s="54">
        <v>0</v>
      </c>
      <c r="F234" s="77">
        <f t="shared" ref="F234:F239" si="3">D234*(($F$220)+1)+(IF(E234&lt;101,E234,IF(E234&lt;201,E234/2,IF(E234&lt;=301,E234/3,E234/4))))</f>
        <v>560.50838999999996</v>
      </c>
      <c r="G234" s="127" t="str">
        <f>A233</f>
        <v>7th, 13th &amp; 19th Floor (Part Refuge Area)</v>
      </c>
      <c r="H234" s="127"/>
      <c r="I234" s="53"/>
      <c r="J234" s="36">
        <f t="shared" si="2"/>
        <v>6181.8878393595505</v>
      </c>
      <c r="K234" s="37">
        <f>5800*561+400000</f>
        <v>3653800</v>
      </c>
      <c r="L234" s="126"/>
      <c r="M234" s="126"/>
      <c r="N234" s="36"/>
    </row>
    <row r="235" spans="1:14" s="37" customFormat="1" x14ac:dyDescent="0.35">
      <c r="A235" s="127">
        <f t="shared" ref="A235:A241" si="4">A234+1</f>
        <v>2</v>
      </c>
      <c r="B235" s="127"/>
      <c r="C235" s="77" t="s">
        <v>187</v>
      </c>
      <c r="D235" s="54">
        <f>(29.3+0.75*(2.67+4.55))*10.764</f>
        <v>373.67225999999999</v>
      </c>
      <c r="E235" s="54">
        <v>0</v>
      </c>
      <c r="F235" s="77">
        <f t="shared" si="3"/>
        <v>560.50838999999996</v>
      </c>
      <c r="G235" s="127"/>
      <c r="H235" s="127"/>
      <c r="I235" s="36"/>
      <c r="J235" s="36">
        <f t="shared" si="2"/>
        <v>6181.8878393595505</v>
      </c>
      <c r="K235" s="37">
        <f>K234/F234</f>
        <v>6518.7249025835281</v>
      </c>
      <c r="L235" s="126"/>
      <c r="M235" s="126"/>
      <c r="N235" s="36"/>
    </row>
    <row r="236" spans="1:14" s="37" customFormat="1" x14ac:dyDescent="0.35">
      <c r="A236" s="127">
        <f t="shared" si="4"/>
        <v>3</v>
      </c>
      <c r="B236" s="127"/>
      <c r="C236" s="77" t="s">
        <v>187</v>
      </c>
      <c r="D236" s="54">
        <f>(29.3+0.75*(1.77+2.67+2.55))*10.764</f>
        <v>371.81547</v>
      </c>
      <c r="E236" s="54">
        <v>0</v>
      </c>
      <c r="F236" s="77">
        <f t="shared" si="3"/>
        <v>557.72320500000001</v>
      </c>
      <c r="G236" s="127"/>
      <c r="H236" s="127"/>
      <c r="I236" s="36"/>
      <c r="J236" s="36">
        <f t="shared" si="2"/>
        <v>6212.7592485595069</v>
      </c>
      <c r="L236" s="126"/>
      <c r="M236" s="126"/>
      <c r="N236" s="36"/>
    </row>
    <row r="237" spans="1:14" s="37" customFormat="1" x14ac:dyDescent="0.35">
      <c r="A237" s="127">
        <f t="shared" si="4"/>
        <v>4</v>
      </c>
      <c r="B237" s="127"/>
      <c r="C237" s="77" t="s">
        <v>187</v>
      </c>
      <c r="D237" s="54">
        <f>(29.3+0.75*(1.77+2.67+2.55))*10.764</f>
        <v>371.81547</v>
      </c>
      <c r="E237" s="54">
        <v>0</v>
      </c>
      <c r="F237" s="77">
        <f t="shared" si="3"/>
        <v>557.72320500000001</v>
      </c>
      <c r="G237" s="127"/>
      <c r="H237" s="127"/>
      <c r="I237" s="36"/>
      <c r="J237" s="36">
        <f t="shared" si="2"/>
        <v>6212.7592485595069</v>
      </c>
      <c r="L237" s="126"/>
      <c r="M237" s="126"/>
      <c r="N237" s="36"/>
    </row>
    <row r="238" spans="1:14" s="37" customFormat="1" ht="15.75" customHeight="1" x14ac:dyDescent="0.35">
      <c r="A238" s="127">
        <f t="shared" si="4"/>
        <v>5</v>
      </c>
      <c r="B238" s="127"/>
      <c r="C238" s="77" t="s">
        <v>187</v>
      </c>
      <c r="D238" s="54">
        <f>(29.3+0.75*(1.77+2.67+2.55))*10.764</f>
        <v>371.81547</v>
      </c>
      <c r="E238" s="54">
        <v>0</v>
      </c>
      <c r="F238" s="77">
        <f t="shared" si="3"/>
        <v>557.72320500000001</v>
      </c>
      <c r="G238" s="127"/>
      <c r="H238" s="127"/>
      <c r="I238" s="36"/>
      <c r="J238" s="36">
        <f t="shared" si="2"/>
        <v>6212.7592485595069</v>
      </c>
      <c r="L238" s="126"/>
      <c r="M238" s="126"/>
      <c r="N238" s="36"/>
    </row>
    <row r="239" spans="1:14" s="37" customFormat="1" x14ac:dyDescent="0.35">
      <c r="A239" s="127">
        <f t="shared" si="4"/>
        <v>6</v>
      </c>
      <c r="B239" s="127"/>
      <c r="C239" s="77" t="s">
        <v>187</v>
      </c>
      <c r="D239" s="54">
        <f>(29.3+0.75*(2.67+2.55+1.77))*10.764</f>
        <v>371.81547</v>
      </c>
      <c r="E239" s="54">
        <v>0</v>
      </c>
      <c r="F239" s="77">
        <f t="shared" si="3"/>
        <v>557.72320500000001</v>
      </c>
      <c r="G239" s="127"/>
      <c r="H239" s="127"/>
      <c r="I239" s="36"/>
      <c r="J239" s="36">
        <f t="shared" si="2"/>
        <v>6212.7592485595069</v>
      </c>
      <c r="L239" s="126"/>
      <c r="M239" s="126"/>
      <c r="N239" s="36"/>
    </row>
    <row r="240" spans="1:14" s="37" customFormat="1" x14ac:dyDescent="0.35">
      <c r="A240" s="127">
        <f t="shared" si="4"/>
        <v>7</v>
      </c>
      <c r="B240" s="127"/>
      <c r="C240" s="127" t="s">
        <v>189</v>
      </c>
      <c r="D240" s="127"/>
      <c r="E240" s="127"/>
      <c r="F240" s="127"/>
      <c r="G240" s="127"/>
      <c r="H240" s="127"/>
      <c r="I240" s="36"/>
      <c r="J240" s="36"/>
      <c r="L240" s="126"/>
      <c r="M240" s="126"/>
      <c r="N240" s="36"/>
    </row>
    <row r="241" spans="1:14" s="37" customFormat="1" x14ac:dyDescent="0.35">
      <c r="A241" s="127">
        <f t="shared" si="4"/>
        <v>8</v>
      </c>
      <c r="B241" s="127"/>
      <c r="C241" s="77" t="s">
        <v>187</v>
      </c>
      <c r="D241" s="54">
        <f>(29.3+0.75*(1.77+2.67+2.55))*10.764</f>
        <v>371.81547</v>
      </c>
      <c r="E241" s="54">
        <v>0</v>
      </c>
      <c r="F241" s="77">
        <f>D241*(($F$220)+1)+(IF(E241&lt;101,E241,IF(E241&lt;201,E241/2,IF(E241&lt;=301,E241/3,E241/4))))</f>
        <v>557.72320500000001</v>
      </c>
      <c r="G241" s="127"/>
      <c r="H241" s="127"/>
      <c r="I241" s="36"/>
      <c r="J241" s="36">
        <f t="shared" si="2"/>
        <v>6212.7592485595069</v>
      </c>
      <c r="L241" s="126"/>
      <c r="M241" s="126"/>
      <c r="N241" s="36"/>
    </row>
    <row r="242" spans="1:14" s="37" customFormat="1" x14ac:dyDescent="0.35">
      <c r="A242" s="133" t="s">
        <v>200</v>
      </c>
      <c r="B242" s="134"/>
      <c r="C242" s="134"/>
      <c r="D242" s="134"/>
      <c r="E242" s="134"/>
      <c r="F242" s="134"/>
      <c r="G242" s="134"/>
      <c r="H242" s="135"/>
      <c r="J242" s="36"/>
    </row>
    <row r="243" spans="1:14" s="37" customFormat="1" x14ac:dyDescent="0.35">
      <c r="A243" s="133" t="s">
        <v>186</v>
      </c>
      <c r="B243" s="134"/>
      <c r="C243" s="134"/>
      <c r="D243" s="134"/>
      <c r="E243" s="134"/>
      <c r="F243" s="134"/>
      <c r="G243" s="134"/>
      <c r="H243" s="135"/>
      <c r="J243" s="36"/>
    </row>
    <row r="244" spans="1:14" s="37" customFormat="1" x14ac:dyDescent="0.35">
      <c r="A244" s="133" t="s">
        <v>190</v>
      </c>
      <c r="B244" s="134"/>
      <c r="C244" s="134"/>
      <c r="D244" s="134"/>
      <c r="E244" s="134"/>
      <c r="F244" s="134"/>
      <c r="G244" s="134"/>
      <c r="H244" s="135"/>
      <c r="J244" s="36"/>
    </row>
    <row r="245" spans="1:14" s="37" customFormat="1" ht="15.75" customHeight="1" x14ac:dyDescent="0.35">
      <c r="A245" s="127">
        <v>1</v>
      </c>
      <c r="B245" s="127"/>
      <c r="C245" s="77" t="s">
        <v>187</v>
      </c>
      <c r="D245" s="54">
        <f>(29.3+0.75*(2.67+4.65))*10.764</f>
        <v>374.47955999999999</v>
      </c>
      <c r="E245" s="54">
        <v>0</v>
      </c>
      <c r="F245" s="77">
        <f t="shared" ref="F245:F252" si="5">D245*(($F$220)+1)+(IF(E245&lt;101,E245,IF(E245&lt;201,E245/2,IF(E245&lt;=301,E245/3,E245/4))))</f>
        <v>561.71933999999999</v>
      </c>
      <c r="G245" s="127" t="str">
        <f>A243</f>
        <v>Ground Floor for Parking &amp; Amenities</v>
      </c>
      <c r="H245" s="127"/>
      <c r="I245" s="53"/>
      <c r="J245" s="36">
        <f>3465000/F245</f>
        <v>6168.5609756644662</v>
      </c>
      <c r="K245" s="37">
        <f>3850000/F245</f>
        <v>6853.9566396271848</v>
      </c>
      <c r="L245" s="126"/>
      <c r="M245" s="126"/>
      <c r="N245" s="36"/>
    </row>
    <row r="246" spans="1:14" s="37" customFormat="1" x14ac:dyDescent="0.35">
      <c r="A246" s="127">
        <f t="shared" ref="A246:A252" si="6">A245+1</f>
        <v>2</v>
      </c>
      <c r="B246" s="127"/>
      <c r="C246" s="77" t="s">
        <v>187</v>
      </c>
      <c r="D246" s="54">
        <f>(29.3+0.75*(2.67+4.65))*10.764</f>
        <v>374.47955999999999</v>
      </c>
      <c r="E246" s="54">
        <v>0</v>
      </c>
      <c r="F246" s="77">
        <f t="shared" si="5"/>
        <v>561.71933999999999</v>
      </c>
      <c r="G246" s="127"/>
      <c r="H246" s="127"/>
      <c r="I246" s="53">
        <f>F246/D246</f>
        <v>1.5</v>
      </c>
      <c r="J246" s="36">
        <f t="shared" si="2"/>
        <v>6168.5609756644662</v>
      </c>
      <c r="L246" s="126"/>
      <c r="M246" s="126"/>
      <c r="N246" s="36"/>
    </row>
    <row r="247" spans="1:14" s="37" customFormat="1" x14ac:dyDescent="0.35">
      <c r="A247" s="127">
        <f t="shared" si="6"/>
        <v>3</v>
      </c>
      <c r="B247" s="127"/>
      <c r="C247" s="77" t="s">
        <v>191</v>
      </c>
      <c r="D247" s="54">
        <f>(23.2+0.75*(3.19+2.15))*10.764</f>
        <v>292.83461999999997</v>
      </c>
      <c r="E247" s="54">
        <v>0</v>
      </c>
      <c r="F247" s="77">
        <f t="shared" si="5"/>
        <v>439.25192999999996</v>
      </c>
      <c r="G247" s="127"/>
      <c r="H247" s="127"/>
      <c r="I247" s="36"/>
      <c r="J247" s="36">
        <f>2750000/F247</f>
        <v>6260.6440909662033</v>
      </c>
      <c r="L247" s="126"/>
      <c r="M247" s="126"/>
      <c r="N247" s="36"/>
    </row>
    <row r="248" spans="1:14" s="37" customFormat="1" x14ac:dyDescent="0.35">
      <c r="A248" s="127">
        <f t="shared" si="6"/>
        <v>4</v>
      </c>
      <c r="B248" s="127"/>
      <c r="C248" s="77" t="s">
        <v>191</v>
      </c>
      <c r="D248" s="54">
        <f>(23.2+0.75*(3.19+2.15))*10.764</f>
        <v>292.83461999999997</v>
      </c>
      <c r="E248" s="54">
        <v>0</v>
      </c>
      <c r="F248" s="77">
        <f t="shared" si="5"/>
        <v>439.25192999999996</v>
      </c>
      <c r="G248" s="127"/>
      <c r="H248" s="127"/>
      <c r="I248" s="36"/>
      <c r="J248" s="36">
        <f>2750000/F248</f>
        <v>6260.6440909662033</v>
      </c>
      <c r="L248" s="126"/>
      <c r="M248" s="126"/>
      <c r="N248" s="36"/>
    </row>
    <row r="249" spans="1:14" s="37" customFormat="1" ht="15.75" customHeight="1" x14ac:dyDescent="0.35">
      <c r="A249" s="127">
        <f t="shared" si="6"/>
        <v>5</v>
      </c>
      <c r="B249" s="127"/>
      <c r="C249" s="77" t="s">
        <v>187</v>
      </c>
      <c r="D249" s="54">
        <f>(29.3+0.75*(2.67+4.65))*10.764</f>
        <v>374.47955999999999</v>
      </c>
      <c r="E249" s="54">
        <v>0</v>
      </c>
      <c r="F249" s="77">
        <f t="shared" si="5"/>
        <v>561.71933999999999</v>
      </c>
      <c r="G249" s="127"/>
      <c r="H249" s="127"/>
      <c r="I249" s="36"/>
      <c r="J249" s="36">
        <f>3465000/F249</f>
        <v>6168.5609756644662</v>
      </c>
      <c r="L249" s="126"/>
      <c r="M249" s="126"/>
      <c r="N249" s="36"/>
    </row>
    <row r="250" spans="1:14" s="37" customFormat="1" x14ac:dyDescent="0.35">
      <c r="A250" s="127">
        <f t="shared" si="6"/>
        <v>6</v>
      </c>
      <c r="B250" s="127"/>
      <c r="C250" s="77" t="s">
        <v>187</v>
      </c>
      <c r="D250" s="54">
        <f>(29.3+0.75*(2.67+4.65))*10.764</f>
        <v>374.47955999999999</v>
      </c>
      <c r="E250" s="54">
        <v>0</v>
      </c>
      <c r="F250" s="77">
        <f t="shared" si="5"/>
        <v>561.71933999999999</v>
      </c>
      <c r="G250" s="127"/>
      <c r="H250" s="127"/>
      <c r="I250" s="36"/>
      <c r="J250" s="36">
        <f t="shared" ref="J250" si="7">3465000/F250</f>
        <v>6168.5609756644662</v>
      </c>
      <c r="L250" s="126"/>
      <c r="M250" s="126"/>
      <c r="N250" s="36"/>
    </row>
    <row r="251" spans="1:14" s="37" customFormat="1" x14ac:dyDescent="0.35">
      <c r="A251" s="127">
        <f t="shared" si="6"/>
        <v>7</v>
      </c>
      <c r="B251" s="127"/>
      <c r="C251" s="77" t="s">
        <v>191</v>
      </c>
      <c r="D251" s="54">
        <f>(23.2+0.75*(3.19+2.15))*10.764</f>
        <v>292.83461999999997</v>
      </c>
      <c r="E251" s="54">
        <v>0</v>
      </c>
      <c r="F251" s="77">
        <f t="shared" si="5"/>
        <v>439.25192999999996</v>
      </c>
      <c r="G251" s="127"/>
      <c r="H251" s="127"/>
      <c r="I251" s="36"/>
      <c r="J251" s="36">
        <f>2750000/F251</f>
        <v>6260.6440909662033</v>
      </c>
      <c r="L251" s="126"/>
      <c r="M251" s="126"/>
      <c r="N251" s="36"/>
    </row>
    <row r="252" spans="1:14" s="37" customFormat="1" x14ac:dyDescent="0.35">
      <c r="A252" s="127">
        <f t="shared" si="6"/>
        <v>8</v>
      </c>
      <c r="B252" s="127"/>
      <c r="C252" s="77" t="s">
        <v>191</v>
      </c>
      <c r="D252" s="54">
        <f>(23.2+0.75*(3.19+2.15))*10.764</f>
        <v>292.83461999999997</v>
      </c>
      <c r="E252" s="54">
        <v>0</v>
      </c>
      <c r="F252" s="77">
        <f t="shared" si="5"/>
        <v>439.25192999999996</v>
      </c>
      <c r="G252" s="127"/>
      <c r="H252" s="127"/>
      <c r="I252" s="36"/>
      <c r="J252" s="36">
        <f>2750000/F252</f>
        <v>6260.6440909662033</v>
      </c>
      <c r="L252" s="126"/>
      <c r="M252" s="126"/>
      <c r="N252" s="36"/>
    </row>
    <row r="253" spans="1:14" s="37" customFormat="1" x14ac:dyDescent="0.35">
      <c r="A253" s="149" t="s">
        <v>188</v>
      </c>
      <c r="B253" s="149"/>
      <c r="C253" s="149"/>
      <c r="D253" s="149"/>
      <c r="E253" s="149"/>
      <c r="F253" s="149"/>
      <c r="G253" s="149"/>
      <c r="H253" s="149"/>
      <c r="J253" s="36"/>
    </row>
    <row r="254" spans="1:14" s="37" customFormat="1" ht="15.75" customHeight="1" x14ac:dyDescent="0.35">
      <c r="A254" s="127">
        <v>1</v>
      </c>
      <c r="B254" s="127"/>
      <c r="C254" s="127" t="s">
        <v>189</v>
      </c>
      <c r="D254" s="127"/>
      <c r="E254" s="127"/>
      <c r="F254" s="127"/>
      <c r="G254" s="127" t="str">
        <f>A253</f>
        <v>7th, 13th &amp; 19th Floor (Part Refuge Area)</v>
      </c>
      <c r="H254" s="127"/>
      <c r="I254" s="53"/>
      <c r="J254" s="36"/>
      <c r="L254" s="126"/>
      <c r="M254" s="126"/>
      <c r="N254" s="36"/>
    </row>
    <row r="255" spans="1:14" s="37" customFormat="1" x14ac:dyDescent="0.35">
      <c r="A255" s="127">
        <f t="shared" ref="A255:A261" si="8">A254+1</f>
        <v>2</v>
      </c>
      <c r="B255" s="127"/>
      <c r="C255" s="77" t="s">
        <v>187</v>
      </c>
      <c r="D255" s="54">
        <f>(29.3+0.75*(2.67+4.65))*10.764</f>
        <v>374.47955999999999</v>
      </c>
      <c r="E255" s="54">
        <v>0</v>
      </c>
      <c r="F255" s="77">
        <f t="shared" ref="F255:F261" si="9">D255*(($F$220)+1)+(IF(E255&lt;101,E255,IF(E255&lt;201,E255/2,IF(E255&lt;=301,E255/3,E255/4))))</f>
        <v>561.71933999999999</v>
      </c>
      <c r="G255" s="127"/>
      <c r="H255" s="127"/>
      <c r="I255" s="36"/>
      <c r="L255" s="126"/>
      <c r="M255" s="126"/>
      <c r="N255" s="36"/>
    </row>
    <row r="256" spans="1:14" s="37" customFormat="1" x14ac:dyDescent="0.35">
      <c r="A256" s="127">
        <f t="shared" si="8"/>
        <v>3</v>
      </c>
      <c r="B256" s="127"/>
      <c r="C256" s="77" t="s">
        <v>191</v>
      </c>
      <c r="D256" s="54">
        <f>(23.2+0.75*(3.19+2.15))*10.764</f>
        <v>292.83461999999997</v>
      </c>
      <c r="E256" s="54">
        <v>0</v>
      </c>
      <c r="F256" s="77">
        <f t="shared" si="9"/>
        <v>439.25192999999996</v>
      </c>
      <c r="G256" s="127"/>
      <c r="H256" s="127"/>
      <c r="I256" s="36"/>
      <c r="L256" s="126"/>
      <c r="M256" s="126"/>
      <c r="N256" s="36"/>
    </row>
    <row r="257" spans="1:14" s="37" customFormat="1" x14ac:dyDescent="0.35">
      <c r="A257" s="127">
        <f t="shared" si="8"/>
        <v>4</v>
      </c>
      <c r="B257" s="127"/>
      <c r="C257" s="77" t="s">
        <v>191</v>
      </c>
      <c r="D257" s="54">
        <f>(23.2+0.75*(3.19+2.15))*10.764</f>
        <v>292.83461999999997</v>
      </c>
      <c r="E257" s="54">
        <v>0</v>
      </c>
      <c r="F257" s="77">
        <f t="shared" si="9"/>
        <v>439.25192999999996</v>
      </c>
      <c r="G257" s="127"/>
      <c r="H257" s="127"/>
      <c r="I257" s="36"/>
      <c r="L257" s="126"/>
      <c r="M257" s="126"/>
      <c r="N257" s="36"/>
    </row>
    <row r="258" spans="1:14" s="37" customFormat="1" ht="15.75" customHeight="1" x14ac:dyDescent="0.35">
      <c r="A258" s="127">
        <f t="shared" si="8"/>
        <v>5</v>
      </c>
      <c r="B258" s="127"/>
      <c r="C258" s="77" t="s">
        <v>187</v>
      </c>
      <c r="D258" s="54">
        <f>(29.3+0.75*(2.67+4.65))*10.764</f>
        <v>374.47955999999999</v>
      </c>
      <c r="E258" s="54">
        <v>0</v>
      </c>
      <c r="F258" s="77">
        <f t="shared" si="9"/>
        <v>561.71933999999999</v>
      </c>
      <c r="G258" s="127"/>
      <c r="H258" s="127"/>
      <c r="I258" s="36"/>
      <c r="L258" s="126"/>
      <c r="M258" s="126"/>
      <c r="N258" s="36"/>
    </row>
    <row r="259" spans="1:14" s="37" customFormat="1" x14ac:dyDescent="0.35">
      <c r="A259" s="127">
        <f t="shared" si="8"/>
        <v>6</v>
      </c>
      <c r="B259" s="127"/>
      <c r="C259" s="77" t="s">
        <v>187</v>
      </c>
      <c r="D259" s="54">
        <f>(29.3+0.75*(2.67+4.65))*10.764</f>
        <v>374.47955999999999</v>
      </c>
      <c r="E259" s="54">
        <v>0</v>
      </c>
      <c r="F259" s="77">
        <f t="shared" si="9"/>
        <v>561.71933999999999</v>
      </c>
      <c r="G259" s="127"/>
      <c r="H259" s="127"/>
      <c r="I259" s="36"/>
      <c r="L259" s="126"/>
      <c r="M259" s="126"/>
      <c r="N259" s="36"/>
    </row>
    <row r="260" spans="1:14" s="37" customFormat="1" x14ac:dyDescent="0.35">
      <c r="A260" s="127">
        <f t="shared" si="8"/>
        <v>7</v>
      </c>
      <c r="B260" s="127"/>
      <c r="C260" s="77" t="s">
        <v>191</v>
      </c>
      <c r="D260" s="54">
        <f>(23.2+0.75*(3.19+2.15))*10.764</f>
        <v>292.83461999999997</v>
      </c>
      <c r="E260" s="54">
        <v>0</v>
      </c>
      <c r="F260" s="77">
        <f t="shared" si="9"/>
        <v>439.25192999999996</v>
      </c>
      <c r="G260" s="127"/>
      <c r="H260" s="127"/>
      <c r="I260" s="36"/>
      <c r="L260" s="126"/>
      <c r="M260" s="126"/>
      <c r="N260" s="36"/>
    </row>
    <row r="261" spans="1:14" s="37" customFormat="1" x14ac:dyDescent="0.35">
      <c r="A261" s="127">
        <f t="shared" si="8"/>
        <v>8</v>
      </c>
      <c r="B261" s="127"/>
      <c r="C261" s="77" t="s">
        <v>191</v>
      </c>
      <c r="D261" s="54">
        <f>(23.2+0.75*(3.19+2.15))*10.764</f>
        <v>292.83461999999997</v>
      </c>
      <c r="E261" s="54">
        <v>0</v>
      </c>
      <c r="F261" s="77">
        <f t="shared" si="9"/>
        <v>439.25192999999996</v>
      </c>
      <c r="G261" s="127"/>
      <c r="H261" s="127"/>
      <c r="I261" s="36"/>
      <c r="L261" s="126"/>
      <c r="M261" s="126"/>
      <c r="N261" s="36"/>
    </row>
    <row r="262" spans="1:14" s="37" customFormat="1" x14ac:dyDescent="0.35">
      <c r="A262" s="130" t="s">
        <v>193</v>
      </c>
      <c r="B262" s="131"/>
      <c r="C262" s="131"/>
      <c r="D262" s="131"/>
      <c r="E262" s="131"/>
      <c r="F262" s="131"/>
      <c r="G262" s="131"/>
      <c r="H262" s="132"/>
      <c r="J262" s="36"/>
    </row>
    <row r="263" spans="1:14" s="37" customFormat="1" x14ac:dyDescent="0.35">
      <c r="A263" s="133" t="s">
        <v>186</v>
      </c>
      <c r="B263" s="134"/>
      <c r="C263" s="134"/>
      <c r="D263" s="134"/>
      <c r="E263" s="134"/>
      <c r="F263" s="134"/>
      <c r="G263" s="134"/>
      <c r="H263" s="135"/>
      <c r="J263" s="36"/>
    </row>
    <row r="264" spans="1:14" s="37" customFormat="1" x14ac:dyDescent="0.35">
      <c r="A264" s="133" t="s">
        <v>190</v>
      </c>
      <c r="B264" s="134"/>
      <c r="C264" s="134"/>
      <c r="D264" s="134"/>
      <c r="E264" s="134"/>
      <c r="F264" s="134"/>
      <c r="G264" s="134"/>
      <c r="H264" s="135"/>
      <c r="J264" s="36"/>
    </row>
    <row r="265" spans="1:14" s="37" customFormat="1" ht="15.75" customHeight="1" x14ac:dyDescent="0.35">
      <c r="A265" s="128">
        <v>1</v>
      </c>
      <c r="B265" s="129"/>
      <c r="C265" s="42" t="s">
        <v>187</v>
      </c>
      <c r="D265" s="54">
        <f>(29.3+0.75*(2.67+4.55))*10.764</f>
        <v>373.67225999999999</v>
      </c>
      <c r="E265" s="54">
        <v>0</v>
      </c>
      <c r="F265" s="42">
        <f t="shared" ref="F265:F272" si="10">D265*(($F$220)+1)+(IF(E265&lt;101,E265,IF(E265&lt;201,E265/2,IF(E265&lt;=301,E265/3,E265/4))))</f>
        <v>560.50838999999996</v>
      </c>
      <c r="G265" s="136" t="str">
        <f>A263</f>
        <v>Ground Floor for Parking &amp; Amenities</v>
      </c>
      <c r="H265" s="137"/>
      <c r="I265" s="53"/>
      <c r="L265" s="126"/>
      <c r="M265" s="126"/>
      <c r="N265" s="36"/>
    </row>
    <row r="266" spans="1:14" s="37" customFormat="1" x14ac:dyDescent="0.35">
      <c r="A266" s="128">
        <f t="shared" ref="A266:A272" si="11">A265+1</f>
        <v>2</v>
      </c>
      <c r="B266" s="129"/>
      <c r="C266" s="42" t="s">
        <v>187</v>
      </c>
      <c r="D266" s="54">
        <f>(29.3+0.75*(2.67+4.55))*10.764</f>
        <v>373.67225999999999</v>
      </c>
      <c r="E266" s="54">
        <v>0</v>
      </c>
      <c r="F266" s="42">
        <f t="shared" si="10"/>
        <v>560.50838999999996</v>
      </c>
      <c r="G266" s="138"/>
      <c r="H266" s="139"/>
      <c r="I266" s="36"/>
      <c r="L266" s="126"/>
      <c r="M266" s="126"/>
      <c r="N266" s="36"/>
    </row>
    <row r="267" spans="1:14" s="37" customFormat="1" x14ac:dyDescent="0.35">
      <c r="A267" s="128">
        <f t="shared" si="11"/>
        <v>3</v>
      </c>
      <c r="B267" s="129"/>
      <c r="C267" s="42" t="s">
        <v>187</v>
      </c>
      <c r="D267" s="54">
        <f>(29.3+0.75*(1.77+2.67+2.55))*10.764</f>
        <v>371.81547</v>
      </c>
      <c r="E267" s="54">
        <v>0</v>
      </c>
      <c r="F267" s="42">
        <f t="shared" si="10"/>
        <v>557.72320500000001</v>
      </c>
      <c r="G267" s="138"/>
      <c r="H267" s="139"/>
      <c r="I267" s="36"/>
      <c r="L267" s="126"/>
      <c r="M267" s="126"/>
      <c r="N267" s="36"/>
    </row>
    <row r="268" spans="1:14" s="37" customFormat="1" x14ac:dyDescent="0.35">
      <c r="A268" s="128">
        <f t="shared" si="11"/>
        <v>4</v>
      </c>
      <c r="B268" s="129"/>
      <c r="C268" s="42" t="s">
        <v>187</v>
      </c>
      <c r="D268" s="54">
        <f>(29.3+0.75*(1.77+2.67+2.55))*10.764</f>
        <v>371.81547</v>
      </c>
      <c r="E268" s="54">
        <v>0</v>
      </c>
      <c r="F268" s="42">
        <f t="shared" si="10"/>
        <v>557.72320500000001</v>
      </c>
      <c r="G268" s="138"/>
      <c r="H268" s="139"/>
      <c r="I268" s="36"/>
      <c r="L268" s="126"/>
      <c r="M268" s="126"/>
      <c r="N268" s="36"/>
    </row>
    <row r="269" spans="1:14" s="37" customFormat="1" ht="15.75" customHeight="1" x14ac:dyDescent="0.35">
      <c r="A269" s="128">
        <f t="shared" si="11"/>
        <v>5</v>
      </c>
      <c r="B269" s="129"/>
      <c r="C269" s="42" t="s">
        <v>187</v>
      </c>
      <c r="D269" s="54">
        <f>(29.3+0.75*(1.77+2.67+2.55))*10.764</f>
        <v>371.81547</v>
      </c>
      <c r="E269" s="54">
        <v>0</v>
      </c>
      <c r="F269" s="42">
        <f t="shared" si="10"/>
        <v>557.72320500000001</v>
      </c>
      <c r="G269" s="138"/>
      <c r="H269" s="139"/>
      <c r="I269" s="36"/>
      <c r="L269" s="126"/>
      <c r="M269" s="126"/>
      <c r="N269" s="36"/>
    </row>
    <row r="270" spans="1:14" s="37" customFormat="1" x14ac:dyDescent="0.35">
      <c r="A270" s="128">
        <f t="shared" si="11"/>
        <v>6</v>
      </c>
      <c r="B270" s="129"/>
      <c r="C270" s="42" t="s">
        <v>187</v>
      </c>
      <c r="D270" s="54">
        <f>(29.3+0.75*(2.67+2.55+1.77))*10.764</f>
        <v>371.81547</v>
      </c>
      <c r="E270" s="54">
        <v>0</v>
      </c>
      <c r="F270" s="42">
        <f t="shared" si="10"/>
        <v>557.72320500000001</v>
      </c>
      <c r="G270" s="138"/>
      <c r="H270" s="139"/>
      <c r="I270" s="36"/>
      <c r="L270" s="126"/>
      <c r="M270" s="126"/>
      <c r="N270" s="36"/>
    </row>
    <row r="271" spans="1:14" s="37" customFormat="1" x14ac:dyDescent="0.35">
      <c r="A271" s="128">
        <f t="shared" si="11"/>
        <v>7</v>
      </c>
      <c r="B271" s="129"/>
      <c r="C271" s="42" t="s">
        <v>187</v>
      </c>
      <c r="D271" s="54">
        <f>(29.3+0.75*(1.77+2.67+2.55))*10.764</f>
        <v>371.81547</v>
      </c>
      <c r="E271" s="54">
        <v>0</v>
      </c>
      <c r="F271" s="42">
        <f t="shared" si="10"/>
        <v>557.72320500000001</v>
      </c>
      <c r="G271" s="138"/>
      <c r="H271" s="139"/>
      <c r="I271" s="36"/>
      <c r="L271" s="126"/>
      <c r="M271" s="126"/>
      <c r="N271" s="36"/>
    </row>
    <row r="272" spans="1:14" s="37" customFormat="1" x14ac:dyDescent="0.35">
      <c r="A272" s="128">
        <f t="shared" si="11"/>
        <v>8</v>
      </c>
      <c r="B272" s="129"/>
      <c r="C272" s="42" t="s">
        <v>187</v>
      </c>
      <c r="D272" s="54">
        <f>(29.3+0.75*(1.77+2.67+2.55))*10.764</f>
        <v>371.81547</v>
      </c>
      <c r="E272" s="54">
        <v>0</v>
      </c>
      <c r="F272" s="42">
        <f t="shared" si="10"/>
        <v>557.72320500000001</v>
      </c>
      <c r="G272" s="140"/>
      <c r="H272" s="141"/>
      <c r="I272" s="36"/>
      <c r="L272" s="126"/>
      <c r="M272" s="126"/>
      <c r="N272" s="36"/>
    </row>
    <row r="273" spans="1:14" s="37" customFormat="1" x14ac:dyDescent="0.35">
      <c r="A273" s="149" t="s">
        <v>188</v>
      </c>
      <c r="B273" s="149"/>
      <c r="C273" s="149"/>
      <c r="D273" s="149"/>
      <c r="E273" s="149"/>
      <c r="F273" s="149"/>
      <c r="G273" s="149"/>
      <c r="H273" s="149"/>
      <c r="J273" s="36"/>
    </row>
    <row r="274" spans="1:14" s="37" customFormat="1" ht="15.75" customHeight="1" x14ac:dyDescent="0.35">
      <c r="A274" s="127">
        <v>1</v>
      </c>
      <c r="B274" s="127"/>
      <c r="C274" s="77" t="s">
        <v>187</v>
      </c>
      <c r="D274" s="54">
        <f>(29.3+0.75*(2.67+4.55))*10.764</f>
        <v>373.67225999999999</v>
      </c>
      <c r="E274" s="54">
        <v>0</v>
      </c>
      <c r="F274" s="77">
        <f t="shared" ref="F274:F279" si="12">D274*(($F$220)+1)+(IF(E274&lt;101,E274,IF(E274&lt;201,E274/2,IF(E274&lt;=301,E274/3,E274/4))))</f>
        <v>560.50838999999996</v>
      </c>
      <c r="G274" s="127" t="str">
        <f>A273</f>
        <v>7th, 13th &amp; 19th Floor (Part Refuge Area)</v>
      </c>
      <c r="H274" s="127"/>
      <c r="I274" s="53">
        <f>3750000/F274</f>
        <v>6690.3548045016778</v>
      </c>
      <c r="L274" s="126"/>
      <c r="M274" s="126"/>
      <c r="N274" s="36"/>
    </row>
    <row r="275" spans="1:14" s="37" customFormat="1" x14ac:dyDescent="0.35">
      <c r="A275" s="127">
        <f t="shared" ref="A275:A281" si="13">A274+1</f>
        <v>2</v>
      </c>
      <c r="B275" s="127"/>
      <c r="C275" s="77" t="s">
        <v>187</v>
      </c>
      <c r="D275" s="54">
        <f>(29.3+0.75*(2.67+4.55))*10.764</f>
        <v>373.67225999999999</v>
      </c>
      <c r="E275" s="54">
        <v>0</v>
      </c>
      <c r="F275" s="77">
        <f t="shared" si="12"/>
        <v>560.50838999999996</v>
      </c>
      <c r="G275" s="127"/>
      <c r="H275" s="127"/>
      <c r="I275" s="36"/>
      <c r="L275" s="126"/>
      <c r="M275" s="126"/>
      <c r="N275" s="36"/>
    </row>
    <row r="276" spans="1:14" s="37" customFormat="1" x14ac:dyDescent="0.35">
      <c r="A276" s="127">
        <f t="shared" si="13"/>
        <v>3</v>
      </c>
      <c r="B276" s="127"/>
      <c r="C276" s="77" t="s">
        <v>187</v>
      </c>
      <c r="D276" s="54">
        <f>(29.3+0.75*(1.77+2.67+2.55))*10.764</f>
        <v>371.81547</v>
      </c>
      <c r="E276" s="54">
        <v>0</v>
      </c>
      <c r="F276" s="77">
        <f t="shared" si="12"/>
        <v>557.72320500000001</v>
      </c>
      <c r="G276" s="127"/>
      <c r="H276" s="127"/>
      <c r="I276" s="36"/>
      <c r="L276" s="126"/>
      <c r="M276" s="126"/>
      <c r="N276" s="36"/>
    </row>
    <row r="277" spans="1:14" s="37" customFormat="1" x14ac:dyDescent="0.35">
      <c r="A277" s="127">
        <f t="shared" si="13"/>
        <v>4</v>
      </c>
      <c r="B277" s="127"/>
      <c r="C277" s="77" t="s">
        <v>187</v>
      </c>
      <c r="D277" s="54">
        <f>(29.3+0.75*(1.77+2.67+2.55))*10.764</f>
        <v>371.81547</v>
      </c>
      <c r="E277" s="54">
        <v>0</v>
      </c>
      <c r="F277" s="77">
        <f t="shared" si="12"/>
        <v>557.72320500000001</v>
      </c>
      <c r="G277" s="127"/>
      <c r="H277" s="127"/>
      <c r="I277" s="36"/>
      <c r="L277" s="126"/>
      <c r="M277" s="126"/>
      <c r="N277" s="36"/>
    </row>
    <row r="278" spans="1:14" s="37" customFormat="1" ht="15.75" customHeight="1" x14ac:dyDescent="0.35">
      <c r="A278" s="127">
        <f t="shared" si="13"/>
        <v>5</v>
      </c>
      <c r="B278" s="127"/>
      <c r="C278" s="77" t="s">
        <v>187</v>
      </c>
      <c r="D278" s="54">
        <f>(29.3+0.75*(1.77+2.67+2.55))*10.764</f>
        <v>371.81547</v>
      </c>
      <c r="E278" s="54">
        <v>0</v>
      </c>
      <c r="F278" s="77">
        <f t="shared" si="12"/>
        <v>557.72320500000001</v>
      </c>
      <c r="G278" s="127"/>
      <c r="H278" s="127"/>
      <c r="I278" s="36"/>
      <c r="L278" s="126"/>
      <c r="M278" s="126"/>
      <c r="N278" s="36"/>
    </row>
    <row r="279" spans="1:14" s="37" customFormat="1" x14ac:dyDescent="0.35">
      <c r="A279" s="127">
        <f t="shared" si="13"/>
        <v>6</v>
      </c>
      <c r="B279" s="127"/>
      <c r="C279" s="77" t="s">
        <v>187</v>
      </c>
      <c r="D279" s="54">
        <f>(29.3+0.75*(2.67+2.55+1.77))*10.764</f>
        <v>371.81547</v>
      </c>
      <c r="E279" s="54">
        <v>0</v>
      </c>
      <c r="F279" s="77">
        <f t="shared" si="12"/>
        <v>557.72320500000001</v>
      </c>
      <c r="G279" s="127"/>
      <c r="H279" s="127"/>
      <c r="I279" s="36"/>
      <c r="L279" s="126"/>
      <c r="M279" s="126"/>
      <c r="N279" s="36"/>
    </row>
    <row r="280" spans="1:14" s="37" customFormat="1" x14ac:dyDescent="0.35">
      <c r="A280" s="127">
        <f t="shared" si="13"/>
        <v>7</v>
      </c>
      <c r="B280" s="127"/>
      <c r="C280" s="127" t="s">
        <v>189</v>
      </c>
      <c r="D280" s="127"/>
      <c r="E280" s="127"/>
      <c r="F280" s="127"/>
      <c r="G280" s="127"/>
      <c r="H280" s="127"/>
      <c r="I280" s="36"/>
      <c r="L280" s="126"/>
      <c r="M280" s="126"/>
      <c r="N280" s="36"/>
    </row>
    <row r="281" spans="1:14" s="37" customFormat="1" x14ac:dyDescent="0.35">
      <c r="A281" s="127">
        <f t="shared" si="13"/>
        <v>8</v>
      </c>
      <c r="B281" s="127"/>
      <c r="C281" s="77" t="s">
        <v>187</v>
      </c>
      <c r="D281" s="54">
        <f>(29.3+0.75*(1.77+2.67+2.55))*10.764</f>
        <v>371.81547</v>
      </c>
      <c r="E281" s="54">
        <v>0</v>
      </c>
      <c r="F281" s="77">
        <f>D281*(($F$220)+1)+(IF(E281&lt;101,E281,IF(E281&lt;201,E281/2,IF(E281&lt;=301,E281/3,E281/4))))</f>
        <v>557.72320500000001</v>
      </c>
      <c r="G281" s="127"/>
      <c r="H281" s="127"/>
      <c r="I281" s="36"/>
      <c r="L281" s="126"/>
      <c r="M281" s="126"/>
      <c r="N281" s="36"/>
    </row>
    <row r="282" spans="1:14" s="37" customFormat="1" x14ac:dyDescent="0.35">
      <c r="A282" s="166" t="s">
        <v>194</v>
      </c>
      <c r="B282" s="166"/>
      <c r="C282" s="166"/>
      <c r="D282" s="166"/>
      <c r="E282" s="166"/>
      <c r="F282" s="166"/>
      <c r="G282" s="166"/>
      <c r="H282" s="166"/>
      <c r="J282" s="36"/>
    </row>
    <row r="283" spans="1:14" s="37" customFormat="1" x14ac:dyDescent="0.35">
      <c r="A283" s="149" t="s">
        <v>186</v>
      </c>
      <c r="B283" s="149"/>
      <c r="C283" s="149"/>
      <c r="D283" s="149"/>
      <c r="E283" s="149"/>
      <c r="F283" s="149"/>
      <c r="G283" s="149"/>
      <c r="H283" s="149"/>
      <c r="J283" s="36"/>
    </row>
    <row r="284" spans="1:14" s="37" customFormat="1" x14ac:dyDescent="0.35">
      <c r="A284" s="149" t="s">
        <v>190</v>
      </c>
      <c r="B284" s="149"/>
      <c r="C284" s="149"/>
      <c r="D284" s="149"/>
      <c r="E284" s="149"/>
      <c r="F284" s="149"/>
      <c r="G284" s="149"/>
      <c r="H284" s="149"/>
      <c r="J284" s="36"/>
    </row>
    <row r="285" spans="1:14" s="37" customFormat="1" ht="15.75" customHeight="1" x14ac:dyDescent="0.35">
      <c r="A285" s="127">
        <v>1</v>
      </c>
      <c r="B285" s="127"/>
      <c r="C285" s="42" t="s">
        <v>187</v>
      </c>
      <c r="D285" s="54">
        <f>(29.3+0.75*(2.67+4.55))*10.764</f>
        <v>373.67225999999999</v>
      </c>
      <c r="E285" s="54">
        <v>0</v>
      </c>
      <c r="F285" s="42">
        <f t="shared" ref="F285:F292" si="14">D285*(($F$220)+1)+(IF(E285&lt;101,E285,IF(E285&lt;201,E285/2,IF(E285&lt;=301,E285/3,E285/4))))</f>
        <v>560.50838999999996</v>
      </c>
      <c r="G285" s="127" t="str">
        <f>A283</f>
        <v>Ground Floor for Parking &amp; Amenities</v>
      </c>
      <c r="H285" s="127"/>
      <c r="I285" s="53"/>
      <c r="L285" s="126"/>
      <c r="M285" s="126"/>
      <c r="N285" s="36"/>
    </row>
    <row r="286" spans="1:14" s="37" customFormat="1" x14ac:dyDescent="0.35">
      <c r="A286" s="127">
        <f t="shared" ref="A286:A292" si="15">A285+1</f>
        <v>2</v>
      </c>
      <c r="B286" s="127"/>
      <c r="C286" s="42" t="s">
        <v>187</v>
      </c>
      <c r="D286" s="54">
        <f>(29.3+0.75*(2.67+4.55))*10.764</f>
        <v>373.67225999999999</v>
      </c>
      <c r="E286" s="54">
        <v>0</v>
      </c>
      <c r="F286" s="42">
        <f t="shared" si="14"/>
        <v>560.50838999999996</v>
      </c>
      <c r="G286" s="127"/>
      <c r="H286" s="127"/>
      <c r="I286" s="36"/>
      <c r="L286" s="126"/>
      <c r="M286" s="126"/>
      <c r="N286" s="36"/>
    </row>
    <row r="287" spans="1:14" s="37" customFormat="1" x14ac:dyDescent="0.35">
      <c r="A287" s="127">
        <f t="shared" si="15"/>
        <v>3</v>
      </c>
      <c r="B287" s="127"/>
      <c r="C287" s="42" t="s">
        <v>187</v>
      </c>
      <c r="D287" s="54">
        <f>(29.3+0.75*(1.77+2.67+2.55))*10.764</f>
        <v>371.81547</v>
      </c>
      <c r="E287" s="54">
        <v>0</v>
      </c>
      <c r="F287" s="42">
        <f t="shared" si="14"/>
        <v>557.72320500000001</v>
      </c>
      <c r="G287" s="127"/>
      <c r="H287" s="127"/>
      <c r="I287" s="36"/>
      <c r="L287" s="126"/>
      <c r="M287" s="126"/>
      <c r="N287" s="36"/>
    </row>
    <row r="288" spans="1:14" s="37" customFormat="1" x14ac:dyDescent="0.35">
      <c r="A288" s="127">
        <f t="shared" si="15"/>
        <v>4</v>
      </c>
      <c r="B288" s="127"/>
      <c r="C288" s="42" t="s">
        <v>187</v>
      </c>
      <c r="D288" s="54">
        <f>(29.3+0.75*(1.77+2.67+2.55))*10.764</f>
        <v>371.81547</v>
      </c>
      <c r="E288" s="54">
        <v>0</v>
      </c>
      <c r="F288" s="42">
        <f t="shared" si="14"/>
        <v>557.72320500000001</v>
      </c>
      <c r="G288" s="127"/>
      <c r="H288" s="127"/>
      <c r="I288" s="36"/>
      <c r="L288" s="126"/>
      <c r="M288" s="126"/>
      <c r="N288" s="36"/>
    </row>
    <row r="289" spans="1:14" s="37" customFormat="1" ht="15.75" customHeight="1" x14ac:dyDescent="0.35">
      <c r="A289" s="127">
        <f t="shared" si="15"/>
        <v>5</v>
      </c>
      <c r="B289" s="127"/>
      <c r="C289" s="42" t="s">
        <v>187</v>
      </c>
      <c r="D289" s="54">
        <f>(29.3+0.75*(1.77+2.67+2.55))*10.764</f>
        <v>371.81547</v>
      </c>
      <c r="E289" s="54">
        <v>0</v>
      </c>
      <c r="F289" s="42">
        <f t="shared" si="14"/>
        <v>557.72320500000001</v>
      </c>
      <c r="G289" s="127"/>
      <c r="H289" s="127"/>
      <c r="I289" s="36"/>
      <c r="L289" s="126"/>
      <c r="M289" s="126"/>
      <c r="N289" s="36"/>
    </row>
    <row r="290" spans="1:14" s="37" customFormat="1" x14ac:dyDescent="0.35">
      <c r="A290" s="127">
        <f t="shared" si="15"/>
        <v>6</v>
      </c>
      <c r="B290" s="127"/>
      <c r="C290" s="42" t="s">
        <v>187</v>
      </c>
      <c r="D290" s="54">
        <f>(29.3+0.75*(2.67+2.55+1.77))*10.764</f>
        <v>371.81547</v>
      </c>
      <c r="E290" s="54">
        <v>0</v>
      </c>
      <c r="F290" s="42">
        <f t="shared" si="14"/>
        <v>557.72320500000001</v>
      </c>
      <c r="G290" s="127"/>
      <c r="H290" s="127"/>
      <c r="I290" s="36"/>
      <c r="L290" s="126"/>
      <c r="M290" s="126"/>
      <c r="N290" s="36"/>
    </row>
    <row r="291" spans="1:14" s="37" customFormat="1" x14ac:dyDescent="0.35">
      <c r="A291" s="127">
        <f t="shared" si="15"/>
        <v>7</v>
      </c>
      <c r="B291" s="127"/>
      <c r="C291" s="42" t="s">
        <v>187</v>
      </c>
      <c r="D291" s="54">
        <f>(29.3+0.75*(1.77+2.67+2.55))*10.764</f>
        <v>371.81547</v>
      </c>
      <c r="E291" s="54">
        <v>0</v>
      </c>
      <c r="F291" s="42">
        <f t="shared" si="14"/>
        <v>557.72320500000001</v>
      </c>
      <c r="G291" s="127"/>
      <c r="H291" s="127"/>
      <c r="I291" s="36"/>
      <c r="L291" s="126"/>
      <c r="M291" s="126"/>
      <c r="N291" s="36"/>
    </row>
    <row r="292" spans="1:14" s="37" customFormat="1" x14ac:dyDescent="0.35">
      <c r="A292" s="127">
        <f t="shared" si="15"/>
        <v>8</v>
      </c>
      <c r="B292" s="127"/>
      <c r="C292" s="42" t="s">
        <v>187</v>
      </c>
      <c r="D292" s="54">
        <f>(29.3+0.75*(1.77+2.67+2.55))*10.764</f>
        <v>371.81547</v>
      </c>
      <c r="E292" s="54">
        <v>0</v>
      </c>
      <c r="F292" s="42">
        <f t="shared" si="14"/>
        <v>557.72320500000001</v>
      </c>
      <c r="G292" s="127"/>
      <c r="H292" s="127"/>
      <c r="I292" s="36"/>
      <c r="L292" s="126"/>
      <c r="M292" s="126"/>
      <c r="N292" s="36"/>
    </row>
    <row r="293" spans="1:14" s="37" customFormat="1" x14ac:dyDescent="0.35">
      <c r="A293" s="133" t="s">
        <v>188</v>
      </c>
      <c r="B293" s="134"/>
      <c r="C293" s="134"/>
      <c r="D293" s="134"/>
      <c r="E293" s="134"/>
      <c r="F293" s="134"/>
      <c r="G293" s="134"/>
      <c r="H293" s="135"/>
      <c r="J293" s="36"/>
    </row>
    <row r="294" spans="1:14" s="37" customFormat="1" ht="15.75" customHeight="1" x14ac:dyDescent="0.35">
      <c r="A294" s="128">
        <v>1</v>
      </c>
      <c r="B294" s="129"/>
      <c r="C294" s="42" t="s">
        <v>187</v>
      </c>
      <c r="D294" s="54">
        <f>(29.3+0.75*(2.67+4.55))*10.764</f>
        <v>373.67225999999999</v>
      </c>
      <c r="E294" s="54">
        <v>0</v>
      </c>
      <c r="F294" s="42">
        <f t="shared" ref="F294:F299" si="16">D294*(($F$220)+1)+(IF(E294&lt;101,E294,IF(E294&lt;201,E294/2,IF(E294&lt;=301,E294/3,E294/4))))</f>
        <v>560.50838999999996</v>
      </c>
      <c r="G294" s="136" t="str">
        <f>A293</f>
        <v>7th, 13th &amp; 19th Floor (Part Refuge Area)</v>
      </c>
      <c r="H294" s="137"/>
      <c r="I294" s="53"/>
      <c r="L294" s="126"/>
      <c r="M294" s="126"/>
      <c r="N294" s="36"/>
    </row>
    <row r="295" spans="1:14" s="37" customFormat="1" x14ac:dyDescent="0.35">
      <c r="A295" s="128">
        <f t="shared" ref="A295:A301" si="17">A294+1</f>
        <v>2</v>
      </c>
      <c r="B295" s="129"/>
      <c r="C295" s="42" t="s">
        <v>187</v>
      </c>
      <c r="D295" s="54">
        <f>(29.3+0.75*(2.67+4.55))*10.764</f>
        <v>373.67225999999999</v>
      </c>
      <c r="E295" s="54">
        <v>0</v>
      </c>
      <c r="F295" s="42">
        <f t="shared" si="16"/>
        <v>560.50838999999996</v>
      </c>
      <c r="G295" s="138"/>
      <c r="H295" s="139"/>
      <c r="I295" s="36"/>
      <c r="L295" s="126"/>
      <c r="M295" s="126"/>
      <c r="N295" s="36"/>
    </row>
    <row r="296" spans="1:14" s="37" customFormat="1" x14ac:dyDescent="0.35">
      <c r="A296" s="128">
        <f t="shared" si="17"/>
        <v>3</v>
      </c>
      <c r="B296" s="129"/>
      <c r="C296" s="42" t="s">
        <v>187</v>
      </c>
      <c r="D296" s="54">
        <f>(29.3+0.75*(1.77+2.67+2.55))*10.764</f>
        <v>371.81547</v>
      </c>
      <c r="E296" s="54">
        <v>0</v>
      </c>
      <c r="F296" s="42">
        <f t="shared" si="16"/>
        <v>557.72320500000001</v>
      </c>
      <c r="G296" s="138"/>
      <c r="H296" s="139"/>
      <c r="I296" s="36"/>
      <c r="L296" s="126"/>
      <c r="M296" s="126"/>
      <c r="N296" s="36"/>
    </row>
    <row r="297" spans="1:14" s="37" customFormat="1" x14ac:dyDescent="0.35">
      <c r="A297" s="128">
        <f t="shared" si="17"/>
        <v>4</v>
      </c>
      <c r="B297" s="129"/>
      <c r="C297" s="42" t="s">
        <v>187</v>
      </c>
      <c r="D297" s="54">
        <f>(29.3+0.75*(1.77+2.67+2.55))*10.764</f>
        <v>371.81547</v>
      </c>
      <c r="E297" s="54">
        <v>0</v>
      </c>
      <c r="F297" s="42">
        <f t="shared" si="16"/>
        <v>557.72320500000001</v>
      </c>
      <c r="G297" s="138"/>
      <c r="H297" s="139"/>
      <c r="I297" s="36"/>
      <c r="L297" s="126"/>
      <c r="M297" s="126"/>
      <c r="N297" s="36"/>
    </row>
    <row r="298" spans="1:14" s="37" customFormat="1" ht="15.75" customHeight="1" x14ac:dyDescent="0.35">
      <c r="A298" s="128">
        <f t="shared" si="17"/>
        <v>5</v>
      </c>
      <c r="B298" s="129"/>
      <c r="C298" s="42" t="s">
        <v>187</v>
      </c>
      <c r="D298" s="54">
        <f>(29.3+0.75*(1.77+2.67+2.55))*10.764</f>
        <v>371.81547</v>
      </c>
      <c r="E298" s="54">
        <v>0</v>
      </c>
      <c r="F298" s="42">
        <f t="shared" si="16"/>
        <v>557.72320500000001</v>
      </c>
      <c r="G298" s="138"/>
      <c r="H298" s="139"/>
      <c r="I298" s="36"/>
      <c r="L298" s="126"/>
      <c r="M298" s="126"/>
      <c r="N298" s="36"/>
    </row>
    <row r="299" spans="1:14" s="37" customFormat="1" x14ac:dyDescent="0.35">
      <c r="A299" s="128">
        <f t="shared" si="17"/>
        <v>6</v>
      </c>
      <c r="B299" s="129"/>
      <c r="C299" s="42" t="s">
        <v>187</v>
      </c>
      <c r="D299" s="54">
        <f>(29.3+0.75*(2.67+2.55+1.77))*10.764</f>
        <v>371.81547</v>
      </c>
      <c r="E299" s="54">
        <v>0</v>
      </c>
      <c r="F299" s="42">
        <f t="shared" si="16"/>
        <v>557.72320500000001</v>
      </c>
      <c r="G299" s="138"/>
      <c r="H299" s="139"/>
      <c r="I299" s="36"/>
      <c r="L299" s="126"/>
      <c r="M299" s="126"/>
      <c r="N299" s="36"/>
    </row>
    <row r="300" spans="1:14" s="37" customFormat="1" x14ac:dyDescent="0.35">
      <c r="A300" s="128">
        <f t="shared" si="17"/>
        <v>7</v>
      </c>
      <c r="B300" s="129"/>
      <c r="C300" s="128" t="s">
        <v>189</v>
      </c>
      <c r="D300" s="142"/>
      <c r="E300" s="142"/>
      <c r="F300" s="129"/>
      <c r="G300" s="138"/>
      <c r="H300" s="139"/>
      <c r="I300" s="36"/>
      <c r="L300" s="126"/>
      <c r="M300" s="126"/>
      <c r="N300" s="36"/>
    </row>
    <row r="301" spans="1:14" s="37" customFormat="1" x14ac:dyDescent="0.35">
      <c r="A301" s="128">
        <f t="shared" si="17"/>
        <v>8</v>
      </c>
      <c r="B301" s="129"/>
      <c r="C301" s="42" t="s">
        <v>187</v>
      </c>
      <c r="D301" s="54">
        <f>(29.3+0.75*(1.77+2.67+2.55))*10.764</f>
        <v>371.81547</v>
      </c>
      <c r="E301" s="54">
        <v>0</v>
      </c>
      <c r="F301" s="42">
        <f>D301*(($F$220)+1)+(IF(E301&lt;101,E301,IF(E301&lt;201,E301/2,IF(E301&lt;=301,E301/3,E301/4))))</f>
        <v>557.72320500000001</v>
      </c>
      <c r="G301" s="140"/>
      <c r="H301" s="141"/>
      <c r="I301" s="36"/>
      <c r="L301" s="126"/>
      <c r="M301" s="126"/>
      <c r="N301" s="36"/>
    </row>
    <row r="302" spans="1:14" s="37" customFormat="1" x14ac:dyDescent="0.35">
      <c r="A302" s="130" t="s">
        <v>199</v>
      </c>
      <c r="B302" s="131"/>
      <c r="C302" s="131"/>
      <c r="D302" s="131"/>
      <c r="E302" s="131"/>
      <c r="F302" s="131"/>
      <c r="G302" s="131"/>
      <c r="H302" s="132"/>
      <c r="J302" s="36"/>
    </row>
    <row r="303" spans="1:14" s="37" customFormat="1" x14ac:dyDescent="0.35">
      <c r="A303" s="133" t="s">
        <v>186</v>
      </c>
      <c r="B303" s="134"/>
      <c r="C303" s="134"/>
      <c r="D303" s="134"/>
      <c r="E303" s="134"/>
      <c r="F303" s="134"/>
      <c r="G303" s="134"/>
      <c r="H303" s="135"/>
      <c r="J303" s="36"/>
    </row>
    <row r="304" spans="1:14" s="37" customFormat="1" x14ac:dyDescent="0.35">
      <c r="A304" s="133" t="s">
        <v>190</v>
      </c>
      <c r="B304" s="134"/>
      <c r="C304" s="134"/>
      <c r="D304" s="134"/>
      <c r="E304" s="134"/>
      <c r="F304" s="134"/>
      <c r="G304" s="134"/>
      <c r="H304" s="135"/>
      <c r="J304" s="36"/>
    </row>
    <row r="305" spans="1:14" s="37" customFormat="1" ht="15.75" customHeight="1" x14ac:dyDescent="0.35">
      <c r="A305" s="128">
        <v>1</v>
      </c>
      <c r="B305" s="129"/>
      <c r="C305" s="42" t="s">
        <v>191</v>
      </c>
      <c r="D305" s="54">
        <f>(23.2+0.75*(3.19+2.15))*10.764</f>
        <v>292.83461999999997</v>
      </c>
      <c r="E305" s="54">
        <v>0</v>
      </c>
      <c r="F305" s="42">
        <f t="shared" ref="F305:F310" si="18">D305*(($F$220)+1)+(IF(E305&lt;101,E305,IF(E305&lt;201,E305/2,IF(E305&lt;=301,E305/3,E305/4))))</f>
        <v>439.25192999999996</v>
      </c>
      <c r="G305" s="143" t="str">
        <f>A304</f>
        <v>1st to 6th, 8th to 12th, 14th to 18th, 20th to 22nd Floor for Residential</v>
      </c>
      <c r="H305" s="144"/>
      <c r="I305" s="53">
        <f>2.96*3.19+2.96*2.15+1.7*1.1+1.7*1.1+0.9*2.35</f>
        <v>21.6614</v>
      </c>
      <c r="J305" s="37">
        <f>2750000/F305</f>
        <v>6260.6440909662033</v>
      </c>
      <c r="L305" s="126"/>
      <c r="M305" s="126"/>
      <c r="N305" s="36"/>
    </row>
    <row r="306" spans="1:14" s="37" customFormat="1" x14ac:dyDescent="0.35">
      <c r="A306" s="128">
        <f t="shared" ref="A306:A310" si="19">A305+1</f>
        <v>2</v>
      </c>
      <c r="B306" s="129"/>
      <c r="C306" s="42" t="s">
        <v>191</v>
      </c>
      <c r="D306" s="54">
        <f>(23.2+0.75*(3.19+2.15))*10.764</f>
        <v>292.83461999999997</v>
      </c>
      <c r="E306" s="54">
        <v>0</v>
      </c>
      <c r="F306" s="42">
        <f t="shared" si="18"/>
        <v>439.25192999999996</v>
      </c>
      <c r="G306" s="145"/>
      <c r="H306" s="146"/>
      <c r="I306" s="36"/>
      <c r="J306" s="37">
        <f>3465000/F307</f>
        <v>6168.5609756644662</v>
      </c>
      <c r="K306" s="37">
        <f>3850000/F307</f>
        <v>6853.9566396271848</v>
      </c>
      <c r="L306" s="126"/>
      <c r="M306" s="126"/>
      <c r="N306" s="36"/>
    </row>
    <row r="307" spans="1:14" s="37" customFormat="1" x14ac:dyDescent="0.35">
      <c r="A307" s="128">
        <f t="shared" si="19"/>
        <v>3</v>
      </c>
      <c r="B307" s="129"/>
      <c r="C307" s="42" t="s">
        <v>187</v>
      </c>
      <c r="D307" s="54">
        <f>(29.3+0.75*(2.67+4.65))*10.764</f>
        <v>374.47955999999999</v>
      </c>
      <c r="E307" s="54">
        <v>0</v>
      </c>
      <c r="F307" s="42">
        <f t="shared" si="18"/>
        <v>561.71933999999999</v>
      </c>
      <c r="G307" s="145"/>
      <c r="H307" s="146"/>
      <c r="I307" s="36"/>
      <c r="L307" s="126"/>
      <c r="M307" s="126"/>
      <c r="N307" s="36"/>
    </row>
    <row r="308" spans="1:14" s="37" customFormat="1" x14ac:dyDescent="0.35">
      <c r="A308" s="128">
        <f t="shared" si="19"/>
        <v>4</v>
      </c>
      <c r="B308" s="129"/>
      <c r="C308" s="42" t="s">
        <v>187</v>
      </c>
      <c r="D308" s="54">
        <f>(29.3+0.75*(2.67+4.65))*10.764</f>
        <v>374.47955999999999</v>
      </c>
      <c r="E308" s="54">
        <v>0</v>
      </c>
      <c r="F308" s="42">
        <f t="shared" si="18"/>
        <v>561.71933999999999</v>
      </c>
      <c r="G308" s="145"/>
      <c r="H308" s="146"/>
      <c r="I308" s="36"/>
      <c r="L308" s="126"/>
      <c r="M308" s="126"/>
      <c r="N308" s="36"/>
    </row>
    <row r="309" spans="1:14" s="37" customFormat="1" ht="15.75" customHeight="1" x14ac:dyDescent="0.35">
      <c r="A309" s="128">
        <f t="shared" si="19"/>
        <v>5</v>
      </c>
      <c r="B309" s="129"/>
      <c r="C309" s="42" t="s">
        <v>187</v>
      </c>
      <c r="D309" s="54">
        <f>(29.3+0.75*(2.67+4.65))*10.764</f>
        <v>374.47955999999999</v>
      </c>
      <c r="E309" s="54">
        <v>0</v>
      </c>
      <c r="F309" s="42">
        <f t="shared" si="18"/>
        <v>561.71933999999999</v>
      </c>
      <c r="G309" s="145"/>
      <c r="H309" s="146"/>
      <c r="I309" s="36"/>
      <c r="L309" s="126"/>
      <c r="M309" s="126"/>
      <c r="N309" s="36"/>
    </row>
    <row r="310" spans="1:14" s="37" customFormat="1" x14ac:dyDescent="0.35">
      <c r="A310" s="128">
        <f t="shared" si="19"/>
        <v>6</v>
      </c>
      <c r="B310" s="129"/>
      <c r="C310" s="42" t="s">
        <v>187</v>
      </c>
      <c r="D310" s="54">
        <f>(29.3+0.75*(2.67+4.65))*10.764</f>
        <v>374.47955999999999</v>
      </c>
      <c r="E310" s="54">
        <v>0</v>
      </c>
      <c r="F310" s="42">
        <f t="shared" si="18"/>
        <v>561.71933999999999</v>
      </c>
      <c r="G310" s="147"/>
      <c r="H310" s="148"/>
      <c r="I310" s="36"/>
      <c r="L310" s="126"/>
      <c r="M310" s="126"/>
      <c r="N310" s="36"/>
    </row>
    <row r="311" spans="1:14" s="37" customFormat="1" x14ac:dyDescent="0.35">
      <c r="A311" s="133" t="s">
        <v>188</v>
      </c>
      <c r="B311" s="134"/>
      <c r="C311" s="134"/>
      <c r="D311" s="134"/>
      <c r="E311" s="134"/>
      <c r="F311" s="134"/>
      <c r="G311" s="134"/>
      <c r="H311" s="135"/>
      <c r="J311" s="36"/>
    </row>
    <row r="312" spans="1:14" s="37" customFormat="1" ht="15.75" customHeight="1" x14ac:dyDescent="0.35">
      <c r="A312" s="128">
        <v>1</v>
      </c>
      <c r="B312" s="129"/>
      <c r="C312" s="42" t="s">
        <v>191</v>
      </c>
      <c r="D312" s="54">
        <f>(23.2+0.75*(3.19+2.15))*10.764</f>
        <v>292.83461999999997</v>
      </c>
      <c r="E312" s="54">
        <v>0</v>
      </c>
      <c r="F312" s="42">
        <f>D312*(($F$220)+1)+(IF(E312&lt;101,E312,IF(E312&lt;201,E312/2,IF(E312&lt;=301,E312/3,E312/4))))</f>
        <v>439.25192999999996</v>
      </c>
      <c r="G312" s="143" t="str">
        <f>A311</f>
        <v>7th, 13th &amp; 19th Floor (Part Refuge Area)</v>
      </c>
      <c r="H312" s="144"/>
      <c r="I312" s="53"/>
      <c r="L312" s="126"/>
      <c r="M312" s="126"/>
      <c r="N312" s="36"/>
    </row>
    <row r="313" spans="1:14" s="37" customFormat="1" x14ac:dyDescent="0.35">
      <c r="A313" s="128">
        <f t="shared" ref="A313:A317" si="20">A312+1</f>
        <v>2</v>
      </c>
      <c r="B313" s="129"/>
      <c r="C313" s="42" t="s">
        <v>191</v>
      </c>
      <c r="D313" s="54">
        <f>(23.2+0.75*(3.19+2.15))*10.764</f>
        <v>292.83461999999997</v>
      </c>
      <c r="E313" s="54">
        <v>0</v>
      </c>
      <c r="F313" s="42">
        <f>D313*(($F$220)+1)+(IF(E313&lt;101,E313,IF(E313&lt;201,E313/2,IF(E313&lt;=301,E313/3,E313/4))))</f>
        <v>439.25192999999996</v>
      </c>
      <c r="G313" s="145"/>
      <c r="H313" s="146"/>
      <c r="I313" s="36"/>
      <c r="L313" s="126"/>
      <c r="M313" s="126"/>
      <c r="N313" s="36"/>
    </row>
    <row r="314" spans="1:14" s="37" customFormat="1" x14ac:dyDescent="0.35">
      <c r="A314" s="128">
        <f t="shared" si="20"/>
        <v>3</v>
      </c>
      <c r="B314" s="129"/>
      <c r="C314" s="42" t="s">
        <v>187</v>
      </c>
      <c r="D314" s="54">
        <f>(29.3+0.75*(2.67+4.65))*10.764</f>
        <v>374.47955999999999</v>
      </c>
      <c r="E314" s="54">
        <v>0</v>
      </c>
      <c r="F314" s="42">
        <f>D314*(($F$220)+1)+(IF(E314&lt;101,E314,IF(E314&lt;201,E314/2,IF(E314&lt;=301,E314/3,E314/4))))</f>
        <v>561.71933999999999</v>
      </c>
      <c r="G314" s="145"/>
      <c r="H314" s="146"/>
      <c r="I314" s="36"/>
      <c r="L314" s="126"/>
      <c r="M314" s="126"/>
      <c r="N314" s="36"/>
    </row>
    <row r="315" spans="1:14" s="37" customFormat="1" x14ac:dyDescent="0.35">
      <c r="A315" s="128">
        <f t="shared" si="20"/>
        <v>4</v>
      </c>
      <c r="B315" s="129"/>
      <c r="C315" s="42" t="s">
        <v>187</v>
      </c>
      <c r="D315" s="54">
        <f>(29.3+0.75*(2.67+4.65))*10.764</f>
        <v>374.47955999999999</v>
      </c>
      <c r="E315" s="54">
        <v>0</v>
      </c>
      <c r="F315" s="42">
        <f>D315*(($F$220)+1)+(IF(E315&lt;101,E315,IF(E315&lt;201,E315/2,IF(E315&lt;=301,E315/3,E315/4))))</f>
        <v>561.71933999999999</v>
      </c>
      <c r="G315" s="145"/>
      <c r="H315" s="146"/>
      <c r="I315" s="36"/>
      <c r="L315" s="126"/>
      <c r="M315" s="126"/>
      <c r="N315" s="36"/>
    </row>
    <row r="316" spans="1:14" s="37" customFormat="1" ht="15.75" customHeight="1" x14ac:dyDescent="0.35">
      <c r="A316" s="128">
        <f t="shared" si="20"/>
        <v>5</v>
      </c>
      <c r="B316" s="129"/>
      <c r="C316" s="128" t="s">
        <v>189</v>
      </c>
      <c r="D316" s="142"/>
      <c r="E316" s="142"/>
      <c r="F316" s="129"/>
      <c r="G316" s="145"/>
      <c r="H316" s="146"/>
      <c r="I316" s="36"/>
      <c r="L316" s="126"/>
      <c r="M316" s="126"/>
      <c r="N316" s="36"/>
    </row>
    <row r="317" spans="1:14" s="37" customFormat="1" x14ac:dyDescent="0.35">
      <c r="A317" s="128">
        <f t="shared" si="20"/>
        <v>6</v>
      </c>
      <c r="B317" s="129"/>
      <c r="C317" s="42" t="s">
        <v>187</v>
      </c>
      <c r="D317" s="54">
        <f>(29.3+0.75*(2.67+4.65))*10.764</f>
        <v>374.47955999999999</v>
      </c>
      <c r="E317" s="54">
        <v>0</v>
      </c>
      <c r="F317" s="42">
        <f>D317*(($F$220)+1)+(IF(E317&lt;101,E317,IF(E317&lt;201,E317/2,IF(E317&lt;=301,E317/3,E317/4))))</f>
        <v>561.71933999999999</v>
      </c>
      <c r="G317" s="147"/>
      <c r="H317" s="148"/>
      <c r="I317" s="36"/>
      <c r="L317" s="126"/>
      <c r="M317" s="126"/>
      <c r="N317" s="36"/>
    </row>
    <row r="318" spans="1:14" s="37" customFormat="1" x14ac:dyDescent="0.35">
      <c r="A318" s="166" t="s">
        <v>195</v>
      </c>
      <c r="B318" s="166"/>
      <c r="C318" s="166"/>
      <c r="D318" s="166"/>
      <c r="E318" s="166"/>
      <c r="F318" s="166"/>
      <c r="G318" s="166"/>
      <c r="H318" s="166"/>
      <c r="J318" s="36"/>
    </row>
    <row r="319" spans="1:14" s="37" customFormat="1" x14ac:dyDescent="0.35">
      <c r="A319" s="149" t="s">
        <v>186</v>
      </c>
      <c r="B319" s="149"/>
      <c r="C319" s="149"/>
      <c r="D319" s="149"/>
      <c r="E319" s="149"/>
      <c r="F319" s="149"/>
      <c r="G319" s="149"/>
      <c r="H319" s="149"/>
      <c r="J319" s="36"/>
    </row>
    <row r="320" spans="1:14" s="37" customFormat="1" x14ac:dyDescent="0.35">
      <c r="A320" s="149" t="s">
        <v>190</v>
      </c>
      <c r="B320" s="149"/>
      <c r="C320" s="149"/>
      <c r="D320" s="149"/>
      <c r="E320" s="149"/>
      <c r="F320" s="149"/>
      <c r="G320" s="149"/>
      <c r="H320" s="149"/>
      <c r="J320" s="36"/>
    </row>
    <row r="321" spans="1:14" s="37" customFormat="1" ht="15.75" customHeight="1" x14ac:dyDescent="0.35">
      <c r="A321" s="127">
        <v>1</v>
      </c>
      <c r="B321" s="127"/>
      <c r="C321" s="77" t="s">
        <v>187</v>
      </c>
      <c r="D321" s="54">
        <f>(29.3+0.75*(2.67+4.55))*10.764</f>
        <v>373.67225999999999</v>
      </c>
      <c r="E321" s="54">
        <v>0</v>
      </c>
      <c r="F321" s="77">
        <f t="shared" ref="F321:F328" si="21">D321*(($F$220)+1)+(IF(E321&lt;101,E321,IF(E321&lt;201,E321/2,IF(E321&lt;=301,E321/3,E321/4))))</f>
        <v>560.50838999999996</v>
      </c>
      <c r="G321" s="127" t="str">
        <f>A319</f>
        <v>Ground Floor for Parking &amp; Amenities</v>
      </c>
      <c r="H321" s="127"/>
      <c r="I321" s="53"/>
      <c r="L321" s="126"/>
      <c r="M321" s="126"/>
      <c r="N321" s="36"/>
    </row>
    <row r="322" spans="1:14" s="37" customFormat="1" x14ac:dyDescent="0.35">
      <c r="A322" s="127">
        <f t="shared" ref="A322:A328" si="22">A321+1</f>
        <v>2</v>
      </c>
      <c r="B322" s="127"/>
      <c r="C322" s="77" t="s">
        <v>187</v>
      </c>
      <c r="D322" s="54">
        <f>(29.3+0.75*(2.67+4.55))*10.764</f>
        <v>373.67225999999999</v>
      </c>
      <c r="E322" s="54">
        <v>0</v>
      </c>
      <c r="F322" s="77">
        <f t="shared" si="21"/>
        <v>560.50838999999996</v>
      </c>
      <c r="G322" s="127"/>
      <c r="H322" s="127"/>
      <c r="I322" s="36"/>
      <c r="L322" s="126"/>
      <c r="M322" s="126"/>
      <c r="N322" s="36"/>
    </row>
    <row r="323" spans="1:14" s="37" customFormat="1" x14ac:dyDescent="0.35">
      <c r="A323" s="127">
        <f t="shared" si="22"/>
        <v>3</v>
      </c>
      <c r="B323" s="127"/>
      <c r="C323" s="77" t="s">
        <v>187</v>
      </c>
      <c r="D323" s="54">
        <f>(29.3+0.75*(1.77+2.67+2.55))*10.764</f>
        <v>371.81547</v>
      </c>
      <c r="E323" s="54">
        <v>0</v>
      </c>
      <c r="F323" s="77">
        <f t="shared" si="21"/>
        <v>557.72320500000001</v>
      </c>
      <c r="G323" s="127"/>
      <c r="H323" s="127"/>
      <c r="I323" s="36"/>
      <c r="L323" s="126"/>
      <c r="M323" s="126"/>
      <c r="N323" s="36"/>
    </row>
    <row r="324" spans="1:14" s="37" customFormat="1" x14ac:dyDescent="0.35">
      <c r="A324" s="127">
        <f t="shared" si="22"/>
        <v>4</v>
      </c>
      <c r="B324" s="127"/>
      <c r="C324" s="77" t="s">
        <v>187</v>
      </c>
      <c r="D324" s="54">
        <f>(29.3+0.75*(1.77+2.67+2.55))*10.764</f>
        <v>371.81547</v>
      </c>
      <c r="E324" s="54">
        <v>0</v>
      </c>
      <c r="F324" s="77">
        <f t="shared" si="21"/>
        <v>557.72320500000001</v>
      </c>
      <c r="G324" s="127"/>
      <c r="H324" s="127"/>
      <c r="I324" s="36"/>
      <c r="L324" s="126"/>
      <c r="M324" s="126"/>
      <c r="N324" s="36"/>
    </row>
    <row r="325" spans="1:14" s="37" customFormat="1" ht="15.75" customHeight="1" x14ac:dyDescent="0.35">
      <c r="A325" s="127">
        <f t="shared" si="22"/>
        <v>5</v>
      </c>
      <c r="B325" s="127"/>
      <c r="C325" s="77" t="s">
        <v>187</v>
      </c>
      <c r="D325" s="54">
        <f>(29.3+0.75*(1.77+2.67+2.55))*10.764</f>
        <v>371.81547</v>
      </c>
      <c r="E325" s="54">
        <v>0</v>
      </c>
      <c r="F325" s="77">
        <f t="shared" si="21"/>
        <v>557.72320500000001</v>
      </c>
      <c r="G325" s="127"/>
      <c r="H325" s="127"/>
      <c r="I325" s="36"/>
      <c r="L325" s="126"/>
      <c r="M325" s="126"/>
      <c r="N325" s="36"/>
    </row>
    <row r="326" spans="1:14" s="37" customFormat="1" x14ac:dyDescent="0.35">
      <c r="A326" s="127">
        <f t="shared" si="22"/>
        <v>6</v>
      </c>
      <c r="B326" s="127"/>
      <c r="C326" s="77" t="s">
        <v>187</v>
      </c>
      <c r="D326" s="54">
        <f>(29.3+0.75*(2.67+2.55+1.77))*10.764</f>
        <v>371.81547</v>
      </c>
      <c r="E326" s="54">
        <v>0</v>
      </c>
      <c r="F326" s="77">
        <f t="shared" si="21"/>
        <v>557.72320500000001</v>
      </c>
      <c r="G326" s="127"/>
      <c r="H326" s="127"/>
      <c r="I326" s="36"/>
      <c r="L326" s="126"/>
      <c r="M326" s="126"/>
      <c r="N326" s="36"/>
    </row>
    <row r="327" spans="1:14" s="37" customFormat="1" x14ac:dyDescent="0.35">
      <c r="A327" s="127">
        <f t="shared" si="22"/>
        <v>7</v>
      </c>
      <c r="B327" s="127"/>
      <c r="C327" s="77" t="s">
        <v>187</v>
      </c>
      <c r="D327" s="54">
        <f>(29.3+0.75*(1.77+2.67+2.55))*10.764</f>
        <v>371.81547</v>
      </c>
      <c r="E327" s="54">
        <v>0</v>
      </c>
      <c r="F327" s="77">
        <f t="shared" si="21"/>
        <v>557.72320500000001</v>
      </c>
      <c r="G327" s="127"/>
      <c r="H327" s="127"/>
      <c r="I327" s="36"/>
      <c r="L327" s="126"/>
      <c r="M327" s="126"/>
      <c r="N327" s="36"/>
    </row>
    <row r="328" spans="1:14" s="37" customFormat="1" x14ac:dyDescent="0.35">
      <c r="A328" s="127">
        <f t="shared" si="22"/>
        <v>8</v>
      </c>
      <c r="B328" s="127"/>
      <c r="C328" s="77" t="s">
        <v>187</v>
      </c>
      <c r="D328" s="54">
        <f>(29.3+0.75*(1.77+2.67+2.55))*10.764</f>
        <v>371.81547</v>
      </c>
      <c r="E328" s="54">
        <v>0</v>
      </c>
      <c r="F328" s="77">
        <f t="shared" si="21"/>
        <v>557.72320500000001</v>
      </c>
      <c r="G328" s="127"/>
      <c r="H328" s="127"/>
      <c r="I328" s="36"/>
      <c r="L328" s="126"/>
      <c r="M328" s="126"/>
      <c r="N328" s="36"/>
    </row>
    <row r="329" spans="1:14" s="37" customFormat="1" x14ac:dyDescent="0.35">
      <c r="A329" s="133" t="s">
        <v>188</v>
      </c>
      <c r="B329" s="134"/>
      <c r="C329" s="134"/>
      <c r="D329" s="134"/>
      <c r="E329" s="134"/>
      <c r="F329" s="134"/>
      <c r="G329" s="134"/>
      <c r="H329" s="135"/>
      <c r="J329" s="36"/>
    </row>
    <row r="330" spans="1:14" s="37" customFormat="1" ht="15.75" customHeight="1" x14ac:dyDescent="0.35">
      <c r="A330" s="128">
        <v>1</v>
      </c>
      <c r="B330" s="129"/>
      <c r="C330" s="42" t="s">
        <v>187</v>
      </c>
      <c r="D330" s="54">
        <f>(29.3+0.75*(2.67+4.55))*10.764</f>
        <v>373.67225999999999</v>
      </c>
      <c r="E330" s="54">
        <v>0</v>
      </c>
      <c r="F330" s="42">
        <f t="shared" ref="F330:F335" si="23">D330*(($F$220)+1)+(IF(E330&lt;101,E330,IF(E330&lt;201,E330/2,IF(E330&lt;=301,E330/3,E330/4))))</f>
        <v>560.50838999999996</v>
      </c>
      <c r="G330" s="136" t="str">
        <f>A329</f>
        <v>7th, 13th &amp; 19th Floor (Part Refuge Area)</v>
      </c>
      <c r="H330" s="137"/>
      <c r="I330" s="53"/>
      <c r="L330" s="126"/>
      <c r="M330" s="126"/>
      <c r="N330" s="36"/>
    </row>
    <row r="331" spans="1:14" s="37" customFormat="1" x14ac:dyDescent="0.35">
      <c r="A331" s="128">
        <f t="shared" ref="A331:A337" si="24">A330+1</f>
        <v>2</v>
      </c>
      <c r="B331" s="129"/>
      <c r="C331" s="42" t="s">
        <v>187</v>
      </c>
      <c r="D331" s="54">
        <f>(29.3+0.75*(2.67+4.55))*10.764</f>
        <v>373.67225999999999</v>
      </c>
      <c r="E331" s="54">
        <v>0</v>
      </c>
      <c r="F331" s="42">
        <f t="shared" si="23"/>
        <v>560.50838999999996</v>
      </c>
      <c r="G331" s="138"/>
      <c r="H331" s="139"/>
      <c r="I331" s="36"/>
      <c r="L331" s="126"/>
      <c r="M331" s="126"/>
      <c r="N331" s="36"/>
    </row>
    <row r="332" spans="1:14" s="37" customFormat="1" x14ac:dyDescent="0.35">
      <c r="A332" s="128">
        <f t="shared" si="24"/>
        <v>3</v>
      </c>
      <c r="B332" s="129"/>
      <c r="C332" s="42" t="s">
        <v>187</v>
      </c>
      <c r="D332" s="54">
        <f>(29.3+0.75*(1.77+2.67+2.55))*10.764</f>
        <v>371.81547</v>
      </c>
      <c r="E332" s="54">
        <v>0</v>
      </c>
      <c r="F332" s="42">
        <f t="shared" si="23"/>
        <v>557.72320500000001</v>
      </c>
      <c r="G332" s="138"/>
      <c r="H332" s="139"/>
      <c r="I332" s="36"/>
      <c r="L332" s="126"/>
      <c r="M332" s="126"/>
      <c r="N332" s="36"/>
    </row>
    <row r="333" spans="1:14" s="37" customFormat="1" x14ac:dyDescent="0.35">
      <c r="A333" s="128">
        <f t="shared" si="24"/>
        <v>4</v>
      </c>
      <c r="B333" s="129"/>
      <c r="C333" s="42" t="s">
        <v>187</v>
      </c>
      <c r="D333" s="54">
        <f>(29.3+0.75*(1.77+2.67+2.55))*10.764</f>
        <v>371.81547</v>
      </c>
      <c r="E333" s="54">
        <v>0</v>
      </c>
      <c r="F333" s="42">
        <f t="shared" si="23"/>
        <v>557.72320500000001</v>
      </c>
      <c r="G333" s="138"/>
      <c r="H333" s="139"/>
      <c r="I333" s="36"/>
      <c r="L333" s="126"/>
      <c r="M333" s="126"/>
      <c r="N333" s="36"/>
    </row>
    <row r="334" spans="1:14" s="37" customFormat="1" ht="15.75" customHeight="1" x14ac:dyDescent="0.35">
      <c r="A334" s="128">
        <f t="shared" si="24"/>
        <v>5</v>
      </c>
      <c r="B334" s="129"/>
      <c r="C334" s="42" t="s">
        <v>187</v>
      </c>
      <c r="D334" s="54">
        <f>(29.3+0.75*(1.77+2.67+2.55))*10.764</f>
        <v>371.81547</v>
      </c>
      <c r="E334" s="54">
        <v>0</v>
      </c>
      <c r="F334" s="42">
        <f t="shared" si="23"/>
        <v>557.72320500000001</v>
      </c>
      <c r="G334" s="138"/>
      <c r="H334" s="139"/>
      <c r="I334" s="36"/>
      <c r="L334" s="126"/>
      <c r="M334" s="126"/>
      <c r="N334" s="36"/>
    </row>
    <row r="335" spans="1:14" s="37" customFormat="1" x14ac:dyDescent="0.35">
      <c r="A335" s="128">
        <f t="shared" si="24"/>
        <v>6</v>
      </c>
      <c r="B335" s="129"/>
      <c r="C335" s="42" t="s">
        <v>187</v>
      </c>
      <c r="D335" s="54">
        <f>(29.3+0.75*(2.67+2.55+1.77))*10.764</f>
        <v>371.81547</v>
      </c>
      <c r="E335" s="54">
        <v>0</v>
      </c>
      <c r="F335" s="42">
        <f t="shared" si="23"/>
        <v>557.72320500000001</v>
      </c>
      <c r="G335" s="138"/>
      <c r="H335" s="139"/>
      <c r="I335" s="36"/>
      <c r="L335" s="126"/>
      <c r="M335" s="126"/>
      <c r="N335" s="36"/>
    </row>
    <row r="336" spans="1:14" s="37" customFormat="1" x14ac:dyDescent="0.35">
      <c r="A336" s="128">
        <f t="shared" si="24"/>
        <v>7</v>
      </c>
      <c r="B336" s="129"/>
      <c r="C336" s="128" t="s">
        <v>189</v>
      </c>
      <c r="D336" s="142"/>
      <c r="E336" s="142"/>
      <c r="F336" s="129"/>
      <c r="G336" s="138"/>
      <c r="H336" s="139"/>
      <c r="I336" s="36"/>
      <c r="L336" s="126"/>
      <c r="M336" s="126"/>
      <c r="N336" s="36"/>
    </row>
    <row r="337" spans="1:14" s="37" customFormat="1" x14ac:dyDescent="0.35">
      <c r="A337" s="128">
        <f t="shared" si="24"/>
        <v>8</v>
      </c>
      <c r="B337" s="129"/>
      <c r="C337" s="42" t="s">
        <v>187</v>
      </c>
      <c r="D337" s="54">
        <f>(29.3+0.75*(1.77+2.67+2.55))*10.764</f>
        <v>371.81547</v>
      </c>
      <c r="E337" s="54">
        <v>0</v>
      </c>
      <c r="F337" s="42">
        <f>D337*(($F$220)+1)+(IF(E337&lt;101,E337,IF(E337&lt;201,E337/2,IF(E337&lt;=301,E337/3,E337/4))))</f>
        <v>557.72320500000001</v>
      </c>
      <c r="G337" s="140"/>
      <c r="H337" s="141"/>
      <c r="I337" s="36"/>
      <c r="L337" s="126"/>
      <c r="M337" s="126"/>
      <c r="N337" s="36"/>
    </row>
    <row r="338" spans="1:14" s="37" customFormat="1" x14ac:dyDescent="0.35">
      <c r="A338" s="130" t="s">
        <v>196</v>
      </c>
      <c r="B338" s="131"/>
      <c r="C338" s="131"/>
      <c r="D338" s="131"/>
      <c r="E338" s="131"/>
      <c r="F338" s="131"/>
      <c r="G338" s="131"/>
      <c r="H338" s="132"/>
      <c r="J338" s="36"/>
    </row>
    <row r="339" spans="1:14" s="37" customFormat="1" x14ac:dyDescent="0.35">
      <c r="A339" s="133" t="s">
        <v>186</v>
      </c>
      <c r="B339" s="134"/>
      <c r="C339" s="134"/>
      <c r="D339" s="134"/>
      <c r="E339" s="134"/>
      <c r="F339" s="134"/>
      <c r="G339" s="134"/>
      <c r="H339" s="135"/>
      <c r="J339" s="36"/>
    </row>
    <row r="340" spans="1:14" s="37" customFormat="1" x14ac:dyDescent="0.35">
      <c r="A340" s="133" t="s">
        <v>190</v>
      </c>
      <c r="B340" s="134"/>
      <c r="C340" s="134"/>
      <c r="D340" s="134"/>
      <c r="E340" s="134"/>
      <c r="F340" s="134"/>
      <c r="G340" s="134"/>
      <c r="H340" s="135"/>
      <c r="J340" s="36"/>
    </row>
    <row r="341" spans="1:14" s="37" customFormat="1" ht="15.75" customHeight="1" x14ac:dyDescent="0.35">
      <c r="A341" s="128">
        <v>1</v>
      </c>
      <c r="B341" s="129"/>
      <c r="C341" s="42" t="s">
        <v>187</v>
      </c>
      <c r="D341" s="54">
        <f>(29.3+0.75*(2.67+4.55))*10.764</f>
        <v>373.67225999999999</v>
      </c>
      <c r="E341" s="54">
        <v>0</v>
      </c>
      <c r="F341" s="42">
        <f t="shared" ref="F341:F348" si="25">D341*(($F$220)+1)+(IF(E341&lt;101,E341,IF(E341&lt;201,E341/2,IF(E341&lt;=301,E341/3,E341/4))))</f>
        <v>560.50838999999996</v>
      </c>
      <c r="G341" s="136" t="str">
        <f>A339</f>
        <v>Ground Floor for Parking &amp; Amenities</v>
      </c>
      <c r="H341" s="137"/>
      <c r="I341" s="53"/>
      <c r="L341" s="126"/>
      <c r="M341" s="126"/>
      <c r="N341" s="36"/>
    </row>
    <row r="342" spans="1:14" s="37" customFormat="1" x14ac:dyDescent="0.35">
      <c r="A342" s="128">
        <f t="shared" ref="A342:A348" si="26">A341+1</f>
        <v>2</v>
      </c>
      <c r="B342" s="129"/>
      <c r="C342" s="42" t="s">
        <v>187</v>
      </c>
      <c r="D342" s="54">
        <f>(29.3+0.75*(2.67+4.55))*10.764</f>
        <v>373.67225999999999</v>
      </c>
      <c r="E342" s="54">
        <v>0</v>
      </c>
      <c r="F342" s="42">
        <f t="shared" si="25"/>
        <v>560.50838999999996</v>
      </c>
      <c r="G342" s="138"/>
      <c r="H342" s="139"/>
      <c r="I342" s="36"/>
      <c r="L342" s="126"/>
      <c r="M342" s="126"/>
      <c r="N342" s="36"/>
    </row>
    <row r="343" spans="1:14" s="37" customFormat="1" x14ac:dyDescent="0.35">
      <c r="A343" s="128">
        <f t="shared" si="26"/>
        <v>3</v>
      </c>
      <c r="B343" s="129"/>
      <c r="C343" s="42" t="s">
        <v>187</v>
      </c>
      <c r="D343" s="54">
        <f>(29.3+0.75*(1.77+2.67+2.55))*10.764</f>
        <v>371.81547</v>
      </c>
      <c r="E343" s="54">
        <v>0</v>
      </c>
      <c r="F343" s="42">
        <f t="shared" si="25"/>
        <v>557.72320500000001</v>
      </c>
      <c r="G343" s="138"/>
      <c r="H343" s="139"/>
      <c r="I343" s="36"/>
      <c r="L343" s="126"/>
      <c r="M343" s="126"/>
      <c r="N343" s="36"/>
    </row>
    <row r="344" spans="1:14" s="37" customFormat="1" x14ac:dyDescent="0.35">
      <c r="A344" s="128">
        <f t="shared" si="26"/>
        <v>4</v>
      </c>
      <c r="B344" s="129"/>
      <c r="C344" s="42" t="s">
        <v>187</v>
      </c>
      <c r="D344" s="54">
        <f>(29.3+0.75*(1.77+2.67+2.55))*10.764</f>
        <v>371.81547</v>
      </c>
      <c r="E344" s="54">
        <v>0</v>
      </c>
      <c r="F344" s="42">
        <f t="shared" si="25"/>
        <v>557.72320500000001</v>
      </c>
      <c r="G344" s="138"/>
      <c r="H344" s="139"/>
      <c r="I344" s="36"/>
      <c r="L344" s="126"/>
      <c r="M344" s="126"/>
      <c r="N344" s="36"/>
    </row>
    <row r="345" spans="1:14" s="37" customFormat="1" ht="15.75" customHeight="1" x14ac:dyDescent="0.35">
      <c r="A345" s="128">
        <f t="shared" si="26"/>
        <v>5</v>
      </c>
      <c r="B345" s="129"/>
      <c r="C345" s="42" t="s">
        <v>187</v>
      </c>
      <c r="D345" s="54">
        <f>(29.3+0.75*(1.77+2.67+2.55))*10.764</f>
        <v>371.81547</v>
      </c>
      <c r="E345" s="54">
        <v>0</v>
      </c>
      <c r="F345" s="42">
        <f t="shared" si="25"/>
        <v>557.72320500000001</v>
      </c>
      <c r="G345" s="138"/>
      <c r="H345" s="139"/>
      <c r="I345" s="36"/>
      <c r="L345" s="126"/>
      <c r="M345" s="126"/>
      <c r="N345" s="36"/>
    </row>
    <row r="346" spans="1:14" s="37" customFormat="1" x14ac:dyDescent="0.35">
      <c r="A346" s="128">
        <f t="shared" si="26"/>
        <v>6</v>
      </c>
      <c r="B346" s="129"/>
      <c r="C346" s="42" t="s">
        <v>187</v>
      </c>
      <c r="D346" s="54">
        <f>(29.3+0.75*(2.67+2.55+1.77))*10.764</f>
        <v>371.81547</v>
      </c>
      <c r="E346" s="54">
        <v>0</v>
      </c>
      <c r="F346" s="42">
        <f t="shared" si="25"/>
        <v>557.72320500000001</v>
      </c>
      <c r="G346" s="138"/>
      <c r="H346" s="139"/>
      <c r="I346" s="36"/>
      <c r="L346" s="126"/>
      <c r="M346" s="126"/>
      <c r="N346" s="36"/>
    </row>
    <row r="347" spans="1:14" s="37" customFormat="1" x14ac:dyDescent="0.35">
      <c r="A347" s="128">
        <f t="shared" si="26"/>
        <v>7</v>
      </c>
      <c r="B347" s="129"/>
      <c r="C347" s="42" t="s">
        <v>187</v>
      </c>
      <c r="D347" s="54">
        <f>(29.3+0.75*(1.77+2.67+2.55))*10.764</f>
        <v>371.81547</v>
      </c>
      <c r="E347" s="54">
        <v>0</v>
      </c>
      <c r="F347" s="42">
        <f t="shared" si="25"/>
        <v>557.72320500000001</v>
      </c>
      <c r="G347" s="138"/>
      <c r="H347" s="139"/>
      <c r="I347" s="36"/>
      <c r="L347" s="126"/>
      <c r="M347" s="126"/>
      <c r="N347" s="36"/>
    </row>
    <row r="348" spans="1:14" s="37" customFormat="1" x14ac:dyDescent="0.35">
      <c r="A348" s="128">
        <f t="shared" si="26"/>
        <v>8</v>
      </c>
      <c r="B348" s="129"/>
      <c r="C348" s="42" t="s">
        <v>187</v>
      </c>
      <c r="D348" s="54">
        <f>(29.3+0.75*(1.77+2.67+2.55))*10.764</f>
        <v>371.81547</v>
      </c>
      <c r="E348" s="54">
        <v>0</v>
      </c>
      <c r="F348" s="42">
        <f t="shared" si="25"/>
        <v>557.72320500000001</v>
      </c>
      <c r="G348" s="140"/>
      <c r="H348" s="141"/>
      <c r="I348" s="36"/>
      <c r="L348" s="126"/>
      <c r="M348" s="126"/>
      <c r="N348" s="36"/>
    </row>
    <row r="349" spans="1:14" s="37" customFormat="1" x14ac:dyDescent="0.35">
      <c r="A349" s="133" t="s">
        <v>188</v>
      </c>
      <c r="B349" s="134"/>
      <c r="C349" s="134"/>
      <c r="D349" s="134"/>
      <c r="E349" s="134"/>
      <c r="F349" s="134"/>
      <c r="G349" s="134"/>
      <c r="H349" s="135"/>
      <c r="J349" s="36"/>
    </row>
    <row r="350" spans="1:14" s="37" customFormat="1" ht="15.75" customHeight="1" x14ac:dyDescent="0.35">
      <c r="A350" s="128">
        <v>1</v>
      </c>
      <c r="B350" s="129"/>
      <c r="C350" s="42" t="s">
        <v>187</v>
      </c>
      <c r="D350" s="54">
        <f>(29.3+0.75*(2.67+4.55))*10.764</f>
        <v>373.67225999999999</v>
      </c>
      <c r="E350" s="54">
        <v>0</v>
      </c>
      <c r="F350" s="42">
        <f t="shared" ref="F350:F355" si="27">D350*(($F$220)+1)+(IF(E350&lt;101,E350,IF(E350&lt;201,E350/2,IF(E350&lt;=301,E350/3,E350/4))))</f>
        <v>560.50838999999996</v>
      </c>
      <c r="G350" s="136" t="str">
        <f>A349</f>
        <v>7th, 13th &amp; 19th Floor (Part Refuge Area)</v>
      </c>
      <c r="H350" s="137"/>
      <c r="I350" s="53"/>
      <c r="L350" s="126"/>
      <c r="M350" s="126"/>
      <c r="N350" s="36"/>
    </row>
    <row r="351" spans="1:14" s="37" customFormat="1" x14ac:dyDescent="0.35">
      <c r="A351" s="128">
        <f t="shared" ref="A351:A357" si="28">A350+1</f>
        <v>2</v>
      </c>
      <c r="B351" s="129"/>
      <c r="C351" s="42" t="s">
        <v>187</v>
      </c>
      <c r="D351" s="54">
        <f>(29.3+0.75*(2.67+4.55))*10.764</f>
        <v>373.67225999999999</v>
      </c>
      <c r="E351" s="54">
        <v>0</v>
      </c>
      <c r="F351" s="42">
        <f t="shared" si="27"/>
        <v>560.50838999999996</v>
      </c>
      <c r="G351" s="138"/>
      <c r="H351" s="139"/>
      <c r="I351" s="36"/>
      <c r="L351" s="126"/>
      <c r="M351" s="126"/>
      <c r="N351" s="36"/>
    </row>
    <row r="352" spans="1:14" s="37" customFormat="1" x14ac:dyDescent="0.35">
      <c r="A352" s="128">
        <f t="shared" si="28"/>
        <v>3</v>
      </c>
      <c r="B352" s="129"/>
      <c r="C352" s="42" t="s">
        <v>187</v>
      </c>
      <c r="D352" s="54">
        <f>(29.3+0.75*(1.77+2.67+2.55))*10.764</f>
        <v>371.81547</v>
      </c>
      <c r="E352" s="54">
        <v>0</v>
      </c>
      <c r="F352" s="42">
        <f t="shared" si="27"/>
        <v>557.72320500000001</v>
      </c>
      <c r="G352" s="138"/>
      <c r="H352" s="139"/>
      <c r="I352" s="36"/>
      <c r="L352" s="126"/>
      <c r="M352" s="126"/>
      <c r="N352" s="36"/>
    </row>
    <row r="353" spans="1:14" s="37" customFormat="1" x14ac:dyDescent="0.35">
      <c r="A353" s="128">
        <f t="shared" si="28"/>
        <v>4</v>
      </c>
      <c r="B353" s="129"/>
      <c r="C353" s="42" t="s">
        <v>187</v>
      </c>
      <c r="D353" s="54">
        <f>(29.3+0.75*(1.77+2.67+2.55))*10.764</f>
        <v>371.81547</v>
      </c>
      <c r="E353" s="54">
        <v>0</v>
      </c>
      <c r="F353" s="42">
        <f t="shared" si="27"/>
        <v>557.72320500000001</v>
      </c>
      <c r="G353" s="138"/>
      <c r="H353" s="139"/>
      <c r="I353" s="36"/>
      <c r="L353" s="126"/>
      <c r="M353" s="126"/>
      <c r="N353" s="36"/>
    </row>
    <row r="354" spans="1:14" s="37" customFormat="1" ht="15.75" customHeight="1" x14ac:dyDescent="0.35">
      <c r="A354" s="128">
        <f t="shared" si="28"/>
        <v>5</v>
      </c>
      <c r="B354" s="129"/>
      <c r="C354" s="42" t="s">
        <v>187</v>
      </c>
      <c r="D354" s="54">
        <f>(29.3+0.75*(1.77+2.67+2.55))*10.764</f>
        <v>371.81547</v>
      </c>
      <c r="E354" s="54">
        <v>0</v>
      </c>
      <c r="F354" s="42">
        <f t="shared" si="27"/>
        <v>557.72320500000001</v>
      </c>
      <c r="G354" s="138"/>
      <c r="H354" s="139"/>
      <c r="I354" s="36"/>
      <c r="L354" s="126"/>
      <c r="M354" s="126"/>
      <c r="N354" s="36"/>
    </row>
    <row r="355" spans="1:14" s="37" customFormat="1" x14ac:dyDescent="0.35">
      <c r="A355" s="128">
        <f t="shared" si="28"/>
        <v>6</v>
      </c>
      <c r="B355" s="129"/>
      <c r="C355" s="42" t="s">
        <v>187</v>
      </c>
      <c r="D355" s="54">
        <f>(29.3+0.75*(2.67+2.55+1.77))*10.764</f>
        <v>371.81547</v>
      </c>
      <c r="E355" s="54">
        <v>0</v>
      </c>
      <c r="F355" s="42">
        <f t="shared" si="27"/>
        <v>557.72320500000001</v>
      </c>
      <c r="G355" s="138"/>
      <c r="H355" s="139"/>
      <c r="I355" s="36"/>
      <c r="L355" s="126"/>
      <c r="M355" s="126"/>
      <c r="N355" s="36"/>
    </row>
    <row r="356" spans="1:14" s="37" customFormat="1" x14ac:dyDescent="0.35">
      <c r="A356" s="128">
        <f t="shared" si="28"/>
        <v>7</v>
      </c>
      <c r="B356" s="129"/>
      <c r="C356" s="128" t="s">
        <v>189</v>
      </c>
      <c r="D356" s="142"/>
      <c r="E356" s="142"/>
      <c r="F356" s="129"/>
      <c r="G356" s="138"/>
      <c r="H356" s="139"/>
      <c r="I356" s="36"/>
      <c r="L356" s="126"/>
      <c r="M356" s="126"/>
      <c r="N356" s="36"/>
    </row>
    <row r="357" spans="1:14" s="37" customFormat="1" x14ac:dyDescent="0.35">
      <c r="A357" s="128">
        <f t="shared" si="28"/>
        <v>8</v>
      </c>
      <c r="B357" s="129"/>
      <c r="C357" s="42" t="s">
        <v>187</v>
      </c>
      <c r="D357" s="54">
        <f>(29.3+0.75*(1.77+2.67+2.55))*10.764</f>
        <v>371.81547</v>
      </c>
      <c r="E357" s="54">
        <v>0</v>
      </c>
      <c r="F357" s="42">
        <f>D357*(($F$220)+1)+(IF(E357&lt;101,E357,IF(E357&lt;201,E357/2,IF(E357&lt;=301,E357/3,E357/4))))</f>
        <v>557.72320500000001</v>
      </c>
      <c r="G357" s="140"/>
      <c r="H357" s="141"/>
      <c r="I357" s="36"/>
      <c r="L357" s="126"/>
      <c r="M357" s="126"/>
      <c r="N357" s="36"/>
    </row>
    <row r="358" spans="1:14" s="37" customFormat="1" x14ac:dyDescent="0.35">
      <c r="A358" s="166" t="s">
        <v>197</v>
      </c>
      <c r="B358" s="166"/>
      <c r="C358" s="166"/>
      <c r="D358" s="166"/>
      <c r="E358" s="166"/>
      <c r="F358" s="166"/>
      <c r="G358" s="166"/>
      <c r="H358" s="166"/>
      <c r="J358" s="36"/>
    </row>
    <row r="359" spans="1:14" s="37" customFormat="1" x14ac:dyDescent="0.35">
      <c r="A359" s="149" t="s">
        <v>186</v>
      </c>
      <c r="B359" s="149"/>
      <c r="C359" s="149"/>
      <c r="D359" s="149"/>
      <c r="E359" s="149"/>
      <c r="F359" s="149"/>
      <c r="G359" s="149"/>
      <c r="H359" s="149"/>
      <c r="J359" s="36"/>
    </row>
    <row r="360" spans="1:14" s="37" customFormat="1" x14ac:dyDescent="0.35">
      <c r="A360" s="149" t="s">
        <v>190</v>
      </c>
      <c r="B360" s="149"/>
      <c r="C360" s="149"/>
      <c r="D360" s="149"/>
      <c r="E360" s="149"/>
      <c r="F360" s="149"/>
      <c r="G360" s="149"/>
      <c r="H360" s="149"/>
      <c r="J360" s="36"/>
    </row>
    <row r="361" spans="1:14" s="37" customFormat="1" ht="15.75" customHeight="1" x14ac:dyDescent="0.35">
      <c r="A361" s="127">
        <v>1</v>
      </c>
      <c r="B361" s="127"/>
      <c r="C361" s="77" t="s">
        <v>187</v>
      </c>
      <c r="D361" s="54">
        <f>(29.3+0.75*(2.67+4.55))*10.764</f>
        <v>373.67225999999999</v>
      </c>
      <c r="E361" s="54">
        <v>0</v>
      </c>
      <c r="F361" s="77">
        <f t="shared" ref="F361:F368" si="29">D361*(($F$220)+1)+(IF(E361&lt;101,E361,IF(E361&lt;201,E361/2,IF(E361&lt;=301,E361/3,E361/4))))</f>
        <v>560.50838999999996</v>
      </c>
      <c r="G361" s="127" t="str">
        <f>A359</f>
        <v>Ground Floor for Parking &amp; Amenities</v>
      </c>
      <c r="H361" s="127"/>
      <c r="I361" s="53"/>
      <c r="L361" s="126"/>
      <c r="M361" s="126"/>
      <c r="N361" s="36"/>
    </row>
    <row r="362" spans="1:14" s="37" customFormat="1" x14ac:dyDescent="0.35">
      <c r="A362" s="127">
        <f t="shared" ref="A362:A368" si="30">A361+1</f>
        <v>2</v>
      </c>
      <c r="B362" s="127"/>
      <c r="C362" s="77" t="s">
        <v>187</v>
      </c>
      <c r="D362" s="54">
        <f>(29.3+0.75*(2.67+4.55))*10.764</f>
        <v>373.67225999999999</v>
      </c>
      <c r="E362" s="54">
        <v>0</v>
      </c>
      <c r="F362" s="77">
        <f t="shared" si="29"/>
        <v>560.50838999999996</v>
      </c>
      <c r="G362" s="127"/>
      <c r="H362" s="127"/>
      <c r="I362" s="36"/>
      <c r="L362" s="126"/>
      <c r="M362" s="126"/>
      <c r="N362" s="36"/>
    </row>
    <row r="363" spans="1:14" s="37" customFormat="1" x14ac:dyDescent="0.35">
      <c r="A363" s="127">
        <f t="shared" si="30"/>
        <v>3</v>
      </c>
      <c r="B363" s="127"/>
      <c r="C363" s="77" t="s">
        <v>187</v>
      </c>
      <c r="D363" s="54">
        <f>(29.3+0.75*(1.77+2.67+2.55))*10.764</f>
        <v>371.81547</v>
      </c>
      <c r="E363" s="54">
        <v>0</v>
      </c>
      <c r="F363" s="77">
        <f t="shared" si="29"/>
        <v>557.72320500000001</v>
      </c>
      <c r="G363" s="127"/>
      <c r="H363" s="127"/>
      <c r="I363" s="36"/>
      <c r="L363" s="126"/>
      <c r="M363" s="126"/>
      <c r="N363" s="36"/>
    </row>
    <row r="364" spans="1:14" s="37" customFormat="1" x14ac:dyDescent="0.35">
      <c r="A364" s="127">
        <f t="shared" si="30"/>
        <v>4</v>
      </c>
      <c r="B364" s="127"/>
      <c r="C364" s="77" t="s">
        <v>187</v>
      </c>
      <c r="D364" s="54">
        <f>(29.3+0.75*(1.77+2.67+2.55))*10.764</f>
        <v>371.81547</v>
      </c>
      <c r="E364" s="54">
        <v>0</v>
      </c>
      <c r="F364" s="77">
        <f t="shared" si="29"/>
        <v>557.72320500000001</v>
      </c>
      <c r="G364" s="127"/>
      <c r="H364" s="127"/>
      <c r="I364" s="36"/>
      <c r="L364" s="126"/>
      <c r="M364" s="126"/>
      <c r="N364" s="36"/>
    </row>
    <row r="365" spans="1:14" s="37" customFormat="1" ht="15.75" customHeight="1" x14ac:dyDescent="0.35">
      <c r="A365" s="127">
        <f t="shared" si="30"/>
        <v>5</v>
      </c>
      <c r="B365" s="127"/>
      <c r="C365" s="77" t="s">
        <v>187</v>
      </c>
      <c r="D365" s="54">
        <f>(29.3+0.75*(1.77+2.67+2.55))*10.764</f>
        <v>371.81547</v>
      </c>
      <c r="E365" s="54">
        <v>0</v>
      </c>
      <c r="F365" s="77">
        <f t="shared" si="29"/>
        <v>557.72320500000001</v>
      </c>
      <c r="G365" s="127"/>
      <c r="H365" s="127"/>
      <c r="I365" s="36"/>
      <c r="L365" s="126"/>
      <c r="M365" s="126"/>
      <c r="N365" s="36"/>
    </row>
    <row r="366" spans="1:14" s="37" customFormat="1" x14ac:dyDescent="0.35">
      <c r="A366" s="127">
        <f t="shared" si="30"/>
        <v>6</v>
      </c>
      <c r="B366" s="127"/>
      <c r="C366" s="77" t="s">
        <v>187</v>
      </c>
      <c r="D366" s="54">
        <f>(29.3+0.75*(2.67+2.55+1.77))*10.764</f>
        <v>371.81547</v>
      </c>
      <c r="E366" s="54">
        <v>0</v>
      </c>
      <c r="F366" s="77">
        <f t="shared" si="29"/>
        <v>557.72320500000001</v>
      </c>
      <c r="G366" s="127"/>
      <c r="H366" s="127"/>
      <c r="I366" s="36"/>
      <c r="L366" s="126"/>
      <c r="M366" s="126"/>
      <c r="N366" s="36"/>
    </row>
    <row r="367" spans="1:14" s="37" customFormat="1" x14ac:dyDescent="0.35">
      <c r="A367" s="127">
        <f t="shared" si="30"/>
        <v>7</v>
      </c>
      <c r="B367" s="127"/>
      <c r="C367" s="77" t="s">
        <v>187</v>
      </c>
      <c r="D367" s="54">
        <f>(29.3+0.75*(1.77+2.67+2.55))*10.764</f>
        <v>371.81547</v>
      </c>
      <c r="E367" s="54">
        <v>0</v>
      </c>
      <c r="F367" s="77">
        <f t="shared" si="29"/>
        <v>557.72320500000001</v>
      </c>
      <c r="G367" s="127"/>
      <c r="H367" s="127"/>
      <c r="I367" s="36"/>
      <c r="L367" s="126"/>
      <c r="M367" s="126"/>
      <c r="N367" s="36"/>
    </row>
    <row r="368" spans="1:14" s="37" customFormat="1" x14ac:dyDescent="0.35">
      <c r="A368" s="127">
        <f t="shared" si="30"/>
        <v>8</v>
      </c>
      <c r="B368" s="127"/>
      <c r="C368" s="77" t="s">
        <v>187</v>
      </c>
      <c r="D368" s="54">
        <f>(29.3+0.75*(1.77+2.67+2.55))*10.764</f>
        <v>371.81547</v>
      </c>
      <c r="E368" s="54">
        <v>0</v>
      </c>
      <c r="F368" s="77">
        <f t="shared" si="29"/>
        <v>557.72320500000001</v>
      </c>
      <c r="G368" s="127"/>
      <c r="H368" s="127"/>
      <c r="I368" s="36"/>
      <c r="L368" s="126"/>
      <c r="M368" s="126"/>
      <c r="N368" s="36"/>
    </row>
    <row r="369" spans="1:14" s="37" customFormat="1" x14ac:dyDescent="0.35">
      <c r="A369" s="133" t="s">
        <v>188</v>
      </c>
      <c r="B369" s="134"/>
      <c r="C369" s="134"/>
      <c r="D369" s="134"/>
      <c r="E369" s="134"/>
      <c r="F369" s="134"/>
      <c r="G369" s="134"/>
      <c r="H369" s="135"/>
      <c r="J369" s="36"/>
    </row>
    <row r="370" spans="1:14" s="37" customFormat="1" ht="15.75" customHeight="1" x14ac:dyDescent="0.35">
      <c r="A370" s="128">
        <v>1</v>
      </c>
      <c r="B370" s="129"/>
      <c r="C370" s="42" t="s">
        <v>187</v>
      </c>
      <c r="D370" s="54">
        <f>(29.3+0.75*(2.67+4.55))*10.764</f>
        <v>373.67225999999999</v>
      </c>
      <c r="E370" s="54">
        <v>0</v>
      </c>
      <c r="F370" s="42">
        <f t="shared" ref="F370:F375" si="31">D370*(($F$220)+1)+(IF(E370&lt;101,E370,IF(E370&lt;201,E370/2,IF(E370&lt;=301,E370/3,E370/4))))</f>
        <v>560.50838999999996</v>
      </c>
      <c r="G370" s="136" t="str">
        <f>A369</f>
        <v>7th, 13th &amp; 19th Floor (Part Refuge Area)</v>
      </c>
      <c r="H370" s="137"/>
      <c r="I370" s="53"/>
      <c r="L370" s="126"/>
      <c r="M370" s="126"/>
      <c r="N370" s="36"/>
    </row>
    <row r="371" spans="1:14" s="37" customFormat="1" x14ac:dyDescent="0.35">
      <c r="A371" s="128">
        <f t="shared" ref="A371:A377" si="32">A370+1</f>
        <v>2</v>
      </c>
      <c r="B371" s="129"/>
      <c r="C371" s="42" t="s">
        <v>187</v>
      </c>
      <c r="D371" s="54">
        <f>(29.3+0.75*(2.67+4.55))*10.764</f>
        <v>373.67225999999999</v>
      </c>
      <c r="E371" s="54">
        <v>0</v>
      </c>
      <c r="F371" s="42">
        <f t="shared" si="31"/>
        <v>560.50838999999996</v>
      </c>
      <c r="G371" s="138"/>
      <c r="H371" s="139"/>
      <c r="I371" s="36"/>
      <c r="L371" s="126"/>
      <c r="M371" s="126"/>
      <c r="N371" s="36"/>
    </row>
    <row r="372" spans="1:14" s="37" customFormat="1" x14ac:dyDescent="0.35">
      <c r="A372" s="128">
        <f t="shared" si="32"/>
        <v>3</v>
      </c>
      <c r="B372" s="129"/>
      <c r="C372" s="42" t="s">
        <v>187</v>
      </c>
      <c r="D372" s="54">
        <f>(29.3+0.75*(1.77+2.67+2.55))*10.764</f>
        <v>371.81547</v>
      </c>
      <c r="E372" s="54">
        <v>0</v>
      </c>
      <c r="F372" s="42">
        <f t="shared" si="31"/>
        <v>557.72320500000001</v>
      </c>
      <c r="G372" s="138"/>
      <c r="H372" s="139"/>
      <c r="I372" s="36"/>
      <c r="L372" s="126"/>
      <c r="M372" s="126"/>
      <c r="N372" s="36"/>
    </row>
    <row r="373" spans="1:14" s="37" customFormat="1" x14ac:dyDescent="0.35">
      <c r="A373" s="128">
        <f t="shared" si="32"/>
        <v>4</v>
      </c>
      <c r="B373" s="129"/>
      <c r="C373" s="42" t="s">
        <v>187</v>
      </c>
      <c r="D373" s="54">
        <f>(29.3+0.75*(1.77+2.67+2.55))*10.764</f>
        <v>371.81547</v>
      </c>
      <c r="E373" s="54">
        <v>0</v>
      </c>
      <c r="F373" s="42">
        <f t="shared" si="31"/>
        <v>557.72320500000001</v>
      </c>
      <c r="G373" s="138"/>
      <c r="H373" s="139"/>
      <c r="I373" s="36"/>
      <c r="L373" s="126"/>
      <c r="M373" s="126"/>
      <c r="N373" s="36"/>
    </row>
    <row r="374" spans="1:14" s="37" customFormat="1" ht="15.75" customHeight="1" x14ac:dyDescent="0.35">
      <c r="A374" s="128">
        <f t="shared" si="32"/>
        <v>5</v>
      </c>
      <c r="B374" s="129"/>
      <c r="C374" s="42" t="s">
        <v>187</v>
      </c>
      <c r="D374" s="54">
        <f>(29.3+0.75*(1.77+2.67+2.55))*10.764</f>
        <v>371.81547</v>
      </c>
      <c r="E374" s="54">
        <v>0</v>
      </c>
      <c r="F374" s="42">
        <f t="shared" si="31"/>
        <v>557.72320500000001</v>
      </c>
      <c r="G374" s="138"/>
      <c r="H374" s="139"/>
      <c r="I374" s="36"/>
      <c r="L374" s="126"/>
      <c r="M374" s="126"/>
      <c r="N374" s="36"/>
    </row>
    <row r="375" spans="1:14" s="37" customFormat="1" x14ac:dyDescent="0.35">
      <c r="A375" s="128">
        <f t="shared" si="32"/>
        <v>6</v>
      </c>
      <c r="B375" s="129"/>
      <c r="C375" s="42" t="s">
        <v>187</v>
      </c>
      <c r="D375" s="54">
        <f>(29.3+0.75*(2.67+2.55+1.77))*10.764</f>
        <v>371.81547</v>
      </c>
      <c r="E375" s="54">
        <v>0</v>
      </c>
      <c r="F375" s="42">
        <f t="shared" si="31"/>
        <v>557.72320500000001</v>
      </c>
      <c r="G375" s="138"/>
      <c r="H375" s="139"/>
      <c r="I375" s="36"/>
      <c r="L375" s="126"/>
      <c r="M375" s="126"/>
      <c r="N375" s="36"/>
    </row>
    <row r="376" spans="1:14" s="37" customFormat="1" x14ac:dyDescent="0.35">
      <c r="A376" s="128">
        <f t="shared" si="32"/>
        <v>7</v>
      </c>
      <c r="B376" s="129"/>
      <c r="C376" s="128" t="s">
        <v>189</v>
      </c>
      <c r="D376" s="142"/>
      <c r="E376" s="142"/>
      <c r="F376" s="129"/>
      <c r="G376" s="138"/>
      <c r="H376" s="139"/>
      <c r="I376" s="36"/>
      <c r="L376" s="126"/>
      <c r="M376" s="126"/>
      <c r="N376" s="36"/>
    </row>
    <row r="377" spans="1:14" s="37" customFormat="1" x14ac:dyDescent="0.35">
      <c r="A377" s="128">
        <f t="shared" si="32"/>
        <v>8</v>
      </c>
      <c r="B377" s="129"/>
      <c r="C377" s="42" t="s">
        <v>187</v>
      </c>
      <c r="D377" s="54">
        <f>(29.3+0.75*(1.77+2.67+2.55))*10.764</f>
        <v>371.81547</v>
      </c>
      <c r="E377" s="54">
        <v>0</v>
      </c>
      <c r="F377" s="42">
        <f>D377*(($F$220)+1)+(IF(E377&lt;101,E377,IF(E377&lt;201,E377/2,IF(E377&lt;=301,E377/3,E377/4))))</f>
        <v>557.72320500000001</v>
      </c>
      <c r="G377" s="140"/>
      <c r="H377" s="141"/>
      <c r="I377" s="36"/>
      <c r="L377" s="126"/>
      <c r="M377" s="126"/>
      <c r="N377" s="36"/>
    </row>
    <row r="378" spans="1:14" s="37" customFormat="1" x14ac:dyDescent="0.35">
      <c r="A378" s="130" t="s">
        <v>198</v>
      </c>
      <c r="B378" s="131"/>
      <c r="C378" s="131"/>
      <c r="D378" s="131"/>
      <c r="E378" s="131"/>
      <c r="F378" s="131"/>
      <c r="G378" s="131"/>
      <c r="H378" s="132"/>
      <c r="J378" s="36"/>
    </row>
    <row r="379" spans="1:14" s="37" customFormat="1" x14ac:dyDescent="0.35">
      <c r="A379" s="133" t="s">
        <v>186</v>
      </c>
      <c r="B379" s="134"/>
      <c r="C379" s="134"/>
      <c r="D379" s="134"/>
      <c r="E379" s="134"/>
      <c r="F379" s="134"/>
      <c r="G379" s="134"/>
      <c r="H379" s="135"/>
      <c r="J379" s="36"/>
    </row>
    <row r="380" spans="1:14" s="37" customFormat="1" x14ac:dyDescent="0.35">
      <c r="A380" s="133" t="s">
        <v>190</v>
      </c>
      <c r="B380" s="134"/>
      <c r="C380" s="134"/>
      <c r="D380" s="134"/>
      <c r="E380" s="134"/>
      <c r="F380" s="134"/>
      <c r="G380" s="134"/>
      <c r="H380" s="135"/>
      <c r="J380" s="36"/>
    </row>
    <row r="381" spans="1:14" s="37" customFormat="1" ht="15.75" customHeight="1" x14ac:dyDescent="0.35">
      <c r="A381" s="128">
        <v>1</v>
      </c>
      <c r="B381" s="129"/>
      <c r="C381" s="42" t="s">
        <v>187</v>
      </c>
      <c r="D381" s="54">
        <f>(29.3+0.75*(2.67+4.55))*10.764</f>
        <v>373.67225999999999</v>
      </c>
      <c r="E381" s="54">
        <v>0</v>
      </c>
      <c r="F381" s="42">
        <f t="shared" ref="F381:F388" si="33">D381*(($F$220)+1)+(IF(E381&lt;101,E381,IF(E381&lt;201,E381/2,IF(E381&lt;=301,E381/3,E381/4))))</f>
        <v>560.50838999999996</v>
      </c>
      <c r="G381" s="136" t="str">
        <f>A379</f>
        <v>Ground Floor for Parking &amp; Amenities</v>
      </c>
      <c r="H381" s="137"/>
      <c r="I381" s="53"/>
      <c r="L381" s="126"/>
      <c r="M381" s="126"/>
      <c r="N381" s="36"/>
    </row>
    <row r="382" spans="1:14" s="37" customFormat="1" x14ac:dyDescent="0.35">
      <c r="A382" s="128">
        <f t="shared" ref="A382:A388" si="34">A381+1</f>
        <v>2</v>
      </c>
      <c r="B382" s="129"/>
      <c r="C382" s="42" t="s">
        <v>187</v>
      </c>
      <c r="D382" s="54">
        <f>(29.3+0.75*(2.67+4.55))*10.764</f>
        <v>373.67225999999999</v>
      </c>
      <c r="E382" s="54">
        <v>0</v>
      </c>
      <c r="F382" s="42">
        <f t="shared" si="33"/>
        <v>560.50838999999996</v>
      </c>
      <c r="G382" s="138"/>
      <c r="H382" s="139"/>
      <c r="I382" s="36"/>
      <c r="L382" s="126"/>
      <c r="M382" s="126"/>
      <c r="N382" s="36"/>
    </row>
    <row r="383" spans="1:14" s="37" customFormat="1" x14ac:dyDescent="0.35">
      <c r="A383" s="128">
        <f t="shared" si="34"/>
        <v>3</v>
      </c>
      <c r="B383" s="129"/>
      <c r="C383" s="42" t="s">
        <v>187</v>
      </c>
      <c r="D383" s="54">
        <f>(29.3+0.75*(1.77+2.67+2.55))*10.764</f>
        <v>371.81547</v>
      </c>
      <c r="E383" s="54">
        <v>0</v>
      </c>
      <c r="F383" s="42">
        <f t="shared" si="33"/>
        <v>557.72320500000001</v>
      </c>
      <c r="G383" s="138"/>
      <c r="H383" s="139"/>
      <c r="I383" s="36"/>
      <c r="L383" s="126"/>
      <c r="M383" s="126"/>
      <c r="N383" s="36"/>
    </row>
    <row r="384" spans="1:14" s="37" customFormat="1" x14ac:dyDescent="0.35">
      <c r="A384" s="128">
        <f t="shared" si="34"/>
        <v>4</v>
      </c>
      <c r="B384" s="129"/>
      <c r="C384" s="42" t="s">
        <v>187</v>
      </c>
      <c r="D384" s="54">
        <f>(29.3+0.75*(1.77+2.67+2.55))*10.764</f>
        <v>371.81547</v>
      </c>
      <c r="E384" s="54">
        <v>0</v>
      </c>
      <c r="F384" s="42">
        <f t="shared" si="33"/>
        <v>557.72320500000001</v>
      </c>
      <c r="G384" s="138"/>
      <c r="H384" s="139"/>
      <c r="I384" s="36"/>
      <c r="L384" s="126"/>
      <c r="M384" s="126"/>
      <c r="N384" s="36"/>
    </row>
    <row r="385" spans="1:14" s="37" customFormat="1" ht="15.75" customHeight="1" x14ac:dyDescent="0.35">
      <c r="A385" s="128">
        <f t="shared" si="34"/>
        <v>5</v>
      </c>
      <c r="B385" s="129"/>
      <c r="C385" s="42" t="s">
        <v>187</v>
      </c>
      <c r="D385" s="54">
        <f>(29.3+0.75*(1.77+2.67+2.55))*10.764</f>
        <v>371.81547</v>
      </c>
      <c r="E385" s="54">
        <v>0</v>
      </c>
      <c r="F385" s="42">
        <f t="shared" si="33"/>
        <v>557.72320500000001</v>
      </c>
      <c r="G385" s="138"/>
      <c r="H385" s="139"/>
      <c r="I385" s="36"/>
      <c r="L385" s="126"/>
      <c r="M385" s="126"/>
      <c r="N385" s="36"/>
    </row>
    <row r="386" spans="1:14" s="37" customFormat="1" x14ac:dyDescent="0.35">
      <c r="A386" s="128">
        <f t="shared" si="34"/>
        <v>6</v>
      </c>
      <c r="B386" s="129"/>
      <c r="C386" s="42" t="s">
        <v>187</v>
      </c>
      <c r="D386" s="54">
        <f>(29.3+0.75*(2.67+2.55+1.77))*10.764</f>
        <v>371.81547</v>
      </c>
      <c r="E386" s="54">
        <v>0</v>
      </c>
      <c r="F386" s="42">
        <f t="shared" si="33"/>
        <v>557.72320500000001</v>
      </c>
      <c r="G386" s="138"/>
      <c r="H386" s="139"/>
      <c r="I386" s="36"/>
      <c r="L386" s="126"/>
      <c r="M386" s="126"/>
      <c r="N386" s="36"/>
    </row>
    <row r="387" spans="1:14" s="37" customFormat="1" x14ac:dyDescent="0.35">
      <c r="A387" s="128">
        <f t="shared" si="34"/>
        <v>7</v>
      </c>
      <c r="B387" s="129"/>
      <c r="C387" s="42" t="s">
        <v>187</v>
      </c>
      <c r="D387" s="54">
        <f>(29.3+0.75*(1.77+2.67+2.55))*10.764</f>
        <v>371.81547</v>
      </c>
      <c r="E387" s="54">
        <v>0</v>
      </c>
      <c r="F387" s="42">
        <f t="shared" si="33"/>
        <v>557.72320500000001</v>
      </c>
      <c r="G387" s="138"/>
      <c r="H387" s="139"/>
      <c r="I387" s="36"/>
      <c r="L387" s="126"/>
      <c r="M387" s="126"/>
      <c r="N387" s="36"/>
    </row>
    <row r="388" spans="1:14" s="37" customFormat="1" x14ac:dyDescent="0.35">
      <c r="A388" s="128">
        <f t="shared" si="34"/>
        <v>8</v>
      </c>
      <c r="B388" s="129"/>
      <c r="C388" s="42" t="s">
        <v>187</v>
      </c>
      <c r="D388" s="54">
        <f>(29.3+0.75*(1.77+2.67+2.55))*10.764</f>
        <v>371.81547</v>
      </c>
      <c r="E388" s="54">
        <v>0</v>
      </c>
      <c r="F388" s="42">
        <f t="shared" si="33"/>
        <v>557.72320500000001</v>
      </c>
      <c r="G388" s="140"/>
      <c r="H388" s="141"/>
      <c r="I388" s="36"/>
      <c r="L388" s="126"/>
      <c r="M388" s="126"/>
      <c r="N388" s="36"/>
    </row>
    <row r="389" spans="1:14" s="37" customFormat="1" x14ac:dyDescent="0.35">
      <c r="A389" s="133" t="s">
        <v>188</v>
      </c>
      <c r="B389" s="134"/>
      <c r="C389" s="134"/>
      <c r="D389" s="134"/>
      <c r="E389" s="134"/>
      <c r="F389" s="134"/>
      <c r="G389" s="134"/>
      <c r="H389" s="135"/>
      <c r="J389" s="36"/>
    </row>
    <row r="390" spans="1:14" s="37" customFormat="1" ht="15.75" customHeight="1" x14ac:dyDescent="0.35">
      <c r="A390" s="128">
        <v>1</v>
      </c>
      <c r="B390" s="129"/>
      <c r="C390" s="42" t="s">
        <v>187</v>
      </c>
      <c r="D390" s="54">
        <f>(29.3+0.75*(2.67+4.55))*10.764</f>
        <v>373.67225999999999</v>
      </c>
      <c r="E390" s="54">
        <v>0</v>
      </c>
      <c r="F390" s="42">
        <f t="shared" ref="F390:F395" si="35">D390*(($F$220)+1)+(IF(E390&lt;101,E390,IF(E390&lt;201,E390/2,IF(E390&lt;=301,E390/3,E390/4))))</f>
        <v>560.50838999999996</v>
      </c>
      <c r="G390" s="136" t="str">
        <f>A389</f>
        <v>7th, 13th &amp; 19th Floor (Part Refuge Area)</v>
      </c>
      <c r="H390" s="137"/>
      <c r="I390" s="53"/>
      <c r="L390" s="126"/>
      <c r="M390" s="126"/>
      <c r="N390" s="36"/>
    </row>
    <row r="391" spans="1:14" s="37" customFormat="1" x14ac:dyDescent="0.35">
      <c r="A391" s="128">
        <f t="shared" ref="A391:A397" si="36">A390+1</f>
        <v>2</v>
      </c>
      <c r="B391" s="129"/>
      <c r="C391" s="42" t="s">
        <v>187</v>
      </c>
      <c r="D391" s="54">
        <f>(29.3+0.75*(2.67+4.55))*10.764</f>
        <v>373.67225999999999</v>
      </c>
      <c r="E391" s="54">
        <v>0</v>
      </c>
      <c r="F391" s="42">
        <f t="shared" si="35"/>
        <v>560.50838999999996</v>
      </c>
      <c r="G391" s="138"/>
      <c r="H391" s="139"/>
      <c r="I391" s="36"/>
      <c r="L391" s="126"/>
      <c r="M391" s="126"/>
      <c r="N391" s="36"/>
    </row>
    <row r="392" spans="1:14" s="37" customFormat="1" x14ac:dyDescent="0.35">
      <c r="A392" s="128">
        <f t="shared" si="36"/>
        <v>3</v>
      </c>
      <c r="B392" s="129"/>
      <c r="C392" s="42" t="s">
        <v>187</v>
      </c>
      <c r="D392" s="54">
        <f>(29.3+0.75*(1.77+2.67+2.55))*10.764</f>
        <v>371.81547</v>
      </c>
      <c r="E392" s="54">
        <v>0</v>
      </c>
      <c r="F392" s="42">
        <f t="shared" si="35"/>
        <v>557.72320500000001</v>
      </c>
      <c r="G392" s="138"/>
      <c r="H392" s="139"/>
      <c r="I392" s="36"/>
      <c r="L392" s="126"/>
      <c r="M392" s="126"/>
      <c r="N392" s="36"/>
    </row>
    <row r="393" spans="1:14" s="37" customFormat="1" x14ac:dyDescent="0.35">
      <c r="A393" s="128">
        <f t="shared" si="36"/>
        <v>4</v>
      </c>
      <c r="B393" s="129"/>
      <c r="C393" s="42" t="s">
        <v>187</v>
      </c>
      <c r="D393" s="54">
        <f>(29.3+0.75*(1.77+2.67+2.55))*10.764</f>
        <v>371.81547</v>
      </c>
      <c r="E393" s="54">
        <v>0</v>
      </c>
      <c r="F393" s="42">
        <f t="shared" si="35"/>
        <v>557.72320500000001</v>
      </c>
      <c r="G393" s="138"/>
      <c r="H393" s="139"/>
      <c r="I393" s="36"/>
      <c r="L393" s="126"/>
      <c r="M393" s="126"/>
      <c r="N393" s="36"/>
    </row>
    <row r="394" spans="1:14" s="37" customFormat="1" ht="15.75" customHeight="1" x14ac:dyDescent="0.35">
      <c r="A394" s="128">
        <f t="shared" si="36"/>
        <v>5</v>
      </c>
      <c r="B394" s="129"/>
      <c r="C394" s="42" t="s">
        <v>187</v>
      </c>
      <c r="D394" s="54">
        <f>(29.3+0.75*(1.77+2.67+2.55))*10.764</f>
        <v>371.81547</v>
      </c>
      <c r="E394" s="54">
        <v>0</v>
      </c>
      <c r="F394" s="42">
        <f t="shared" si="35"/>
        <v>557.72320500000001</v>
      </c>
      <c r="G394" s="138"/>
      <c r="H394" s="139"/>
      <c r="I394" s="36"/>
      <c r="L394" s="126"/>
      <c r="M394" s="126"/>
      <c r="N394" s="36"/>
    </row>
    <row r="395" spans="1:14" s="37" customFormat="1" x14ac:dyDescent="0.35">
      <c r="A395" s="128">
        <f t="shared" si="36"/>
        <v>6</v>
      </c>
      <c r="B395" s="129"/>
      <c r="C395" s="42" t="s">
        <v>187</v>
      </c>
      <c r="D395" s="54">
        <f>(29.3+0.75*(2.67+2.55+1.77))*10.764</f>
        <v>371.81547</v>
      </c>
      <c r="E395" s="54">
        <v>0</v>
      </c>
      <c r="F395" s="42">
        <f t="shared" si="35"/>
        <v>557.72320500000001</v>
      </c>
      <c r="G395" s="138"/>
      <c r="H395" s="139"/>
      <c r="I395" s="36"/>
      <c r="L395" s="126"/>
      <c r="M395" s="126"/>
      <c r="N395" s="36"/>
    </row>
    <row r="396" spans="1:14" s="37" customFormat="1" x14ac:dyDescent="0.35">
      <c r="A396" s="128">
        <f t="shared" si="36"/>
        <v>7</v>
      </c>
      <c r="B396" s="129"/>
      <c r="C396" s="128" t="s">
        <v>189</v>
      </c>
      <c r="D396" s="142"/>
      <c r="E396" s="142"/>
      <c r="F396" s="129"/>
      <c r="G396" s="138"/>
      <c r="H396" s="139"/>
      <c r="I396" s="36"/>
      <c r="L396" s="126"/>
      <c r="M396" s="126"/>
      <c r="N396" s="36"/>
    </row>
    <row r="397" spans="1:14" s="37" customFormat="1" x14ac:dyDescent="0.35">
      <c r="A397" s="128">
        <f t="shared" si="36"/>
        <v>8</v>
      </c>
      <c r="B397" s="129"/>
      <c r="C397" s="42" t="s">
        <v>187</v>
      </c>
      <c r="D397" s="54">
        <f>(29.3+0.75*(1.77+2.67+2.55))*10.764</f>
        <v>371.81547</v>
      </c>
      <c r="E397" s="54">
        <v>0</v>
      </c>
      <c r="F397" s="42">
        <f>D397*(($F$220)+1)+(IF(E397&lt;101,E397,IF(E397&lt;201,E397/2,IF(E397&lt;=301,E397/3,E397/4))))</f>
        <v>557.72320500000001</v>
      </c>
      <c r="G397" s="140"/>
      <c r="H397" s="141"/>
      <c r="I397" s="36"/>
      <c r="L397" s="126"/>
      <c r="M397" s="126"/>
      <c r="N397" s="36"/>
    </row>
    <row r="398" spans="1:14" s="35" customFormat="1" x14ac:dyDescent="0.35">
      <c r="A398" s="163" t="s">
        <v>72</v>
      </c>
      <c r="B398" s="163"/>
      <c r="C398" s="163"/>
      <c r="D398" s="163"/>
      <c r="E398" s="163"/>
      <c r="F398" s="163"/>
      <c r="G398" s="163"/>
      <c r="H398" s="163"/>
    </row>
    <row r="399" spans="1:14" s="35" customFormat="1" ht="92.5" customHeight="1" x14ac:dyDescent="0.35">
      <c r="A399" s="46" t="s">
        <v>150</v>
      </c>
      <c r="B399" s="118" t="s">
        <v>254</v>
      </c>
      <c r="C399" s="118"/>
      <c r="D399" s="118"/>
      <c r="E399" s="118"/>
      <c r="F399" s="118"/>
      <c r="G399" s="118"/>
      <c r="H399" s="118"/>
      <c r="I399" s="62"/>
    </row>
    <row r="400" spans="1:14" s="35" customFormat="1" ht="34" hidden="1" customHeight="1" x14ac:dyDescent="0.35">
      <c r="A400" s="46" t="s">
        <v>150</v>
      </c>
      <c r="B400" s="118" t="s">
        <v>237</v>
      </c>
      <c r="C400" s="118"/>
      <c r="D400" s="118"/>
      <c r="E400" s="118"/>
      <c r="F400" s="118"/>
      <c r="G400" s="118"/>
      <c r="H400" s="118"/>
    </row>
    <row r="401" spans="1:8" s="35" customFormat="1" x14ac:dyDescent="0.35">
      <c r="A401" s="46" t="s">
        <v>150</v>
      </c>
      <c r="B401" s="118" t="str">
        <f>(IF(F219="Saleable area Loading :","We have considered Saleable area of Flats as per our Calculation.","We considered Saleable area of Flat as per Builder area Sheet."))</f>
        <v>We have considered Saleable area of Flats as per our Calculation.</v>
      </c>
      <c r="C401" s="118"/>
      <c r="D401" s="118"/>
      <c r="E401" s="118"/>
      <c r="F401" s="118"/>
      <c r="G401" s="118"/>
      <c r="H401" s="118"/>
    </row>
    <row r="402" spans="1:8" s="35" customFormat="1" x14ac:dyDescent="0.35">
      <c r="A402" s="46" t="s">
        <v>150</v>
      </c>
      <c r="B402" s="83" t="s">
        <v>121</v>
      </c>
      <c r="C402" s="83"/>
      <c r="D402" s="83"/>
      <c r="E402" s="83"/>
      <c r="F402" s="83"/>
      <c r="G402" s="83"/>
      <c r="H402" s="83"/>
    </row>
    <row r="403" spans="1:8" s="35" customFormat="1" x14ac:dyDescent="0.35">
      <c r="A403" s="46" t="s">
        <v>150</v>
      </c>
      <c r="B403" s="83" t="s">
        <v>202</v>
      </c>
      <c r="C403" s="83"/>
      <c r="D403" s="83"/>
      <c r="E403" s="83"/>
      <c r="F403" s="83"/>
      <c r="G403" s="83"/>
      <c r="H403" s="83"/>
    </row>
    <row r="404" spans="1:8" s="35" customFormat="1" x14ac:dyDescent="0.35">
      <c r="A404" s="46" t="s">
        <v>150</v>
      </c>
      <c r="B404" s="83" t="s">
        <v>149</v>
      </c>
      <c r="C404" s="83"/>
      <c r="D404" s="83"/>
      <c r="E404" s="83"/>
      <c r="F404" s="83"/>
      <c r="G404" s="83"/>
      <c r="H404" s="83"/>
    </row>
    <row r="405" spans="1:8" s="35" customFormat="1" x14ac:dyDescent="0.35">
      <c r="A405" s="46" t="s">
        <v>150</v>
      </c>
      <c r="B405" s="83" t="s">
        <v>122</v>
      </c>
      <c r="C405" s="83"/>
      <c r="D405" s="83"/>
      <c r="E405" s="83"/>
      <c r="F405" s="83"/>
      <c r="G405" s="83"/>
      <c r="H405" s="83"/>
    </row>
    <row r="406" spans="1:8" s="35" customFormat="1" ht="34.5" customHeight="1" x14ac:dyDescent="0.35">
      <c r="A406" s="46" t="s">
        <v>150</v>
      </c>
      <c r="B406" s="83" t="s">
        <v>151</v>
      </c>
      <c r="C406" s="83"/>
      <c r="D406" s="83"/>
      <c r="E406" s="83"/>
      <c r="F406" s="83"/>
      <c r="G406" s="83"/>
      <c r="H406" s="83"/>
    </row>
    <row r="407" spans="1:8" s="35" customFormat="1" x14ac:dyDescent="0.35">
      <c r="A407" s="46" t="s">
        <v>150</v>
      </c>
      <c r="B407" s="83" t="s">
        <v>123</v>
      </c>
      <c r="C407" s="83"/>
      <c r="D407" s="83"/>
      <c r="E407" s="83"/>
      <c r="F407" s="83"/>
      <c r="G407" s="83"/>
      <c r="H407" s="83"/>
    </row>
    <row r="408" spans="1:8" s="35" customFormat="1" hidden="1" x14ac:dyDescent="0.35">
      <c r="A408" s="46" t="s">
        <v>150</v>
      </c>
      <c r="B408" s="83" t="s">
        <v>228</v>
      </c>
      <c r="C408" s="83"/>
      <c r="D408" s="83"/>
      <c r="E408" s="83"/>
      <c r="F408" s="83"/>
      <c r="G408" s="83"/>
      <c r="H408" s="83"/>
    </row>
    <row r="409" spans="1:8" s="35" customFormat="1" hidden="1" x14ac:dyDescent="0.35">
      <c r="A409" s="46" t="s">
        <v>150</v>
      </c>
      <c r="B409" s="83" t="s">
        <v>223</v>
      </c>
      <c r="C409" s="83"/>
      <c r="D409" s="83"/>
      <c r="E409" s="83"/>
      <c r="F409" s="83"/>
      <c r="G409" s="83"/>
      <c r="H409" s="83"/>
    </row>
    <row r="410" spans="1:8" s="35" customFormat="1" x14ac:dyDescent="0.35">
      <c r="A410" s="46" t="s">
        <v>150</v>
      </c>
      <c r="B410" s="83" t="s">
        <v>246</v>
      </c>
      <c r="C410" s="83"/>
      <c r="D410" s="83"/>
      <c r="E410" s="83"/>
      <c r="F410" s="83"/>
      <c r="G410" s="83"/>
      <c r="H410" s="83"/>
    </row>
    <row r="411" spans="1:8" s="35" customFormat="1" x14ac:dyDescent="0.35">
      <c r="A411" s="46" t="s">
        <v>150</v>
      </c>
      <c r="B411" s="83" t="s">
        <v>251</v>
      </c>
      <c r="C411" s="83"/>
      <c r="D411" s="83"/>
      <c r="E411" s="83"/>
      <c r="F411" s="83"/>
      <c r="G411" s="83"/>
      <c r="H411" s="83"/>
    </row>
    <row r="412" spans="1:8" s="35" customFormat="1" x14ac:dyDescent="0.35">
      <c r="A412" s="46" t="s">
        <v>150</v>
      </c>
      <c r="B412" s="83" t="s">
        <v>252</v>
      </c>
      <c r="C412" s="83"/>
      <c r="D412" s="83"/>
      <c r="E412" s="83"/>
      <c r="F412" s="83"/>
      <c r="G412" s="83"/>
      <c r="H412" s="83"/>
    </row>
    <row r="413" spans="1:8" x14ac:dyDescent="0.35">
      <c r="A413" s="199" t="s">
        <v>65</v>
      </c>
      <c r="B413" s="199"/>
      <c r="C413" s="199"/>
      <c r="D413" s="199"/>
      <c r="E413" s="199"/>
      <c r="F413" s="199"/>
      <c r="G413" s="199"/>
      <c r="H413" s="199"/>
    </row>
    <row r="414" spans="1:8" x14ac:dyDescent="0.35">
      <c r="A414" s="159" t="s">
        <v>66</v>
      </c>
      <c r="B414" s="159"/>
      <c r="C414" s="159"/>
      <c r="D414" s="159"/>
      <c r="E414" s="159"/>
      <c r="F414" s="159"/>
      <c r="G414" s="159"/>
      <c r="H414" s="159"/>
    </row>
    <row r="415" spans="1:8" ht="15.75" customHeight="1" x14ac:dyDescent="0.35">
      <c r="A415" s="210" t="s">
        <v>67</v>
      </c>
      <c r="B415" s="210"/>
      <c r="C415" s="210"/>
      <c r="D415" s="210"/>
      <c r="E415" s="210"/>
      <c r="F415" s="210"/>
      <c r="G415" s="210"/>
      <c r="H415" s="210"/>
    </row>
    <row r="416" spans="1:8" x14ac:dyDescent="0.35">
      <c r="A416" s="159" t="s">
        <v>68</v>
      </c>
      <c r="B416" s="159"/>
      <c r="C416" s="159"/>
      <c r="D416" s="159"/>
      <c r="E416" s="159"/>
      <c r="F416" s="159"/>
      <c r="G416" s="159"/>
      <c r="H416" s="159"/>
    </row>
    <row r="417" spans="1:9" x14ac:dyDescent="0.35">
      <c r="A417" s="159" t="s">
        <v>69</v>
      </c>
      <c r="B417" s="159"/>
      <c r="C417" s="159"/>
      <c r="D417" s="159"/>
      <c r="E417" s="159"/>
      <c r="F417" s="159"/>
      <c r="G417" s="159"/>
      <c r="H417" s="159"/>
    </row>
    <row r="418" spans="1:9" x14ac:dyDescent="0.35">
      <c r="A418" s="159" t="s">
        <v>124</v>
      </c>
      <c r="B418" s="159"/>
      <c r="C418" s="159"/>
      <c r="D418" s="159"/>
      <c r="E418" s="159"/>
      <c r="F418" s="159"/>
      <c r="G418" s="159"/>
      <c r="H418" s="159"/>
    </row>
    <row r="419" spans="1:9" x14ac:dyDescent="0.35">
      <c r="A419" s="180" t="s">
        <v>125</v>
      </c>
      <c r="B419" s="180"/>
      <c r="C419" s="180"/>
      <c r="D419" s="180"/>
      <c r="E419" s="180"/>
      <c r="F419" s="180"/>
      <c r="G419" s="180"/>
      <c r="H419" s="180"/>
    </row>
    <row r="420" spans="1:9" x14ac:dyDescent="0.35">
      <c r="A420" s="198" t="s">
        <v>81</v>
      </c>
      <c r="B420" s="198"/>
      <c r="C420" s="198" t="s">
        <v>226</v>
      </c>
      <c r="D420" s="198"/>
      <c r="E420" s="198" t="s">
        <v>105</v>
      </c>
      <c r="F420" s="198"/>
      <c r="G420" s="198" t="s">
        <v>253</v>
      </c>
      <c r="H420" s="198"/>
    </row>
    <row r="421" spans="1:9" x14ac:dyDescent="0.35">
      <c r="A421" s="197" t="s">
        <v>83</v>
      </c>
      <c r="B421" s="197"/>
      <c r="C421" s="197"/>
      <c r="D421" s="197"/>
      <c r="E421" s="197"/>
      <c r="F421" s="197"/>
      <c r="G421" s="197"/>
      <c r="H421" s="197"/>
    </row>
    <row r="422" spans="1:9" x14ac:dyDescent="0.35">
      <c r="A422" s="197"/>
      <c r="B422" s="197"/>
      <c r="C422" s="197"/>
      <c r="D422" s="197"/>
      <c r="E422" s="197"/>
      <c r="F422" s="197"/>
      <c r="G422" s="197"/>
      <c r="H422" s="197"/>
    </row>
    <row r="423" spans="1:9" x14ac:dyDescent="0.35">
      <c r="A423" s="197"/>
      <c r="B423" s="197"/>
      <c r="C423" s="197"/>
      <c r="D423" s="197"/>
      <c r="E423" s="197"/>
      <c r="F423" s="197"/>
      <c r="G423" s="197"/>
      <c r="H423" s="197"/>
    </row>
    <row r="424" spans="1:9" x14ac:dyDescent="0.35">
      <c r="A424" s="197"/>
      <c r="B424" s="197"/>
      <c r="C424" s="197"/>
      <c r="D424" s="197"/>
      <c r="E424" s="197"/>
      <c r="F424" s="197"/>
      <c r="G424" s="197"/>
      <c r="H424" s="197"/>
    </row>
    <row r="425" spans="1:9" x14ac:dyDescent="0.35">
      <c r="A425" s="38" t="s">
        <v>70</v>
      </c>
      <c r="B425" s="39"/>
      <c r="C425" s="39"/>
      <c r="D425" s="38" t="str">
        <f>E8</f>
        <v>Mayfair Virar Gardens Cluster VI</v>
      </c>
      <c r="F425" s="39"/>
      <c r="G425" s="39"/>
      <c r="H425" s="39"/>
    </row>
    <row r="426" spans="1:9" x14ac:dyDescent="0.35">
      <c r="A426" s="39"/>
      <c r="B426" s="39"/>
      <c r="C426" s="39"/>
      <c r="D426" s="39"/>
      <c r="E426" s="39"/>
      <c r="F426" s="39"/>
      <c r="G426" s="39"/>
      <c r="H426" s="39"/>
    </row>
    <row r="427" spans="1:9" x14ac:dyDescent="0.35">
      <c r="A427" s="39"/>
      <c r="B427" s="39"/>
      <c r="C427" s="39"/>
      <c r="D427" s="39"/>
      <c r="E427" s="39"/>
      <c r="F427" s="39"/>
      <c r="G427" s="39"/>
      <c r="H427" s="39"/>
      <c r="I427" s="21" t="s">
        <v>229</v>
      </c>
    </row>
    <row r="428" spans="1:9" ht="15" customHeight="1" x14ac:dyDescent="0.35"/>
    <row r="437" spans="1:8" x14ac:dyDescent="0.35">
      <c r="A437" s="39"/>
      <c r="B437" s="39"/>
      <c r="C437" s="39"/>
      <c r="D437" s="39"/>
      <c r="E437" s="39"/>
      <c r="F437" s="39"/>
      <c r="G437" s="39"/>
      <c r="H437" s="39"/>
    </row>
    <row r="438" spans="1:8" ht="15" customHeight="1" x14ac:dyDescent="0.35"/>
    <row r="456" spans="9:9" x14ac:dyDescent="0.35">
      <c r="I456"/>
    </row>
    <row r="468" spans="1:1" hidden="1" x14ac:dyDescent="0.35"/>
    <row r="469" spans="1:1" hidden="1" x14ac:dyDescent="0.35"/>
    <row r="470" spans="1:1" hidden="1" x14ac:dyDescent="0.35"/>
    <row r="471" spans="1:1" hidden="1" x14ac:dyDescent="0.35"/>
    <row r="472" spans="1:1" hidden="1" x14ac:dyDescent="0.35"/>
    <row r="473" spans="1:1" hidden="1" x14ac:dyDescent="0.35"/>
    <row r="474" spans="1:1" hidden="1" x14ac:dyDescent="0.35"/>
    <row r="475" spans="1:1" hidden="1" x14ac:dyDescent="0.35"/>
    <row r="476" spans="1:1" hidden="1" x14ac:dyDescent="0.35"/>
    <row r="477" spans="1:1" hidden="1" x14ac:dyDescent="0.35"/>
    <row r="478" spans="1:1" hidden="1" x14ac:dyDescent="0.35"/>
    <row r="479" spans="1:1" x14ac:dyDescent="0.35">
      <c r="A479" s="41" t="s">
        <v>164</v>
      </c>
    </row>
    <row r="522" spans="1:1" x14ac:dyDescent="0.35">
      <c r="A522" s="41" t="s">
        <v>71</v>
      </c>
    </row>
  </sheetData>
  <mergeCells count="756">
    <mergeCell ref="B410:H410"/>
    <mergeCell ref="A139:B139"/>
    <mergeCell ref="E139:F139"/>
    <mergeCell ref="G139:H139"/>
    <mergeCell ref="A140:B140"/>
    <mergeCell ref="E140:F149"/>
    <mergeCell ref="G140:H149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B407:H407"/>
    <mergeCell ref="A201:E201"/>
    <mergeCell ref="A196:E196"/>
    <mergeCell ref="A193:E193"/>
    <mergeCell ref="F197:H197"/>
    <mergeCell ref="C150:H150"/>
    <mergeCell ref="A152:B152"/>
    <mergeCell ref="C152:H152"/>
    <mergeCell ref="G154:H163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B409:H409"/>
    <mergeCell ref="A16:B16"/>
    <mergeCell ref="C16:H16"/>
    <mergeCell ref="E41:H41"/>
    <mergeCell ref="A41:D41"/>
    <mergeCell ref="A358:H358"/>
    <mergeCell ref="A359:H359"/>
    <mergeCell ref="A360:H360"/>
    <mergeCell ref="A361:B361"/>
    <mergeCell ref="A49:B49"/>
    <mergeCell ref="A53:H53"/>
    <mergeCell ref="A54:C54"/>
    <mergeCell ref="A55:C55"/>
    <mergeCell ref="D55:H55"/>
    <mergeCell ref="G52:H52"/>
    <mergeCell ref="C51:H51"/>
    <mergeCell ref="A217:H217"/>
    <mergeCell ref="A202:E202"/>
    <mergeCell ref="F196:H196"/>
    <mergeCell ref="A170:B170"/>
    <mergeCell ref="A171:B171"/>
    <mergeCell ref="A172:B172"/>
    <mergeCell ref="A173:B173"/>
    <mergeCell ref="A153:B153"/>
    <mergeCell ref="A418:H418"/>
    <mergeCell ref="A415:H415"/>
    <mergeCell ref="A206:B206"/>
    <mergeCell ref="D219:D220"/>
    <mergeCell ref="E219:E220"/>
    <mergeCell ref="G219:H220"/>
    <mergeCell ref="A88:B88"/>
    <mergeCell ref="F194:H194"/>
    <mergeCell ref="A339:H339"/>
    <mergeCell ref="A340:H340"/>
    <mergeCell ref="A341:B341"/>
    <mergeCell ref="G341:H348"/>
    <mergeCell ref="A346:B346"/>
    <mergeCell ref="A166:B166"/>
    <mergeCell ref="C166:H166"/>
    <mergeCell ref="A168:B168"/>
    <mergeCell ref="E168:F168"/>
    <mergeCell ref="G168:H168"/>
    <mergeCell ref="A169:B169"/>
    <mergeCell ref="E169:F178"/>
    <mergeCell ref="G169:H178"/>
    <mergeCell ref="A174:B174"/>
    <mergeCell ref="A175:B175"/>
    <mergeCell ref="C164:H164"/>
    <mergeCell ref="A130:B130"/>
    <mergeCell ref="A131:B131"/>
    <mergeCell ref="A132:B132"/>
    <mergeCell ref="A133:B133"/>
    <mergeCell ref="A134:B134"/>
    <mergeCell ref="A135:B135"/>
    <mergeCell ref="A48:B48"/>
    <mergeCell ref="C48:E48"/>
    <mergeCell ref="G48:H48"/>
    <mergeCell ref="G50:H50"/>
    <mergeCell ref="D54:H54"/>
    <mergeCell ref="C50:E50"/>
    <mergeCell ref="A57:C57"/>
    <mergeCell ref="D57:H57"/>
    <mergeCell ref="C49:E49"/>
    <mergeCell ref="A52:B52"/>
    <mergeCell ref="C52:E52"/>
    <mergeCell ref="B401:H401"/>
    <mergeCell ref="F201:H201"/>
    <mergeCell ref="F202:H202"/>
    <mergeCell ref="A218:H218"/>
    <mergeCell ref="C219:C220"/>
    <mergeCell ref="C216:D216"/>
    <mergeCell ref="A223:H223"/>
    <mergeCell ref="G361:H368"/>
    <mergeCell ref="A366:B366"/>
    <mergeCell ref="A378:H378"/>
    <mergeCell ref="A379:H379"/>
    <mergeCell ref="A380:H380"/>
    <mergeCell ref="A381:B381"/>
    <mergeCell ref="G381:H388"/>
    <mergeCell ref="A386:B386"/>
    <mergeCell ref="A310:B310"/>
    <mergeCell ref="A253:H253"/>
    <mergeCell ref="A254:B254"/>
    <mergeCell ref="G254:H261"/>
    <mergeCell ref="A259:B259"/>
    <mergeCell ref="G210:H210"/>
    <mergeCell ref="A252:B252"/>
    <mergeCell ref="A260:B260"/>
    <mergeCell ref="C211:D211"/>
    <mergeCell ref="A62:C62"/>
    <mergeCell ref="D62:H62"/>
    <mergeCell ref="A63:C63"/>
    <mergeCell ref="D63:H63"/>
    <mergeCell ref="A83:B83"/>
    <mergeCell ref="G82:H82"/>
    <mergeCell ref="A90:B90"/>
    <mergeCell ref="C207:D207"/>
    <mergeCell ref="E207:F207"/>
    <mergeCell ref="G207:H207"/>
    <mergeCell ref="F200:H200"/>
    <mergeCell ref="A194:E194"/>
    <mergeCell ref="F193:H193"/>
    <mergeCell ref="F198:H198"/>
    <mergeCell ref="A199:E199"/>
    <mergeCell ref="F199:H199"/>
    <mergeCell ref="A200:E200"/>
    <mergeCell ref="A77:B77"/>
    <mergeCell ref="A78:B78"/>
    <mergeCell ref="C110:H110"/>
    <mergeCell ref="A111:B111"/>
    <mergeCell ref="E111:F111"/>
    <mergeCell ref="G111:H111"/>
    <mergeCell ref="A112:B112"/>
    <mergeCell ref="A421:H424"/>
    <mergeCell ref="A420:B420"/>
    <mergeCell ref="E420:F420"/>
    <mergeCell ref="C420:D420"/>
    <mergeCell ref="G420:H420"/>
    <mergeCell ref="A203:E203"/>
    <mergeCell ref="F203:H203"/>
    <mergeCell ref="A204:E204"/>
    <mergeCell ref="F204:H204"/>
    <mergeCell ref="A416:H416"/>
    <mergeCell ref="A205:H205"/>
    <mergeCell ref="A419:H419"/>
    <mergeCell ref="A417:H417"/>
    <mergeCell ref="A413:H413"/>
    <mergeCell ref="A414:H414"/>
    <mergeCell ref="E206:F206"/>
    <mergeCell ref="B408:H408"/>
    <mergeCell ref="B405:H405"/>
    <mergeCell ref="A216:B216"/>
    <mergeCell ref="E216:F216"/>
    <mergeCell ref="C209:D209"/>
    <mergeCell ref="E209:F209"/>
    <mergeCell ref="G209:H209"/>
    <mergeCell ref="C210:D210"/>
    <mergeCell ref="A44:D44"/>
    <mergeCell ref="A45:D45"/>
    <mergeCell ref="A46:H46"/>
    <mergeCell ref="D56:H56"/>
    <mergeCell ref="A56:C56"/>
    <mergeCell ref="G49:H49"/>
    <mergeCell ref="A50:B51"/>
    <mergeCell ref="A89:B89"/>
    <mergeCell ref="A82:B82"/>
    <mergeCell ref="A85:B85"/>
    <mergeCell ref="A81:B81"/>
    <mergeCell ref="A79:B79"/>
    <mergeCell ref="C79:H79"/>
    <mergeCell ref="A87:B87"/>
    <mergeCell ref="A60:C60"/>
    <mergeCell ref="D60:H60"/>
    <mergeCell ref="C81:H81"/>
    <mergeCell ref="A84:B84"/>
    <mergeCell ref="A86:B86"/>
    <mergeCell ref="E82:F82"/>
    <mergeCell ref="A61:C61"/>
    <mergeCell ref="D61:H61"/>
    <mergeCell ref="A64:C64"/>
    <mergeCell ref="D64:H6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G37:H37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A59:C59"/>
    <mergeCell ref="D58:H58"/>
    <mergeCell ref="E83:F92"/>
    <mergeCell ref="G83:H92"/>
    <mergeCell ref="A91:B91"/>
    <mergeCell ref="A92:B92"/>
    <mergeCell ref="D59:H59"/>
    <mergeCell ref="A42:D42"/>
    <mergeCell ref="E42:H42"/>
    <mergeCell ref="E43:H43"/>
    <mergeCell ref="E44:H44"/>
    <mergeCell ref="E45:H45"/>
    <mergeCell ref="A43:D43"/>
    <mergeCell ref="F35:H35"/>
    <mergeCell ref="A37:B37"/>
    <mergeCell ref="E37:F37"/>
    <mergeCell ref="C37:D37"/>
    <mergeCell ref="A38:B38"/>
    <mergeCell ref="B402:H402"/>
    <mergeCell ref="B403:H403"/>
    <mergeCell ref="A398:H398"/>
    <mergeCell ref="B219:B220"/>
    <mergeCell ref="A228:B228"/>
    <mergeCell ref="A225:B225"/>
    <mergeCell ref="G234:H241"/>
    <mergeCell ref="A239:B239"/>
    <mergeCell ref="A265:B265"/>
    <mergeCell ref="G265:H272"/>
    <mergeCell ref="A270:B270"/>
    <mergeCell ref="A282:H282"/>
    <mergeCell ref="A283:H283"/>
    <mergeCell ref="A284:H284"/>
    <mergeCell ref="A219:A220"/>
    <mergeCell ref="A226:B226"/>
    <mergeCell ref="A227:B227"/>
    <mergeCell ref="A299:B299"/>
    <mergeCell ref="A318:H318"/>
    <mergeCell ref="A319:H319"/>
    <mergeCell ref="A320:H320"/>
    <mergeCell ref="A321:B321"/>
    <mergeCell ref="G321:H328"/>
    <mergeCell ref="A326:B326"/>
    <mergeCell ref="C38:H38"/>
    <mergeCell ref="B406:H406"/>
    <mergeCell ref="A47:B47"/>
    <mergeCell ref="C47:H47"/>
    <mergeCell ref="B404:H404"/>
    <mergeCell ref="F195:H195"/>
    <mergeCell ref="A195:E195"/>
    <mergeCell ref="A197:E197"/>
    <mergeCell ref="A198:E198"/>
    <mergeCell ref="A222:H222"/>
    <mergeCell ref="A221:H221"/>
    <mergeCell ref="A224:H224"/>
    <mergeCell ref="A229:B229"/>
    <mergeCell ref="A234:B234"/>
    <mergeCell ref="G216:H216"/>
    <mergeCell ref="G208:H208"/>
    <mergeCell ref="C208:D208"/>
    <mergeCell ref="E208:F208"/>
    <mergeCell ref="C215:D215"/>
    <mergeCell ref="E215:F215"/>
    <mergeCell ref="G215:H215"/>
    <mergeCell ref="C206:D206"/>
    <mergeCell ref="G206:H206"/>
    <mergeCell ref="A338:H338"/>
    <mergeCell ref="L229:M229"/>
    <mergeCell ref="A230:B230"/>
    <mergeCell ref="L230:M230"/>
    <mergeCell ref="A231:B231"/>
    <mergeCell ref="L231:M231"/>
    <mergeCell ref="A232:B232"/>
    <mergeCell ref="L232:M232"/>
    <mergeCell ref="G225:H232"/>
    <mergeCell ref="A233:H233"/>
    <mergeCell ref="L228:M228"/>
    <mergeCell ref="L225:M225"/>
    <mergeCell ref="L226:M226"/>
    <mergeCell ref="L227:M227"/>
    <mergeCell ref="L234:M234"/>
    <mergeCell ref="A235:B235"/>
    <mergeCell ref="L235:M235"/>
    <mergeCell ref="A236:B236"/>
    <mergeCell ref="L236:M236"/>
    <mergeCell ref="A237:B237"/>
    <mergeCell ref="L237:M237"/>
    <mergeCell ref="A238:B238"/>
    <mergeCell ref="L238:M238"/>
    <mergeCell ref="L239:M239"/>
    <mergeCell ref="A240:B240"/>
    <mergeCell ref="L240:M240"/>
    <mergeCell ref="A241:B241"/>
    <mergeCell ref="L241:M241"/>
    <mergeCell ref="C240:F240"/>
    <mergeCell ref="A262:H262"/>
    <mergeCell ref="A263:H263"/>
    <mergeCell ref="A264:H264"/>
    <mergeCell ref="A242:H242"/>
    <mergeCell ref="A243:H243"/>
    <mergeCell ref="A244:H244"/>
    <mergeCell ref="A245:B245"/>
    <mergeCell ref="G245:H252"/>
    <mergeCell ref="L245:M245"/>
    <mergeCell ref="A246:B246"/>
    <mergeCell ref="L246:M246"/>
    <mergeCell ref="A247:B247"/>
    <mergeCell ref="L247:M247"/>
    <mergeCell ref="A248:B248"/>
    <mergeCell ref="L248:M248"/>
    <mergeCell ref="A249:B249"/>
    <mergeCell ref="L249:M249"/>
    <mergeCell ref="A250:B250"/>
    <mergeCell ref="L265:M265"/>
    <mergeCell ref="A266:B266"/>
    <mergeCell ref="L266:M266"/>
    <mergeCell ref="A267:B267"/>
    <mergeCell ref="L267:M267"/>
    <mergeCell ref="A268:B268"/>
    <mergeCell ref="L268:M268"/>
    <mergeCell ref="A269:B269"/>
    <mergeCell ref="L269:M269"/>
    <mergeCell ref="L270:M270"/>
    <mergeCell ref="A271:B271"/>
    <mergeCell ref="L271:M271"/>
    <mergeCell ref="A272:B272"/>
    <mergeCell ref="L272:M272"/>
    <mergeCell ref="A273:H273"/>
    <mergeCell ref="A274:B274"/>
    <mergeCell ref="G274:H281"/>
    <mergeCell ref="L274:M274"/>
    <mergeCell ref="A275:B275"/>
    <mergeCell ref="L275:M275"/>
    <mergeCell ref="A276:B276"/>
    <mergeCell ref="L276:M276"/>
    <mergeCell ref="A277:B277"/>
    <mergeCell ref="L277:M277"/>
    <mergeCell ref="A278:B278"/>
    <mergeCell ref="L278:M278"/>
    <mergeCell ref="A279:B279"/>
    <mergeCell ref="L279:M279"/>
    <mergeCell ref="A280:B280"/>
    <mergeCell ref="C280:F280"/>
    <mergeCell ref="L280:M280"/>
    <mergeCell ref="A281:B281"/>
    <mergeCell ref="L281:M281"/>
    <mergeCell ref="A285:B285"/>
    <mergeCell ref="G285:H292"/>
    <mergeCell ref="L285:M285"/>
    <mergeCell ref="A286:B286"/>
    <mergeCell ref="L286:M286"/>
    <mergeCell ref="A287:B287"/>
    <mergeCell ref="L287:M287"/>
    <mergeCell ref="A288:B288"/>
    <mergeCell ref="L288:M288"/>
    <mergeCell ref="A289:B289"/>
    <mergeCell ref="L289:M289"/>
    <mergeCell ref="A290:B290"/>
    <mergeCell ref="L290:M290"/>
    <mergeCell ref="A291:B291"/>
    <mergeCell ref="L291:M291"/>
    <mergeCell ref="A292:B292"/>
    <mergeCell ref="L292:M292"/>
    <mergeCell ref="L321:M321"/>
    <mergeCell ref="A322:B322"/>
    <mergeCell ref="L322:M322"/>
    <mergeCell ref="A323:B323"/>
    <mergeCell ref="L323:M323"/>
    <mergeCell ref="A324:B324"/>
    <mergeCell ref="L324:M324"/>
    <mergeCell ref="A325:B325"/>
    <mergeCell ref="L325:M325"/>
    <mergeCell ref="L326:M326"/>
    <mergeCell ref="A327:B327"/>
    <mergeCell ref="L327:M327"/>
    <mergeCell ref="A328:B328"/>
    <mergeCell ref="L328:M328"/>
    <mergeCell ref="A329:H329"/>
    <mergeCell ref="A330:B330"/>
    <mergeCell ref="G330:H337"/>
    <mergeCell ref="L330:M330"/>
    <mergeCell ref="A331:B331"/>
    <mergeCell ref="L331:M331"/>
    <mergeCell ref="A332:B332"/>
    <mergeCell ref="L332:M332"/>
    <mergeCell ref="A333:B333"/>
    <mergeCell ref="L333:M333"/>
    <mergeCell ref="A334:B334"/>
    <mergeCell ref="L334:M334"/>
    <mergeCell ref="A335:B335"/>
    <mergeCell ref="L335:M335"/>
    <mergeCell ref="A336:B336"/>
    <mergeCell ref="C336:F336"/>
    <mergeCell ref="L336:M336"/>
    <mergeCell ref="A337:B337"/>
    <mergeCell ref="L337:M337"/>
    <mergeCell ref="L341:M341"/>
    <mergeCell ref="A342:B342"/>
    <mergeCell ref="L342:M342"/>
    <mergeCell ref="A343:B343"/>
    <mergeCell ref="L343:M343"/>
    <mergeCell ref="A344:B344"/>
    <mergeCell ref="L344:M344"/>
    <mergeCell ref="A345:B345"/>
    <mergeCell ref="L345:M345"/>
    <mergeCell ref="L346:M346"/>
    <mergeCell ref="A347:B347"/>
    <mergeCell ref="L347:M347"/>
    <mergeCell ref="A348:B348"/>
    <mergeCell ref="L348:M348"/>
    <mergeCell ref="A349:H349"/>
    <mergeCell ref="A350:B350"/>
    <mergeCell ref="G350:H357"/>
    <mergeCell ref="L350:M350"/>
    <mergeCell ref="A351:B351"/>
    <mergeCell ref="L351:M351"/>
    <mergeCell ref="A352:B352"/>
    <mergeCell ref="L352:M352"/>
    <mergeCell ref="A353:B353"/>
    <mergeCell ref="L353:M353"/>
    <mergeCell ref="A354:B354"/>
    <mergeCell ref="L354:M354"/>
    <mergeCell ref="A355:B355"/>
    <mergeCell ref="L355:M355"/>
    <mergeCell ref="A356:B356"/>
    <mergeCell ref="C356:F356"/>
    <mergeCell ref="L356:M356"/>
    <mergeCell ref="A357:B357"/>
    <mergeCell ref="L357:M357"/>
    <mergeCell ref="L361:M361"/>
    <mergeCell ref="A362:B362"/>
    <mergeCell ref="L362:M362"/>
    <mergeCell ref="A363:B363"/>
    <mergeCell ref="L363:M363"/>
    <mergeCell ref="A364:B364"/>
    <mergeCell ref="L364:M364"/>
    <mergeCell ref="A365:B365"/>
    <mergeCell ref="L365:M365"/>
    <mergeCell ref="L366:M366"/>
    <mergeCell ref="A367:B367"/>
    <mergeCell ref="L367:M367"/>
    <mergeCell ref="A368:B368"/>
    <mergeCell ref="L368:M368"/>
    <mergeCell ref="A369:H369"/>
    <mergeCell ref="A370:B370"/>
    <mergeCell ref="G370:H377"/>
    <mergeCell ref="L370:M370"/>
    <mergeCell ref="A371:B371"/>
    <mergeCell ref="L371:M371"/>
    <mergeCell ref="A372:B372"/>
    <mergeCell ref="L372:M372"/>
    <mergeCell ref="A373:B373"/>
    <mergeCell ref="L373:M373"/>
    <mergeCell ref="A374:B374"/>
    <mergeCell ref="L374:M374"/>
    <mergeCell ref="A375:B375"/>
    <mergeCell ref="L375:M375"/>
    <mergeCell ref="A376:B376"/>
    <mergeCell ref="C376:F376"/>
    <mergeCell ref="L376:M376"/>
    <mergeCell ref="A377:B377"/>
    <mergeCell ref="L377:M377"/>
    <mergeCell ref="L381:M381"/>
    <mergeCell ref="A382:B382"/>
    <mergeCell ref="L382:M382"/>
    <mergeCell ref="A383:B383"/>
    <mergeCell ref="L383:M383"/>
    <mergeCell ref="A384:B384"/>
    <mergeCell ref="L384:M384"/>
    <mergeCell ref="A385:B385"/>
    <mergeCell ref="L385:M385"/>
    <mergeCell ref="L386:M386"/>
    <mergeCell ref="A387:B387"/>
    <mergeCell ref="L387:M387"/>
    <mergeCell ref="A388:B388"/>
    <mergeCell ref="L388:M388"/>
    <mergeCell ref="A389:H389"/>
    <mergeCell ref="A390:B390"/>
    <mergeCell ref="G390:H397"/>
    <mergeCell ref="L390:M390"/>
    <mergeCell ref="A391:B391"/>
    <mergeCell ref="L391:M391"/>
    <mergeCell ref="A392:B392"/>
    <mergeCell ref="L392:M392"/>
    <mergeCell ref="A393:B393"/>
    <mergeCell ref="L393:M393"/>
    <mergeCell ref="A394:B394"/>
    <mergeCell ref="L394:M394"/>
    <mergeCell ref="A395:B395"/>
    <mergeCell ref="L395:M395"/>
    <mergeCell ref="A396:B396"/>
    <mergeCell ref="C396:F396"/>
    <mergeCell ref="L396:M396"/>
    <mergeCell ref="A397:B397"/>
    <mergeCell ref="L397:M397"/>
    <mergeCell ref="L310:M310"/>
    <mergeCell ref="G305:H310"/>
    <mergeCell ref="A311:H311"/>
    <mergeCell ref="A312:B312"/>
    <mergeCell ref="G312:H317"/>
    <mergeCell ref="L312:M312"/>
    <mergeCell ref="A313:B313"/>
    <mergeCell ref="L313:M313"/>
    <mergeCell ref="A314:B314"/>
    <mergeCell ref="L314:M314"/>
    <mergeCell ref="A315:B315"/>
    <mergeCell ref="L315:M315"/>
    <mergeCell ref="A316:B316"/>
    <mergeCell ref="L316:M316"/>
    <mergeCell ref="A317:B317"/>
    <mergeCell ref="L317:M317"/>
    <mergeCell ref="C316:F316"/>
    <mergeCell ref="A305:B305"/>
    <mergeCell ref="L305:M305"/>
    <mergeCell ref="A306:B306"/>
    <mergeCell ref="L306:M306"/>
    <mergeCell ref="A307:B307"/>
    <mergeCell ref="L307:M307"/>
    <mergeCell ref="A308:B308"/>
    <mergeCell ref="L308:M308"/>
    <mergeCell ref="A309:B309"/>
    <mergeCell ref="L309:M309"/>
    <mergeCell ref="A302:H302"/>
    <mergeCell ref="A303:H303"/>
    <mergeCell ref="A304:H304"/>
    <mergeCell ref="A293:H293"/>
    <mergeCell ref="A294:B294"/>
    <mergeCell ref="G294:H301"/>
    <mergeCell ref="L294:M294"/>
    <mergeCell ref="A295:B295"/>
    <mergeCell ref="L295:M295"/>
    <mergeCell ref="A296:B296"/>
    <mergeCell ref="L296:M296"/>
    <mergeCell ref="A297:B297"/>
    <mergeCell ref="L297:M297"/>
    <mergeCell ref="A298:B298"/>
    <mergeCell ref="L298:M298"/>
    <mergeCell ref="L299:M299"/>
    <mergeCell ref="A300:B300"/>
    <mergeCell ref="C300:F300"/>
    <mergeCell ref="L300:M300"/>
    <mergeCell ref="A301:B301"/>
    <mergeCell ref="L301:M301"/>
    <mergeCell ref="L260:M260"/>
    <mergeCell ref="A261:B261"/>
    <mergeCell ref="L261:M261"/>
    <mergeCell ref="C254:F254"/>
    <mergeCell ref="C213:D213"/>
    <mergeCell ref="E213:F213"/>
    <mergeCell ref="G213:H213"/>
    <mergeCell ref="C214:D214"/>
    <mergeCell ref="E214:F214"/>
    <mergeCell ref="G214:H214"/>
    <mergeCell ref="L254:M254"/>
    <mergeCell ref="A255:B255"/>
    <mergeCell ref="L255:M255"/>
    <mergeCell ref="A256:B256"/>
    <mergeCell ref="L256:M256"/>
    <mergeCell ref="A257:B257"/>
    <mergeCell ref="L257:M257"/>
    <mergeCell ref="A258:B258"/>
    <mergeCell ref="L258:M258"/>
    <mergeCell ref="L250:M250"/>
    <mergeCell ref="A251:B251"/>
    <mergeCell ref="L251:M251"/>
    <mergeCell ref="L252:M252"/>
    <mergeCell ref="L259:M259"/>
    <mergeCell ref="A65:B65"/>
    <mergeCell ref="C65:H65"/>
    <mergeCell ref="A67:B67"/>
    <mergeCell ref="C67:H67"/>
    <mergeCell ref="A68:B68"/>
    <mergeCell ref="E68:F68"/>
    <mergeCell ref="G68:H68"/>
    <mergeCell ref="A69:B69"/>
    <mergeCell ref="E69:F78"/>
    <mergeCell ref="G69:H78"/>
    <mergeCell ref="A70:B70"/>
    <mergeCell ref="A71:B71"/>
    <mergeCell ref="A72:B72"/>
    <mergeCell ref="A73:B73"/>
    <mergeCell ref="A74:B74"/>
    <mergeCell ref="A75:B75"/>
    <mergeCell ref="A76:B76"/>
    <mergeCell ref="A106:B106"/>
    <mergeCell ref="A108:B108"/>
    <mergeCell ref="C108:H108"/>
    <mergeCell ref="A110:B110"/>
    <mergeCell ref="E211:F211"/>
    <mergeCell ref="G211:H211"/>
    <mergeCell ref="C212:D212"/>
    <mergeCell ref="E212:F212"/>
    <mergeCell ref="G212:H212"/>
    <mergeCell ref="E210:F210"/>
    <mergeCell ref="A183:B183"/>
    <mergeCell ref="A122:B122"/>
    <mergeCell ref="C122:H122"/>
    <mergeCell ref="A124:B124"/>
    <mergeCell ref="C124:H124"/>
    <mergeCell ref="A125:B125"/>
    <mergeCell ref="E125:F125"/>
    <mergeCell ref="G125:H125"/>
    <mergeCell ref="A126:B126"/>
    <mergeCell ref="E126:F135"/>
    <mergeCell ref="G126:H135"/>
    <mergeCell ref="A127:B127"/>
    <mergeCell ref="A128:B128"/>
    <mergeCell ref="A129:B129"/>
    <mergeCell ref="E153:F153"/>
    <mergeCell ref="G153:H153"/>
    <mergeCell ref="A154:B154"/>
    <mergeCell ref="E154:F163"/>
    <mergeCell ref="B399:H399"/>
    <mergeCell ref="B400:H400"/>
    <mergeCell ref="A93:B93"/>
    <mergeCell ref="C93:H93"/>
    <mergeCell ref="A95:B95"/>
    <mergeCell ref="C95:H95"/>
    <mergeCell ref="A96:B96"/>
    <mergeCell ref="E96:F96"/>
    <mergeCell ref="G96:H96"/>
    <mergeCell ref="A97:B97"/>
    <mergeCell ref="E97:F106"/>
    <mergeCell ref="G97:H106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18:B118"/>
    <mergeCell ref="A119:B119"/>
    <mergeCell ref="A120:B120"/>
    <mergeCell ref="A121:B121"/>
    <mergeCell ref="C136:H136"/>
    <mergeCell ref="A138:B138"/>
    <mergeCell ref="C138:H138"/>
    <mergeCell ref="E183:F192"/>
    <mergeCell ref="G183:H192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76:B176"/>
    <mergeCell ref="A177:B177"/>
    <mergeCell ref="A178:B178"/>
    <mergeCell ref="A164:B164"/>
    <mergeCell ref="A136:B136"/>
    <mergeCell ref="A150:B150"/>
    <mergeCell ref="E167:F167"/>
    <mergeCell ref="G167:H167"/>
    <mergeCell ref="A167:B167"/>
    <mergeCell ref="C167:D167"/>
    <mergeCell ref="B411:H411"/>
    <mergeCell ref="B412:H412"/>
    <mergeCell ref="I59:M59"/>
    <mergeCell ref="E107:F107"/>
    <mergeCell ref="A107:C107"/>
    <mergeCell ref="G107:H107"/>
    <mergeCell ref="A179:B179"/>
    <mergeCell ref="C179:H179"/>
    <mergeCell ref="A181:B181"/>
    <mergeCell ref="C181:H181"/>
    <mergeCell ref="A182:B182"/>
    <mergeCell ref="E182:F182"/>
    <mergeCell ref="G182:H182"/>
    <mergeCell ref="E112:F121"/>
    <mergeCell ref="G112:H121"/>
    <mergeCell ref="A113:B113"/>
    <mergeCell ref="A114:B114"/>
    <mergeCell ref="A115:B115"/>
    <mergeCell ref="A116:B116"/>
    <mergeCell ref="A117:B117"/>
  </mergeCell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1"/>
  <headerFooter>
    <oddHeader>&amp;C&amp;G</oddHeader>
    <oddFooter>&amp;L&amp;"Times New Roman,Bold"&amp;12Ref No: &amp;F&amp;C&amp;G&amp;R&amp;"Times New Roman,Bold"&amp;12&amp;P</oddFooter>
  </headerFooter>
  <rowBreaks count="6" manualBreakCount="6">
    <brk id="64" max="16383" man="1"/>
    <brk id="121" max="16383" man="1"/>
    <brk id="149" max="16383" man="1"/>
    <brk id="424" max="16383" man="1"/>
    <brk id="478" max="16383" man="1"/>
    <brk id="521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22" t="s">
        <v>106</v>
      </c>
      <c r="C3" s="222"/>
      <c r="D3" s="222"/>
      <c r="E3" s="222"/>
      <c r="F3" s="222"/>
      <c r="G3" s="222"/>
      <c r="H3" s="222"/>
    </row>
    <row r="4" spans="1:9" x14ac:dyDescent="0.35">
      <c r="A4" s="2"/>
      <c r="B4" s="3" t="s">
        <v>107</v>
      </c>
      <c r="C4" s="3" t="s">
        <v>108</v>
      </c>
      <c r="D4" s="3" t="s">
        <v>73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2025-09-20T09:21:37Z</cp:lastPrinted>
  <dcterms:created xsi:type="dcterms:W3CDTF">2019-07-16T09:29:46Z</dcterms:created>
  <dcterms:modified xsi:type="dcterms:W3CDTF">2025-10-05T13:14:28Z</dcterms:modified>
</cp:coreProperties>
</file>