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19-09-2025\"/>
    </mc:Choice>
  </mc:AlternateContent>
  <bookViews>
    <workbookView xWindow="0" yWindow="0" windowWidth="19200" windowHeight="6640" tabRatio="725"/>
  </bookViews>
  <sheets>
    <sheet name="Report" sheetId="1" r:id="rId1"/>
    <sheet name="Sheet1" sheetId="5" r:id="rId2"/>
    <sheet name="Note" sheetId="4" r:id="rId3"/>
  </sheets>
  <definedNames>
    <definedName name="_xlnm.Print_Area" localSheetId="0">Report!$A$1:$H$378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5" i="1" l="1"/>
  <c r="J154" i="1" l="1"/>
  <c r="K154" i="1" s="1"/>
  <c r="J153" i="1"/>
  <c r="K153" i="1" s="1"/>
  <c r="I50" i="1"/>
  <c r="I132" i="1"/>
  <c r="C99" i="1"/>
  <c r="C101" i="1" s="1"/>
  <c r="C100" i="1" l="1"/>
  <c r="D138" i="1"/>
  <c r="I191" i="1" l="1"/>
  <c r="D197" i="1"/>
  <c r="F197" i="1" s="1"/>
  <c r="D196" i="1"/>
  <c r="F196" i="1" s="1"/>
  <c r="D194" i="1"/>
  <c r="F194" i="1" s="1"/>
  <c r="D193" i="1"/>
  <c r="F193" i="1" s="1"/>
  <c r="I192" i="1"/>
  <c r="G192" i="1"/>
  <c r="D192" i="1"/>
  <c r="F192" i="1" s="1"/>
  <c r="I184" i="1"/>
  <c r="D189" i="1"/>
  <c r="D190" i="1"/>
  <c r="D188" i="1"/>
  <c r="D187" i="1"/>
  <c r="D186" i="1"/>
  <c r="D185" i="1"/>
  <c r="I174" i="1"/>
  <c r="I167" i="1"/>
  <c r="I160" i="1"/>
  <c r="I153" i="1"/>
  <c r="D180" i="1"/>
  <c r="F180" i="1" s="1"/>
  <c r="I180" i="1" s="1"/>
  <c r="D179" i="1"/>
  <c r="F179" i="1" s="1"/>
  <c r="D177" i="1"/>
  <c r="F177" i="1" s="1"/>
  <c r="D176" i="1"/>
  <c r="F176" i="1" s="1"/>
  <c r="G175" i="1"/>
  <c r="D175" i="1"/>
  <c r="F175" i="1" s="1"/>
  <c r="D145" i="1"/>
  <c r="F145" i="1" s="1"/>
  <c r="J145" i="1" s="1"/>
  <c r="D146" i="1"/>
  <c r="F146" i="1"/>
  <c r="D173" i="1"/>
  <c r="F173" i="1" s="1"/>
  <c r="D172" i="1"/>
  <c r="F172" i="1" s="1"/>
  <c r="D171" i="1"/>
  <c r="F171" i="1" s="1"/>
  <c r="D170" i="1"/>
  <c r="F170" i="1" s="1"/>
  <c r="D169" i="1"/>
  <c r="F169" i="1" s="1"/>
  <c r="D168" i="1"/>
  <c r="G168" i="1"/>
  <c r="D166" i="1"/>
  <c r="F166" i="1" s="1"/>
  <c r="D165" i="1"/>
  <c r="F165" i="1" s="1"/>
  <c r="D163" i="1"/>
  <c r="F163" i="1" s="1"/>
  <c r="D162" i="1"/>
  <c r="F162" i="1" s="1"/>
  <c r="I161" i="1"/>
  <c r="G161" i="1"/>
  <c r="D161" i="1"/>
  <c r="F161" i="1" s="1"/>
  <c r="D159" i="1"/>
  <c r="D158" i="1"/>
  <c r="D157" i="1"/>
  <c r="D156" i="1"/>
  <c r="D155" i="1"/>
  <c r="D154" i="1"/>
  <c r="D147" i="1"/>
  <c r="F147" i="1" s="1"/>
  <c r="J147" i="1" s="1"/>
  <c r="I145" i="1"/>
  <c r="G145" i="1"/>
  <c r="D142" i="1"/>
  <c r="D143" i="1"/>
  <c r="D141" i="1"/>
  <c r="D140" i="1"/>
  <c r="D139" i="1"/>
  <c r="M46" i="1"/>
  <c r="I46" i="1"/>
  <c r="E39" i="1"/>
  <c r="I40" i="1"/>
  <c r="I41" i="1" s="1"/>
  <c r="O193" i="1"/>
  <c r="O146" i="1"/>
  <c r="P193" i="1"/>
  <c r="P146" i="1"/>
  <c r="E127" i="1" l="1"/>
  <c r="E128" i="1"/>
  <c r="C126" i="1"/>
  <c r="C128" i="1"/>
  <c r="F168" i="1"/>
  <c r="I168" i="1" s="1"/>
  <c r="C127" i="1"/>
  <c r="C125" i="1"/>
  <c r="E126" i="1"/>
  <c r="E125" i="1"/>
  <c r="O194" i="1"/>
  <c r="N193" i="1"/>
  <c r="P194" i="1"/>
  <c r="P195" i="1" s="1"/>
  <c r="P196" i="1" s="1"/>
  <c r="P197" i="1" s="1"/>
  <c r="N146" i="1"/>
  <c r="O147" i="1"/>
  <c r="P147" i="1"/>
  <c r="P148" i="1" s="1"/>
  <c r="P149" i="1" s="1"/>
  <c r="P150" i="1" s="1"/>
  <c r="C78" i="1"/>
  <c r="J89" i="1"/>
  <c r="J88" i="1"/>
  <c r="J87" i="1"/>
  <c r="J86" i="1"/>
  <c r="H79" i="1"/>
  <c r="G127" i="1" l="1"/>
  <c r="O195" i="1"/>
  <c r="N194" i="1"/>
  <c r="N147" i="1"/>
  <c r="O148" i="1"/>
  <c r="J83" i="1"/>
  <c r="C82" i="1" s="1"/>
  <c r="D91" i="1"/>
  <c r="D89" i="1"/>
  <c r="D87" i="1"/>
  <c r="D85" i="1"/>
  <c r="J82" i="1"/>
  <c r="J84" i="1"/>
  <c r="J85" i="1" s="1"/>
  <c r="J81" i="1"/>
  <c r="D90" i="1"/>
  <c r="D88" i="1"/>
  <c r="D86" i="1"/>
  <c r="D84" i="1"/>
  <c r="F190" i="1"/>
  <c r="F189" i="1"/>
  <c r="F188" i="1"/>
  <c r="F187" i="1"/>
  <c r="F186" i="1"/>
  <c r="I185" i="1"/>
  <c r="G185" i="1"/>
  <c r="F185" i="1"/>
  <c r="P184" i="1"/>
  <c r="O184" i="1"/>
  <c r="O186" i="1"/>
  <c r="P186" i="1"/>
  <c r="J90" i="1" l="1"/>
  <c r="J91" i="1" s="1"/>
  <c r="C83" i="1" s="1"/>
  <c r="E82" i="1" s="1"/>
  <c r="G128" i="1"/>
  <c r="N195" i="1"/>
  <c r="O196" i="1"/>
  <c r="N184" i="1"/>
  <c r="N148" i="1"/>
  <c r="O149" i="1"/>
  <c r="N186" i="1"/>
  <c r="O187" i="1"/>
  <c r="P187" i="1"/>
  <c r="P188" i="1" s="1"/>
  <c r="P189" i="1" s="1"/>
  <c r="I154" i="1"/>
  <c r="F143" i="1"/>
  <c r="F142" i="1"/>
  <c r="F140" i="1"/>
  <c r="F141" i="1"/>
  <c r="I138" i="1"/>
  <c r="G138" i="1"/>
  <c r="F138" i="1"/>
  <c r="P137" i="1"/>
  <c r="O137" i="1"/>
  <c r="P139" i="1"/>
  <c r="O139" i="1"/>
  <c r="J140" i="1" l="1"/>
  <c r="I140" i="1"/>
  <c r="G82" i="1"/>
  <c r="D83" i="1"/>
  <c r="D82" i="1"/>
  <c r="I78" i="1" s="1"/>
  <c r="C80" i="1" s="1"/>
  <c r="J138" i="1"/>
  <c r="P190" i="1"/>
  <c r="P191" i="1"/>
  <c r="O197" i="1"/>
  <c r="N197" i="1" s="1"/>
  <c r="N196" i="1"/>
  <c r="O150" i="1"/>
  <c r="N150" i="1" s="1"/>
  <c r="N149" i="1"/>
  <c r="F139" i="1"/>
  <c r="G125" i="1" s="1"/>
  <c r="N187" i="1"/>
  <c r="O188" i="1"/>
  <c r="N137" i="1"/>
  <c r="N139" i="1"/>
  <c r="O140" i="1"/>
  <c r="P140" i="1"/>
  <c r="P141" i="1" s="1"/>
  <c r="P142" i="1" s="1"/>
  <c r="P143" i="1" s="1"/>
  <c r="P144" i="1" s="1"/>
  <c r="F155" i="1"/>
  <c r="F156" i="1"/>
  <c r="I156" i="1" s="1"/>
  <c r="F157" i="1"/>
  <c r="F158" i="1"/>
  <c r="F159" i="1"/>
  <c r="F154" i="1"/>
  <c r="G126" i="1" l="1"/>
  <c r="G129" i="1" s="1"/>
  <c r="E129" i="1"/>
  <c r="C129" i="1"/>
  <c r="O189" i="1"/>
  <c r="O191" i="1" s="1"/>
  <c r="N191" i="1" s="1"/>
  <c r="N188" i="1"/>
  <c r="N140" i="1"/>
  <c r="O141" i="1"/>
  <c r="B200" i="1"/>
  <c r="O190" i="1" l="1"/>
  <c r="N190" i="1" s="1"/>
  <c r="N189" i="1"/>
  <c r="N141" i="1"/>
  <c r="O142" i="1"/>
  <c r="O143" i="1" s="1"/>
  <c r="N143" i="1" l="1"/>
  <c r="O144" i="1"/>
  <c r="N144" i="1" s="1"/>
  <c r="N142" i="1"/>
  <c r="D222" i="1"/>
  <c r="A200" i="1"/>
  <c r="G154" i="1"/>
  <c r="F119" i="1"/>
  <c r="J103" i="1"/>
  <c r="J102" i="1"/>
  <c r="J101" i="1"/>
  <c r="J100" i="1"/>
  <c r="C92" i="1"/>
  <c r="J75" i="1"/>
  <c r="J74" i="1"/>
  <c r="J73" i="1"/>
  <c r="J72" i="1"/>
  <c r="C64" i="1"/>
  <c r="D58" i="1"/>
  <c r="D51" i="1"/>
  <c r="G46" i="1"/>
  <c r="C46" i="1"/>
  <c r="E40" i="1"/>
  <c r="E41" i="1" s="1"/>
  <c r="E24" i="1"/>
  <c r="E22" i="1"/>
  <c r="C13" i="1"/>
  <c r="E7" i="1"/>
  <c r="E3" i="1"/>
  <c r="H65" i="1"/>
  <c r="H93" i="1"/>
  <c r="A202" i="1" l="1"/>
  <c r="D70" i="1"/>
  <c r="J68" i="1"/>
  <c r="D77" i="1"/>
  <c r="D75" i="1"/>
  <c r="D73" i="1"/>
  <c r="D71" i="1"/>
  <c r="J69" i="1"/>
  <c r="J67" i="1"/>
  <c r="J70" i="1"/>
  <c r="J71" i="1" s="1"/>
  <c r="J76" i="1" s="1"/>
  <c r="J77" i="1" s="1"/>
  <c r="D76" i="1"/>
  <c r="D72" i="1"/>
  <c r="D74" i="1"/>
  <c r="D98" i="1"/>
  <c r="J96" i="1"/>
  <c r="D105" i="1"/>
  <c r="D103" i="1"/>
  <c r="D101" i="1"/>
  <c r="D99" i="1"/>
  <c r="J97" i="1"/>
  <c r="C96" i="1" s="1"/>
  <c r="J95" i="1"/>
  <c r="J98" i="1"/>
  <c r="J99" i="1" s="1"/>
  <c r="J104" i="1" s="1"/>
  <c r="J105" i="1" s="1"/>
  <c r="C97" i="1" s="1"/>
  <c r="D104" i="1"/>
  <c r="D102" i="1"/>
  <c r="D100" i="1"/>
  <c r="P198" i="1"/>
  <c r="D68" i="1" l="1"/>
  <c r="A203" i="1"/>
  <c r="D96" i="1"/>
  <c r="E96" i="1"/>
  <c r="D97" i="1"/>
  <c r="E68" i="1"/>
  <c r="D69" i="1"/>
  <c r="G96" i="1"/>
  <c r="D62" i="1" s="1"/>
  <c r="G68" i="1" l="1"/>
  <c r="I64" i="1"/>
  <c r="C66" i="1" s="1"/>
  <c r="A204" i="1"/>
  <c r="A205" i="1" s="1"/>
  <c r="I92" i="1"/>
  <c r="C94" i="1" s="1"/>
  <c r="F63" i="1"/>
  <c r="D63" i="1"/>
  <c r="A206" i="1" l="1"/>
  <c r="A208" i="1" s="1"/>
  <c r="A209" i="1" s="1"/>
  <c r="A207" i="1"/>
  <c r="O198" i="1"/>
  <c r="N198" i="1" s="1"/>
</calcChain>
</file>

<file path=xl/sharedStrings.xml><?xml version="1.0" encoding="utf-8"?>
<sst xmlns="http://schemas.openxmlformats.org/spreadsheetml/2006/main" count="404" uniqueCount="237">
  <si>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</si>
  <si>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</si>
  <si>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</si>
  <si>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</si>
  <si>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</si>
  <si>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</si>
  <si>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</si>
  <si>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</si>
  <si>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</si>
  <si>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</si>
  <si>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</si>
  <si>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</si>
  <si>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</si>
  <si>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</si>
  <si>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</si>
  <si>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</si>
  <si>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</si>
  <si>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</si>
  <si>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</si>
  <si>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</si>
  <si>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</si>
  <si>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</si>
  <si>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</si>
  <si>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</si>
  <si>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</si>
  <si>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</si>
  <si>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</si>
  <si>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</si>
  <si>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</si>
  <si>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</si>
  <si>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</si>
  <si>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</si>
  <si>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</si>
  <si>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</si>
  <si>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</si>
  <si>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</si>
  <si>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</si>
  <si>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</si>
  <si>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</si>
  <si>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</si>
  <si>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</si>
  <si>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</si>
  <si>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</si>
  <si>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</si>
  <si>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</si>
  <si>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</si>
  <si>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</si>
  <si>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</si>
  <si>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</si>
  <si>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</si>
  <si>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</si>
  <si>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</si>
  <si>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</si>
  <si>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</si>
  <si>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</si>
  <si>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</si>
  <si>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</si>
  <si>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</si>
  <si>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</si>
  <si>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</si>
  <si>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</si>
  <si>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</si>
  <si>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</si>
  <si>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</si>
  <si>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</si>
  <si>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</si>
  <si>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</si>
  <si>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</si>
  <si>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</si>
  <si>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</si>
  <si>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</si>
  <si>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</si>
  <si>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</si>
  <si>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</si>
  <si>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</si>
  <si>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</si>
  <si>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</si>
  <si>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</si>
  <si>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</si>
  <si>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</si>
  <si>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</si>
  <si>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</si>
  <si>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</si>
  <si>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</si>
  <si>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</si>
  <si>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</si>
  <si>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</si>
  <si>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</si>
  <si>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</si>
  <si>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</si>
  <si>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</si>
  <si>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</si>
  <si>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</si>
  <si>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</si>
  <si>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</si>
  <si>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</si>
  <si>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</si>
  <si>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</si>
  <si>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</si>
  <si>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</si>
  <si>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</si>
  <si>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</si>
  <si>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</si>
  <si>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</si>
  <si>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</si>
  <si>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</si>
  <si>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</si>
  <si>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</si>
  <si>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</si>
  <si>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</si>
  <si>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</si>
  <si>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</si>
  <si>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</si>
  <si>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</si>
  <si>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</si>
  <si>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</si>
  <si>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</si>
  <si>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</si>
  <si>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</si>
  <si>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</si>
  <si>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</si>
  <si>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</si>
  <si>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</si>
  <si>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</si>
  <si>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</si>
  <si>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</si>
  <si>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</si>
  <si>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</si>
  <si>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</si>
  <si>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</si>
  <si>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</si>
  <si>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</si>
  <si>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</si>
  <si>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</si>
  <si>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</si>
  <si>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</si>
  <si>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</si>
  <si>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</si>
  <si>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</si>
  <si>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</si>
  <si>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</si>
  <si>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</si>
  <si>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</si>
  <si>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</si>
  <si>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</si>
  <si>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</si>
  <si>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</si>
  <si>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</si>
  <si>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Axis Sanpada</t>
  </si>
  <si>
    <t>Ira Insignia</t>
  </si>
  <si>
    <t>Hiren Vador (9653106574)</t>
  </si>
  <si>
    <r>
      <rPr>
        <sz val="12"/>
        <rFont val="Times New Roman"/>
        <family val="1"/>
      </rPr>
      <t>P51700031409</t>
    </r>
    <r>
      <rPr>
        <sz val="12"/>
        <color rgb="FFFF0000"/>
        <rFont val="Times New Roman"/>
        <family val="1"/>
      </rPr>
      <t xml:space="preserve">
</t>
    </r>
  </si>
  <si>
    <t>Survey No</t>
  </si>
  <si>
    <t>Thane</t>
  </si>
  <si>
    <t>Kalyan</t>
  </si>
  <si>
    <t>Bhoper (Desai Pada)</t>
  </si>
  <si>
    <t>03 Building</t>
  </si>
  <si>
    <t>KDMC/TPD/BP/27Village/2021-22/14</t>
  </si>
  <si>
    <t>As per RERA - 31/12/2026</t>
  </si>
  <si>
    <t>Navneet Nagar Road</t>
  </si>
  <si>
    <t>Dombivali (East)</t>
  </si>
  <si>
    <t>3.5Km from Dombivali Railway Station</t>
  </si>
  <si>
    <t>Durga Mata Mandir</t>
  </si>
  <si>
    <t>Internal Road</t>
  </si>
  <si>
    <t>Chandresh Vastu E-Wing Lodha Heritage</t>
  </si>
  <si>
    <t>Gokul Dham-D</t>
  </si>
  <si>
    <t>Ground Floor for Parking</t>
  </si>
  <si>
    <t>2BHK</t>
  </si>
  <si>
    <t>1BHK</t>
  </si>
  <si>
    <t>Refuge Area</t>
  </si>
  <si>
    <t>Total</t>
  </si>
  <si>
    <t>Building No 2 (Neelkanth)</t>
  </si>
  <si>
    <t>Residential</t>
  </si>
  <si>
    <t>No of the Building / Name</t>
  </si>
  <si>
    <t>M/s. Ira Homes</t>
  </si>
  <si>
    <t>Building No.1 (Nandi)
Building No.2 (Neelkanth)
Building No.3 (Rudra)</t>
  </si>
  <si>
    <t>239, Hissa No.4</t>
  </si>
  <si>
    <t>Krishna Highland, Blossom</t>
  </si>
  <si>
    <t>Building No 1 (Nandi)</t>
  </si>
  <si>
    <t>Building No 3 (Rudra)</t>
  </si>
  <si>
    <t>Bldg No 1 (Nandi)</t>
  </si>
  <si>
    <t>Bldg No 3 (Rudra)</t>
  </si>
  <si>
    <t>Mhada Flats = 25, Sale Flats = 40</t>
  </si>
  <si>
    <t>Approved Plans, CC.</t>
  </si>
  <si>
    <t>On Site, we meet Mr.Hiren (Sale person). (9653106574)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</si>
  <si>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</si>
  <si>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>Valid Up to: Building No 1 &amp; 3 = St/Gr + 2P + Amenity Floor + 1st to 3rd Floor
Building No 2 = St/Gr + 2P + Amenity Floor + 1st to 4th floor + 5th floor(MHADA)</t>
  </si>
  <si>
    <t>Bhopar (Desale Pada)</t>
  </si>
  <si>
    <t>KDMCC/RAR/2025/APL/00002</t>
  </si>
  <si>
    <t xml:space="preserve">Commencement Certificate No.
Valid Up to: </t>
  </si>
  <si>
    <t>Building No 1 = G + 3P + 1st to 2nd Floor
Building No 2 = G + 3P + 1st to 21st Floor
Building No 3 = G + 3P + 1st to 21st Floor</t>
  </si>
  <si>
    <t>https://www.irainsignia.com/images/gallery/g2.jpg</t>
  </si>
  <si>
    <t>Building No 1 (Nandi) = G + 3P + 1st to 2nd Floor
Building No 2 (Neelkanth) = G + 3P + 1st to 21st floor
Building No 3 (Rudra) = G + 3P + 1st to 21st floor</t>
  </si>
  <si>
    <t>1st to 3rd Podium Floor for Parking</t>
  </si>
  <si>
    <t>1st Floor For Residential</t>
  </si>
  <si>
    <t>2nd Floor For Residential (Part Terrace Area)</t>
  </si>
  <si>
    <t>Terrace Area</t>
  </si>
  <si>
    <t>1st &amp; 3rd Podium Floor for Parking</t>
  </si>
  <si>
    <t>5th to 7th, 9th to 12th, 14th to 17th &amp; 19th to 21st Floor</t>
  </si>
  <si>
    <t>8th, 13th &amp; 18th Floor For Residential (Part Refuge Area)</t>
  </si>
  <si>
    <t>1st to 3rd, 5th to 7th, 9th to 12th, 14th to 17th &amp; 19th to 21st Floor</t>
  </si>
  <si>
    <t>4th, 8th, 13th &amp; 18th Floor For Residential (Part Refuge Area)</t>
  </si>
  <si>
    <t xml:space="preserve">Inclusive Housing / Sale Flat </t>
  </si>
  <si>
    <t>Ok</t>
  </si>
  <si>
    <t>We considered Gross carpet area = Net carpet + Balcony + Chajja Area.</t>
  </si>
  <si>
    <t xml:space="preserve">Layout : 
</t>
  </si>
  <si>
    <t>Ground Floor for Society Office, Driver Room, Meter Room &amp; Parking</t>
  </si>
  <si>
    <t>This project comes under the Inclusive Housing Scheme.</t>
  </si>
  <si>
    <t>We have updated revised approved plans of  Building No. 1, 2 &amp; 3 on 07/06/2025.</t>
  </si>
  <si>
    <t>Latitude &amp; Longitude :</t>
  </si>
  <si>
    <t>Location Link :</t>
  </si>
  <si>
    <t xml:space="preserve">Bldg No 2 (Neelkanth) 
</t>
  </si>
  <si>
    <t>(Inclusive Housing)</t>
  </si>
  <si>
    <t>03 Buildings</t>
  </si>
  <si>
    <t>Sale</t>
  </si>
  <si>
    <t>1st to 3rd Floor For Residential (For Inclusive Housing Scheme)</t>
  </si>
  <si>
    <t>4th Floor For Residential (For Inclusive Housing Scheme) (Part Refuge Area)</t>
  </si>
  <si>
    <t>In Building No. 2, the 1st to 4th floors are for the Inclusive Housing Scheme.</t>
  </si>
  <si>
    <t>Building No 2 (Neelkanth) = G + 3P + 1st to 28th floor</t>
  </si>
  <si>
    <t>Building No 3 (Rudra) = G + 3P + 1st to 28th floor</t>
  </si>
  <si>
    <t>Building No 1 (Nandi) = G + 3P + 1st to 26th Floor</t>
  </si>
  <si>
    <t>Flats = 230, Inclusive Housing Flats = 23</t>
  </si>
  <si>
    <t>24M Wide Rd</t>
  </si>
  <si>
    <t>12M Wide Rd</t>
  </si>
  <si>
    <t>18M Wide Rd</t>
  </si>
  <si>
    <t>Other Plot</t>
  </si>
  <si>
    <t>As per Layout</t>
  </si>
  <si>
    <t>239, Hissa No.4, Survey No. 52, Hissa No. 1/A &amp; 1/D (P)</t>
  </si>
  <si>
    <t>https://maps.app.goo.gl/KqML2gfCvhFVfkYh8</t>
  </si>
  <si>
    <t>19.191954,73.085053</t>
  </si>
  <si>
    <t>Recommended rates/other charges of the property have been revised on 07/06/2025 as per market inquiry.
 </t>
  </si>
  <si>
    <t>4,00,000/-</t>
  </si>
  <si>
    <t>5100 to 6800 change by us as per market inquery</t>
  </si>
  <si>
    <t>Gangaram Lambore</t>
  </si>
  <si>
    <t>Construction work is in process at the time of Visit. (Slow Speed)</t>
  </si>
  <si>
    <t>Pooja Kawale</t>
  </si>
  <si>
    <t>Building no.1 = Work not yet started.
Building no. 2 = Construction work is same as last visit (dtd.07/06/2025)
                            Few labours found on site.
Building no.3 = Construction work is same as last visit dtd. 07/06/2025 (No labour found).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</si>
</sst>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(* #,##0.00_);_(* \(#,##0.00\);_(* &quot;-&quot;??_);_(@_)"/>
    <numFmt numFmtId="166" formatCode="dd\/mm\/yyyy"/>
  </numFmts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89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1" fillId="0" borderId="0" xfId="1" applyFont="1"/>
    <xf numFmtId="0" fontId="14" fillId="0" borderId="0" xfId="1" applyFont="1"/>
    <xf numFmtId="0" fontId="15" fillId="0" borderId="0" xfId="1" applyFont="1"/>
    <xf numFmtId="0" fontId="6" fillId="2" borderId="1" xfId="1" applyFont="1" applyFill="1" applyBorder="1" applyAlignment="1" applyProtection="1">
      <alignment horizontal="left" vertical="top"/>
      <protection locked="0"/>
    </xf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8" xfId="1" applyFont="1" applyBorder="1" applyProtection="1">
      <protection hidden="1"/>
    </xf>
    <xf numFmtId="0" fontId="7" fillId="0" borderId="9" xfId="1" applyFont="1" applyBorder="1" applyProtection="1">
      <protection hidden="1"/>
    </xf>
    <xf numFmtId="0" fontId="7" fillId="0" borderId="9" xfId="1" applyFont="1" applyBorder="1"/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7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0" fontId="17" fillId="0" borderId="9" xfId="0" applyNumberFormat="1" applyFont="1" applyBorder="1" applyProtection="1">
      <protection hidden="1"/>
    </xf>
    <xf numFmtId="0" fontId="7" fillId="0" borderId="7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0" xfId="0" applyFont="1" applyFill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21" fillId="0" borderId="0" xfId="1" applyFont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1" fillId="0" borderId="1" xfId="1" applyFont="1" applyBorder="1" applyAlignment="1" applyProtection="1">
      <alignment horizontal="center" wrapText="1"/>
      <protection locked="0"/>
    </xf>
    <xf numFmtId="1" fontId="11" fillId="0" borderId="1" xfId="1" applyNumberFormat="1" applyFont="1" applyBorder="1" applyAlignment="1" applyProtection="1">
      <alignment horizontal="center" wrapText="1"/>
      <protection locked="0"/>
    </xf>
    <xf numFmtId="0" fontId="11" fillId="0" borderId="4" xfId="1" applyFont="1" applyBorder="1" applyAlignment="1" applyProtection="1">
      <alignment horizontal="center" wrapText="1"/>
      <protection locked="0"/>
    </xf>
    <xf numFmtId="0" fontId="7" fillId="0" borderId="0" xfId="1" applyFont="1" applyAlignment="1">
      <alignment horizontal="center" vertical="center"/>
    </xf>
    <xf numFmtId="0" fontId="7" fillId="2" borderId="1" xfId="1" applyFont="1" applyFill="1" applyBorder="1" applyAlignment="1" applyProtection="1">
      <alignment vertical="top"/>
      <protection locked="0"/>
    </xf>
    <xf numFmtId="0" fontId="9" fillId="0" borderId="0" xfId="0" applyFont="1" applyAlignment="1">
      <alignment horizontal="center" vertical="center"/>
    </xf>
    <xf numFmtId="0" fontId="11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22" fillId="0" borderId="0" xfId="9" applyNumberFormat="1"/>
    <xf numFmtId="0" fontId="14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4" xfId="1" applyNumberFormat="1" applyFont="1" applyFill="1" applyBorder="1" applyAlignment="1" applyProtection="1">
      <alignment horizontal="center" vertical="center" wrapText="1"/>
      <protection hidden="1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left" vertical="top" wrapText="1"/>
      <protection locked="0"/>
    </xf>
    <xf numFmtId="0" fontId="6" fillId="0" borderId="6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2" fontId="6" fillId="0" borderId="6" xfId="1" applyNumberFormat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164" fontId="6" fillId="0" borderId="6" xfId="1" applyNumberFormat="1" applyFont="1" applyFill="1" applyBorder="1" applyAlignment="1" applyProtection="1">
      <alignment horizontal="left" vertical="top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0" fontId="8" fillId="0" borderId="0" xfId="1" applyFont="1" applyBorder="1" applyAlignment="1" applyProtection="1">
      <alignment horizontal="left" vertical="top" wrapText="1"/>
      <protection locked="0"/>
    </xf>
    <xf numFmtId="1" fontId="8" fillId="0" borderId="5" xfId="0" applyNumberFormat="1" applyFont="1" applyFill="1" applyBorder="1" applyAlignment="1" applyProtection="1">
      <alignment vertical="top" wrapText="1"/>
      <protection locked="0"/>
    </xf>
    <xf numFmtId="1" fontId="8" fillId="0" borderId="20" xfId="0" applyNumberFormat="1" applyFont="1" applyFill="1" applyBorder="1" applyAlignment="1" applyProtection="1">
      <alignment vertical="top" wrapText="1"/>
      <protection locked="0"/>
    </xf>
    <xf numFmtId="1" fontId="8" fillId="0" borderId="6" xfId="0" applyNumberFormat="1" applyFont="1" applyFill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5" xfId="0" applyNumberFormat="1" applyFont="1" applyFill="1" applyBorder="1" applyAlignment="1" applyProtection="1">
      <alignment vertical="top" wrapText="1"/>
      <protection locked="0"/>
    </xf>
    <xf numFmtId="1" fontId="9" fillId="0" borderId="20" xfId="0" applyNumberFormat="1" applyFont="1" applyFill="1" applyBorder="1" applyAlignment="1" applyProtection="1">
      <alignment vertical="top" wrapText="1"/>
      <protection locked="0"/>
    </xf>
    <xf numFmtId="1" fontId="9" fillId="0" borderId="6" xfId="0" applyNumberFormat="1" applyFont="1" applyFill="1" applyBorder="1" applyAlignment="1" applyProtection="1">
      <alignment vertical="top" wrapText="1"/>
      <protection locked="0"/>
    </xf>
    <xf numFmtId="1" fontId="12" fillId="0" borderId="5" xfId="0" applyNumberFormat="1" applyFont="1" applyFill="1" applyBorder="1" applyAlignment="1" applyProtection="1">
      <alignment vertical="top" wrapText="1"/>
      <protection locked="0"/>
    </xf>
    <xf numFmtId="1" fontId="12" fillId="0" borderId="20" xfId="0" applyNumberFormat="1" applyFont="1" applyFill="1" applyBorder="1" applyAlignment="1" applyProtection="1">
      <alignment vertical="top" wrapText="1"/>
      <protection locked="0"/>
    </xf>
    <xf numFmtId="1" fontId="12" fillId="0" borderId="6" xfId="0" applyNumberFormat="1" applyFont="1" applyFill="1" applyBorder="1" applyAlignment="1" applyProtection="1">
      <alignment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11" fillId="0" borderId="6" xfId="1" applyFont="1" applyFill="1" applyBorder="1" applyAlignment="1" applyProtection="1">
      <alignment horizontal="left" vertical="top" wrapText="1"/>
      <protection locked="0"/>
    </xf>
    <xf numFmtId="2" fontId="6" fillId="0" borderId="6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1" fillId="0" borderId="6" xfId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left" vertical="top"/>
      <protection locked="0"/>
    </xf>
    <xf numFmtId="0" fontId="14" fillId="0" borderId="1" xfId="1" applyFont="1" applyFill="1" applyBorder="1" applyAlignment="1" applyProtection="1">
      <alignment horizontal="left" vertical="top"/>
      <protection locked="0"/>
    </xf>
    <xf numFmtId="0" fontId="11" fillId="2" borderId="6" xfId="1" applyFont="1" applyFill="1" applyBorder="1" applyAlignment="1" applyProtection="1">
      <alignment horizontal="left" vertical="top" wrapText="1"/>
      <protection locked="0"/>
    </xf>
    <xf numFmtId="0" fontId="11" fillId="2" borderId="1" xfId="1" applyFont="1" applyFill="1" applyBorder="1" applyAlignment="1" applyProtection="1">
      <alignment horizontal="left" vertical="top" wrapText="1"/>
      <protection locked="0"/>
    </xf>
    <xf numFmtId="166" fontId="11" fillId="0" borderId="1" xfId="1" applyNumberFormat="1" applyFont="1" applyFill="1" applyBorder="1" applyAlignment="1" applyProtection="1">
      <alignment horizontal="left" vertical="top" wrapText="1"/>
      <protection locked="0"/>
    </xf>
    <xf numFmtId="0" fontId="7" fillId="2" borderId="6" xfId="1" applyFont="1" applyFill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/>
      <protection locked="0"/>
    </xf>
    <xf numFmtId="166" fontId="7" fillId="0" borderId="1" xfId="1" applyNumberFormat="1" applyFont="1" applyFill="1" applyBorder="1" applyAlignment="1" applyProtection="1">
      <alignment horizontal="left" vertical="top" wrapText="1"/>
      <protection locked="0"/>
    </xf>
    <xf numFmtId="0" fontId="7" fillId="2" borderId="20" xfId="1" applyFont="1" applyFill="1" applyBorder="1" applyAlignment="1" applyProtection="1">
      <alignment horizontal="left" vertical="top" wrapText="1"/>
      <protection locked="0"/>
    </xf>
    <xf numFmtId="0" fontId="6" fillId="0" borderId="6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1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1" fontId="4" fillId="0" borderId="1" xfId="1" applyNumberFormat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2" fontId="7" fillId="0" borderId="1" xfId="1" applyNumberFormat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1" fillId="0" borderId="1" xfId="1" applyFont="1" applyFill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22" fillId="0" borderId="1" xfId="9" applyBorder="1" applyAlignment="1" applyProtection="1">
      <alignment horizontal="left"/>
      <protection locked="0"/>
    </xf>
    <xf numFmtId="0" fontId="11" fillId="0" borderId="1" xfId="1" applyFont="1" applyFill="1" applyBorder="1" applyAlignment="1" applyProtection="1">
      <alignment horizontal="left" vertical="center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6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6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5" xfId="1" applyFont="1" applyFill="1" applyBorder="1" applyAlignment="1" applyProtection="1">
      <alignment horizontal="left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164" fontId="7" fillId="0" borderId="1" xfId="1" applyNumberFormat="1" applyFont="1" applyFill="1" applyBorder="1" applyAlignment="1" applyProtection="1">
      <alignment horizontal="left" vertical="top"/>
      <protection locked="0"/>
    </xf>
    <xf numFmtId="2" fontId="7" fillId="0" borderId="1" xfId="1" applyNumberFormat="1" applyFont="1" applyFill="1" applyBorder="1" applyAlignment="1" applyProtection="1">
      <alignment horizontal="left" vertical="top"/>
      <protection locked="0"/>
    </xf>
    <xf numFmtId="0" fontId="11" fillId="0" borderId="3" xfId="1" applyFont="1" applyFill="1" applyBorder="1" applyAlignment="1" applyProtection="1">
      <alignment horizontal="left" vertical="top" wrapText="1"/>
      <protection locked="0"/>
    </xf>
    <xf numFmtId="0" fontId="11" fillId="0" borderId="3" xfId="1" applyFont="1" applyFill="1" applyBorder="1" applyAlignment="1" applyProtection="1">
      <alignment horizontal="left" vertical="top"/>
      <protection locked="0"/>
    </xf>
    <xf numFmtId="0" fontId="11" fillId="0" borderId="16" xfId="1" applyFont="1" applyFill="1" applyBorder="1" applyAlignment="1" applyProtection="1">
      <alignment horizontal="left" vertical="top" wrapText="1"/>
      <protection locked="0"/>
    </xf>
    <xf numFmtId="0" fontId="11" fillId="0" borderId="21" xfId="1" applyFont="1" applyFill="1" applyBorder="1" applyAlignment="1" applyProtection="1">
      <alignment horizontal="left" vertical="top" wrapText="1"/>
      <protection locked="0"/>
    </xf>
    <xf numFmtId="0" fontId="11" fillId="0" borderId="17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8" fillId="0" borderId="12" xfId="1" applyFont="1" applyFill="1" applyBorder="1" applyAlignment="1" applyProtection="1">
      <alignment horizontal="left" vertical="top" wrapText="1"/>
      <protection locked="0"/>
    </xf>
    <xf numFmtId="0" fontId="8" fillId="0" borderId="14" xfId="1" applyFont="1" applyFill="1" applyBorder="1" applyAlignment="1" applyProtection="1">
      <alignment horizontal="left" vertical="top" wrapText="1"/>
      <protection locked="0"/>
    </xf>
    <xf numFmtId="0" fontId="8" fillId="0" borderId="13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6" fillId="0" borderId="20" xfId="0" applyNumberFormat="1" applyFont="1" applyFill="1" applyBorder="1" applyAlignment="1" applyProtection="1">
      <alignment vertical="top" wrapText="1"/>
      <protection locked="0"/>
    </xf>
    <xf numFmtId="1" fontId="16" fillId="0" borderId="6" xfId="0" applyNumberFormat="1" applyFont="1" applyFill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1" applyFont="1" applyFill="1" applyBorder="1" applyAlignment="1" applyProtection="1">
      <alignment horizontal="left" vertical="top" wrapText="1"/>
      <protection locked="0"/>
    </xf>
    <xf numFmtId="0" fontId="11" fillId="0" borderId="0" xfId="1" applyFont="1" applyFill="1" applyBorder="1" applyAlignment="1" applyProtection="1">
      <alignment horizontal="left" vertical="top" wrapText="1"/>
      <protection locked="0"/>
    </xf>
    <xf numFmtId="0" fontId="11" fillId="0" borderId="18" xfId="1" applyFont="1" applyFill="1" applyBorder="1" applyAlignment="1" applyProtection="1">
      <alignment horizontal="left" vertical="top" wrapText="1"/>
      <protection locked="0"/>
    </xf>
    <xf numFmtId="0" fontId="11" fillId="0" borderId="2" xfId="1" applyFont="1" applyFill="1" applyBorder="1" applyAlignment="1" applyProtection="1">
      <alignment horizontal="left" vertical="top" wrapText="1"/>
      <protection locked="0"/>
    </xf>
    <xf numFmtId="0" fontId="11" fillId="0" borderId="23" xfId="1" applyFont="1" applyFill="1" applyBorder="1" applyAlignment="1" applyProtection="1">
      <alignment horizontal="left" vertical="top" wrapText="1"/>
      <protection locked="0"/>
    </xf>
    <xf numFmtId="0" fontId="9" fillId="0" borderId="1" xfId="1" applyFont="1" applyFill="1" applyBorder="1" applyAlignment="1" applyProtection="1">
      <alignment horizontal="left" vertical="top" wrapText="1"/>
      <protection locked="0"/>
    </xf>
    <xf numFmtId="0" fontId="9" fillId="2" borderId="1" xfId="1" applyFont="1" applyFill="1" applyBorder="1" applyAlignment="1" applyProtection="1">
      <alignment horizontal="left" vertical="top" wrapText="1"/>
      <protection locked="0"/>
    </xf>
    <xf numFmtId="0" fontId="9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66" fontId="9" fillId="0" borderId="1" xfId="1" applyNumberFormat="1" applyFont="1" applyFill="1" applyBorder="1" applyAlignment="1" applyProtection="1">
      <alignment horizontal="left" vertical="top" wrapText="1"/>
      <protection locked="0"/>
    </xf>
    <xf numFmtId="0" fontId="11" fillId="0" borderId="19" xfId="1" applyFont="1" applyFill="1" applyBorder="1" applyAlignment="1" applyProtection="1">
      <alignment horizontal="left" vertical="top" wrapText="1"/>
      <protection locked="0"/>
    </xf>
    <xf numFmtId="0" fontId="7" fillId="2" borderId="5" xfId="1" applyFont="1" applyFill="1" applyBorder="1" applyAlignment="1" applyProtection="1">
      <alignment horizontal="left" vertical="top" wrapText="1"/>
      <protection locked="0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12701</xdr:colOff>
      <xdr:row>221</xdr:row>
      <xdr:rowOff>183800</xdr:rowOff>
    </xdr:from>
    <xdr:to>
      <xdr:col>10</xdr:col>
      <xdr:colOff>372501</xdr:colOff>
      <xdr:row>223</xdr:row>
      <xdr:rowOff>153082</xdr:rowOff>
    </xdr:to>
    <xdr:sp macro="" textlink="">
      <xdr:nvSpPr>
        <xdr:cNvPr id="13" name="Rectangle 12"/>
        <xdr:cNvSpPr/>
      </xdr:nvSpPr>
      <xdr:spPr>
        <a:xfrm>
          <a:off x="7693315" y="38855300"/>
          <a:ext cx="1121800" cy="36760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Rudra</a:t>
          </a:r>
        </a:p>
      </xdr:txBody>
    </xdr:sp>
    <xdr:clientData/>
  </xdr:twoCellAnchor>
  <xdr:twoCellAnchor>
    <xdr:from>
      <xdr:col>10</xdr:col>
      <xdr:colOff>458321</xdr:colOff>
      <xdr:row>221</xdr:row>
      <xdr:rowOff>0</xdr:rowOff>
    </xdr:from>
    <xdr:to>
      <xdr:col>12</xdr:col>
      <xdr:colOff>291315</xdr:colOff>
      <xdr:row>222</xdr:row>
      <xdr:rowOff>168441</xdr:rowOff>
    </xdr:to>
    <xdr:sp macro="" textlink="">
      <xdr:nvSpPr>
        <xdr:cNvPr id="14" name="Rectangle 13"/>
        <xdr:cNvSpPr/>
      </xdr:nvSpPr>
      <xdr:spPr>
        <a:xfrm>
          <a:off x="8900935" y="38671500"/>
          <a:ext cx="1235766" cy="36760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Rudra</a:t>
          </a:r>
        </a:p>
      </xdr:txBody>
    </xdr:sp>
    <xdr:clientData/>
  </xdr:twoCellAnchor>
  <xdr:twoCellAnchor>
    <xdr:from>
      <xdr:col>8</xdr:col>
      <xdr:colOff>0</xdr:colOff>
      <xdr:row>232</xdr:row>
      <xdr:rowOff>103625</xdr:rowOff>
    </xdr:from>
    <xdr:to>
      <xdr:col>9</xdr:col>
      <xdr:colOff>12700</xdr:colOff>
      <xdr:row>234</xdr:row>
      <xdr:rowOff>72907</xdr:rowOff>
    </xdr:to>
    <xdr:sp macro="" textlink="">
      <xdr:nvSpPr>
        <xdr:cNvPr id="24" name="Rectangle 23"/>
        <xdr:cNvSpPr/>
      </xdr:nvSpPr>
      <xdr:spPr>
        <a:xfrm>
          <a:off x="6520295" y="40957216"/>
          <a:ext cx="1173019" cy="36760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Rudra</a:t>
          </a:r>
        </a:p>
      </xdr:txBody>
    </xdr:sp>
    <xdr:clientData/>
  </xdr:twoCellAnchor>
  <xdr:twoCellAnchor editAs="oneCell">
    <xdr:from>
      <xdr:col>9</xdr:col>
      <xdr:colOff>47625</xdr:colOff>
      <xdr:row>3</xdr:row>
      <xdr:rowOff>44450</xdr:rowOff>
    </xdr:from>
    <xdr:to>
      <xdr:col>19</xdr:col>
      <xdr:colOff>116582</xdr:colOff>
      <xdr:row>12</xdr:row>
      <xdr:rowOff>558458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12125" y="1041400"/>
          <a:ext cx="7473057" cy="2717458"/>
        </a:xfrm>
        <a:prstGeom prst="rect">
          <a:avLst/>
        </a:prstGeom>
      </xdr:spPr>
    </xdr:pic>
    <xdr:clientData/>
  </xdr:twoCellAnchor>
  <xdr:twoCellAnchor editAs="oneCell">
    <xdr:from>
      <xdr:col>11</xdr:col>
      <xdr:colOff>441325</xdr:colOff>
      <xdr:row>25</xdr:row>
      <xdr:rowOff>12700</xdr:rowOff>
    </xdr:from>
    <xdr:to>
      <xdr:col>22</xdr:col>
      <xdr:colOff>186425</xdr:colOff>
      <xdr:row>45</xdr:row>
      <xdr:rowOff>142334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42525" y="6400800"/>
          <a:ext cx="7536550" cy="426348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52</xdr:row>
      <xdr:rowOff>0</xdr:rowOff>
    </xdr:from>
    <xdr:to>
      <xdr:col>14</xdr:col>
      <xdr:colOff>28575</xdr:colOff>
      <xdr:row>68</xdr:row>
      <xdr:rowOff>133350</xdr:rowOff>
    </xdr:to>
    <xdr:pic>
      <xdr:nvPicPr>
        <xdr:cNvPr id="16" name="Picture 15" descr="https://www.irainsignia.com/images/gallery/g2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12068175"/>
          <a:ext cx="3829050" cy="382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638175</xdr:colOff>
      <xdr:row>117</xdr:row>
      <xdr:rowOff>66676</xdr:rowOff>
    </xdr:from>
    <xdr:to>
      <xdr:col>16</xdr:col>
      <xdr:colOff>439425</xdr:colOff>
      <xdr:row>131</xdr:row>
      <xdr:rowOff>339522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24850" y="24231601"/>
          <a:ext cx="5040000" cy="2663621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293</xdr:row>
      <xdr:rowOff>57150</xdr:rowOff>
    </xdr:from>
    <xdr:to>
      <xdr:col>7</xdr:col>
      <xdr:colOff>671700</xdr:colOff>
      <xdr:row>330</xdr:row>
      <xdr:rowOff>23972</xdr:rowOff>
    </xdr:to>
    <xdr:grpSp>
      <xdr:nvGrpSpPr>
        <xdr:cNvPr id="42" name="Group 41"/>
        <xdr:cNvGrpSpPr/>
      </xdr:nvGrpSpPr>
      <xdr:grpSpPr>
        <a:xfrm>
          <a:off x="247650" y="59797950"/>
          <a:ext cx="6399400" cy="7243922"/>
          <a:chOff x="369000" y="70339"/>
          <a:chExt cx="6120000" cy="7358222"/>
        </a:xfrm>
      </xdr:grpSpPr>
      <xdr:grpSp>
        <xdr:nvGrpSpPr>
          <xdr:cNvPr id="43" name="Group 42"/>
          <xdr:cNvGrpSpPr/>
        </xdr:nvGrpSpPr>
        <xdr:grpSpPr>
          <a:xfrm>
            <a:off x="369000" y="70339"/>
            <a:ext cx="6120000" cy="4680000"/>
            <a:chOff x="0" y="0"/>
            <a:chExt cx="6858000" cy="4083635"/>
          </a:xfrm>
        </xdr:grpSpPr>
        <xdr:pic>
          <xdr:nvPicPr>
            <xdr:cNvPr id="45" name="Picture 44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6858000" cy="408363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46" name="Rectangle 45"/>
            <xdr:cNvSpPr/>
          </xdr:nvSpPr>
          <xdr:spPr>
            <a:xfrm>
              <a:off x="3943350" y="1902619"/>
              <a:ext cx="635794" cy="623887"/>
            </a:xfrm>
            <a:prstGeom prst="rect">
              <a:avLst/>
            </a:prstGeom>
            <a:noFill/>
            <a:ln w="38100">
              <a:solidFill>
                <a:srgbClr val="00B05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47" name="Rectangle 46"/>
            <xdr:cNvSpPr/>
          </xdr:nvSpPr>
          <xdr:spPr>
            <a:xfrm rot="20308018">
              <a:off x="4786313" y="1729873"/>
              <a:ext cx="635794" cy="623887"/>
            </a:xfrm>
            <a:prstGeom prst="rect">
              <a:avLst/>
            </a:prstGeom>
            <a:noFill/>
            <a:ln w="38100">
              <a:solidFill>
                <a:srgbClr val="0070C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48" name="Rectangle 47"/>
            <xdr:cNvSpPr/>
          </xdr:nvSpPr>
          <xdr:spPr>
            <a:xfrm rot="1525690">
              <a:off x="3161713" y="1730751"/>
              <a:ext cx="635794" cy="605744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49" name="TextBox 5"/>
            <xdr:cNvSpPr txBox="1"/>
          </xdr:nvSpPr>
          <xdr:spPr>
            <a:xfrm>
              <a:off x="2739677" y="1177925"/>
              <a:ext cx="1762959" cy="32646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Building No. 3</a:t>
              </a:r>
              <a:endParaRPr lang="en-IN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50" name="TextBox 6"/>
            <xdr:cNvSpPr txBox="1"/>
          </xdr:nvSpPr>
          <xdr:spPr>
            <a:xfrm>
              <a:off x="3424412" y="2668219"/>
              <a:ext cx="1762959" cy="32646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00B050"/>
                  </a:solidFill>
                </a:rPr>
                <a:t>Building No. 2</a:t>
              </a:r>
              <a:endParaRPr lang="en-IN" b="1">
                <a:solidFill>
                  <a:srgbClr val="00B050"/>
                </a:solidFill>
              </a:endParaRPr>
            </a:p>
          </xdr:txBody>
        </xdr:sp>
        <xdr:sp macro="" textlink="">
          <xdr:nvSpPr>
            <xdr:cNvPr id="51" name="TextBox 7"/>
            <xdr:cNvSpPr txBox="1"/>
          </xdr:nvSpPr>
          <xdr:spPr>
            <a:xfrm>
              <a:off x="4541044" y="1054683"/>
              <a:ext cx="1762959" cy="32646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0070C0"/>
                  </a:solidFill>
                </a:rPr>
                <a:t>Building No. 1</a:t>
              </a:r>
              <a:endParaRPr lang="en-IN" b="1">
                <a:solidFill>
                  <a:srgbClr val="0070C0"/>
                </a:solidFill>
              </a:endParaRPr>
            </a:p>
          </xdr:txBody>
        </xdr:sp>
        <xdr:pic>
          <xdr:nvPicPr>
            <xdr:cNvPr id="52" name="Picture 51"/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778000" y="3003635"/>
              <a:ext cx="1080000" cy="1080000"/>
            </a:xfrm>
            <a:prstGeom prst="rect">
              <a:avLst/>
            </a:prstGeom>
          </xdr:spPr>
        </xdr:pic>
      </xdr:grpSp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966940" y="4908561"/>
            <a:ext cx="2914839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209549</xdr:colOff>
      <xdr:row>336</xdr:row>
      <xdr:rowOff>85725</xdr:rowOff>
    </xdr:from>
    <xdr:to>
      <xdr:col>7</xdr:col>
      <xdr:colOff>638174</xdr:colOff>
      <xdr:row>376</xdr:row>
      <xdr:rowOff>114300</xdr:rowOff>
    </xdr:to>
    <xdr:grpSp>
      <xdr:nvGrpSpPr>
        <xdr:cNvPr id="53" name="Group 52"/>
        <xdr:cNvGrpSpPr/>
      </xdr:nvGrpSpPr>
      <xdr:grpSpPr>
        <a:xfrm>
          <a:off x="209549" y="68284725"/>
          <a:ext cx="6403975" cy="7902575"/>
          <a:chOff x="369000" y="214175"/>
          <a:chExt cx="6120000" cy="8446317"/>
        </a:xfrm>
      </xdr:grpSpPr>
      <xdr:pic>
        <xdr:nvPicPr>
          <xdr:cNvPr id="54" name="Picture 53"/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08317" y="214175"/>
            <a:ext cx="6041366" cy="360000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55" name="Group 54"/>
          <xdr:cNvGrpSpPr/>
        </xdr:nvGrpSpPr>
        <xdr:grpSpPr>
          <a:xfrm>
            <a:off x="369000" y="3980492"/>
            <a:ext cx="6120000" cy="4680000"/>
            <a:chOff x="7922923" y="2373446"/>
            <a:chExt cx="6764627" cy="4736592"/>
          </a:xfrm>
        </xdr:grpSpPr>
        <xdr:pic>
          <xdr:nvPicPr>
            <xdr:cNvPr id="56" name="Picture 55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9"/>
            <a:srcRect l="13179" t="19680" r="34830" b="15570"/>
            <a:stretch/>
          </xdr:blipFill>
          <xdr:spPr>
            <a:xfrm>
              <a:off x="7922923" y="2373446"/>
              <a:ext cx="6764627" cy="473659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57" name="Isosceles Triangle 56"/>
            <xdr:cNvSpPr/>
          </xdr:nvSpPr>
          <xdr:spPr>
            <a:xfrm rot="3274801">
              <a:off x="10795963" y="4188556"/>
              <a:ext cx="613610" cy="500726"/>
            </a:xfrm>
            <a:prstGeom prst="triangle">
              <a:avLst/>
            </a:pr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58" name="Isosceles Triangle 57"/>
            <xdr:cNvSpPr/>
          </xdr:nvSpPr>
          <xdr:spPr>
            <a:xfrm rot="4975807">
              <a:off x="10239055" y="4160070"/>
              <a:ext cx="613610" cy="557699"/>
            </a:xfrm>
            <a:prstGeom prst="triangle">
              <a:avLst/>
            </a:pr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59" name="Isosceles Triangle 58"/>
            <xdr:cNvSpPr/>
          </xdr:nvSpPr>
          <xdr:spPr>
            <a:xfrm rot="3434280">
              <a:off x="9789865" y="4283895"/>
              <a:ext cx="613610" cy="557699"/>
            </a:xfrm>
            <a:prstGeom prst="triangle">
              <a:avLst/>
            </a:pr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60" name="TextBox 20"/>
            <xdr:cNvSpPr txBox="1"/>
          </xdr:nvSpPr>
          <xdr:spPr>
            <a:xfrm>
              <a:off x="10344150" y="3859127"/>
              <a:ext cx="1547935" cy="37866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FF00"/>
                  </a:solidFill>
                </a:rPr>
                <a:t>Ira Insignia</a:t>
              </a:r>
              <a:endParaRPr lang="en-IN" b="1">
                <a:solidFill>
                  <a:srgbClr val="FFFF00"/>
                </a:solidFill>
              </a:endParaRPr>
            </a:p>
          </xdr:txBody>
        </xdr:sp>
      </xdr:grpSp>
    </xdr:grpSp>
    <xdr:clientData/>
  </xdr:twoCellAnchor>
  <xdr:twoCellAnchor>
    <xdr:from>
      <xdr:col>8</xdr:col>
      <xdr:colOff>952500</xdr:colOff>
      <xdr:row>223</xdr:row>
      <xdr:rowOff>101600</xdr:rowOff>
    </xdr:from>
    <xdr:to>
      <xdr:col>17</xdr:col>
      <xdr:colOff>253274</xdr:colOff>
      <xdr:row>260</xdr:row>
      <xdr:rowOff>144880</xdr:rowOff>
    </xdr:to>
    <xdr:grpSp>
      <xdr:nvGrpSpPr>
        <xdr:cNvPr id="8" name="Group 7"/>
        <xdr:cNvGrpSpPr/>
      </xdr:nvGrpSpPr>
      <xdr:grpSpPr>
        <a:xfrm>
          <a:off x="7797800" y="46075600"/>
          <a:ext cx="6641374" cy="7320380"/>
          <a:chOff x="104775" y="46034325"/>
          <a:chExt cx="6311174" cy="7434680"/>
        </a:xfrm>
      </xdr:grpSpPr>
      <xdr:pic>
        <xdr:nvPicPr>
          <xdr:cNvPr id="35" name="Picture 34" descr="insp-236988-843.jpg (1259×945)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87748" y="51309005"/>
            <a:ext cx="2877714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insp-236988-845.jpg (1259×945)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38235" y="49031665"/>
            <a:ext cx="2877714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insp-236988-844.jpg (1259×945)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75479" y="46034325"/>
            <a:ext cx="3836952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insp-236988-847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21505" y="49031665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insp-236988-849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4775" y="49031665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insp-236988-861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2102" y="46034325"/>
            <a:ext cx="2157749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insp-236988-862.jpg (1259×948)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32263" y="51309005"/>
            <a:ext cx="2868608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9</xdr:col>
      <xdr:colOff>0</xdr:colOff>
      <xdr:row>220</xdr:row>
      <xdr:rowOff>0</xdr:rowOff>
    </xdr:from>
    <xdr:to>
      <xdr:col>10</xdr:col>
      <xdr:colOff>431800</xdr:colOff>
      <xdr:row>221</xdr:row>
      <xdr:rowOff>166132</xdr:rowOff>
    </xdr:to>
    <xdr:sp macro="" textlink="">
      <xdr:nvSpPr>
        <xdr:cNvPr id="61" name="Rectangle 60"/>
        <xdr:cNvSpPr/>
      </xdr:nvSpPr>
      <xdr:spPr>
        <a:xfrm>
          <a:off x="8064500" y="45040550"/>
          <a:ext cx="1231900" cy="36298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Rudra</a:t>
          </a:r>
        </a:p>
      </xdr:txBody>
    </xdr:sp>
    <xdr:clientData/>
  </xdr:twoCellAnchor>
  <xdr:twoCellAnchor>
    <xdr:from>
      <xdr:col>1</xdr:col>
      <xdr:colOff>260350</xdr:colOff>
      <xdr:row>266</xdr:row>
      <xdr:rowOff>50800</xdr:rowOff>
    </xdr:from>
    <xdr:to>
      <xdr:col>6</xdr:col>
      <xdr:colOff>408704</xdr:colOff>
      <xdr:row>283</xdr:row>
      <xdr:rowOff>68316</xdr:rowOff>
    </xdr:to>
    <xdr:grpSp>
      <xdr:nvGrpSpPr>
        <xdr:cNvPr id="3" name="Group 2"/>
        <xdr:cNvGrpSpPr/>
      </xdr:nvGrpSpPr>
      <xdr:grpSpPr>
        <a:xfrm>
          <a:off x="1060450" y="54483000"/>
          <a:ext cx="4504454" cy="3357616"/>
          <a:chOff x="1060450" y="54140100"/>
          <a:chExt cx="4504454" cy="3357616"/>
        </a:xfrm>
      </xdr:grpSpPr>
      <xdr:pic>
        <xdr:nvPicPr>
          <xdr:cNvPr id="93" name="Picture 92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39450" y="55877716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4" name="Picture 93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60450" y="54140100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5" name="Picture 94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06904" y="54140100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oneCellAnchor>
    <xdr:from>
      <xdr:col>8</xdr:col>
      <xdr:colOff>577850</xdr:colOff>
      <xdr:row>221</xdr:row>
      <xdr:rowOff>6350</xdr:rowOff>
    </xdr:from>
    <xdr:ext cx="889859" cy="311496"/>
    <xdr:sp macro="" textlink="">
      <xdr:nvSpPr>
        <xdr:cNvPr id="7" name="TextBox 6"/>
        <xdr:cNvSpPr txBox="1"/>
      </xdr:nvSpPr>
      <xdr:spPr>
        <a:xfrm>
          <a:off x="7423150" y="45586650"/>
          <a:ext cx="88985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No.2</a:t>
          </a:r>
        </a:p>
      </xdr:txBody>
    </xdr:sp>
    <xdr:clientData/>
  </xdr:oneCellAnchor>
  <xdr:twoCellAnchor>
    <xdr:from>
      <xdr:col>0</xdr:col>
      <xdr:colOff>158750</xdr:colOff>
      <xdr:row>222</xdr:row>
      <xdr:rowOff>82550</xdr:rowOff>
    </xdr:from>
    <xdr:to>
      <xdr:col>7</xdr:col>
      <xdr:colOff>791069</xdr:colOff>
      <xdr:row>263</xdr:row>
      <xdr:rowOff>22732</xdr:rowOff>
    </xdr:to>
    <xdr:grpSp>
      <xdr:nvGrpSpPr>
        <xdr:cNvPr id="9" name="Group 8"/>
        <xdr:cNvGrpSpPr/>
      </xdr:nvGrpSpPr>
      <xdr:grpSpPr>
        <a:xfrm>
          <a:off x="158750" y="45859700"/>
          <a:ext cx="6607669" cy="8004682"/>
          <a:chOff x="158750" y="45859700"/>
          <a:chExt cx="6607669" cy="8004682"/>
        </a:xfrm>
      </xdr:grpSpPr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10090" y="4811093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8499" y="4585970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67953" y="48110936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47120" y="45859700"/>
            <a:ext cx="288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6" name="Picture 65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0624" y="48110936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84085" y="51965408"/>
            <a:ext cx="1539000" cy="189529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5" name="Picture 74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27419" y="48110936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6" name="Picture 75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72912" y="51965408"/>
            <a:ext cx="1539000" cy="189529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7" name="Picture 76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8854" y="51969090"/>
            <a:ext cx="1539000" cy="189529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8" name="Picture 77"/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29542" y="50254172"/>
            <a:ext cx="2160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9" name="Picture 78"/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750" y="50254172"/>
            <a:ext cx="2160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0" name="Picture 79"/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96569" y="50254172"/>
            <a:ext cx="2066181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1" name="Picture 80"/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35522" y="51965408"/>
            <a:ext cx="1539000" cy="189529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96" name="TextBox 95"/>
          <xdr:cNvSpPr txBox="1"/>
        </xdr:nvSpPr>
        <xdr:spPr>
          <a:xfrm>
            <a:off x="1431149" y="46983650"/>
            <a:ext cx="88985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No.2</a:t>
            </a:r>
          </a:p>
        </xdr:txBody>
      </xdr:sp>
      <xdr:sp macro="" textlink="">
        <xdr:nvSpPr>
          <xdr:cNvPr id="97" name="TextBox 96"/>
          <xdr:cNvSpPr txBox="1"/>
        </xdr:nvSpPr>
        <xdr:spPr>
          <a:xfrm>
            <a:off x="4645670" y="47313850"/>
            <a:ext cx="88985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No.2</a:t>
            </a:r>
          </a:p>
        </xdr:txBody>
      </xdr:sp>
      <xdr:sp macro="" textlink="">
        <xdr:nvSpPr>
          <xdr:cNvPr id="98" name="TextBox 97"/>
          <xdr:cNvSpPr txBox="1"/>
        </xdr:nvSpPr>
        <xdr:spPr>
          <a:xfrm>
            <a:off x="834824" y="49495236"/>
            <a:ext cx="88985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No.2</a:t>
            </a:r>
          </a:p>
        </xdr:txBody>
      </xdr:sp>
      <xdr:sp macro="" textlink="">
        <xdr:nvSpPr>
          <xdr:cNvPr id="99" name="TextBox 98"/>
          <xdr:cNvSpPr txBox="1"/>
        </xdr:nvSpPr>
        <xdr:spPr>
          <a:xfrm>
            <a:off x="2303790" y="49514286"/>
            <a:ext cx="88985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No.3</a:t>
            </a:r>
          </a:p>
        </xdr:txBody>
      </xdr:sp>
      <xdr:sp macro="" textlink="">
        <xdr:nvSpPr>
          <xdr:cNvPr id="100" name="TextBox 99"/>
          <xdr:cNvSpPr txBox="1"/>
        </xdr:nvSpPr>
        <xdr:spPr>
          <a:xfrm>
            <a:off x="3885453" y="49222186"/>
            <a:ext cx="88985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No.3</a:t>
            </a:r>
          </a:p>
        </xdr:txBody>
      </xdr:sp>
      <xdr:sp macro="" textlink="">
        <xdr:nvSpPr>
          <xdr:cNvPr id="101" name="TextBox 100"/>
          <xdr:cNvSpPr txBox="1"/>
        </xdr:nvSpPr>
        <xdr:spPr>
          <a:xfrm>
            <a:off x="5436969" y="49679386"/>
            <a:ext cx="88985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No.3</a:t>
            </a:r>
          </a:p>
        </xdr:txBody>
      </xdr:sp>
      <xdr:sp macro="" textlink="">
        <xdr:nvSpPr>
          <xdr:cNvPr id="103" name="TextBox 102"/>
          <xdr:cNvSpPr txBox="1"/>
        </xdr:nvSpPr>
        <xdr:spPr>
          <a:xfrm>
            <a:off x="2867692" y="51359072"/>
            <a:ext cx="161710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No.3 (9th slab)</a:t>
            </a:r>
          </a:p>
        </xdr:txBody>
      </xdr:sp>
      <xdr:sp macro="" textlink="">
        <xdr:nvSpPr>
          <xdr:cNvPr id="104" name="TextBox 103"/>
          <xdr:cNvSpPr txBox="1"/>
        </xdr:nvSpPr>
        <xdr:spPr>
          <a:xfrm>
            <a:off x="673100" y="51403522"/>
            <a:ext cx="161710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No.3 (9th slab)</a:t>
            </a:r>
          </a:p>
        </xdr:txBody>
      </xdr:sp>
      <xdr:sp macro="" textlink="">
        <xdr:nvSpPr>
          <xdr:cNvPr id="105" name="TextBox 104"/>
          <xdr:cNvSpPr txBox="1"/>
        </xdr:nvSpPr>
        <xdr:spPr>
          <a:xfrm>
            <a:off x="3484722" y="53292558"/>
            <a:ext cx="161710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No.3 (9th slab)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10</xdr:col>
      <xdr:colOff>307126</xdr:colOff>
      <xdr:row>18</xdr:row>
      <xdr:rowOff>171000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40312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aps.app.goo.gl/KqML2gfCvhFVfkYh8" TargetMode="External"/><Relationship Id="rId1" Type="http://schemas.openxmlformats.org/officeDocument/2006/relationships/hyperlink" Target="https://www.irainsignia.com/images/gallery/g2.jpg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79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11" customWidth="1"/>
    <col min="2" max="2" width="12" style="11" customWidth="1"/>
    <col min="3" max="3" width="12.7265625" style="11" customWidth="1"/>
    <col min="4" max="4" width="14.1796875" style="11" customWidth="1"/>
    <col min="5" max="7" width="11.7265625" style="11" customWidth="1"/>
    <col min="8" max="8" width="12.453125" style="11" customWidth="1"/>
    <col min="9" max="9" width="17.453125" style="3" customWidth="1"/>
    <col min="10" max="10" width="11.453125" style="3" customWidth="1"/>
    <col min="11" max="11" width="10.54296875" style="3" bestFit="1" customWidth="1"/>
    <col min="12" max="12" width="10.54296875" style="3" customWidth="1"/>
    <col min="13" max="13" width="11.81640625" style="3" customWidth="1"/>
    <col min="14" max="14" width="12.54296875" style="3" customWidth="1"/>
    <col min="15" max="15" width="9.81640625" style="3" customWidth="1"/>
    <col min="16" max="16" width="11.7265625" style="3" customWidth="1"/>
    <col min="17" max="247" width="9.1796875" style="3"/>
    <col min="248" max="248" width="8.7265625" style="3" customWidth="1"/>
    <col min="249" max="249" width="9.81640625" style="3" customWidth="1"/>
    <col min="250" max="250" width="14.453125" style="3" customWidth="1"/>
    <col min="251" max="251" width="7.2695312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7265625" style="3" customWidth="1"/>
    <col min="505" max="505" width="9.81640625" style="3" customWidth="1"/>
    <col min="506" max="506" width="14.453125" style="3" customWidth="1"/>
    <col min="507" max="507" width="7.2695312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7265625" style="3" customWidth="1"/>
    <col min="761" max="761" width="9.81640625" style="3" customWidth="1"/>
    <col min="762" max="762" width="14.453125" style="3" customWidth="1"/>
    <col min="763" max="763" width="7.2695312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7265625" style="3" customWidth="1"/>
    <col min="1017" max="1017" width="9.81640625" style="3" customWidth="1"/>
    <col min="1018" max="1018" width="14.453125" style="3" customWidth="1"/>
    <col min="1019" max="1019" width="7.2695312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7265625" style="3" customWidth="1"/>
    <col min="1273" max="1273" width="9.81640625" style="3" customWidth="1"/>
    <col min="1274" max="1274" width="14.453125" style="3" customWidth="1"/>
    <col min="1275" max="1275" width="7.2695312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7265625" style="3" customWidth="1"/>
    <col min="1529" max="1529" width="9.81640625" style="3" customWidth="1"/>
    <col min="1530" max="1530" width="14.453125" style="3" customWidth="1"/>
    <col min="1531" max="1531" width="7.2695312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7265625" style="3" customWidth="1"/>
    <col min="1785" max="1785" width="9.81640625" style="3" customWidth="1"/>
    <col min="1786" max="1786" width="14.453125" style="3" customWidth="1"/>
    <col min="1787" max="1787" width="7.2695312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7265625" style="3" customWidth="1"/>
    <col min="2041" max="2041" width="9.81640625" style="3" customWidth="1"/>
    <col min="2042" max="2042" width="14.453125" style="3" customWidth="1"/>
    <col min="2043" max="2043" width="7.2695312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7265625" style="3" customWidth="1"/>
    <col min="2297" max="2297" width="9.81640625" style="3" customWidth="1"/>
    <col min="2298" max="2298" width="14.453125" style="3" customWidth="1"/>
    <col min="2299" max="2299" width="7.2695312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7265625" style="3" customWidth="1"/>
    <col min="2553" max="2553" width="9.81640625" style="3" customWidth="1"/>
    <col min="2554" max="2554" width="14.453125" style="3" customWidth="1"/>
    <col min="2555" max="2555" width="7.2695312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7265625" style="3" customWidth="1"/>
    <col min="2809" max="2809" width="9.81640625" style="3" customWidth="1"/>
    <col min="2810" max="2810" width="14.453125" style="3" customWidth="1"/>
    <col min="2811" max="2811" width="7.2695312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7265625" style="3" customWidth="1"/>
    <col min="3065" max="3065" width="9.81640625" style="3" customWidth="1"/>
    <col min="3066" max="3066" width="14.453125" style="3" customWidth="1"/>
    <col min="3067" max="3067" width="7.2695312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7265625" style="3" customWidth="1"/>
    <col min="3321" max="3321" width="9.81640625" style="3" customWidth="1"/>
    <col min="3322" max="3322" width="14.453125" style="3" customWidth="1"/>
    <col min="3323" max="3323" width="7.2695312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7265625" style="3" customWidth="1"/>
    <col min="3577" max="3577" width="9.81640625" style="3" customWidth="1"/>
    <col min="3578" max="3578" width="14.453125" style="3" customWidth="1"/>
    <col min="3579" max="3579" width="7.2695312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7265625" style="3" customWidth="1"/>
    <col min="3833" max="3833" width="9.81640625" style="3" customWidth="1"/>
    <col min="3834" max="3834" width="14.453125" style="3" customWidth="1"/>
    <col min="3835" max="3835" width="7.2695312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7265625" style="3" customWidth="1"/>
    <col min="4089" max="4089" width="9.81640625" style="3" customWidth="1"/>
    <col min="4090" max="4090" width="14.453125" style="3" customWidth="1"/>
    <col min="4091" max="4091" width="7.2695312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7265625" style="3" customWidth="1"/>
    <col min="4345" max="4345" width="9.81640625" style="3" customWidth="1"/>
    <col min="4346" max="4346" width="14.453125" style="3" customWidth="1"/>
    <col min="4347" max="4347" width="7.2695312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7265625" style="3" customWidth="1"/>
    <col min="4601" max="4601" width="9.81640625" style="3" customWidth="1"/>
    <col min="4602" max="4602" width="14.453125" style="3" customWidth="1"/>
    <col min="4603" max="4603" width="7.2695312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7265625" style="3" customWidth="1"/>
    <col min="4857" max="4857" width="9.81640625" style="3" customWidth="1"/>
    <col min="4858" max="4858" width="14.453125" style="3" customWidth="1"/>
    <col min="4859" max="4859" width="7.2695312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7265625" style="3" customWidth="1"/>
    <col min="5113" max="5113" width="9.81640625" style="3" customWidth="1"/>
    <col min="5114" max="5114" width="14.453125" style="3" customWidth="1"/>
    <col min="5115" max="5115" width="7.2695312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7265625" style="3" customWidth="1"/>
    <col min="5369" max="5369" width="9.81640625" style="3" customWidth="1"/>
    <col min="5370" max="5370" width="14.453125" style="3" customWidth="1"/>
    <col min="5371" max="5371" width="7.2695312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7265625" style="3" customWidth="1"/>
    <col min="5625" max="5625" width="9.81640625" style="3" customWidth="1"/>
    <col min="5626" max="5626" width="14.453125" style="3" customWidth="1"/>
    <col min="5627" max="5627" width="7.2695312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7265625" style="3" customWidth="1"/>
    <col min="5881" max="5881" width="9.81640625" style="3" customWidth="1"/>
    <col min="5882" max="5882" width="14.453125" style="3" customWidth="1"/>
    <col min="5883" max="5883" width="7.2695312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7265625" style="3" customWidth="1"/>
    <col min="6137" max="6137" width="9.81640625" style="3" customWidth="1"/>
    <col min="6138" max="6138" width="14.453125" style="3" customWidth="1"/>
    <col min="6139" max="6139" width="7.2695312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7265625" style="3" customWidth="1"/>
    <col min="6393" max="6393" width="9.81640625" style="3" customWidth="1"/>
    <col min="6394" max="6394" width="14.453125" style="3" customWidth="1"/>
    <col min="6395" max="6395" width="7.2695312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7265625" style="3" customWidth="1"/>
    <col min="6649" max="6649" width="9.81640625" style="3" customWidth="1"/>
    <col min="6650" max="6650" width="14.453125" style="3" customWidth="1"/>
    <col min="6651" max="6651" width="7.2695312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7265625" style="3" customWidth="1"/>
    <col min="6905" max="6905" width="9.81640625" style="3" customWidth="1"/>
    <col min="6906" max="6906" width="14.453125" style="3" customWidth="1"/>
    <col min="6907" max="6907" width="7.2695312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7265625" style="3" customWidth="1"/>
    <col min="7161" max="7161" width="9.81640625" style="3" customWidth="1"/>
    <col min="7162" max="7162" width="14.453125" style="3" customWidth="1"/>
    <col min="7163" max="7163" width="7.2695312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7265625" style="3" customWidth="1"/>
    <col min="7417" max="7417" width="9.81640625" style="3" customWidth="1"/>
    <col min="7418" max="7418" width="14.453125" style="3" customWidth="1"/>
    <col min="7419" max="7419" width="7.2695312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7265625" style="3" customWidth="1"/>
    <col min="7673" max="7673" width="9.81640625" style="3" customWidth="1"/>
    <col min="7674" max="7674" width="14.453125" style="3" customWidth="1"/>
    <col min="7675" max="7675" width="7.2695312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7265625" style="3" customWidth="1"/>
    <col min="7929" max="7929" width="9.81640625" style="3" customWidth="1"/>
    <col min="7930" max="7930" width="14.453125" style="3" customWidth="1"/>
    <col min="7931" max="7931" width="7.2695312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7265625" style="3" customWidth="1"/>
    <col min="8185" max="8185" width="9.81640625" style="3" customWidth="1"/>
    <col min="8186" max="8186" width="14.453125" style="3" customWidth="1"/>
    <col min="8187" max="8187" width="7.2695312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7265625" style="3" customWidth="1"/>
    <col min="8441" max="8441" width="9.81640625" style="3" customWidth="1"/>
    <col min="8442" max="8442" width="14.453125" style="3" customWidth="1"/>
    <col min="8443" max="8443" width="7.2695312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7265625" style="3" customWidth="1"/>
    <col min="8697" max="8697" width="9.81640625" style="3" customWidth="1"/>
    <col min="8698" max="8698" width="14.453125" style="3" customWidth="1"/>
    <col min="8699" max="8699" width="7.2695312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7265625" style="3" customWidth="1"/>
    <col min="8953" max="8953" width="9.81640625" style="3" customWidth="1"/>
    <col min="8954" max="8954" width="14.453125" style="3" customWidth="1"/>
    <col min="8955" max="8955" width="7.2695312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7265625" style="3" customWidth="1"/>
    <col min="9209" max="9209" width="9.81640625" style="3" customWidth="1"/>
    <col min="9210" max="9210" width="14.453125" style="3" customWidth="1"/>
    <col min="9211" max="9211" width="7.2695312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7265625" style="3" customWidth="1"/>
    <col min="9465" max="9465" width="9.81640625" style="3" customWidth="1"/>
    <col min="9466" max="9466" width="14.453125" style="3" customWidth="1"/>
    <col min="9467" max="9467" width="7.2695312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7265625" style="3" customWidth="1"/>
    <col min="9721" max="9721" width="9.81640625" style="3" customWidth="1"/>
    <col min="9722" max="9722" width="14.453125" style="3" customWidth="1"/>
    <col min="9723" max="9723" width="7.2695312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7265625" style="3" customWidth="1"/>
    <col min="9977" max="9977" width="9.81640625" style="3" customWidth="1"/>
    <col min="9978" max="9978" width="14.453125" style="3" customWidth="1"/>
    <col min="9979" max="9979" width="7.2695312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7265625" style="3" customWidth="1"/>
    <col min="10233" max="10233" width="9.81640625" style="3" customWidth="1"/>
    <col min="10234" max="10234" width="14.453125" style="3" customWidth="1"/>
    <col min="10235" max="10235" width="7.2695312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7265625" style="3" customWidth="1"/>
    <col min="10489" max="10489" width="9.81640625" style="3" customWidth="1"/>
    <col min="10490" max="10490" width="14.453125" style="3" customWidth="1"/>
    <col min="10491" max="10491" width="7.2695312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7265625" style="3" customWidth="1"/>
    <col min="10745" max="10745" width="9.81640625" style="3" customWidth="1"/>
    <col min="10746" max="10746" width="14.453125" style="3" customWidth="1"/>
    <col min="10747" max="10747" width="7.2695312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7265625" style="3" customWidth="1"/>
    <col min="11001" max="11001" width="9.81640625" style="3" customWidth="1"/>
    <col min="11002" max="11002" width="14.453125" style="3" customWidth="1"/>
    <col min="11003" max="11003" width="7.2695312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7265625" style="3" customWidth="1"/>
    <col min="11257" max="11257" width="9.81640625" style="3" customWidth="1"/>
    <col min="11258" max="11258" width="14.453125" style="3" customWidth="1"/>
    <col min="11259" max="11259" width="7.2695312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7265625" style="3" customWidth="1"/>
    <col min="11513" max="11513" width="9.81640625" style="3" customWidth="1"/>
    <col min="11514" max="11514" width="14.453125" style="3" customWidth="1"/>
    <col min="11515" max="11515" width="7.2695312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7265625" style="3" customWidth="1"/>
    <col min="11769" max="11769" width="9.81640625" style="3" customWidth="1"/>
    <col min="11770" max="11770" width="14.453125" style="3" customWidth="1"/>
    <col min="11771" max="11771" width="7.2695312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7265625" style="3" customWidth="1"/>
    <col min="12025" max="12025" width="9.81640625" style="3" customWidth="1"/>
    <col min="12026" max="12026" width="14.453125" style="3" customWidth="1"/>
    <col min="12027" max="12027" width="7.2695312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7265625" style="3" customWidth="1"/>
    <col min="12281" max="12281" width="9.81640625" style="3" customWidth="1"/>
    <col min="12282" max="12282" width="14.453125" style="3" customWidth="1"/>
    <col min="12283" max="12283" width="7.2695312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7265625" style="3" customWidth="1"/>
    <col min="12537" max="12537" width="9.81640625" style="3" customWidth="1"/>
    <col min="12538" max="12538" width="14.453125" style="3" customWidth="1"/>
    <col min="12539" max="12539" width="7.2695312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7265625" style="3" customWidth="1"/>
    <col min="12793" max="12793" width="9.81640625" style="3" customWidth="1"/>
    <col min="12794" max="12794" width="14.453125" style="3" customWidth="1"/>
    <col min="12795" max="12795" width="7.2695312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7265625" style="3" customWidth="1"/>
    <col min="13049" max="13049" width="9.81640625" style="3" customWidth="1"/>
    <col min="13050" max="13050" width="14.453125" style="3" customWidth="1"/>
    <col min="13051" max="13051" width="7.2695312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7265625" style="3" customWidth="1"/>
    <col min="13305" max="13305" width="9.81640625" style="3" customWidth="1"/>
    <col min="13306" max="13306" width="14.453125" style="3" customWidth="1"/>
    <col min="13307" max="13307" width="7.2695312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7265625" style="3" customWidth="1"/>
    <col min="13561" max="13561" width="9.81640625" style="3" customWidth="1"/>
    <col min="13562" max="13562" width="14.453125" style="3" customWidth="1"/>
    <col min="13563" max="13563" width="7.2695312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7265625" style="3" customWidth="1"/>
    <col min="13817" max="13817" width="9.81640625" style="3" customWidth="1"/>
    <col min="13818" max="13818" width="14.453125" style="3" customWidth="1"/>
    <col min="13819" max="13819" width="7.2695312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7265625" style="3" customWidth="1"/>
    <col min="14073" max="14073" width="9.81640625" style="3" customWidth="1"/>
    <col min="14074" max="14074" width="14.453125" style="3" customWidth="1"/>
    <col min="14075" max="14075" width="7.2695312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7265625" style="3" customWidth="1"/>
    <col min="14329" max="14329" width="9.81640625" style="3" customWidth="1"/>
    <col min="14330" max="14330" width="14.453125" style="3" customWidth="1"/>
    <col min="14331" max="14331" width="7.2695312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7265625" style="3" customWidth="1"/>
    <col min="14585" max="14585" width="9.81640625" style="3" customWidth="1"/>
    <col min="14586" max="14586" width="14.453125" style="3" customWidth="1"/>
    <col min="14587" max="14587" width="7.2695312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7265625" style="3" customWidth="1"/>
    <col min="14841" max="14841" width="9.81640625" style="3" customWidth="1"/>
    <col min="14842" max="14842" width="14.453125" style="3" customWidth="1"/>
    <col min="14843" max="14843" width="7.2695312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7265625" style="3" customWidth="1"/>
    <col min="15097" max="15097" width="9.81640625" style="3" customWidth="1"/>
    <col min="15098" max="15098" width="14.453125" style="3" customWidth="1"/>
    <col min="15099" max="15099" width="7.2695312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7265625" style="3" customWidth="1"/>
    <col min="15353" max="15353" width="9.81640625" style="3" customWidth="1"/>
    <col min="15354" max="15354" width="14.453125" style="3" customWidth="1"/>
    <col min="15355" max="15355" width="7.2695312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7265625" style="3" customWidth="1"/>
    <col min="15609" max="15609" width="9.81640625" style="3" customWidth="1"/>
    <col min="15610" max="15610" width="14.453125" style="3" customWidth="1"/>
    <col min="15611" max="15611" width="7.2695312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7265625" style="3" customWidth="1"/>
    <col min="15865" max="15865" width="9.81640625" style="3" customWidth="1"/>
    <col min="15866" max="15866" width="14.453125" style="3" customWidth="1"/>
    <col min="15867" max="15867" width="7.2695312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7265625" style="3" customWidth="1"/>
    <col min="16121" max="16121" width="9.81640625" style="3" customWidth="1"/>
    <col min="16122" max="16122" width="14.453125" style="3" customWidth="1"/>
    <col min="16123" max="16123" width="7.2695312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16" ht="46.5" customHeight="1" x14ac:dyDescent="0.35">
      <c r="A1" s="140" t="s">
        <v>185</v>
      </c>
      <c r="B1" s="140"/>
      <c r="C1" s="140"/>
      <c r="D1" s="140"/>
      <c r="E1" s="140"/>
      <c r="F1" s="140"/>
      <c r="G1" s="140"/>
      <c r="H1" s="140"/>
    </row>
    <row r="2" spans="1:16" ht="16.5" customHeight="1" x14ac:dyDescent="0.35">
      <c r="A2" s="141" t="s">
        <v>0</v>
      </c>
      <c r="B2" s="141"/>
      <c r="C2" s="141"/>
      <c r="D2" s="141"/>
      <c r="E2" s="141"/>
      <c r="F2" s="141"/>
      <c r="G2" s="141"/>
      <c r="H2" s="141"/>
    </row>
    <row r="3" spans="1:16" x14ac:dyDescent="0.35">
      <c r="A3" s="137" t="s">
        <v>1</v>
      </c>
      <c r="B3" s="137"/>
      <c r="C3" s="137"/>
      <c r="D3" s="137"/>
      <c r="E3" s="142" t="str">
        <f ca="1">TEXT(TODAY(),"DD/MM/YYYY")</f>
        <v>20/09/2025</v>
      </c>
      <c r="F3" s="142"/>
      <c r="G3" s="142"/>
      <c r="H3" s="142"/>
    </row>
    <row r="4" spans="1:16" ht="15" customHeight="1" x14ac:dyDescent="0.35">
      <c r="A4" s="137" t="s">
        <v>2</v>
      </c>
      <c r="B4" s="137"/>
      <c r="C4" s="137"/>
      <c r="D4" s="137"/>
      <c r="E4" s="131" t="s">
        <v>148</v>
      </c>
      <c r="F4" s="131"/>
      <c r="G4" s="131"/>
      <c r="H4" s="131"/>
    </row>
    <row r="5" spans="1:16" x14ac:dyDescent="0.35">
      <c r="A5" s="137" t="s">
        <v>3</v>
      </c>
      <c r="B5" s="137"/>
      <c r="C5" s="137"/>
      <c r="D5" s="137"/>
      <c r="E5" s="138">
        <v>45919</v>
      </c>
      <c r="F5" s="138"/>
      <c r="G5" s="138"/>
      <c r="H5" s="138"/>
    </row>
    <row r="6" spans="1:16" ht="16.5" customHeight="1" x14ac:dyDescent="0.35">
      <c r="A6" s="137" t="s">
        <v>4</v>
      </c>
      <c r="B6" s="137"/>
      <c r="C6" s="137"/>
      <c r="D6" s="137"/>
      <c r="E6" s="135" t="s">
        <v>174</v>
      </c>
      <c r="F6" s="135"/>
      <c r="G6" s="135"/>
      <c r="H6" s="135"/>
    </row>
    <row r="7" spans="1:16" ht="15" customHeight="1" x14ac:dyDescent="0.35">
      <c r="A7" s="137" t="s">
        <v>5</v>
      </c>
      <c r="B7" s="137"/>
      <c r="C7" s="137"/>
      <c r="D7" s="137"/>
      <c r="E7" s="135" t="str">
        <f>E6</f>
        <v>M/s. Ira Homes</v>
      </c>
      <c r="F7" s="135"/>
      <c r="G7" s="135"/>
      <c r="H7" s="135"/>
    </row>
    <row r="8" spans="1:16" x14ac:dyDescent="0.35">
      <c r="A8" s="137" t="s">
        <v>6</v>
      </c>
      <c r="B8" s="137"/>
      <c r="C8" s="137"/>
      <c r="D8" s="137"/>
      <c r="E8" s="143" t="s">
        <v>149</v>
      </c>
      <c r="F8" s="143"/>
      <c r="G8" s="143"/>
      <c r="H8" s="143"/>
    </row>
    <row r="9" spans="1:16" x14ac:dyDescent="0.35">
      <c r="A9" s="137" t="s">
        <v>118</v>
      </c>
      <c r="B9" s="137"/>
      <c r="C9" s="137"/>
      <c r="D9" s="137"/>
      <c r="E9" s="137" t="s">
        <v>150</v>
      </c>
      <c r="F9" s="137"/>
      <c r="G9" s="137"/>
      <c r="H9" s="137"/>
    </row>
    <row r="10" spans="1:16" ht="49.5" customHeight="1" x14ac:dyDescent="0.35">
      <c r="A10" s="136" t="s">
        <v>173</v>
      </c>
      <c r="B10" s="136"/>
      <c r="C10" s="136"/>
      <c r="D10" s="136"/>
      <c r="E10" s="134" t="s">
        <v>175</v>
      </c>
      <c r="F10" s="136"/>
      <c r="G10" s="136"/>
      <c r="H10" s="136"/>
    </row>
    <row r="11" spans="1:16" x14ac:dyDescent="0.35">
      <c r="A11" s="137" t="s">
        <v>7</v>
      </c>
      <c r="B11" s="137"/>
      <c r="C11" s="137"/>
      <c r="D11" s="137"/>
      <c r="E11" s="139" t="s">
        <v>183</v>
      </c>
      <c r="F11" s="139"/>
      <c r="G11" s="139"/>
      <c r="H11" s="139"/>
    </row>
    <row r="12" spans="1:16" x14ac:dyDescent="0.35">
      <c r="A12" s="137" t="s">
        <v>8</v>
      </c>
      <c r="B12" s="137"/>
      <c r="C12" s="137"/>
      <c r="D12" s="137"/>
      <c r="E12" s="132" t="s">
        <v>151</v>
      </c>
      <c r="F12" s="133"/>
      <c r="G12" s="133"/>
      <c r="H12" s="133"/>
    </row>
    <row r="13" spans="1:16" ht="47.25" customHeight="1" x14ac:dyDescent="0.35">
      <c r="A13" s="134" t="s">
        <v>9</v>
      </c>
      <c r="B13" s="134"/>
      <c r="C13" s="135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Ira Insignia, Survey No.239, Hissa No.4, Survey No. 52, Hissa No. 1/A &amp; 1/D (P), near Durga Mata Mandir, Navneet Nagar Road, Bhopar (Desale Pada), Dombivali (East), Kalyan, Thane.</v>
      </c>
      <c r="D13" s="135"/>
      <c r="E13" s="135"/>
      <c r="F13" s="135"/>
      <c r="G13" s="135"/>
      <c r="H13" s="135"/>
    </row>
    <row r="14" spans="1:16" x14ac:dyDescent="0.35">
      <c r="A14" s="62" t="s">
        <v>152</v>
      </c>
      <c r="B14" s="62"/>
      <c r="C14" s="62" t="s">
        <v>227</v>
      </c>
      <c r="D14" s="62"/>
      <c r="E14" s="62"/>
      <c r="F14" s="62"/>
      <c r="G14" s="62"/>
      <c r="H14" s="62"/>
      <c r="I14" s="92" t="s">
        <v>152</v>
      </c>
      <c r="J14" s="62"/>
      <c r="K14" s="62" t="s">
        <v>176</v>
      </c>
      <c r="L14" s="62"/>
      <c r="M14" s="62"/>
      <c r="N14" s="62"/>
      <c r="O14" s="62"/>
      <c r="P14" s="62"/>
    </row>
    <row r="15" spans="1:16" ht="15.75" customHeight="1" x14ac:dyDescent="0.35">
      <c r="A15" s="61" t="s">
        <v>10</v>
      </c>
      <c r="B15" s="61"/>
      <c r="C15" s="96" t="s">
        <v>159</v>
      </c>
      <c r="D15" s="96"/>
      <c r="E15" s="61" t="s">
        <v>74</v>
      </c>
      <c r="F15" s="61"/>
      <c r="G15" s="62" t="s">
        <v>187</v>
      </c>
      <c r="H15" s="62"/>
      <c r="I15" s="105" t="s">
        <v>10</v>
      </c>
      <c r="J15" s="61"/>
      <c r="K15" s="96" t="s">
        <v>159</v>
      </c>
      <c r="L15" s="96"/>
      <c r="M15" s="61" t="s">
        <v>74</v>
      </c>
      <c r="N15" s="61"/>
      <c r="O15" s="62" t="s">
        <v>155</v>
      </c>
      <c r="P15" s="62"/>
    </row>
    <row r="16" spans="1:16" x14ac:dyDescent="0.35">
      <c r="A16" s="64" t="s">
        <v>12</v>
      </c>
      <c r="B16" s="64"/>
      <c r="C16" s="62" t="s">
        <v>160</v>
      </c>
      <c r="D16" s="62"/>
      <c r="E16" s="61" t="s">
        <v>11</v>
      </c>
      <c r="F16" s="61"/>
      <c r="G16" s="106" t="s">
        <v>153</v>
      </c>
      <c r="H16" s="106"/>
      <c r="I16" s="63" t="s">
        <v>12</v>
      </c>
      <c r="J16" s="64"/>
      <c r="K16" s="62" t="s">
        <v>160</v>
      </c>
      <c r="L16" s="62"/>
      <c r="M16" s="61" t="s">
        <v>11</v>
      </c>
      <c r="N16" s="61"/>
      <c r="O16" s="106" t="s">
        <v>153</v>
      </c>
      <c r="P16" s="106"/>
    </row>
    <row r="17" spans="1:16" x14ac:dyDescent="0.35">
      <c r="A17" s="64" t="s">
        <v>75</v>
      </c>
      <c r="B17" s="64"/>
      <c r="C17" s="62" t="s">
        <v>154</v>
      </c>
      <c r="D17" s="62"/>
      <c r="E17" s="61" t="s">
        <v>13</v>
      </c>
      <c r="F17" s="61"/>
      <c r="G17" s="62">
        <v>421204</v>
      </c>
      <c r="H17" s="62"/>
      <c r="I17" s="63" t="s">
        <v>75</v>
      </c>
      <c r="J17" s="64"/>
      <c r="K17" s="62" t="s">
        <v>154</v>
      </c>
      <c r="L17" s="62"/>
      <c r="M17" s="61" t="s">
        <v>13</v>
      </c>
      <c r="N17" s="61"/>
      <c r="O17" s="62">
        <v>421204</v>
      </c>
      <c r="P17" s="62"/>
    </row>
    <row r="18" spans="1:16" ht="32.25" customHeight="1" x14ac:dyDescent="0.35">
      <c r="A18" s="64" t="s">
        <v>119</v>
      </c>
      <c r="B18" s="64"/>
      <c r="C18" s="65" t="s">
        <v>162</v>
      </c>
      <c r="D18" s="65"/>
      <c r="E18" s="61" t="s">
        <v>14</v>
      </c>
      <c r="F18" s="61"/>
      <c r="G18" s="62" t="s">
        <v>161</v>
      </c>
      <c r="H18" s="62"/>
      <c r="I18" s="63" t="s">
        <v>119</v>
      </c>
      <c r="J18" s="64"/>
      <c r="K18" s="65" t="s">
        <v>162</v>
      </c>
      <c r="L18" s="65"/>
      <c r="M18" s="61" t="s">
        <v>14</v>
      </c>
      <c r="N18" s="61"/>
      <c r="O18" s="62" t="s">
        <v>161</v>
      </c>
      <c r="P18" s="62"/>
    </row>
    <row r="19" spans="1:16" ht="15" customHeight="1" x14ac:dyDescent="0.35">
      <c r="A19" s="61" t="s">
        <v>79</v>
      </c>
      <c r="B19" s="61"/>
      <c r="C19" s="61"/>
      <c r="D19" s="61"/>
      <c r="E19" s="96" t="s">
        <v>15</v>
      </c>
      <c r="F19" s="96"/>
      <c r="G19" s="96"/>
      <c r="H19" s="96"/>
    </row>
    <row r="20" spans="1:16" ht="18.75" customHeight="1" x14ac:dyDescent="0.35">
      <c r="A20" s="61"/>
      <c r="B20" s="61"/>
      <c r="C20" s="61"/>
      <c r="D20" s="61"/>
      <c r="E20" s="96"/>
      <c r="F20" s="96"/>
      <c r="G20" s="96"/>
      <c r="H20" s="96"/>
    </row>
    <row r="21" spans="1:16" ht="15" customHeight="1" x14ac:dyDescent="0.35">
      <c r="A21" s="61" t="s">
        <v>16</v>
      </c>
      <c r="B21" s="61"/>
      <c r="C21" s="61"/>
      <c r="D21" s="61"/>
      <c r="E21" s="62" t="s">
        <v>17</v>
      </c>
      <c r="F21" s="62"/>
      <c r="G21" s="62"/>
      <c r="H21" s="62"/>
    </row>
    <row r="22" spans="1:16" ht="15" customHeight="1" x14ac:dyDescent="0.35">
      <c r="A22" s="64" t="s">
        <v>18</v>
      </c>
      <c r="B22" s="64"/>
      <c r="C22" s="64"/>
      <c r="D22" s="64"/>
      <c r="E22" s="62" t="str">
        <f>IF(AND(G16="Mumbai"),"Upper Class","Middle Class")</f>
        <v>Middle Class</v>
      </c>
      <c r="F22" s="62"/>
      <c r="G22" s="62"/>
      <c r="H22" s="62"/>
    </row>
    <row r="23" spans="1:16" x14ac:dyDescent="0.35">
      <c r="A23" s="64" t="s">
        <v>19</v>
      </c>
      <c r="B23" s="64"/>
      <c r="C23" s="64"/>
      <c r="D23" s="64"/>
      <c r="E23" s="62" t="s">
        <v>20</v>
      </c>
      <c r="F23" s="62"/>
      <c r="G23" s="62"/>
      <c r="H23" s="62"/>
    </row>
    <row r="24" spans="1:16" ht="15.75" customHeight="1" x14ac:dyDescent="0.35">
      <c r="A24" s="64" t="s">
        <v>21</v>
      </c>
      <c r="B24" s="64"/>
      <c r="C24" s="64"/>
      <c r="D24" s="64"/>
      <c r="E24" s="62" t="str">
        <f>IF(AND(G16="Mumbai"),"Developed","Developing")</f>
        <v>Developing</v>
      </c>
      <c r="F24" s="62"/>
      <c r="G24" s="62"/>
      <c r="H24" s="62"/>
    </row>
    <row r="25" spans="1:16" x14ac:dyDescent="0.35">
      <c r="A25" s="64" t="s">
        <v>22</v>
      </c>
      <c r="B25" s="64"/>
      <c r="C25" s="64"/>
      <c r="D25" s="64"/>
      <c r="E25" s="62" t="s">
        <v>23</v>
      </c>
      <c r="F25" s="62"/>
      <c r="G25" s="62"/>
      <c r="H25" s="62"/>
    </row>
    <row r="26" spans="1:16" x14ac:dyDescent="0.35">
      <c r="A26" s="64" t="s">
        <v>86</v>
      </c>
      <c r="B26" s="64"/>
      <c r="C26" s="64"/>
      <c r="D26" s="64"/>
      <c r="E26" s="62" t="s">
        <v>87</v>
      </c>
      <c r="F26" s="62"/>
      <c r="G26" s="62"/>
      <c r="H26" s="62"/>
    </row>
    <row r="27" spans="1:16" ht="15" customHeight="1" x14ac:dyDescent="0.35">
      <c r="A27" s="61" t="s">
        <v>31</v>
      </c>
      <c r="B27" s="61"/>
      <c r="C27" s="61"/>
      <c r="D27" s="61"/>
      <c r="E27" s="131" t="s">
        <v>172</v>
      </c>
      <c r="F27" s="131"/>
      <c r="G27" s="131"/>
      <c r="H27" s="131"/>
    </row>
    <row r="28" spans="1:16" x14ac:dyDescent="0.35">
      <c r="A28" s="61" t="s">
        <v>98</v>
      </c>
      <c r="B28" s="61"/>
      <c r="C28" s="61"/>
      <c r="D28" s="61"/>
      <c r="E28" s="61" t="s">
        <v>32</v>
      </c>
      <c r="F28" s="61"/>
      <c r="G28" s="61"/>
      <c r="H28" s="61"/>
    </row>
    <row r="29" spans="1:16" s="6" customFormat="1" x14ac:dyDescent="0.35">
      <c r="A29" s="127" t="s">
        <v>99</v>
      </c>
      <c r="B29" s="127"/>
      <c r="C29" s="124" t="s">
        <v>226</v>
      </c>
      <c r="D29" s="124"/>
      <c r="E29" s="124"/>
      <c r="F29" s="124" t="s">
        <v>29</v>
      </c>
      <c r="G29" s="124"/>
      <c r="H29" s="124"/>
    </row>
    <row r="30" spans="1:16" s="6" customFormat="1" x14ac:dyDescent="0.35">
      <c r="A30" s="126" t="s">
        <v>24</v>
      </c>
      <c r="B30" s="126" t="s">
        <v>28</v>
      </c>
      <c r="C30" s="128" t="s">
        <v>223</v>
      </c>
      <c r="D30" s="128"/>
      <c r="E30" s="128"/>
      <c r="F30" s="123" t="s">
        <v>177</v>
      </c>
      <c r="G30" s="123"/>
      <c r="H30" s="123"/>
    </row>
    <row r="31" spans="1:16" x14ac:dyDescent="0.35">
      <c r="A31" s="126" t="s">
        <v>25</v>
      </c>
      <c r="B31" s="126" t="s">
        <v>28</v>
      </c>
      <c r="C31" s="128" t="s">
        <v>222</v>
      </c>
      <c r="D31" s="128"/>
      <c r="E31" s="128"/>
      <c r="F31" s="123" t="s">
        <v>163</v>
      </c>
      <c r="G31" s="123"/>
      <c r="H31" s="123"/>
    </row>
    <row r="32" spans="1:16" s="6" customFormat="1" ht="31.5" customHeight="1" x14ac:dyDescent="0.35">
      <c r="A32" s="126" t="s">
        <v>27</v>
      </c>
      <c r="B32" s="126" t="s">
        <v>28</v>
      </c>
      <c r="C32" s="128" t="s">
        <v>224</v>
      </c>
      <c r="D32" s="128"/>
      <c r="E32" s="128"/>
      <c r="F32" s="123" t="s">
        <v>164</v>
      </c>
      <c r="G32" s="123"/>
      <c r="H32" s="123"/>
    </row>
    <row r="33" spans="1:14" x14ac:dyDescent="0.35">
      <c r="A33" s="126" t="s">
        <v>26</v>
      </c>
      <c r="B33" s="126" t="s">
        <v>28</v>
      </c>
      <c r="C33" s="128" t="s">
        <v>225</v>
      </c>
      <c r="D33" s="128"/>
      <c r="E33" s="128"/>
      <c r="F33" s="123" t="s">
        <v>165</v>
      </c>
      <c r="G33" s="123"/>
      <c r="H33" s="123"/>
    </row>
    <row r="34" spans="1:14" x14ac:dyDescent="0.35">
      <c r="A34" s="64" t="s">
        <v>30</v>
      </c>
      <c r="B34" s="64"/>
      <c r="C34" s="64"/>
      <c r="D34" s="64"/>
      <c r="E34" s="64"/>
      <c r="F34" s="64"/>
      <c r="G34" s="64"/>
      <c r="H34" s="64"/>
    </row>
    <row r="35" spans="1:14" ht="15.75" customHeight="1" x14ac:dyDescent="0.35">
      <c r="A35" s="125" t="s">
        <v>209</v>
      </c>
      <c r="B35" s="125"/>
      <c r="C35" s="129" t="s">
        <v>229</v>
      </c>
      <c r="D35" s="129"/>
      <c r="E35" s="129"/>
      <c r="F35" s="129"/>
      <c r="G35" s="129"/>
      <c r="H35" s="129"/>
    </row>
    <row r="36" spans="1:14" ht="15.75" customHeight="1" x14ac:dyDescent="0.35">
      <c r="A36" s="125" t="s">
        <v>210</v>
      </c>
      <c r="B36" s="125"/>
      <c r="C36" s="130" t="s">
        <v>228</v>
      </c>
      <c r="D36" s="129"/>
      <c r="E36" s="129"/>
      <c r="F36" s="129"/>
      <c r="G36" s="129"/>
      <c r="H36" s="129"/>
    </row>
    <row r="37" spans="1:14" x14ac:dyDescent="0.35">
      <c r="A37" s="125" t="s">
        <v>33</v>
      </c>
      <c r="B37" s="125"/>
      <c r="C37" s="125"/>
      <c r="D37" s="125"/>
      <c r="E37" s="125"/>
      <c r="F37" s="125"/>
      <c r="G37" s="125"/>
      <c r="H37" s="125"/>
    </row>
    <row r="38" spans="1:14" x14ac:dyDescent="0.35">
      <c r="A38" s="64" t="s">
        <v>34</v>
      </c>
      <c r="B38" s="64"/>
      <c r="C38" s="64"/>
      <c r="D38" s="64"/>
      <c r="E38" s="122">
        <v>9496.7900000000009</v>
      </c>
      <c r="F38" s="122"/>
      <c r="G38" s="122"/>
      <c r="H38" s="122"/>
      <c r="I38" s="66">
        <v>8022.72</v>
      </c>
      <c r="J38" s="67"/>
      <c r="K38" s="67"/>
      <c r="L38" s="67"/>
    </row>
    <row r="39" spans="1:14" x14ac:dyDescent="0.35">
      <c r="A39" s="64" t="s">
        <v>35</v>
      </c>
      <c r="B39" s="64"/>
      <c r="C39" s="64"/>
      <c r="D39" s="64"/>
      <c r="E39" s="150">
        <f>10446.469/E38</f>
        <v>1.0999999999999999</v>
      </c>
      <c r="F39" s="150"/>
      <c r="G39" s="150"/>
      <c r="H39" s="150"/>
      <c r="I39" s="68">
        <v>1.1000000000000001</v>
      </c>
      <c r="J39" s="69"/>
      <c r="K39" s="69"/>
      <c r="L39" s="69"/>
    </row>
    <row r="40" spans="1:14" x14ac:dyDescent="0.35">
      <c r="A40" s="64" t="s">
        <v>36</v>
      </c>
      <c r="B40" s="64"/>
      <c r="C40" s="64"/>
      <c r="D40" s="64"/>
      <c r="E40" s="150">
        <f>E42/E38-E39</f>
        <v>0.6599935346575001</v>
      </c>
      <c r="F40" s="150"/>
      <c r="G40" s="150"/>
      <c r="H40" s="150"/>
      <c r="I40" s="68">
        <f>I42/I38-I39</f>
        <v>-2.4929201081214103E-7</v>
      </c>
      <c r="J40" s="69"/>
      <c r="K40" s="69"/>
      <c r="L40" s="69"/>
    </row>
    <row r="41" spans="1:14" x14ac:dyDescent="0.35">
      <c r="A41" s="64" t="s">
        <v>37</v>
      </c>
      <c r="B41" s="64"/>
      <c r="C41" s="64"/>
      <c r="D41" s="64"/>
      <c r="E41" s="150">
        <f>E39+E40</f>
        <v>1.7599935346575</v>
      </c>
      <c r="F41" s="150"/>
      <c r="G41" s="150"/>
      <c r="H41" s="150"/>
      <c r="I41" s="68">
        <f>I39+I40</f>
        <v>1.0999997507079893</v>
      </c>
      <c r="J41" s="69"/>
      <c r="K41" s="69"/>
      <c r="L41" s="69"/>
    </row>
    <row r="42" spans="1:14" x14ac:dyDescent="0.35">
      <c r="A42" s="64" t="s">
        <v>97</v>
      </c>
      <c r="B42" s="64"/>
      <c r="C42" s="64"/>
      <c r="D42" s="64"/>
      <c r="E42" s="151">
        <v>16714.289000000001</v>
      </c>
      <c r="F42" s="151"/>
      <c r="G42" s="151"/>
      <c r="H42" s="151"/>
      <c r="I42" s="93">
        <v>8824.99</v>
      </c>
      <c r="J42" s="94"/>
      <c r="K42" s="94"/>
      <c r="L42" s="94"/>
    </row>
    <row r="43" spans="1:14" x14ac:dyDescent="0.35">
      <c r="A43" s="96" t="s">
        <v>38</v>
      </c>
      <c r="B43" s="96"/>
      <c r="C43" s="96"/>
      <c r="D43" s="96"/>
      <c r="E43" s="96" t="s">
        <v>213</v>
      </c>
      <c r="F43" s="96"/>
      <c r="G43" s="96"/>
      <c r="H43" s="96"/>
      <c r="I43" s="95" t="s">
        <v>156</v>
      </c>
      <c r="J43" s="96"/>
      <c r="K43" s="96"/>
      <c r="L43" s="96"/>
    </row>
    <row r="44" spans="1:14" x14ac:dyDescent="0.35">
      <c r="A44" s="125" t="s">
        <v>39</v>
      </c>
      <c r="B44" s="125"/>
      <c r="C44" s="125"/>
      <c r="D44" s="125"/>
      <c r="E44" s="125"/>
      <c r="F44" s="125"/>
      <c r="G44" s="125"/>
      <c r="H44" s="125"/>
    </row>
    <row r="45" spans="1:14" x14ac:dyDescent="0.35">
      <c r="A45" s="61" t="s">
        <v>40</v>
      </c>
      <c r="B45" s="61"/>
      <c r="C45" s="99" t="s">
        <v>188</v>
      </c>
      <c r="D45" s="99"/>
      <c r="E45" s="99"/>
      <c r="F45" s="8" t="s">
        <v>41</v>
      </c>
      <c r="G45" s="100">
        <v>45705</v>
      </c>
      <c r="H45" s="100"/>
      <c r="I45" s="98" t="s">
        <v>157</v>
      </c>
      <c r="J45" s="99"/>
      <c r="K45" s="99"/>
      <c r="L45" s="8" t="s">
        <v>41</v>
      </c>
      <c r="M45" s="100">
        <v>44407</v>
      </c>
      <c r="N45" s="100"/>
    </row>
    <row r="46" spans="1:14" x14ac:dyDescent="0.35">
      <c r="A46" s="64" t="s">
        <v>42</v>
      </c>
      <c r="B46" s="64"/>
      <c r="C46" s="99" t="str">
        <f>C45</f>
        <v>KDMCC/RAR/2025/APL/00002</v>
      </c>
      <c r="D46" s="99"/>
      <c r="E46" s="99"/>
      <c r="F46" s="8" t="s">
        <v>41</v>
      </c>
      <c r="G46" s="100">
        <f>G45</f>
        <v>45705</v>
      </c>
      <c r="H46" s="100"/>
      <c r="I46" s="98" t="str">
        <f>I45</f>
        <v>KDMC/TPD/BP/27Village/2021-22/14</v>
      </c>
      <c r="J46" s="99"/>
      <c r="K46" s="99"/>
      <c r="L46" s="8" t="s">
        <v>41</v>
      </c>
      <c r="M46" s="100">
        <f>M45</f>
        <v>44407</v>
      </c>
      <c r="N46" s="100"/>
    </row>
    <row r="47" spans="1:14" s="5" customFormat="1" ht="15.75" customHeight="1" x14ac:dyDescent="0.35">
      <c r="A47" s="157" t="s">
        <v>189</v>
      </c>
      <c r="B47" s="157"/>
      <c r="C47" s="99" t="s">
        <v>188</v>
      </c>
      <c r="D47" s="99"/>
      <c r="E47" s="99"/>
      <c r="F47" s="42" t="s">
        <v>41</v>
      </c>
      <c r="G47" s="100">
        <v>45705</v>
      </c>
      <c r="H47" s="100"/>
      <c r="I47" s="101" t="s">
        <v>157</v>
      </c>
      <c r="J47" s="102"/>
      <c r="K47" s="102"/>
      <c r="L47" s="42" t="s">
        <v>41</v>
      </c>
      <c r="M47" s="103">
        <v>44407</v>
      </c>
      <c r="N47" s="103"/>
    </row>
    <row r="48" spans="1:14" s="5" customFormat="1" ht="48.75" customHeight="1" x14ac:dyDescent="0.35">
      <c r="A48" s="157"/>
      <c r="B48" s="157"/>
      <c r="C48" s="188" t="s">
        <v>190</v>
      </c>
      <c r="D48" s="104"/>
      <c r="E48" s="104"/>
      <c r="F48" s="104"/>
      <c r="G48" s="104"/>
      <c r="H48" s="101"/>
      <c r="I48" s="104" t="s">
        <v>186</v>
      </c>
      <c r="J48" s="104"/>
      <c r="K48" s="104"/>
      <c r="L48" s="104"/>
      <c r="M48" s="104"/>
      <c r="N48" s="101"/>
    </row>
    <row r="49" spans="1:14" x14ac:dyDescent="0.35">
      <c r="A49" s="182" t="s">
        <v>43</v>
      </c>
      <c r="B49" s="182"/>
      <c r="C49" s="183" t="s">
        <v>114</v>
      </c>
      <c r="D49" s="184"/>
      <c r="E49" s="184" t="s">
        <v>44</v>
      </c>
      <c r="F49" s="54" t="s">
        <v>41</v>
      </c>
      <c r="G49" s="186" t="s">
        <v>28</v>
      </c>
      <c r="H49" s="186"/>
    </row>
    <row r="50" spans="1:14" x14ac:dyDescent="0.35">
      <c r="A50" s="185" t="s">
        <v>46</v>
      </c>
      <c r="B50" s="185"/>
      <c r="C50" s="185"/>
      <c r="D50" s="185"/>
      <c r="E50" s="185"/>
      <c r="F50" s="185"/>
      <c r="G50" s="185"/>
      <c r="H50" s="185"/>
      <c r="I50" s="3">
        <f>230+23</f>
        <v>253</v>
      </c>
    </row>
    <row r="51" spans="1:14" x14ac:dyDescent="0.35">
      <c r="A51" s="61" t="s">
        <v>96</v>
      </c>
      <c r="B51" s="61"/>
      <c r="C51" s="61"/>
      <c r="D51" s="64">
        <f>E42</f>
        <v>16714.289000000001</v>
      </c>
      <c r="E51" s="64"/>
      <c r="F51" s="64"/>
      <c r="G51" s="64"/>
      <c r="H51" s="64"/>
    </row>
    <row r="52" spans="1:14" x14ac:dyDescent="0.35">
      <c r="A52" s="62" t="s">
        <v>47</v>
      </c>
      <c r="B52" s="96"/>
      <c r="C52" s="96"/>
      <c r="D52" s="96" t="s">
        <v>221</v>
      </c>
      <c r="E52" s="97"/>
      <c r="F52" s="97"/>
      <c r="G52" s="97"/>
      <c r="H52" s="97"/>
      <c r="I52" s="95" t="s">
        <v>182</v>
      </c>
      <c r="J52" s="97"/>
      <c r="K52" s="97"/>
      <c r="L52" s="97"/>
      <c r="M52" s="97"/>
    </row>
    <row r="53" spans="1:14" ht="48" customHeight="1" x14ac:dyDescent="0.35">
      <c r="A53" s="154" t="s">
        <v>48</v>
      </c>
      <c r="B53" s="155"/>
      <c r="C53" s="156"/>
      <c r="D53" s="152" t="s">
        <v>192</v>
      </c>
      <c r="E53" s="153"/>
      <c r="F53" s="153"/>
      <c r="G53" s="153"/>
      <c r="H53" s="153"/>
      <c r="I53" s="24"/>
      <c r="J53"/>
    </row>
    <row r="54" spans="1:14" x14ac:dyDescent="0.35">
      <c r="A54" s="154" t="s">
        <v>94</v>
      </c>
      <c r="B54" s="155"/>
      <c r="C54" s="155"/>
      <c r="D54" s="154" t="s">
        <v>220</v>
      </c>
      <c r="E54" s="155"/>
      <c r="F54" s="155"/>
      <c r="G54" s="155"/>
      <c r="H54" s="156"/>
      <c r="I54" s="47" t="s">
        <v>191</v>
      </c>
    </row>
    <row r="55" spans="1:14" x14ac:dyDescent="0.35">
      <c r="A55" s="177"/>
      <c r="B55" s="178"/>
      <c r="C55" s="178"/>
      <c r="D55" s="177" t="s">
        <v>218</v>
      </c>
      <c r="E55" s="178"/>
      <c r="F55" s="178"/>
      <c r="G55" s="178"/>
      <c r="H55" s="181"/>
      <c r="I55" s="24"/>
    </row>
    <row r="56" spans="1:14" x14ac:dyDescent="0.35">
      <c r="A56" s="179"/>
      <c r="B56" s="180"/>
      <c r="C56" s="180"/>
      <c r="D56" s="179" t="s">
        <v>219</v>
      </c>
      <c r="E56" s="180"/>
      <c r="F56" s="180"/>
      <c r="G56" s="180"/>
      <c r="H56" s="187"/>
      <c r="I56" s="24"/>
    </row>
    <row r="57" spans="1:14" ht="15.75" customHeight="1" x14ac:dyDescent="0.35">
      <c r="A57" s="64" t="s">
        <v>45</v>
      </c>
      <c r="B57" s="64"/>
      <c r="C57" s="64"/>
      <c r="D57" s="144" t="s">
        <v>158</v>
      </c>
      <c r="E57" s="144"/>
      <c r="F57" s="144"/>
      <c r="G57" s="144"/>
      <c r="H57" s="144"/>
      <c r="J57" s="22"/>
      <c r="K57" s="23"/>
      <c r="N57" s="23"/>
    </row>
    <row r="58" spans="1:14" ht="15.75" customHeight="1" x14ac:dyDescent="0.35">
      <c r="A58" s="64" t="s">
        <v>92</v>
      </c>
      <c r="B58" s="64"/>
      <c r="C58" s="64"/>
      <c r="D58" s="149" t="str">
        <f>(IF(G49="NA","60 Years After Completion",IF(G49&lt;&gt;"NA",""&amp;60-ROUNDDOWN((E3-G49)/360,0)&amp;" Years"," ")))</f>
        <v>60 Years After Completion</v>
      </c>
      <c r="E58" s="149"/>
      <c r="F58" s="149"/>
      <c r="G58" s="149"/>
      <c r="H58" s="149"/>
      <c r="N58" s="23"/>
    </row>
    <row r="59" spans="1:14" ht="15.75" customHeight="1" x14ac:dyDescent="0.35">
      <c r="A59" s="64" t="s">
        <v>93</v>
      </c>
      <c r="B59" s="64"/>
      <c r="C59" s="64"/>
      <c r="D59" s="61" t="s">
        <v>23</v>
      </c>
      <c r="E59" s="61"/>
      <c r="F59" s="61"/>
      <c r="G59" s="61"/>
      <c r="H59" s="61"/>
      <c r="J59" s="13"/>
      <c r="K59" s="13"/>
    </row>
    <row r="60" spans="1:14" ht="15" hidden="1" customHeight="1" x14ac:dyDescent="0.35">
      <c r="A60" s="64" t="s">
        <v>76</v>
      </c>
      <c r="B60" s="64"/>
      <c r="C60" s="64"/>
      <c r="D60" s="62" t="s">
        <v>145</v>
      </c>
      <c r="E60" s="61"/>
      <c r="F60" s="61"/>
      <c r="G60" s="61"/>
      <c r="H60" s="61"/>
    </row>
    <row r="61" spans="1:14" x14ac:dyDescent="0.35">
      <c r="A61" s="61" t="s">
        <v>146</v>
      </c>
      <c r="B61" s="61"/>
      <c r="C61" s="61"/>
      <c r="D61" s="61" t="s">
        <v>28</v>
      </c>
      <c r="E61" s="61"/>
      <c r="F61" s="61"/>
      <c r="G61" s="61"/>
      <c r="H61" s="61"/>
      <c r="I61" s="35"/>
      <c r="J61" s="35"/>
      <c r="K61" s="35"/>
      <c r="L61" s="35"/>
      <c r="M61" s="35"/>
      <c r="N61" s="35"/>
    </row>
    <row r="62" spans="1:14" ht="15.75" customHeight="1" x14ac:dyDescent="0.35">
      <c r="A62" s="158" t="s">
        <v>91</v>
      </c>
      <c r="B62" s="158"/>
      <c r="C62" s="158"/>
      <c r="D62" s="152" t="str">
        <f ca="1">(IF(G96&gt;95%,"Nothing",IF(G96&gt;0%,"Cement, Aggregate, Steel, etc",IF(G96=0%,"Work not yet Started"))))</f>
        <v>Cement, Aggregate, Steel, etc</v>
      </c>
      <c r="E62" s="152"/>
      <c r="F62" s="152"/>
      <c r="G62" s="152"/>
      <c r="H62" s="152"/>
      <c r="J62" s="13"/>
    </row>
    <row r="63" spans="1:14" ht="38.25" customHeight="1" thickBot="1" x14ac:dyDescent="0.4">
      <c r="A63" s="164" t="s">
        <v>116</v>
      </c>
      <c r="B63" s="164"/>
      <c r="C63" s="164"/>
      <c r="D63" s="152" t="str">
        <f ca="1">(IF(D62="Nothing","Yes",IF(D62="Cement, Aggregate, Steel, etc","Under Construction",IF(D62="Work not yet Started","Work not yet Started"))))</f>
        <v>Under Construction</v>
      </c>
      <c r="E63" s="152"/>
      <c r="F63" s="152" t="str">
        <f ca="1">(IF(D62="Nothing","Yes",IF(D62="Cement, Aggregate, Steel, etc","Under Construction",IF(D62="Work not yet Started","Work not yet Started"))))</f>
        <v>Under Construction</v>
      </c>
      <c r="G63" s="152"/>
      <c r="H63" s="152"/>
    </row>
    <row r="64" spans="1:14" x14ac:dyDescent="0.35">
      <c r="A64" s="160" t="s">
        <v>137</v>
      </c>
      <c r="B64" s="161"/>
      <c r="C64" s="160" t="str">
        <f>D54</f>
        <v>Building No 1 (Nandi) = G + 3P + 1st to 26th Floor</v>
      </c>
      <c r="D64" s="162"/>
      <c r="E64" s="162"/>
      <c r="F64" s="162"/>
      <c r="G64" s="162"/>
      <c r="H64" s="161"/>
      <c r="I64" s="27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Slab",IF(C70&gt;0,", RCC upto "&amp;C70&amp;" Slab",""))&amp;(IF(C71=H65,", Brickwork",IF(C71&gt;0,", Brickwork upto "&amp;C71&amp;" Floor",""))&amp;(IF(C72=H65,", Internal Plaster",IF(C72&gt;0,", Internal Plaster upto "&amp;C72&amp;" Floor",""))&amp;(IF(C73=H65,", External Plaster",IF(C73&gt;0,", External Plaster upto "&amp;C73&amp;" Floor",""))&amp;(IF(C74=H65,", Flooring",IF(C74&gt;0,", Flooring upto "&amp;C74&amp;" Floor",""))&amp;(IF(C75=H65,", Painting",IF(C75&gt;0,", Painting upto "&amp;C75&amp;" Floor",""))&amp;(IF(C76&gt;0,", Finishing upto "&amp;C76&amp;" Floor","")&amp;(IF(C70&gt;0.5," Completed",""))))))))))))))</f>
        <v>Work not yet Started.</v>
      </c>
      <c r="J64" s="14"/>
    </row>
    <row r="65" spans="1:10" x14ac:dyDescent="0.35">
      <c r="A65" s="44" t="s">
        <v>139</v>
      </c>
      <c r="B65" s="44">
        <v>0</v>
      </c>
      <c r="C65" s="44" t="s">
        <v>73</v>
      </c>
      <c r="D65" s="44">
        <v>1</v>
      </c>
      <c r="E65" s="44" t="s">
        <v>72</v>
      </c>
      <c r="F65" s="44">
        <v>2</v>
      </c>
      <c r="G65" s="45" t="s">
        <v>85</v>
      </c>
      <c r="H65" s="44">
        <f ca="1">--TRIM(RIGHT(SUBSTITUTE(LEFT(C64,_xlfn.AGGREGATE(16,6,FIND({0,1,2,3,4,5,6,7,8,9},C64,ROW(INDIRECT("1:"&amp;LEN(C64)))),1))," ",REPT(" ",LEN(C64))),LEN(C64)))</f>
        <v>26</v>
      </c>
      <c r="I65" s="28"/>
      <c r="J65" s="15"/>
    </row>
    <row r="66" spans="1:10" x14ac:dyDescent="0.35">
      <c r="A66" s="159" t="s">
        <v>95</v>
      </c>
      <c r="B66" s="159"/>
      <c r="C66" s="163" t="str">
        <f ca="1">I64</f>
        <v>Work not yet Started.</v>
      </c>
      <c r="D66" s="163"/>
      <c r="E66" s="163"/>
      <c r="F66" s="163"/>
      <c r="G66" s="163"/>
      <c r="H66" s="163"/>
      <c r="I66" s="28" t="s">
        <v>113</v>
      </c>
      <c r="J66" s="15"/>
    </row>
    <row r="67" spans="1:10" ht="15.75" customHeight="1" x14ac:dyDescent="0.35">
      <c r="A67" s="147" t="s">
        <v>49</v>
      </c>
      <c r="B67" s="147"/>
      <c r="C67" s="34" t="s">
        <v>136</v>
      </c>
      <c r="D67" s="50" t="s">
        <v>88</v>
      </c>
      <c r="E67" s="147" t="s">
        <v>90</v>
      </c>
      <c r="F67" s="147"/>
      <c r="G67" s="147" t="s">
        <v>89</v>
      </c>
      <c r="H67" s="147"/>
      <c r="I67" s="21" t="s">
        <v>138</v>
      </c>
      <c r="J67" s="16">
        <f ca="1">H65*25%</f>
        <v>6.5</v>
      </c>
    </row>
    <row r="68" spans="1:10" x14ac:dyDescent="0.35">
      <c r="A68" s="147" t="s">
        <v>125</v>
      </c>
      <c r="B68" s="147"/>
      <c r="C68" s="38">
        <v>0</v>
      </c>
      <c r="D68" s="51">
        <f ca="1">((100/H65)*C68)/100</f>
        <v>0</v>
      </c>
      <c r="E68" s="145">
        <f ca="1">(((C69/H65*10)+(40/(D65+F65+H65)*C70)+(7.5/(H65)*C71)+(7.5/(H65)*C72)+(10/H65*C73)+(10/H65*C74)+(5/H65*C75)+(5/H65*C76)+(5/H65*C77))/100)</f>
        <v>0</v>
      </c>
      <c r="F68" s="145"/>
      <c r="G68" s="145">
        <f ca="1">((((C68/H65)*20)+((C69/H65)*25)+(30/(H65+F65+D65)*C70)+(5/H65*C71)+(5/H65*C72)+(5/H65*C73)+(5/H65*C74)+(0/H65*C75)+(0/H65*C76)+(5/H65*C77))/100)</f>
        <v>0</v>
      </c>
      <c r="H68" s="145"/>
      <c r="I68" s="21" t="s">
        <v>108</v>
      </c>
      <c r="J68" s="26">
        <f ca="1">H65*50%</f>
        <v>13</v>
      </c>
    </row>
    <row r="69" spans="1:10" x14ac:dyDescent="0.35">
      <c r="A69" s="147" t="s">
        <v>50</v>
      </c>
      <c r="B69" s="147"/>
      <c r="C69" s="39">
        <v>0</v>
      </c>
      <c r="D69" s="51">
        <f ca="1">((100/H65)*C69)/100</f>
        <v>0</v>
      </c>
      <c r="E69" s="145"/>
      <c r="F69" s="145"/>
      <c r="G69" s="145"/>
      <c r="H69" s="145"/>
      <c r="I69" s="21" t="s">
        <v>109</v>
      </c>
      <c r="J69" s="26">
        <f ca="1">H65</f>
        <v>26</v>
      </c>
    </row>
    <row r="70" spans="1:10" ht="15.75" customHeight="1" x14ac:dyDescent="0.35">
      <c r="A70" s="147" t="s">
        <v>126</v>
      </c>
      <c r="B70" s="147"/>
      <c r="C70" s="39">
        <v>0</v>
      </c>
      <c r="D70" s="51">
        <f ca="1">((100/(D65+F65+H65))*C70)/100</f>
        <v>0</v>
      </c>
      <c r="E70" s="145"/>
      <c r="F70" s="145"/>
      <c r="G70" s="145"/>
      <c r="H70" s="145"/>
      <c r="I70" s="21" t="s">
        <v>110</v>
      </c>
      <c r="J70" s="30">
        <f ca="1">(IF(B65&gt;1,(H65/(B65+2)),H65/4))</f>
        <v>6.5</v>
      </c>
    </row>
    <row r="71" spans="1:10" ht="15.75" customHeight="1" x14ac:dyDescent="0.35">
      <c r="A71" s="147" t="s">
        <v>133</v>
      </c>
      <c r="B71" s="147" t="s">
        <v>127</v>
      </c>
      <c r="C71" s="38">
        <v>0</v>
      </c>
      <c r="D71" s="51">
        <f ca="1">((100/H65)*C71)/100</f>
        <v>0</v>
      </c>
      <c r="E71" s="145"/>
      <c r="F71" s="145"/>
      <c r="G71" s="145"/>
      <c r="H71" s="145"/>
      <c r="I71" s="21" t="s">
        <v>111</v>
      </c>
      <c r="J71" s="30">
        <f ca="1">(IF(B65&gt;1,(H65/(B65+2)+J70),H65/4+J70))</f>
        <v>13</v>
      </c>
    </row>
    <row r="72" spans="1:10" ht="15.75" customHeight="1" x14ac:dyDescent="0.35">
      <c r="A72" s="147" t="s">
        <v>134</v>
      </c>
      <c r="B72" s="147" t="s">
        <v>127</v>
      </c>
      <c r="C72" s="38">
        <v>0</v>
      </c>
      <c r="D72" s="51">
        <f ca="1">((100/H65)*C72)/100</f>
        <v>0</v>
      </c>
      <c r="E72" s="145"/>
      <c r="F72" s="145"/>
      <c r="G72" s="145"/>
      <c r="H72" s="145"/>
      <c r="I72" s="21" t="s">
        <v>143</v>
      </c>
      <c r="J72" s="30">
        <f>(IF(B65&gt;1,(H65/(B65+2)+J71),0))</f>
        <v>0</v>
      </c>
    </row>
    <row r="73" spans="1:10" ht="15" customHeight="1" x14ac:dyDescent="0.35">
      <c r="A73" s="147" t="s">
        <v>132</v>
      </c>
      <c r="B73" s="147" t="s">
        <v>129</v>
      </c>
      <c r="C73" s="38">
        <v>0</v>
      </c>
      <c r="D73" s="51">
        <f ca="1">((100/(H65))*C73)/100</f>
        <v>0</v>
      </c>
      <c r="E73" s="145"/>
      <c r="F73" s="145"/>
      <c r="G73" s="145"/>
      <c r="H73" s="145"/>
      <c r="I73" s="21" t="s">
        <v>140</v>
      </c>
      <c r="J73" s="30">
        <f>(IF(B65&gt;2,(H65/(B65+2)+J72),0))</f>
        <v>0</v>
      </c>
    </row>
    <row r="74" spans="1:10" ht="15.75" customHeight="1" x14ac:dyDescent="0.35">
      <c r="A74" s="147" t="s">
        <v>128</v>
      </c>
      <c r="B74" s="147" t="s">
        <v>128</v>
      </c>
      <c r="C74" s="38">
        <v>0</v>
      </c>
      <c r="D74" s="51">
        <f ca="1">((100/H65)*C74)/100</f>
        <v>0</v>
      </c>
      <c r="E74" s="145"/>
      <c r="F74" s="145"/>
      <c r="G74" s="145"/>
      <c r="H74" s="145"/>
      <c r="I74" s="21" t="s">
        <v>141</v>
      </c>
      <c r="J74" s="31">
        <f>(IF(B65&gt;3,(H65/(B65+2)+J73),0))</f>
        <v>0</v>
      </c>
    </row>
    <row r="75" spans="1:10" ht="15.75" customHeight="1" x14ac:dyDescent="0.35">
      <c r="A75" s="147" t="s">
        <v>135</v>
      </c>
      <c r="B75" s="147"/>
      <c r="C75" s="38">
        <v>0</v>
      </c>
      <c r="D75" s="51">
        <f ca="1">((100/H65)*C75)/100</f>
        <v>0</v>
      </c>
      <c r="E75" s="145"/>
      <c r="F75" s="145"/>
      <c r="G75" s="145"/>
      <c r="H75" s="145"/>
      <c r="I75" s="21" t="s">
        <v>142</v>
      </c>
      <c r="J75" s="30">
        <f>(IF(B65&gt;4,(H65/(B65+2)+J74),0))</f>
        <v>0</v>
      </c>
    </row>
    <row r="76" spans="1:10" ht="15.75" customHeight="1" x14ac:dyDescent="0.35">
      <c r="A76" s="147" t="s">
        <v>130</v>
      </c>
      <c r="B76" s="147" t="s">
        <v>130</v>
      </c>
      <c r="C76" s="38">
        <v>0</v>
      </c>
      <c r="D76" s="51">
        <f ca="1">((100/(H65))*C76)/100</f>
        <v>0</v>
      </c>
      <c r="E76" s="145"/>
      <c r="F76" s="145"/>
      <c r="G76" s="145"/>
      <c r="H76" s="145"/>
      <c r="I76" s="21" t="s">
        <v>144</v>
      </c>
      <c r="J76" s="30">
        <f ca="1">(IF(B65=1,(H65/(B65+3)+J71),IF(B65=0,(H65/4+J71),IF(B65&gt;1,0))))</f>
        <v>19.5</v>
      </c>
    </row>
    <row r="77" spans="1:10" ht="16" thickBot="1" x14ac:dyDescent="0.4">
      <c r="A77" s="148" t="s">
        <v>131</v>
      </c>
      <c r="B77" s="148"/>
      <c r="C77" s="40">
        <v>0</v>
      </c>
      <c r="D77" s="52">
        <f ca="1">((100/(H65))*C77)/100</f>
        <v>0</v>
      </c>
      <c r="E77" s="146"/>
      <c r="F77" s="146"/>
      <c r="G77" s="146"/>
      <c r="H77" s="146"/>
      <c r="I77" s="29" t="s">
        <v>112</v>
      </c>
      <c r="J77" s="32">
        <f ca="1">(IF(B65&gt;1.5,(H65/(B65+2)+J71+MAX(0,J72-J71)+MAX(0,J73-J72)+MAX(0,J74-J73)+MAX(0,J75-J74)+MAX(0,J76-J75)),IF(B65=1,(H65/(B65+3)+J76),IF(B65=0,H65/4+J76))))</f>
        <v>26</v>
      </c>
    </row>
    <row r="78" spans="1:10" ht="15.75" customHeight="1" x14ac:dyDescent="0.35">
      <c r="A78" s="160" t="s">
        <v>137</v>
      </c>
      <c r="B78" s="161"/>
      <c r="C78" s="160" t="str">
        <f>D55</f>
        <v>Building No 2 (Neelkanth) = G + 3P + 1st to 28th floor</v>
      </c>
      <c r="D78" s="162"/>
      <c r="E78" s="162"/>
      <c r="F78" s="162"/>
      <c r="G78" s="162"/>
      <c r="H78" s="161"/>
      <c r="I78" s="27" t="str">
        <f ca="1"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completed","0")))))))))))&amp;(IF(C84=(D79+F79+H79),", RCC Slab",IF(C84&gt;0,", RCC upto "&amp;C84&amp;" Slab",""))&amp;(IF(C85=H79,", Brickwork",IF(C85&gt;0,", Brickwork upto "&amp;C85&amp;" Floor",""))&amp;(IF(C86=H79,", Internal Plaster",IF(C86&gt;0,", Internal Plaster upto "&amp;C86&amp;" Floor",""))&amp;(IF(C87=H79,", External Plaster",IF(C87&gt;0,", External Plaster upto "&amp;C87&amp;" Floor",""))&amp;(IF(C88=H79,", Flooring",IF(C88&gt;0,", Flooring upto "&amp;C88&amp;" Floor",""))&amp;(IF(C89=H79,", Painting",IF(C89&gt;0,", Painting upto "&amp;C89&amp;" Floor",""))&amp;(IF(C90&gt;0,", Finishing upto "&amp;C90&amp;" Floor","")&amp;(IF(C84&gt;0.5," Completed",""))))))))))))))</f>
        <v>Excavation work Completed. Plinth work completed, RCC upto 1 Slab Completed</v>
      </c>
      <c r="J78" s="14"/>
    </row>
    <row r="79" spans="1:10" x14ac:dyDescent="0.35">
      <c r="A79" s="44" t="s">
        <v>139</v>
      </c>
      <c r="B79" s="44">
        <v>0</v>
      </c>
      <c r="C79" s="44" t="s">
        <v>73</v>
      </c>
      <c r="D79" s="44">
        <v>1</v>
      </c>
      <c r="E79" s="44" t="s">
        <v>72</v>
      </c>
      <c r="F79" s="44">
        <v>2</v>
      </c>
      <c r="G79" s="45" t="s">
        <v>85</v>
      </c>
      <c r="H79" s="44">
        <f ca="1">--TRIM(RIGHT(SUBSTITUTE(LEFT(C78,_xlfn.AGGREGATE(16,6,FIND({0,1,2,3,4,5,6,7,8,9},C78,ROW(INDIRECT("1:"&amp;LEN(C78)))),1))," ",REPT(" ",LEN(C78))),LEN(C78)))</f>
        <v>28</v>
      </c>
      <c r="I79" s="28"/>
      <c r="J79" s="15"/>
    </row>
    <row r="80" spans="1:10" ht="30.5" customHeight="1" x14ac:dyDescent="0.35">
      <c r="A80" s="159" t="s">
        <v>95</v>
      </c>
      <c r="B80" s="159"/>
      <c r="C80" s="163" t="str">
        <f ca="1">I78</f>
        <v>Excavation work Completed. Plinth work completed, RCC upto 1 Slab Completed</v>
      </c>
      <c r="D80" s="163"/>
      <c r="E80" s="163"/>
      <c r="F80" s="163"/>
      <c r="G80" s="163"/>
      <c r="H80" s="163"/>
      <c r="I80" s="28" t="s">
        <v>113</v>
      </c>
      <c r="J80" s="15"/>
    </row>
    <row r="81" spans="1:10" ht="15.75" customHeight="1" x14ac:dyDescent="0.35">
      <c r="A81" s="147" t="s">
        <v>49</v>
      </c>
      <c r="B81" s="147"/>
      <c r="C81" s="34" t="s">
        <v>136</v>
      </c>
      <c r="D81" s="50" t="s">
        <v>88</v>
      </c>
      <c r="E81" s="147" t="s">
        <v>90</v>
      </c>
      <c r="F81" s="147"/>
      <c r="G81" s="147" t="s">
        <v>89</v>
      </c>
      <c r="H81" s="147"/>
      <c r="I81" s="21" t="s">
        <v>138</v>
      </c>
      <c r="J81" s="16">
        <f ca="1">H79*25%</f>
        <v>7</v>
      </c>
    </row>
    <row r="82" spans="1:10" x14ac:dyDescent="0.35">
      <c r="A82" s="147" t="s">
        <v>125</v>
      </c>
      <c r="B82" s="147"/>
      <c r="C82" s="38">
        <f ca="1">J83</f>
        <v>28</v>
      </c>
      <c r="D82" s="51">
        <f ca="1">((100/H79)*C82)/100</f>
        <v>1</v>
      </c>
      <c r="E82" s="145">
        <f ca="1">(((C83/H79*10)+(40/(D79+F79+H79)*C84)+(7.5/(H79)*C85)+(7.5/(H79)*C86)+(10/H79*C87)+(10/H79*C88)+(5/H79*C89)+(5/H79*C90)+(5/H79*C91))/100)</f>
        <v>0.11290322580645162</v>
      </c>
      <c r="F82" s="145"/>
      <c r="G82" s="145">
        <f ca="1">((((C82/H79)*20)+((C83/H79)*25)+(30/(H79+F79+D79)*C84)+(5/H79*C85)+(5/H79*C86)+(5/H79*C87)+(5/H79*C88)+(0/H79*C89)+(0/H79*C90)+(5/H79*C91))/100)</f>
        <v>0.45967741935483875</v>
      </c>
      <c r="H82" s="145"/>
      <c r="I82" s="21" t="s">
        <v>108</v>
      </c>
      <c r="J82" s="26">
        <f ca="1">H79*50%</f>
        <v>14</v>
      </c>
    </row>
    <row r="83" spans="1:10" x14ac:dyDescent="0.35">
      <c r="A83" s="147" t="s">
        <v>50</v>
      </c>
      <c r="B83" s="147"/>
      <c r="C83" s="39">
        <f ca="1">J91</f>
        <v>28</v>
      </c>
      <c r="D83" s="51">
        <f ca="1">((100/H79)*C83)/100</f>
        <v>1</v>
      </c>
      <c r="E83" s="145"/>
      <c r="F83" s="145"/>
      <c r="G83" s="145"/>
      <c r="H83" s="145"/>
      <c r="I83" s="21" t="s">
        <v>109</v>
      </c>
      <c r="J83" s="26">
        <f ca="1">H79</f>
        <v>28</v>
      </c>
    </row>
    <row r="84" spans="1:10" ht="15.75" customHeight="1" x14ac:dyDescent="0.35">
      <c r="A84" s="147" t="s">
        <v>126</v>
      </c>
      <c r="B84" s="147"/>
      <c r="C84" s="39">
        <v>1</v>
      </c>
      <c r="D84" s="51">
        <f ca="1">((100/(D79+F79+H79))*C84)/100</f>
        <v>3.2258064516129031E-2</v>
      </c>
      <c r="E84" s="145"/>
      <c r="F84" s="145"/>
      <c r="G84" s="145"/>
      <c r="H84" s="145"/>
      <c r="I84" s="21" t="s">
        <v>110</v>
      </c>
      <c r="J84" s="30">
        <f ca="1">(IF(B79&gt;1,(H79/(B79+2)),H79/4))</f>
        <v>7</v>
      </c>
    </row>
    <row r="85" spans="1:10" ht="15.75" customHeight="1" x14ac:dyDescent="0.35">
      <c r="A85" s="147" t="s">
        <v>133</v>
      </c>
      <c r="B85" s="147" t="s">
        <v>127</v>
      </c>
      <c r="C85" s="38">
        <v>0</v>
      </c>
      <c r="D85" s="51">
        <f ca="1">((100/H79)*C85)/100</f>
        <v>0</v>
      </c>
      <c r="E85" s="145"/>
      <c r="F85" s="145"/>
      <c r="G85" s="145"/>
      <c r="H85" s="145"/>
      <c r="I85" s="21" t="s">
        <v>111</v>
      </c>
      <c r="J85" s="30">
        <f ca="1">(IF(B79&gt;1,(H79/(B79+2)+J84),H79/4+J84))</f>
        <v>14</v>
      </c>
    </row>
    <row r="86" spans="1:10" ht="15.75" customHeight="1" x14ac:dyDescent="0.35">
      <c r="A86" s="147" t="s">
        <v>134</v>
      </c>
      <c r="B86" s="147" t="s">
        <v>127</v>
      </c>
      <c r="C86" s="38">
        <v>0</v>
      </c>
      <c r="D86" s="51">
        <f ca="1">((100/H79)*C86)/100</f>
        <v>0</v>
      </c>
      <c r="E86" s="145"/>
      <c r="F86" s="145"/>
      <c r="G86" s="145"/>
      <c r="H86" s="145"/>
      <c r="I86" s="21" t="s">
        <v>143</v>
      </c>
      <c r="J86" s="30">
        <f>(IF(B79&gt;1,(H79/(B79+2)+J85),0))</f>
        <v>0</v>
      </c>
    </row>
    <row r="87" spans="1:10" ht="15" customHeight="1" x14ac:dyDescent="0.35">
      <c r="A87" s="147" t="s">
        <v>132</v>
      </c>
      <c r="B87" s="147" t="s">
        <v>129</v>
      </c>
      <c r="C87" s="38">
        <v>0</v>
      </c>
      <c r="D87" s="51">
        <f ca="1">((100/(H79))*C87)/100</f>
        <v>0</v>
      </c>
      <c r="E87" s="145"/>
      <c r="F87" s="145"/>
      <c r="G87" s="145"/>
      <c r="H87" s="145"/>
      <c r="I87" s="21" t="s">
        <v>140</v>
      </c>
      <c r="J87" s="30">
        <f>(IF(B79&gt;2,(H79/(B79+2)+J86),0))</f>
        <v>0</v>
      </c>
    </row>
    <row r="88" spans="1:10" ht="15.75" customHeight="1" x14ac:dyDescent="0.35">
      <c r="A88" s="147" t="s">
        <v>128</v>
      </c>
      <c r="B88" s="147" t="s">
        <v>128</v>
      </c>
      <c r="C88" s="38">
        <v>0</v>
      </c>
      <c r="D88" s="51">
        <f ca="1">((100/H79)*C88)/100</f>
        <v>0</v>
      </c>
      <c r="E88" s="145"/>
      <c r="F88" s="145"/>
      <c r="G88" s="145"/>
      <c r="H88" s="145"/>
      <c r="I88" s="21" t="s">
        <v>141</v>
      </c>
      <c r="J88" s="31">
        <f>(IF(B79&gt;3,(H79/(B79+2)+J87),0))</f>
        <v>0</v>
      </c>
    </row>
    <row r="89" spans="1:10" ht="15.75" customHeight="1" x14ac:dyDescent="0.35">
      <c r="A89" s="147" t="s">
        <v>135</v>
      </c>
      <c r="B89" s="147"/>
      <c r="C89" s="38">
        <v>0</v>
      </c>
      <c r="D89" s="51">
        <f ca="1">((100/H79)*C89)/100</f>
        <v>0</v>
      </c>
      <c r="E89" s="145"/>
      <c r="F89" s="145"/>
      <c r="G89" s="145"/>
      <c r="H89" s="145"/>
      <c r="I89" s="21" t="s">
        <v>142</v>
      </c>
      <c r="J89" s="30">
        <f>(IF(B79&gt;4,(H79/(B79+2)+J88),0))</f>
        <v>0</v>
      </c>
    </row>
    <row r="90" spans="1:10" ht="15.75" customHeight="1" x14ac:dyDescent="0.35">
      <c r="A90" s="147" t="s">
        <v>130</v>
      </c>
      <c r="B90" s="147" t="s">
        <v>130</v>
      </c>
      <c r="C90" s="38">
        <v>0</v>
      </c>
      <c r="D90" s="51">
        <f ca="1">((100/(H79))*C90)/100</f>
        <v>0</v>
      </c>
      <c r="E90" s="145"/>
      <c r="F90" s="145"/>
      <c r="G90" s="145"/>
      <c r="H90" s="145"/>
      <c r="I90" s="21" t="s">
        <v>144</v>
      </c>
      <c r="J90" s="30">
        <f ca="1">(IF(B79=1,(H79/(B79+3)+J85),IF(B79=0,(H79/4+J85),IF(B79&gt;1,0))))</f>
        <v>21</v>
      </c>
    </row>
    <row r="91" spans="1:10" ht="16" thickBot="1" x14ac:dyDescent="0.4">
      <c r="A91" s="148" t="s">
        <v>131</v>
      </c>
      <c r="B91" s="148"/>
      <c r="C91" s="40">
        <v>0</v>
      </c>
      <c r="D91" s="52">
        <f ca="1">((100/(H79))*C91)/100</f>
        <v>0</v>
      </c>
      <c r="E91" s="146"/>
      <c r="F91" s="146"/>
      <c r="G91" s="146"/>
      <c r="H91" s="146"/>
      <c r="I91" s="29" t="s">
        <v>112</v>
      </c>
      <c r="J91" s="32">
        <f ca="1">(IF(B79&gt;1.5,(H79/(B79+2)+J85+MAX(0,J86-J85)+MAX(0,J87-J86)+MAX(0,J88-J87)+MAX(0,J89-J88)+MAX(0,J90-J89)),IF(B79=1,(H79/(B79+3)+J90),IF(B79=0,H79/4+J90))))</f>
        <v>28</v>
      </c>
    </row>
    <row r="92" spans="1:10" ht="15.75" customHeight="1" x14ac:dyDescent="0.35">
      <c r="A92" s="160" t="s">
        <v>137</v>
      </c>
      <c r="B92" s="161"/>
      <c r="C92" s="160" t="str">
        <f>D56</f>
        <v>Building No 3 (Rudra) = G + 3P + 1st to 28th floor</v>
      </c>
      <c r="D92" s="162"/>
      <c r="E92" s="162"/>
      <c r="F92" s="162"/>
      <c r="G92" s="162"/>
      <c r="H92" s="161"/>
      <c r="I92" s="27" t="str">
        <f ca="1">(IF(E96&gt;99%,"All work completed. Please provide OC.",IF(E96&gt;89.8%,"Plinth, RCC, Brick, Plaster, Flooring, Painting work Completed. Finishing work is in process.",IF(E96&lt;94%,(IF(C96=0,"Work not yet Started.",IF(D96=25%,"Piling work in process",IF(D96=50%,"Excavation work in process",IF(D96=100%,"Excavation work Completed. ","0")))&amp;(IF(C97=0%,"",IF(C97=J98,"Footing work is process",IF(C97=J99,"Footing work Completed",IF(C97=J100,"1st Basement Completed",IF(C97=J101,"1st &amp; 2nd Basement Completed",IF(C97=J102,"1st to 3rd Basement Completed",IF(C97=J103,"1st to 4th Basement Completed",IF(C97=J104,"Plinth work is process",IF(C97=J105,"Plinth work completed","0")))))))))))&amp;(IF(C98=(D93+F93+H93),", RCC Slab",IF(C98&gt;0,", RCC upto "&amp;C98&amp;" Slab",""))&amp;(IF(C99=H93,", Brickwork",IF(C99&gt;0,", Brickwork upto "&amp;C99&amp;" Floor",""))&amp;(IF(C100=H93,", Internal Plaster",IF(C100&gt;0,", Internal Plaster upto "&amp;C100&amp;" Floor",""))&amp;(IF(C101=H93,", External Plaster",IF(C101&gt;0,", External Plaster upto "&amp;C101&amp;" Floor",""))&amp;(IF(C102=H93,", Flooring",IF(C102&gt;0,", Flooring upto "&amp;C102&amp;" Floor",""))&amp;(IF(C103=H93,", Painting",IF(C103&gt;0,", Painting upto "&amp;C103&amp;" Floor",""))&amp;(IF(C104&gt;0,", Finishing upto "&amp;C104&amp;" Floor","")&amp;(IF(C98&gt;0.5," Completed",""))))))))))))))</f>
        <v>Excavation work Completed. Plinth work completed, RCC upto 9 Slab, Brickwork upto 5 Floor, Internal Plaster upto 3.75 Floor, External Plaster upto 3 Floor Completed</v>
      </c>
      <c r="J92" s="14"/>
    </row>
    <row r="93" spans="1:10" x14ac:dyDescent="0.35">
      <c r="A93" s="44" t="s">
        <v>139</v>
      </c>
      <c r="B93" s="44">
        <v>0</v>
      </c>
      <c r="C93" s="44" t="s">
        <v>73</v>
      </c>
      <c r="D93" s="44">
        <v>1</v>
      </c>
      <c r="E93" s="44" t="s">
        <v>72</v>
      </c>
      <c r="F93" s="44">
        <v>3</v>
      </c>
      <c r="G93" s="45" t="s">
        <v>85</v>
      </c>
      <c r="H93" s="44">
        <f ca="1">--TRIM(RIGHT(SUBSTITUTE(LEFT(C92,_xlfn.AGGREGATE(16,6,FIND({0,1,2,3,4,5,6,7,8,9},C92,ROW(INDIRECT("1:"&amp;LEN(C92)))),1))," ",REPT(" ",LEN(C92))),LEN(C92)))</f>
        <v>28</v>
      </c>
      <c r="I93" s="28"/>
      <c r="J93" s="15"/>
    </row>
    <row r="94" spans="1:10" ht="51" customHeight="1" x14ac:dyDescent="0.35">
      <c r="A94" s="159" t="s">
        <v>95</v>
      </c>
      <c r="B94" s="159"/>
      <c r="C94" s="163" t="str">
        <f ca="1">I92</f>
        <v>Excavation work Completed. Plinth work completed, RCC upto 9 Slab, Brickwork upto 5 Floor, Internal Plaster upto 3.75 Floor, External Plaster upto 3 Floor Completed</v>
      </c>
      <c r="D94" s="163"/>
      <c r="E94" s="163"/>
      <c r="F94" s="163"/>
      <c r="G94" s="163"/>
      <c r="H94" s="163"/>
      <c r="I94" s="28" t="s">
        <v>113</v>
      </c>
      <c r="J94" s="15"/>
    </row>
    <row r="95" spans="1:10" ht="15.75" customHeight="1" x14ac:dyDescent="0.35">
      <c r="A95" s="147" t="s">
        <v>49</v>
      </c>
      <c r="B95" s="147"/>
      <c r="C95" s="34" t="s">
        <v>136</v>
      </c>
      <c r="D95" s="50" t="s">
        <v>88</v>
      </c>
      <c r="E95" s="147" t="s">
        <v>90</v>
      </c>
      <c r="F95" s="147"/>
      <c r="G95" s="147" t="s">
        <v>89</v>
      </c>
      <c r="H95" s="147"/>
      <c r="I95" s="21" t="s">
        <v>138</v>
      </c>
      <c r="J95" s="16">
        <f ca="1">H93*25%</f>
        <v>7</v>
      </c>
    </row>
    <row r="96" spans="1:10" x14ac:dyDescent="0.35">
      <c r="A96" s="147" t="s">
        <v>125</v>
      </c>
      <c r="B96" s="147"/>
      <c r="C96" s="38">
        <f ca="1">J97</f>
        <v>28</v>
      </c>
      <c r="D96" s="51">
        <f ca="1">((100/H93)*C96)/100</f>
        <v>1</v>
      </c>
      <c r="E96" s="145">
        <f ca="1">(((C97/H93*10)+(40/(D93+F93+H93)*C98)+(7.5/(H93)*C99)+(7.5/(H93)*C100)+(10/H93*C101)+(10/H93*C102)+(5/H93*C103)+(5/H93*C104)+(5/H93*C105))/100)</f>
        <v>0.24665178571428573</v>
      </c>
      <c r="F96" s="145"/>
      <c r="G96" s="145">
        <f ca="1">((((C96/H93)*20)+((C97/H93)*25)+(30/(H93+F93+D93)*C98)+(5/H93*C99)+(5/H93*C100)+(5/H93*C101)+(5/H93*C102)+(0/H93*C103)+(0/H93*C104)+(5/H93*C105))/100)</f>
        <v>0.55535714285714288</v>
      </c>
      <c r="H96" s="145"/>
      <c r="I96" s="21" t="s">
        <v>108</v>
      </c>
      <c r="J96" s="26">
        <f ca="1">H93*50%</f>
        <v>14</v>
      </c>
    </row>
    <row r="97" spans="1:10" x14ac:dyDescent="0.35">
      <c r="A97" s="147" t="s">
        <v>50</v>
      </c>
      <c r="B97" s="147"/>
      <c r="C97" s="39">
        <f ca="1">J105</f>
        <v>28</v>
      </c>
      <c r="D97" s="51">
        <f ca="1">((100/H93)*C97)/100</f>
        <v>1</v>
      </c>
      <c r="E97" s="145"/>
      <c r="F97" s="145"/>
      <c r="G97" s="145"/>
      <c r="H97" s="145"/>
      <c r="I97" s="21" t="s">
        <v>109</v>
      </c>
      <c r="J97" s="26">
        <f ca="1">H93</f>
        <v>28</v>
      </c>
    </row>
    <row r="98" spans="1:10" ht="15.75" customHeight="1" x14ac:dyDescent="0.35">
      <c r="A98" s="147" t="s">
        <v>126</v>
      </c>
      <c r="B98" s="147"/>
      <c r="C98" s="39">
        <v>9</v>
      </c>
      <c r="D98" s="51">
        <f ca="1">((100/(D93+F93+H93))*C98)/100</f>
        <v>0.28125</v>
      </c>
      <c r="E98" s="145"/>
      <c r="F98" s="145"/>
      <c r="G98" s="145"/>
      <c r="H98" s="145"/>
      <c r="I98" s="21" t="s">
        <v>110</v>
      </c>
      <c r="J98" s="30">
        <f ca="1">(IF(B93&gt;1,(H93/(B93+2)),H93/4))</f>
        <v>7</v>
      </c>
    </row>
    <row r="99" spans="1:10" ht="15.75" customHeight="1" x14ac:dyDescent="0.35">
      <c r="A99" s="147" t="s">
        <v>133</v>
      </c>
      <c r="B99" s="147" t="s">
        <v>127</v>
      </c>
      <c r="C99" s="39">
        <f>C98-D93-F93</f>
        <v>5</v>
      </c>
      <c r="D99" s="51">
        <f ca="1">((100/H93)*C99)/100</f>
        <v>0.17857142857142858</v>
      </c>
      <c r="E99" s="145"/>
      <c r="F99" s="145"/>
      <c r="G99" s="145"/>
      <c r="H99" s="145"/>
      <c r="I99" s="21" t="s">
        <v>111</v>
      </c>
      <c r="J99" s="30">
        <f ca="1">(IF(B93&gt;1,(H93/(B93+2)+J98),H93/4+J98))</f>
        <v>14</v>
      </c>
    </row>
    <row r="100" spans="1:10" ht="15.75" customHeight="1" x14ac:dyDescent="0.35">
      <c r="A100" s="147" t="s">
        <v>134</v>
      </c>
      <c r="B100" s="147" t="s">
        <v>127</v>
      </c>
      <c r="C100" s="39">
        <f>C99*0.75</f>
        <v>3.75</v>
      </c>
      <c r="D100" s="51">
        <f ca="1">((100/H93)*C100)/100</f>
        <v>0.13392857142857145</v>
      </c>
      <c r="E100" s="145"/>
      <c r="F100" s="145"/>
      <c r="G100" s="145"/>
      <c r="H100" s="145"/>
      <c r="I100" s="21" t="s">
        <v>143</v>
      </c>
      <c r="J100" s="30">
        <f>(IF(B93&gt;1,(H93/(B93+2)+J99),0))</f>
        <v>0</v>
      </c>
    </row>
    <row r="101" spans="1:10" ht="15" customHeight="1" x14ac:dyDescent="0.35">
      <c r="A101" s="147" t="s">
        <v>132</v>
      </c>
      <c r="B101" s="147" t="s">
        <v>129</v>
      </c>
      <c r="C101" s="39">
        <f>C99*0.6</f>
        <v>3</v>
      </c>
      <c r="D101" s="51">
        <f ca="1">((100/(H93))*C101)/100</f>
        <v>0.10714285714285715</v>
      </c>
      <c r="E101" s="145"/>
      <c r="F101" s="145"/>
      <c r="G101" s="145"/>
      <c r="H101" s="145"/>
      <c r="I101" s="21" t="s">
        <v>140</v>
      </c>
      <c r="J101" s="30">
        <f>(IF(B93&gt;2,(H93/(B93+2)+J100),0))</f>
        <v>0</v>
      </c>
    </row>
    <row r="102" spans="1:10" ht="15.75" customHeight="1" x14ac:dyDescent="0.35">
      <c r="A102" s="147" t="s">
        <v>128</v>
      </c>
      <c r="B102" s="147" t="s">
        <v>128</v>
      </c>
      <c r="C102" s="38">
        <v>0</v>
      </c>
      <c r="D102" s="51">
        <f ca="1">((100/H93)*C102)/100</f>
        <v>0</v>
      </c>
      <c r="E102" s="145"/>
      <c r="F102" s="145"/>
      <c r="G102" s="145"/>
      <c r="H102" s="145"/>
      <c r="I102" s="21" t="s">
        <v>141</v>
      </c>
      <c r="J102" s="31">
        <f>(IF(B93&gt;3,(H93/(B93+2)+J101),0))</f>
        <v>0</v>
      </c>
    </row>
    <row r="103" spans="1:10" ht="15.75" customHeight="1" x14ac:dyDescent="0.35">
      <c r="A103" s="147" t="s">
        <v>135</v>
      </c>
      <c r="B103" s="147"/>
      <c r="C103" s="38">
        <v>0</v>
      </c>
      <c r="D103" s="51">
        <f ca="1">((100/H93)*C103)/100</f>
        <v>0</v>
      </c>
      <c r="E103" s="145"/>
      <c r="F103" s="145"/>
      <c r="G103" s="145"/>
      <c r="H103" s="145"/>
      <c r="I103" s="21" t="s">
        <v>142</v>
      </c>
      <c r="J103" s="30">
        <f>(IF(B93&gt;4,(H93/(B93+2)+J102),0))</f>
        <v>0</v>
      </c>
    </row>
    <row r="104" spans="1:10" ht="15.75" customHeight="1" x14ac:dyDescent="0.35">
      <c r="A104" s="147" t="s">
        <v>130</v>
      </c>
      <c r="B104" s="147" t="s">
        <v>130</v>
      </c>
      <c r="C104" s="38">
        <v>0</v>
      </c>
      <c r="D104" s="51">
        <f ca="1">((100/(H93))*C104)/100</f>
        <v>0</v>
      </c>
      <c r="E104" s="145"/>
      <c r="F104" s="145"/>
      <c r="G104" s="145"/>
      <c r="H104" s="145"/>
      <c r="I104" s="21" t="s">
        <v>144</v>
      </c>
      <c r="J104" s="30">
        <f ca="1">(IF(B93=1,(H93/(B93+3)+J99),IF(B93=0,(H93/4+J99),IF(B93&gt;1,0))))</f>
        <v>21</v>
      </c>
    </row>
    <row r="105" spans="1:10" ht="16" thickBot="1" x14ac:dyDescent="0.4">
      <c r="A105" s="148" t="s">
        <v>131</v>
      </c>
      <c r="B105" s="148"/>
      <c r="C105" s="40">
        <v>0</v>
      </c>
      <c r="D105" s="52">
        <f ca="1">((100/(H93))*C105)/100</f>
        <v>0</v>
      </c>
      <c r="E105" s="146"/>
      <c r="F105" s="146"/>
      <c r="G105" s="146"/>
      <c r="H105" s="146"/>
      <c r="I105" s="29" t="s">
        <v>112</v>
      </c>
      <c r="J105" s="32">
        <f ca="1">(IF(B93&gt;1.5,(H93/(B93+2)+J99+MAX(0,J100-J99)+MAX(0,J101-J100)+MAX(0,J102-J101)+MAX(0,J103-J102)+MAX(0,J104-J103)),IF(B93=1,(H93/(B93+3)+J104),IF(B93=0,H93/4+J104))))</f>
        <v>28</v>
      </c>
    </row>
    <row r="106" spans="1:10" x14ac:dyDescent="0.35">
      <c r="A106" s="125" t="s">
        <v>51</v>
      </c>
      <c r="B106" s="125"/>
      <c r="C106" s="125"/>
      <c r="D106" s="125"/>
      <c r="E106" s="125"/>
      <c r="F106" s="125"/>
      <c r="G106" s="125"/>
      <c r="H106" s="125"/>
    </row>
    <row r="107" spans="1:10" x14ac:dyDescent="0.35">
      <c r="A107" s="64" t="s">
        <v>77</v>
      </c>
      <c r="B107" s="64"/>
      <c r="C107" s="64"/>
      <c r="D107" s="64"/>
      <c r="E107" s="64"/>
      <c r="F107" s="107">
        <v>6800</v>
      </c>
      <c r="G107" s="107"/>
      <c r="H107" s="107"/>
      <c r="I107" s="3" t="s">
        <v>232</v>
      </c>
    </row>
    <row r="108" spans="1:10" hidden="1" x14ac:dyDescent="0.35">
      <c r="A108" s="64" t="s">
        <v>83</v>
      </c>
      <c r="B108" s="64"/>
      <c r="C108" s="64"/>
      <c r="D108" s="64"/>
      <c r="E108" s="64"/>
      <c r="F108" s="107"/>
      <c r="G108" s="107"/>
      <c r="H108" s="107"/>
    </row>
    <row r="109" spans="1:10" hidden="1" x14ac:dyDescent="0.35">
      <c r="A109" s="64" t="s">
        <v>84</v>
      </c>
      <c r="B109" s="64"/>
      <c r="C109" s="64"/>
      <c r="D109" s="64"/>
      <c r="E109" s="64"/>
      <c r="F109" s="107"/>
      <c r="G109" s="107"/>
      <c r="H109" s="107"/>
    </row>
    <row r="110" spans="1:10" s="7" customFormat="1" hidden="1" x14ac:dyDescent="0.3">
      <c r="A110" s="64" t="s">
        <v>100</v>
      </c>
      <c r="B110" s="64"/>
      <c r="C110" s="64"/>
      <c r="D110" s="64"/>
      <c r="E110" s="64"/>
      <c r="F110" s="107" t="s">
        <v>28</v>
      </c>
      <c r="G110" s="107"/>
      <c r="H110" s="107"/>
    </row>
    <row r="111" spans="1:10" s="7" customFormat="1" hidden="1" x14ac:dyDescent="0.3">
      <c r="A111" s="64" t="s">
        <v>101</v>
      </c>
      <c r="B111" s="64"/>
      <c r="C111" s="64"/>
      <c r="D111" s="64"/>
      <c r="E111" s="64"/>
      <c r="F111" s="107" t="s">
        <v>28</v>
      </c>
      <c r="G111" s="107"/>
      <c r="H111" s="107"/>
    </row>
    <row r="112" spans="1:10" s="7" customFormat="1" hidden="1" x14ac:dyDescent="0.3">
      <c r="A112" s="64" t="s">
        <v>102</v>
      </c>
      <c r="B112" s="64"/>
      <c r="C112" s="64"/>
      <c r="D112" s="64"/>
      <c r="E112" s="64"/>
      <c r="F112" s="107" t="s">
        <v>28</v>
      </c>
      <c r="G112" s="107"/>
      <c r="H112" s="107"/>
    </row>
    <row r="113" spans="1:9" s="7" customFormat="1" hidden="1" x14ac:dyDescent="0.3">
      <c r="A113" s="64" t="s">
        <v>103</v>
      </c>
      <c r="B113" s="64"/>
      <c r="C113" s="64"/>
      <c r="D113" s="64"/>
      <c r="E113" s="64"/>
      <c r="F113" s="107" t="s">
        <v>28</v>
      </c>
      <c r="G113" s="107"/>
      <c r="H113" s="107"/>
    </row>
    <row r="114" spans="1:9" s="7" customFormat="1" hidden="1" x14ac:dyDescent="0.3">
      <c r="A114" s="64" t="s">
        <v>104</v>
      </c>
      <c r="B114" s="64"/>
      <c r="C114" s="64"/>
      <c r="D114" s="64"/>
      <c r="E114" s="64"/>
      <c r="F114" s="107" t="s">
        <v>28</v>
      </c>
      <c r="G114" s="107"/>
      <c r="H114" s="107"/>
    </row>
    <row r="115" spans="1:9" s="7" customFormat="1" hidden="1" x14ac:dyDescent="0.3">
      <c r="A115" s="64" t="s">
        <v>105</v>
      </c>
      <c r="B115" s="64"/>
      <c r="C115" s="64"/>
      <c r="D115" s="64"/>
      <c r="E115" s="64"/>
      <c r="F115" s="107" t="s">
        <v>28</v>
      </c>
      <c r="G115" s="107"/>
      <c r="H115" s="107"/>
    </row>
    <row r="116" spans="1:9" s="7" customFormat="1" hidden="1" x14ac:dyDescent="0.3">
      <c r="A116" s="64" t="s">
        <v>106</v>
      </c>
      <c r="B116" s="64"/>
      <c r="C116" s="64"/>
      <c r="D116" s="64"/>
      <c r="E116" s="64"/>
      <c r="F116" s="107" t="s">
        <v>28</v>
      </c>
      <c r="G116" s="107"/>
      <c r="H116" s="107"/>
    </row>
    <row r="117" spans="1:9" s="7" customFormat="1" hidden="1" x14ac:dyDescent="0.3">
      <c r="A117" s="64" t="s">
        <v>107</v>
      </c>
      <c r="B117" s="64"/>
      <c r="C117" s="64"/>
      <c r="D117" s="64"/>
      <c r="E117" s="64"/>
      <c r="F117" s="107" t="s">
        <v>28</v>
      </c>
      <c r="G117" s="107"/>
      <c r="H117" s="107"/>
    </row>
    <row r="118" spans="1:9" x14ac:dyDescent="0.35">
      <c r="A118" s="64" t="s">
        <v>52</v>
      </c>
      <c r="B118" s="64"/>
      <c r="C118" s="64"/>
      <c r="D118" s="64"/>
      <c r="E118" s="64"/>
      <c r="F118" s="99" t="s">
        <v>231</v>
      </c>
      <c r="G118" s="99"/>
      <c r="H118" s="99"/>
    </row>
    <row r="119" spans="1:9" s="4" customFormat="1" x14ac:dyDescent="0.35">
      <c r="A119" s="125" t="s">
        <v>53</v>
      </c>
      <c r="B119" s="125"/>
      <c r="C119" s="125"/>
      <c r="D119" s="125"/>
      <c r="E119" s="125"/>
      <c r="F119" s="107">
        <f>F107*0.8</f>
        <v>5440</v>
      </c>
      <c r="G119" s="107"/>
      <c r="H119" s="107"/>
    </row>
    <row r="120" spans="1:9" s="1" customFormat="1" ht="15.75" hidden="1" customHeight="1" x14ac:dyDescent="0.35">
      <c r="A120" s="117" t="s">
        <v>78</v>
      </c>
      <c r="B120" s="117"/>
      <c r="C120" s="117"/>
      <c r="D120" s="117"/>
      <c r="E120" s="117"/>
      <c r="F120" s="117"/>
      <c r="G120" s="117"/>
      <c r="H120" s="117"/>
    </row>
    <row r="121" spans="1:9" s="1" customFormat="1" ht="15.75" hidden="1" customHeight="1" x14ac:dyDescent="0.35">
      <c r="A121" s="114" t="s">
        <v>54</v>
      </c>
      <c r="B121" s="114"/>
      <c r="C121" s="118" t="s">
        <v>81</v>
      </c>
      <c r="D121" s="118"/>
      <c r="E121" s="170" t="s">
        <v>55</v>
      </c>
      <c r="F121" s="170"/>
      <c r="G121" s="114" t="s">
        <v>56</v>
      </c>
      <c r="H121" s="114"/>
    </row>
    <row r="122" spans="1:9" s="1" customFormat="1" hidden="1" x14ac:dyDescent="0.35">
      <c r="A122" s="165"/>
      <c r="B122" s="165"/>
      <c r="C122" s="171"/>
      <c r="D122" s="171"/>
      <c r="E122" s="172"/>
      <c r="F122" s="172"/>
      <c r="G122" s="176"/>
      <c r="H122" s="176"/>
    </row>
    <row r="123" spans="1:9" s="1" customFormat="1" x14ac:dyDescent="0.35">
      <c r="A123" s="117" t="s">
        <v>71</v>
      </c>
      <c r="B123" s="117"/>
      <c r="C123" s="117"/>
      <c r="D123" s="117"/>
      <c r="E123" s="117"/>
      <c r="F123" s="117"/>
      <c r="G123" s="117"/>
      <c r="H123" s="117"/>
    </row>
    <row r="124" spans="1:9" s="1" customFormat="1" ht="15.75" customHeight="1" x14ac:dyDescent="0.35">
      <c r="A124" s="114" t="s">
        <v>54</v>
      </c>
      <c r="B124" s="114"/>
      <c r="C124" s="118" t="s">
        <v>81</v>
      </c>
      <c r="D124" s="118"/>
      <c r="E124" s="170" t="s">
        <v>55</v>
      </c>
      <c r="F124" s="170"/>
      <c r="G124" s="114" t="s">
        <v>56</v>
      </c>
      <c r="H124" s="114"/>
    </row>
    <row r="125" spans="1:9" s="1" customFormat="1" x14ac:dyDescent="0.35">
      <c r="A125" s="165" t="s">
        <v>180</v>
      </c>
      <c r="B125" s="165"/>
      <c r="C125" s="175">
        <f>COUNT(D138:D143)+COUNT(D145:D147)</f>
        <v>9</v>
      </c>
      <c r="D125" s="175"/>
      <c r="E125" s="175">
        <f t="shared" ref="E125" si="0">SUM(D138:D143)+SUM(D145:D147)</f>
        <v>5671.12104</v>
      </c>
      <c r="F125" s="175"/>
      <c r="G125" s="175">
        <f>SUM(F138:F143)+SUM(F145:F147)</f>
        <v>8506.6815600000009</v>
      </c>
      <c r="H125" s="175"/>
      <c r="I125" s="48" t="s">
        <v>203</v>
      </c>
    </row>
    <row r="126" spans="1:9" s="1" customFormat="1" ht="30.75" customHeight="1" x14ac:dyDescent="0.35">
      <c r="A126" s="165" t="s">
        <v>211</v>
      </c>
      <c r="B126" s="55" t="s">
        <v>212</v>
      </c>
      <c r="C126" s="167">
        <f>COUNT(D154:D159)*3+COUNT(D161:D163,D165:D166)</f>
        <v>23</v>
      </c>
      <c r="D126" s="167"/>
      <c r="E126" s="167">
        <f t="shared" ref="E126" si="1">SUM(D154:D159)*3+SUM(D161:D163,D165:D166)</f>
        <v>9337.2317999999977</v>
      </c>
      <c r="F126" s="167"/>
      <c r="G126" s="167">
        <f>SUM(F154:F159)*3+SUM(F161:F163,F165:F166)</f>
        <v>14005.847700000002</v>
      </c>
      <c r="H126" s="167"/>
      <c r="I126" s="48" t="s">
        <v>203</v>
      </c>
    </row>
    <row r="127" spans="1:9" s="1" customFormat="1" ht="15.75" customHeight="1" x14ac:dyDescent="0.35">
      <c r="A127" s="165"/>
      <c r="B127" s="55" t="s">
        <v>214</v>
      </c>
      <c r="C127" s="175">
        <f>COUNT(D168:D173)*14+COUNT(D175:D177,D179:D180)*3</f>
        <v>99</v>
      </c>
      <c r="D127" s="175"/>
      <c r="E127" s="175">
        <f t="shared" ref="E127" si="2">SUM(D168:D173)*14+SUM(D175:D177,D179:D180)*3</f>
        <v>60205.043339999982</v>
      </c>
      <c r="F127" s="175"/>
      <c r="G127" s="175">
        <f>SUM(F168:F173)*14+SUM(F175:F177,F179:F180)*3</f>
        <v>90307.565009999991</v>
      </c>
      <c r="H127" s="175"/>
      <c r="I127" s="48" t="s">
        <v>203</v>
      </c>
    </row>
    <row r="128" spans="1:9" s="1" customFormat="1" x14ac:dyDescent="0.35">
      <c r="A128" s="165" t="s">
        <v>181</v>
      </c>
      <c r="B128" s="165"/>
      <c r="C128" s="175">
        <f>COUNT(D185:D190)*17+COUNT(D192:D194,D196:D197)*4</f>
        <v>122</v>
      </c>
      <c r="D128" s="175"/>
      <c r="E128" s="175">
        <f t="shared" ref="E128" si="3">SUM(D185:D190)*17+SUM(D192:D194,D196:D197)*4</f>
        <v>74214.066420000003</v>
      </c>
      <c r="F128" s="175"/>
      <c r="G128" s="175">
        <f>SUM(F185:F190)*17+SUM(F192:F194,F196:F197)*4</f>
        <v>111321.09963000001</v>
      </c>
      <c r="H128" s="175"/>
      <c r="I128" s="48" t="s">
        <v>203</v>
      </c>
    </row>
    <row r="129" spans="1:16" s="43" customFormat="1" x14ac:dyDescent="0.35">
      <c r="A129" s="117" t="s">
        <v>170</v>
      </c>
      <c r="B129" s="117"/>
      <c r="C129" s="118">
        <f>SUM(C125:C128)</f>
        <v>253</v>
      </c>
      <c r="D129" s="118"/>
      <c r="E129" s="119">
        <f>SUM(E125:E128)</f>
        <v>149427.46259999997</v>
      </c>
      <c r="F129" s="119"/>
      <c r="G129" s="119">
        <f>SUM(G125:G128)</f>
        <v>224141.19390000001</v>
      </c>
      <c r="H129" s="119"/>
      <c r="I129" s="48"/>
    </row>
    <row r="130" spans="1:16" s="4" customFormat="1" x14ac:dyDescent="0.35">
      <c r="A130" s="91" t="s">
        <v>57</v>
      </c>
      <c r="B130" s="91"/>
      <c r="C130" s="91"/>
      <c r="D130" s="91"/>
      <c r="E130" s="91"/>
      <c r="F130" s="91"/>
      <c r="G130" s="91"/>
      <c r="H130" s="91"/>
    </row>
    <row r="131" spans="1:16" x14ac:dyDescent="0.35">
      <c r="A131" s="91" t="s">
        <v>58</v>
      </c>
      <c r="B131" s="91"/>
      <c r="C131" s="91"/>
      <c r="D131" s="91"/>
      <c r="E131" s="91"/>
      <c r="F131" s="91"/>
      <c r="G131" s="91"/>
      <c r="H131" s="91"/>
    </row>
    <row r="132" spans="1:16" s="19" customFormat="1" ht="45" x14ac:dyDescent="0.35">
      <c r="A132" s="115" t="s">
        <v>117</v>
      </c>
      <c r="B132" s="115" t="s">
        <v>202</v>
      </c>
      <c r="C132" s="115" t="s">
        <v>59</v>
      </c>
      <c r="D132" s="115" t="s">
        <v>60</v>
      </c>
      <c r="E132" s="116" t="s">
        <v>61</v>
      </c>
      <c r="F132" s="57" t="s">
        <v>147</v>
      </c>
      <c r="G132" s="115" t="s">
        <v>62</v>
      </c>
      <c r="H132" s="115"/>
      <c r="I132" s="17">
        <f>253-23</f>
        <v>230</v>
      </c>
      <c r="N132" s="17"/>
    </row>
    <row r="133" spans="1:16" x14ac:dyDescent="0.35">
      <c r="A133" s="115"/>
      <c r="B133" s="115"/>
      <c r="C133" s="115"/>
      <c r="D133" s="115"/>
      <c r="E133" s="116"/>
      <c r="F133" s="58">
        <v>0.5</v>
      </c>
      <c r="G133" s="115"/>
      <c r="H133" s="115"/>
      <c r="I133" s="17"/>
    </row>
    <row r="134" spans="1:16" s="4" customFormat="1" x14ac:dyDescent="0.35">
      <c r="A134" s="91" t="s">
        <v>178</v>
      </c>
      <c r="B134" s="91"/>
      <c r="C134" s="91"/>
      <c r="D134" s="91"/>
      <c r="E134" s="91"/>
      <c r="F134" s="91"/>
      <c r="G134" s="91"/>
      <c r="H134" s="91"/>
    </row>
    <row r="135" spans="1:16" s="4" customFormat="1" x14ac:dyDescent="0.35">
      <c r="A135" s="91" t="s">
        <v>206</v>
      </c>
      <c r="B135" s="91"/>
      <c r="C135" s="91"/>
      <c r="D135" s="91"/>
      <c r="E135" s="91"/>
      <c r="F135" s="91"/>
      <c r="G135" s="91"/>
      <c r="H135" s="91"/>
    </row>
    <row r="136" spans="1:16" s="4" customFormat="1" x14ac:dyDescent="0.35">
      <c r="A136" s="91" t="s">
        <v>193</v>
      </c>
      <c r="B136" s="91"/>
      <c r="C136" s="91"/>
      <c r="D136" s="91"/>
      <c r="E136" s="91"/>
      <c r="F136" s="91"/>
      <c r="G136" s="91"/>
      <c r="H136" s="91"/>
    </row>
    <row r="137" spans="1:16" s="37" customFormat="1" x14ac:dyDescent="0.35">
      <c r="A137" s="108" t="s">
        <v>194</v>
      </c>
      <c r="B137" s="109"/>
      <c r="C137" s="109"/>
      <c r="D137" s="109"/>
      <c r="E137" s="109"/>
      <c r="F137" s="109"/>
      <c r="G137" s="109"/>
      <c r="H137" s="110"/>
      <c r="I137" s="17"/>
      <c r="N137" s="37" t="str">
        <f t="shared" ref="N137" si="4">O137&amp;""&amp;",..,"&amp;""&amp;P137</f>
        <v>1,..,1</v>
      </c>
      <c r="O137" s="37">
        <f>O136+1</f>
        <v>1</v>
      </c>
      <c r="P137" s="37">
        <f>P136+1</f>
        <v>1</v>
      </c>
    </row>
    <row r="138" spans="1:16" s="37" customFormat="1" ht="15.75" customHeight="1" x14ac:dyDescent="0.35">
      <c r="A138" s="120">
        <v>1</v>
      </c>
      <c r="B138" s="121"/>
      <c r="C138" s="36" t="s">
        <v>167</v>
      </c>
      <c r="D138" s="36">
        <f>((58.54)+(3.05+2.4*0.75+3.05*0.75+4.1))*10.764</f>
        <v>751.08501000000001</v>
      </c>
      <c r="E138" s="36">
        <v>0</v>
      </c>
      <c r="F138" s="36">
        <f t="shared" ref="F138:F143" si="5">D138*(($F$133)+1)+(IF(E138&lt;101,E138,IF(E138&lt;201,E138/2,IF(E138&lt;=301,E138/3,E138/4))))</f>
        <v>1126.6275150000001</v>
      </c>
      <c r="G138" s="79" t="str">
        <f>A137</f>
        <v>1st Floor For Residential</v>
      </c>
      <c r="H138" s="80"/>
      <c r="I138" s="17">
        <f>((3.05*4.75+2.4*3.4+3.05*3.05+3.08*3.2+2.1*1.2+1.2*2.1)+(3.05*1+2*0.6+2.4*1+1.2*2.23+1.05*0.6))</f>
        <v>56.802000000000007</v>
      </c>
      <c r="J138" s="37">
        <f>6100000/F138</f>
        <v>5414.3893334612894</v>
      </c>
      <c r="P138" s="18"/>
    </row>
    <row r="139" spans="1:16" s="37" customFormat="1" ht="15.75" customHeight="1" x14ac:dyDescent="0.35">
      <c r="A139" s="120">
        <v>2</v>
      </c>
      <c r="B139" s="121"/>
      <c r="C139" s="36" t="s">
        <v>167</v>
      </c>
      <c r="D139" s="36">
        <f>((58.54)+(3.05+2.4*0.75+3.05*0.75+4.1))*10.764</f>
        <v>751.08501000000001</v>
      </c>
      <c r="E139" s="36">
        <v>0</v>
      </c>
      <c r="F139" s="36">
        <f t="shared" si="5"/>
        <v>1126.6275150000001</v>
      </c>
      <c r="G139" s="81"/>
      <c r="H139" s="82"/>
      <c r="I139" s="17"/>
      <c r="N139" s="37" t="str">
        <f ca="1">O139&amp;""&amp;" to "&amp;""&amp;P139</f>
        <v>101 to 101</v>
      </c>
      <c r="O139" s="37">
        <f ca="1">(SUMPRODUCT(MID(0&amp;(LEFT(A137,SUM(LEN(A137)-LEN(SUBSTITUTE(A137,{"0","1","2"},""))))), LARGE(INDEX(ISNUMBER(--MID((LEFT(A137,SUM(LEN(A137)-LEN(SUBSTITUTE(A137,{"0","1","2"},""))))), ROW(INDIRECT("1:"&amp;LEN((LEFT(A137,SUM(LEN(A137)-LEN(SUBSTITUTE(A137,{"0","1","2"},"")))))))), 1)) * ROW(INDIRECT("1:"&amp;LEN((LEFT(A137,SUM(LEN(A137)-LEN(SUBSTITUTE(A137,{"0","1","2"},"")))))))), 0), ROW(INDIRECT("1:"&amp;LEN((LEFT(A137,SUM(LEN(A137)-LEN(SUBSTITUTE(A137,{"0","1","2"},"")))))))))+1, 1) * 10^ROW(INDIRECT("1:"&amp;LEN((LEFT(A137,SUM(LEN(A137)-LEN(SUBSTITUTE(A137,{"0","1","2"},""))))))))/10))*100+1</f>
        <v>101</v>
      </c>
      <c r="P139" s="37">
        <f ca="1">(SUMPRODUCT(MID(0&amp;(--TRIM(RIGHT(SUBSTITUTE(LEFT(A137,_xlfn.AGGREGATE(16,6,FIND({0,1,2,3,4,5,6,7,8,9},A137,ROW(INDIRECT("1:"&amp;LEN(A137)))),1))," ",REPT(" ",LEN(A137))),LEN(A137)))), LARGE(INDEX(ISNUMBER(--MID((--TRIM(RIGHT(SUBSTITUTE(LEFT(A137,_xlfn.AGGREGATE(16,6,FIND({0,1,2,3,4,5,6,7,8,9},A137,ROW(INDIRECT("1:"&amp;LEN(A137)))),1))," ",REPT(" ",LEN(A137))),LEN(A137)))), ROW(INDIRECT("1:"&amp;LEN((--TRIM(RIGHT(SUBSTITUTE(LEFT(A137,_xlfn.AGGREGATE(16,6,FIND({0,1,2,3,4,5,6,7,8,9},A137,ROW(INDIRECT("1:"&amp;LEN(A137)))),1))," ",REPT(" ",LEN(A137))),LEN(A137))))))), 1)) * ROW(INDIRECT("1:"&amp;LEN((--TRIM(RIGHT(SUBSTITUTE(LEFT(A137,_xlfn.AGGREGATE(16,6,FIND({0,1,2,3,4,5,6,7,8,9},A137,ROW(INDIRECT("1:"&amp;LEN(A137)))),1))," ",REPT(" ",LEN(A137))),LEN(A137))))))), 0), ROW(INDIRECT("1:"&amp;LEN((--TRIM(RIGHT(SUBSTITUTE(LEFT(A137,_xlfn.AGGREGATE(16,6,FIND({0,1,2,3,4,5,6,7,8,9},A137,ROW(INDIRECT("1:"&amp;LEN(A137)))),1))," ",REPT(" ",LEN(A137))),LEN(A137))))))))+1, 1) * 10^ROW(INDIRECT("1:"&amp;LEN((--TRIM(RIGHT(SUBSTITUTE(LEFT(A137,_xlfn.AGGREGATE(16,6,FIND({0,1,2,3,4,5,6,7,8,9},A137,ROW(INDIRECT("1:"&amp;LEN(A137)))),1))," ",REPT(" ",LEN(A137))),LEN(A137)))))))/10))*100+1</f>
        <v>101</v>
      </c>
    </row>
    <row r="140" spans="1:16" s="37" customFormat="1" ht="15.75" customHeight="1" x14ac:dyDescent="0.35">
      <c r="A140" s="120">
        <v>3</v>
      </c>
      <c r="B140" s="121"/>
      <c r="C140" s="36" t="s">
        <v>168</v>
      </c>
      <c r="D140" s="36">
        <f>((41.65)+(3.05+2.4*0.75+3.05))*10.764</f>
        <v>533.35619999999994</v>
      </c>
      <c r="E140" s="36">
        <v>0</v>
      </c>
      <c r="F140" s="36">
        <f t="shared" si="5"/>
        <v>800.03429999999992</v>
      </c>
      <c r="G140" s="81"/>
      <c r="H140" s="82"/>
      <c r="I140" s="17">
        <f>5500000/F140</f>
        <v>6874.7052470125354</v>
      </c>
      <c r="J140" s="37">
        <f>4100000/F140</f>
        <v>5124.7802750457076</v>
      </c>
      <c r="N140" s="37" t="str">
        <f ca="1">O140&amp;""&amp;" to "&amp;""&amp;P140</f>
        <v>102 to 102</v>
      </c>
      <c r="O140" s="37">
        <f t="shared" ref="O140:P140" ca="1" si="6">O139+1</f>
        <v>102</v>
      </c>
      <c r="P140" s="37">
        <f t="shared" ca="1" si="6"/>
        <v>102</v>
      </c>
    </row>
    <row r="141" spans="1:16" s="37" customFormat="1" ht="15.75" customHeight="1" x14ac:dyDescent="0.35">
      <c r="A141" s="120">
        <v>4</v>
      </c>
      <c r="B141" s="121"/>
      <c r="C141" s="36" t="s">
        <v>168</v>
      </c>
      <c r="D141" s="36">
        <f>((41.65)+(3.05+2.4*0.75+3.05))*10.764</f>
        <v>533.35619999999994</v>
      </c>
      <c r="E141" s="36">
        <v>0</v>
      </c>
      <c r="F141" s="36">
        <f t="shared" si="5"/>
        <v>800.03429999999992</v>
      </c>
      <c r="G141" s="81"/>
      <c r="H141" s="82"/>
      <c r="I141" s="17"/>
      <c r="N141" s="37" t="str">
        <f t="shared" ref="N141:N142" ca="1" si="7">O141&amp;""&amp;" to "&amp;""&amp;P141</f>
        <v>103 to 103</v>
      </c>
      <c r="O141" s="37">
        <f t="shared" ref="O141:P141" ca="1" si="8">O140+1</f>
        <v>103</v>
      </c>
      <c r="P141" s="37">
        <f t="shared" ca="1" si="8"/>
        <v>103</v>
      </c>
    </row>
    <row r="142" spans="1:16" s="37" customFormat="1" ht="15.75" customHeight="1" x14ac:dyDescent="0.35">
      <c r="A142" s="120">
        <v>5</v>
      </c>
      <c r="B142" s="121"/>
      <c r="C142" s="36" t="s">
        <v>168</v>
      </c>
      <c r="D142" s="36">
        <f t="shared" ref="D142:D143" si="9">((41.65)+(3.05+2.4*0.75+3.05))*10.764</f>
        <v>533.35619999999994</v>
      </c>
      <c r="E142" s="36">
        <v>0</v>
      </c>
      <c r="F142" s="36">
        <f t="shared" si="5"/>
        <v>800.03429999999992</v>
      </c>
      <c r="G142" s="81"/>
      <c r="H142" s="82"/>
      <c r="I142" s="17"/>
      <c r="N142" s="37" t="str">
        <f t="shared" ca="1" si="7"/>
        <v>104 to 104</v>
      </c>
      <c r="O142" s="37">
        <f t="shared" ref="O142:P143" ca="1" si="10">O141+1</f>
        <v>104</v>
      </c>
      <c r="P142" s="37">
        <f t="shared" ca="1" si="10"/>
        <v>104</v>
      </c>
    </row>
    <row r="143" spans="1:16" s="37" customFormat="1" ht="15.75" customHeight="1" x14ac:dyDescent="0.35">
      <c r="A143" s="120">
        <v>6</v>
      </c>
      <c r="B143" s="121"/>
      <c r="C143" s="36" t="s">
        <v>168</v>
      </c>
      <c r="D143" s="36">
        <f t="shared" si="9"/>
        <v>533.35619999999994</v>
      </c>
      <c r="E143" s="36">
        <v>0</v>
      </c>
      <c r="F143" s="36">
        <f t="shared" si="5"/>
        <v>800.03429999999992</v>
      </c>
      <c r="G143" s="83"/>
      <c r="H143" s="84"/>
      <c r="I143" s="17"/>
      <c r="N143" s="37" t="str">
        <f t="shared" ref="N143" ca="1" si="11">O143&amp;""&amp;" to "&amp;""&amp;P143</f>
        <v>105 to 105</v>
      </c>
      <c r="O143" s="37">
        <f t="shared" ca="1" si="10"/>
        <v>105</v>
      </c>
      <c r="P143" s="37">
        <f t="shared" ca="1" si="10"/>
        <v>105</v>
      </c>
    </row>
    <row r="144" spans="1:16" s="46" customFormat="1" x14ac:dyDescent="0.35">
      <c r="A144" s="108" t="s">
        <v>195</v>
      </c>
      <c r="B144" s="109"/>
      <c r="C144" s="109"/>
      <c r="D144" s="109"/>
      <c r="E144" s="109"/>
      <c r="F144" s="109"/>
      <c r="G144" s="109"/>
      <c r="H144" s="110"/>
      <c r="I144" s="17"/>
      <c r="N144" s="46" t="str">
        <f t="shared" ref="N144" ca="1" si="12">O144&amp;""&amp;",..,"&amp;""&amp;P144</f>
        <v>106,..,106</v>
      </c>
      <c r="O144" s="46">
        <f ca="1">O143+1</f>
        <v>106</v>
      </c>
      <c r="P144" s="46">
        <f ca="1">P143+1</f>
        <v>106</v>
      </c>
    </row>
    <row r="145" spans="1:16" s="46" customFormat="1" ht="15.75" customHeight="1" x14ac:dyDescent="0.35">
      <c r="A145" s="120">
        <v>1</v>
      </c>
      <c r="B145" s="121"/>
      <c r="C145" s="36" t="s">
        <v>167</v>
      </c>
      <c r="D145" s="36">
        <f>((58.54)+(3.05+2.4*0.75+3.05*0.75+4.1))*10.764</f>
        <v>751.08501000000001</v>
      </c>
      <c r="E145" s="36">
        <v>0</v>
      </c>
      <c r="F145" s="36">
        <f t="shared" ref="F145:F147" si="13">D145*(($F$133)+1)+(IF(E145&lt;101,E145,IF(E145&lt;201,E145/2,IF(E145&lt;=301,E145/3,E145/4))))</f>
        <v>1126.6275150000001</v>
      </c>
      <c r="G145" s="79" t="str">
        <f>A144</f>
        <v>2nd Floor For Residential (Part Terrace Area)</v>
      </c>
      <c r="H145" s="80"/>
      <c r="I145" s="17">
        <f>((3.05*4.75+2.4*3.4+3.05*3.05+3.08*3.2+2.1*1.2+1.2*2.1)+(3.05*1+2*0.6+2.4*1+1.2*2.23+1.05*0.6))</f>
        <v>56.802000000000007</v>
      </c>
      <c r="J145" s="46">
        <f>6100000/F145</f>
        <v>5414.3893334612894</v>
      </c>
      <c r="P145" s="18"/>
    </row>
    <row r="146" spans="1:16" s="46" customFormat="1" ht="15.75" customHeight="1" x14ac:dyDescent="0.35">
      <c r="A146" s="120">
        <v>2</v>
      </c>
      <c r="B146" s="121"/>
      <c r="C146" s="36" t="s">
        <v>167</v>
      </c>
      <c r="D146" s="36">
        <f>((58.54)+(3.05+2.4*0.75+3.05*0.75+4.1))*10.764</f>
        <v>751.08501000000001</v>
      </c>
      <c r="E146" s="36">
        <v>0</v>
      </c>
      <c r="F146" s="36">
        <f t="shared" si="13"/>
        <v>1126.6275150000001</v>
      </c>
      <c r="G146" s="81"/>
      <c r="H146" s="82"/>
      <c r="I146" s="17"/>
      <c r="N146" s="46" t="str">
        <f ca="1">O146&amp;""&amp;" to "&amp;""&amp;P146</f>
        <v>201 to 201</v>
      </c>
      <c r="O146" s="46">
        <f ca="1">(SUMPRODUCT(MID(0&amp;(LEFT(A144,SUM(LEN(A144)-LEN(SUBSTITUTE(A144,{"0","1","2"},""))))), LARGE(INDEX(ISNUMBER(--MID((LEFT(A144,SUM(LEN(A144)-LEN(SUBSTITUTE(A144,{"0","1","2"},""))))), ROW(INDIRECT("1:"&amp;LEN((LEFT(A144,SUM(LEN(A144)-LEN(SUBSTITUTE(A144,{"0","1","2"},"")))))))), 1)) * ROW(INDIRECT("1:"&amp;LEN((LEFT(A144,SUM(LEN(A144)-LEN(SUBSTITUTE(A144,{"0","1","2"},"")))))))), 0), ROW(INDIRECT("1:"&amp;LEN((LEFT(A144,SUM(LEN(A144)-LEN(SUBSTITUTE(A144,{"0","1","2"},"")))))))))+1, 1) * 10^ROW(INDIRECT("1:"&amp;LEN((LEFT(A144,SUM(LEN(A144)-LEN(SUBSTITUTE(A144,{"0","1","2"},""))))))))/10))*100+1</f>
        <v>201</v>
      </c>
      <c r="P146" s="46">
        <f ca="1">(SUMPRODUCT(MID(0&amp;(--TRIM(RIGHT(SUBSTITUTE(LEFT(A144,_xlfn.AGGREGATE(16,6,FIND({0,1,2,3,4,5,6,7,8,9},A144,ROW(INDIRECT("1:"&amp;LEN(A144)))),1))," ",REPT(" ",LEN(A144))),LEN(A144)))), LARGE(INDEX(ISNUMBER(--MID((--TRIM(RIGHT(SUBSTITUTE(LEFT(A144,_xlfn.AGGREGATE(16,6,FIND({0,1,2,3,4,5,6,7,8,9},A144,ROW(INDIRECT("1:"&amp;LEN(A144)))),1))," ",REPT(" ",LEN(A144))),LEN(A144)))), ROW(INDIRECT("1:"&amp;LEN((--TRIM(RIGHT(SUBSTITUTE(LEFT(A144,_xlfn.AGGREGATE(16,6,FIND({0,1,2,3,4,5,6,7,8,9},A144,ROW(INDIRECT("1:"&amp;LEN(A144)))),1))," ",REPT(" ",LEN(A144))),LEN(A144))))))), 1)) * ROW(INDIRECT("1:"&amp;LEN((--TRIM(RIGHT(SUBSTITUTE(LEFT(A144,_xlfn.AGGREGATE(16,6,FIND({0,1,2,3,4,5,6,7,8,9},A144,ROW(INDIRECT("1:"&amp;LEN(A144)))),1))," ",REPT(" ",LEN(A144))),LEN(A144))))))), 0), ROW(INDIRECT("1:"&amp;LEN((--TRIM(RIGHT(SUBSTITUTE(LEFT(A144,_xlfn.AGGREGATE(16,6,FIND({0,1,2,3,4,5,6,7,8,9},A144,ROW(INDIRECT("1:"&amp;LEN(A144)))),1))," ",REPT(" ",LEN(A144))),LEN(A144))))))))+1, 1) * 10^ROW(INDIRECT("1:"&amp;LEN((--TRIM(RIGHT(SUBSTITUTE(LEFT(A144,_xlfn.AGGREGATE(16,6,FIND({0,1,2,3,4,5,6,7,8,9},A144,ROW(INDIRECT("1:"&amp;LEN(A144)))),1))," ",REPT(" ",LEN(A144))),LEN(A144)))))))/10))*100+1</f>
        <v>201</v>
      </c>
    </row>
    <row r="147" spans="1:16" s="46" customFormat="1" ht="15.75" customHeight="1" x14ac:dyDescent="0.35">
      <c r="A147" s="120">
        <v>3</v>
      </c>
      <c r="B147" s="121"/>
      <c r="C147" s="36" t="s">
        <v>168</v>
      </c>
      <c r="D147" s="36">
        <f>((41.65)+(3.05+2.4*0.75+3.05))*10.764</f>
        <v>533.35619999999994</v>
      </c>
      <c r="E147" s="36">
        <v>0</v>
      </c>
      <c r="F147" s="36">
        <f t="shared" si="13"/>
        <v>800.03429999999992</v>
      </c>
      <c r="G147" s="81"/>
      <c r="H147" s="82"/>
      <c r="I147" s="17"/>
      <c r="J147" s="46">
        <f>4100000/F147</f>
        <v>5124.7802750457076</v>
      </c>
      <c r="N147" s="46" t="str">
        <f ca="1">O147&amp;""&amp;" to "&amp;""&amp;P147</f>
        <v>202 to 202</v>
      </c>
      <c r="O147" s="46">
        <f t="shared" ref="O147:P147" ca="1" si="14">O146+1</f>
        <v>202</v>
      </c>
      <c r="P147" s="46">
        <f t="shared" ca="1" si="14"/>
        <v>202</v>
      </c>
    </row>
    <row r="148" spans="1:16" s="46" customFormat="1" ht="15.75" customHeight="1" x14ac:dyDescent="0.35">
      <c r="A148" s="120">
        <v>4</v>
      </c>
      <c r="B148" s="121"/>
      <c r="C148" s="79" t="s">
        <v>196</v>
      </c>
      <c r="D148" s="111"/>
      <c r="E148" s="111"/>
      <c r="F148" s="80"/>
      <c r="G148" s="81"/>
      <c r="H148" s="82"/>
      <c r="I148" s="17"/>
      <c r="N148" s="46" t="str">
        <f t="shared" ref="N148:N150" ca="1" si="15">O148&amp;""&amp;" to "&amp;""&amp;P148</f>
        <v>203 to 203</v>
      </c>
      <c r="O148" s="46">
        <f t="shared" ref="O148:P148" ca="1" si="16">O147+1</f>
        <v>203</v>
      </c>
      <c r="P148" s="46">
        <f t="shared" ca="1" si="16"/>
        <v>203</v>
      </c>
    </row>
    <row r="149" spans="1:16" s="46" customFormat="1" ht="15.75" customHeight="1" x14ac:dyDescent="0.35">
      <c r="A149" s="120">
        <v>5</v>
      </c>
      <c r="B149" s="121"/>
      <c r="C149" s="81"/>
      <c r="D149" s="112"/>
      <c r="E149" s="112"/>
      <c r="F149" s="82"/>
      <c r="G149" s="81"/>
      <c r="H149" s="82"/>
      <c r="I149" s="17"/>
      <c r="N149" s="46" t="str">
        <f t="shared" ca="1" si="15"/>
        <v>204 to 204</v>
      </c>
      <c r="O149" s="46">
        <f t="shared" ref="O149:P149" ca="1" si="17">O148+1</f>
        <v>204</v>
      </c>
      <c r="P149" s="46">
        <f t="shared" ca="1" si="17"/>
        <v>204</v>
      </c>
    </row>
    <row r="150" spans="1:16" s="46" customFormat="1" ht="15.75" customHeight="1" x14ac:dyDescent="0.35">
      <c r="A150" s="120">
        <v>6</v>
      </c>
      <c r="B150" s="121"/>
      <c r="C150" s="83"/>
      <c r="D150" s="113"/>
      <c r="E150" s="113"/>
      <c r="F150" s="84"/>
      <c r="G150" s="83"/>
      <c r="H150" s="84"/>
      <c r="I150" s="17"/>
      <c r="N150" s="46" t="str">
        <f t="shared" ca="1" si="15"/>
        <v>205 to 205</v>
      </c>
      <c r="O150" s="46">
        <f t="shared" ref="O150:P150" ca="1" si="18">O149+1</f>
        <v>205</v>
      </c>
      <c r="P150" s="46">
        <f t="shared" ca="1" si="18"/>
        <v>205</v>
      </c>
    </row>
    <row r="151" spans="1:16" s="4" customFormat="1" x14ac:dyDescent="0.35">
      <c r="A151" s="91" t="s">
        <v>171</v>
      </c>
      <c r="B151" s="91"/>
      <c r="C151" s="91"/>
      <c r="D151" s="91"/>
      <c r="E151" s="91"/>
      <c r="F151" s="91"/>
      <c r="G151" s="91"/>
      <c r="H151" s="91"/>
    </row>
    <row r="152" spans="1:16" s="4" customFormat="1" x14ac:dyDescent="0.35">
      <c r="A152" s="91" t="s">
        <v>193</v>
      </c>
      <c r="B152" s="91"/>
      <c r="C152" s="91"/>
      <c r="D152" s="91"/>
      <c r="E152" s="91"/>
      <c r="F152" s="91"/>
      <c r="G152" s="91"/>
      <c r="H152" s="91"/>
    </row>
    <row r="153" spans="1:16" s="19" customFormat="1" x14ac:dyDescent="0.35">
      <c r="A153" s="78" t="s">
        <v>215</v>
      </c>
      <c r="B153" s="78"/>
      <c r="C153" s="78"/>
      <c r="D153" s="78"/>
      <c r="E153" s="78"/>
      <c r="F153" s="78"/>
      <c r="G153" s="78"/>
      <c r="H153" s="78"/>
      <c r="I153" s="17">
        <f>3</f>
        <v>3</v>
      </c>
      <c r="J153" s="19">
        <f>8500000/696</f>
        <v>12212.643678160919</v>
      </c>
      <c r="K153" s="19">
        <f>J153/1.5</f>
        <v>8141.7624521072794</v>
      </c>
    </row>
    <row r="154" spans="1:16" s="2" customFormat="1" x14ac:dyDescent="0.35">
      <c r="A154" s="120">
        <v>1</v>
      </c>
      <c r="B154" s="121"/>
      <c r="C154" s="36" t="s">
        <v>168</v>
      </c>
      <c r="D154" s="36">
        <f>((33.84)+(3.96))*10.764</f>
        <v>406.87920000000003</v>
      </c>
      <c r="E154" s="36">
        <v>0</v>
      </c>
      <c r="F154" s="36">
        <f t="shared" ref="F154:F159" si="19">D154*(($F$133)+1)+(IF(E154&lt;101,E154,IF(E154&lt;201,E154/2,IF(E154&lt;=301,E154/3,E154/4))))</f>
        <v>610.31880000000001</v>
      </c>
      <c r="G154" s="79" t="str">
        <f>A153</f>
        <v>1st to 3rd Floor For Residential (For Inclusive Housing Scheme)</v>
      </c>
      <c r="H154" s="80"/>
      <c r="I154" s="17">
        <f>(3.05*4.15+2.4*3.05+3.05*3.05+1.2*2.1)</f>
        <v>31.799999999999997</v>
      </c>
      <c r="J154" s="2">
        <f>5500000/514</f>
        <v>10700.389105058366</v>
      </c>
      <c r="K154" s="49">
        <f>J154/1.5</f>
        <v>7133.5927367055774</v>
      </c>
      <c r="L154" s="74"/>
      <c r="M154" s="74"/>
    </row>
    <row r="155" spans="1:16" s="2" customFormat="1" x14ac:dyDescent="0.35">
      <c r="A155" s="120">
        <v>2</v>
      </c>
      <c r="B155" s="121"/>
      <c r="C155" s="36" t="s">
        <v>168</v>
      </c>
      <c r="D155" s="36">
        <f>((33.84)+(3.96))*10.764</f>
        <v>406.87920000000003</v>
      </c>
      <c r="E155" s="36">
        <v>0</v>
      </c>
      <c r="F155" s="36">
        <f t="shared" si="19"/>
        <v>610.31880000000001</v>
      </c>
      <c r="G155" s="81"/>
      <c r="H155" s="82"/>
      <c r="I155" s="17"/>
      <c r="L155" s="25"/>
      <c r="M155" s="25"/>
      <c r="N155" s="17"/>
    </row>
    <row r="156" spans="1:16" s="2" customFormat="1" x14ac:dyDescent="0.35">
      <c r="A156" s="120">
        <v>3</v>
      </c>
      <c r="B156" s="121"/>
      <c r="C156" s="36" t="s">
        <v>168</v>
      </c>
      <c r="D156" s="36">
        <f>((33.71)+(3.96))*10.764</f>
        <v>405.47987999999998</v>
      </c>
      <c r="E156" s="36">
        <v>0</v>
      </c>
      <c r="F156" s="36">
        <f t="shared" si="19"/>
        <v>608.21982000000003</v>
      </c>
      <c r="G156" s="81"/>
      <c r="H156" s="82"/>
      <c r="I156" s="17">
        <f>5900000/F156</f>
        <v>9700.4402125534143</v>
      </c>
      <c r="L156" s="25"/>
      <c r="M156" s="25"/>
      <c r="N156" s="17"/>
    </row>
    <row r="157" spans="1:16" s="2" customFormat="1" x14ac:dyDescent="0.35">
      <c r="A157" s="120">
        <v>4</v>
      </c>
      <c r="B157" s="121"/>
      <c r="C157" s="36" t="s">
        <v>168</v>
      </c>
      <c r="D157" s="36">
        <f>((33.71)+(3.96))*10.764</f>
        <v>405.47987999999998</v>
      </c>
      <c r="E157" s="36">
        <v>0</v>
      </c>
      <c r="F157" s="36">
        <f t="shared" si="19"/>
        <v>608.21982000000003</v>
      </c>
      <c r="G157" s="81"/>
      <c r="H157" s="82"/>
      <c r="I157" s="17"/>
      <c r="L157" s="25"/>
      <c r="M157" s="25"/>
      <c r="N157" s="17"/>
    </row>
    <row r="158" spans="1:16" s="2" customFormat="1" x14ac:dyDescent="0.35">
      <c r="A158" s="120">
        <v>5</v>
      </c>
      <c r="B158" s="121"/>
      <c r="C158" s="36" t="s">
        <v>168</v>
      </c>
      <c r="D158" s="36">
        <f>((33.71)+(3.96))*10.764</f>
        <v>405.47987999999998</v>
      </c>
      <c r="E158" s="36">
        <v>0</v>
      </c>
      <c r="F158" s="36">
        <f t="shared" si="19"/>
        <v>608.21982000000003</v>
      </c>
      <c r="G158" s="81"/>
      <c r="H158" s="82"/>
      <c r="I158" s="17"/>
      <c r="L158" s="25"/>
      <c r="M158" s="25"/>
      <c r="N158" s="17"/>
    </row>
    <row r="159" spans="1:16" s="2" customFormat="1" x14ac:dyDescent="0.35">
      <c r="A159" s="120">
        <v>6</v>
      </c>
      <c r="B159" s="121"/>
      <c r="C159" s="36" t="s">
        <v>168</v>
      </c>
      <c r="D159" s="36">
        <f>((33.71)+(3.96))*10.764</f>
        <v>405.47987999999998</v>
      </c>
      <c r="E159" s="36">
        <v>0</v>
      </c>
      <c r="F159" s="36">
        <f t="shared" si="19"/>
        <v>608.21982000000003</v>
      </c>
      <c r="G159" s="83"/>
      <c r="H159" s="84"/>
      <c r="I159" s="17"/>
      <c r="L159" s="25"/>
      <c r="M159" s="25"/>
      <c r="N159" s="17"/>
    </row>
    <row r="160" spans="1:16" s="46" customFormat="1" x14ac:dyDescent="0.35">
      <c r="A160" s="78" t="s">
        <v>216</v>
      </c>
      <c r="B160" s="78"/>
      <c r="C160" s="78"/>
      <c r="D160" s="78"/>
      <c r="E160" s="78"/>
      <c r="F160" s="78"/>
      <c r="G160" s="78"/>
      <c r="H160" s="78"/>
      <c r="I160" s="17">
        <f>1</f>
        <v>1</v>
      </c>
    </row>
    <row r="161" spans="1:14" s="46" customFormat="1" x14ac:dyDescent="0.35">
      <c r="A161" s="120">
        <v>1</v>
      </c>
      <c r="B161" s="121"/>
      <c r="C161" s="36" t="s">
        <v>168</v>
      </c>
      <c r="D161" s="36">
        <f>((33.84)+(3.96))*10.764</f>
        <v>406.87920000000003</v>
      </c>
      <c r="E161" s="36">
        <v>0</v>
      </c>
      <c r="F161" s="36">
        <f t="shared" ref="F161:F166" si="20">D161*(($F$133)+1)+(IF(E161&lt;101,E161,IF(E161&lt;201,E161/2,IF(E161&lt;=301,E161/3,E161/4))))</f>
        <v>610.31880000000001</v>
      </c>
      <c r="G161" s="79" t="str">
        <f>A160</f>
        <v>4th Floor For Residential (For Inclusive Housing Scheme) (Part Refuge Area)</v>
      </c>
      <c r="H161" s="80"/>
      <c r="I161" s="17">
        <f>(3.05*4.15+2.4*3.05+3.05*3.05+1.2*2.1)</f>
        <v>31.799999999999997</v>
      </c>
      <c r="L161" s="74"/>
      <c r="M161" s="74"/>
    </row>
    <row r="162" spans="1:14" s="46" customFormat="1" x14ac:dyDescent="0.35">
      <c r="A162" s="120">
        <v>2</v>
      </c>
      <c r="B162" s="121"/>
      <c r="C162" s="36" t="s">
        <v>168</v>
      </c>
      <c r="D162" s="36">
        <f>((33.84)+(3.96))*10.764</f>
        <v>406.87920000000003</v>
      </c>
      <c r="E162" s="36">
        <v>0</v>
      </c>
      <c r="F162" s="36">
        <f t="shared" si="20"/>
        <v>610.31880000000001</v>
      </c>
      <c r="G162" s="81"/>
      <c r="H162" s="82"/>
      <c r="I162" s="17"/>
      <c r="N162" s="17"/>
    </row>
    <row r="163" spans="1:14" s="46" customFormat="1" x14ac:dyDescent="0.35">
      <c r="A163" s="120">
        <v>3</v>
      </c>
      <c r="B163" s="121"/>
      <c r="C163" s="36" t="s">
        <v>168</v>
      </c>
      <c r="D163" s="36">
        <f>((33.71)+(3.96))*10.764</f>
        <v>405.47987999999998</v>
      </c>
      <c r="E163" s="36">
        <v>0</v>
      </c>
      <c r="F163" s="36">
        <f t="shared" si="20"/>
        <v>608.21982000000003</v>
      </c>
      <c r="G163" s="81"/>
      <c r="H163" s="82"/>
      <c r="I163" s="17"/>
      <c r="N163" s="17"/>
    </row>
    <row r="164" spans="1:14" s="46" customFormat="1" x14ac:dyDescent="0.35">
      <c r="A164" s="120">
        <v>4</v>
      </c>
      <c r="B164" s="121"/>
      <c r="C164" s="75" t="s">
        <v>169</v>
      </c>
      <c r="D164" s="76"/>
      <c r="E164" s="76"/>
      <c r="F164" s="77"/>
      <c r="G164" s="81"/>
      <c r="H164" s="82"/>
      <c r="I164" s="17"/>
      <c r="N164" s="17"/>
    </row>
    <row r="165" spans="1:14" s="46" customFormat="1" x14ac:dyDescent="0.35">
      <c r="A165" s="120">
        <v>5</v>
      </c>
      <c r="B165" s="121"/>
      <c r="C165" s="36" t="s">
        <v>168</v>
      </c>
      <c r="D165" s="36">
        <f>((33.71)+(3.96))*10.764</f>
        <v>405.47987999999998</v>
      </c>
      <c r="E165" s="36">
        <v>0</v>
      </c>
      <c r="F165" s="36">
        <f t="shared" si="20"/>
        <v>608.21982000000003</v>
      </c>
      <c r="G165" s="81"/>
      <c r="H165" s="82"/>
      <c r="I165" s="17"/>
      <c r="N165" s="17"/>
    </row>
    <row r="166" spans="1:14" s="46" customFormat="1" x14ac:dyDescent="0.35">
      <c r="A166" s="120">
        <v>6</v>
      </c>
      <c r="B166" s="121"/>
      <c r="C166" s="36" t="s">
        <v>168</v>
      </c>
      <c r="D166" s="36">
        <f>((33.71)+(3.96))*10.764</f>
        <v>405.47987999999998</v>
      </c>
      <c r="E166" s="36">
        <v>0</v>
      </c>
      <c r="F166" s="36">
        <f t="shared" si="20"/>
        <v>608.21982000000003</v>
      </c>
      <c r="G166" s="83"/>
      <c r="H166" s="84"/>
      <c r="I166" s="17"/>
      <c r="N166" s="17"/>
    </row>
    <row r="167" spans="1:14" s="46" customFormat="1" x14ac:dyDescent="0.35">
      <c r="A167" s="78" t="s">
        <v>198</v>
      </c>
      <c r="B167" s="78"/>
      <c r="C167" s="78"/>
      <c r="D167" s="78"/>
      <c r="E167" s="78"/>
      <c r="F167" s="78"/>
      <c r="G167" s="78"/>
      <c r="H167" s="78"/>
      <c r="I167" s="17">
        <f>3+4+4+3</f>
        <v>14</v>
      </c>
    </row>
    <row r="168" spans="1:14" s="46" customFormat="1" x14ac:dyDescent="0.35">
      <c r="A168" s="120">
        <v>1</v>
      </c>
      <c r="B168" s="121"/>
      <c r="C168" s="36" t="s">
        <v>167</v>
      </c>
      <c r="D168" s="36">
        <f>((58.54)+3.05+4.1+0.75*(3.05+2.4))*10.764</f>
        <v>751.08501000000001</v>
      </c>
      <c r="E168" s="36">
        <v>0</v>
      </c>
      <c r="F168" s="36">
        <f t="shared" ref="F168:F173" si="21">D168*(($F$133)+1)+(IF(E168&lt;101,E168,IF(E168&lt;201,E168/2,IF(E168&lt;=301,E168/3,E168/4))))</f>
        <v>1126.6275150000001</v>
      </c>
      <c r="G168" s="79" t="str">
        <f>A167</f>
        <v>5th to 7th, 9th to 12th, 14th to 17th &amp; 19th to 21st Floor</v>
      </c>
      <c r="H168" s="80"/>
      <c r="I168" s="17">
        <f>8300000/F168</f>
        <v>7367.1199127424106</v>
      </c>
      <c r="L168" s="74"/>
      <c r="M168" s="74"/>
    </row>
    <row r="169" spans="1:14" s="46" customFormat="1" x14ac:dyDescent="0.35">
      <c r="A169" s="120">
        <v>2</v>
      </c>
      <c r="B169" s="121"/>
      <c r="C169" s="36" t="s">
        <v>167</v>
      </c>
      <c r="D169" s="36">
        <f>((58.54)+3.05+4.1+0.75*(3.05+2.4))*10.764</f>
        <v>751.08501000000001</v>
      </c>
      <c r="E169" s="36">
        <v>0</v>
      </c>
      <c r="F169" s="36">
        <f t="shared" si="21"/>
        <v>1126.6275150000001</v>
      </c>
      <c r="G169" s="81"/>
      <c r="H169" s="82"/>
      <c r="I169" s="17"/>
      <c r="N169" s="17"/>
    </row>
    <row r="170" spans="1:14" s="46" customFormat="1" x14ac:dyDescent="0.35">
      <c r="A170" s="120">
        <v>3</v>
      </c>
      <c r="B170" s="121"/>
      <c r="C170" s="36" t="s">
        <v>168</v>
      </c>
      <c r="D170" s="36">
        <f>((41.65)+3.05+3.05+0.75*(2.4))*10.764</f>
        <v>533.35619999999983</v>
      </c>
      <c r="E170" s="36">
        <v>0</v>
      </c>
      <c r="F170" s="36">
        <f t="shared" si="21"/>
        <v>800.0342999999998</v>
      </c>
      <c r="G170" s="81"/>
      <c r="H170" s="82"/>
      <c r="I170" s="17"/>
      <c r="N170" s="17"/>
    </row>
    <row r="171" spans="1:14" s="46" customFormat="1" x14ac:dyDescent="0.35">
      <c r="A171" s="120">
        <v>4</v>
      </c>
      <c r="B171" s="121"/>
      <c r="C171" s="36" t="s">
        <v>168</v>
      </c>
      <c r="D171" s="36">
        <f>((41.65)+3.05+3.05+0.75*(2.4))*10.764</f>
        <v>533.35619999999983</v>
      </c>
      <c r="E171" s="36">
        <v>0</v>
      </c>
      <c r="F171" s="36">
        <f t="shared" si="21"/>
        <v>800.0342999999998</v>
      </c>
      <c r="G171" s="81"/>
      <c r="H171" s="82"/>
      <c r="I171" s="17"/>
      <c r="N171" s="17"/>
    </row>
    <row r="172" spans="1:14" s="46" customFormat="1" x14ac:dyDescent="0.35">
      <c r="A172" s="120">
        <v>5</v>
      </c>
      <c r="B172" s="121"/>
      <c r="C172" s="36" t="s">
        <v>168</v>
      </c>
      <c r="D172" s="36">
        <f>((41.65)+3.05+3.05+0.75*(2.4))*10.764</f>
        <v>533.35619999999983</v>
      </c>
      <c r="E172" s="36">
        <v>0</v>
      </c>
      <c r="F172" s="36">
        <f t="shared" si="21"/>
        <v>800.0342999999998</v>
      </c>
      <c r="G172" s="81"/>
      <c r="H172" s="82"/>
      <c r="I172" s="17"/>
      <c r="N172" s="17"/>
    </row>
    <row r="173" spans="1:14" s="46" customFormat="1" x14ac:dyDescent="0.35">
      <c r="A173" s="120">
        <v>6</v>
      </c>
      <c r="B173" s="121"/>
      <c r="C173" s="36" t="s">
        <v>168</v>
      </c>
      <c r="D173" s="36">
        <f>((41.65)+3.05+3.05+0.75*(2.4))*10.764</f>
        <v>533.35619999999983</v>
      </c>
      <c r="E173" s="36">
        <v>0</v>
      </c>
      <c r="F173" s="36">
        <f t="shared" si="21"/>
        <v>800.0342999999998</v>
      </c>
      <c r="G173" s="83"/>
      <c r="H173" s="84"/>
      <c r="I173" s="17"/>
      <c r="N173" s="17"/>
    </row>
    <row r="174" spans="1:14" s="46" customFormat="1" x14ac:dyDescent="0.35">
      <c r="A174" s="78" t="s">
        <v>199</v>
      </c>
      <c r="B174" s="78"/>
      <c r="C174" s="78"/>
      <c r="D174" s="78"/>
      <c r="E174" s="78"/>
      <c r="F174" s="78"/>
      <c r="G174" s="78"/>
      <c r="H174" s="78"/>
      <c r="I174" s="17">
        <f>3</f>
        <v>3</v>
      </c>
    </row>
    <row r="175" spans="1:14" s="46" customFormat="1" x14ac:dyDescent="0.35">
      <c r="A175" s="120">
        <v>1</v>
      </c>
      <c r="B175" s="121"/>
      <c r="C175" s="36" t="s">
        <v>167</v>
      </c>
      <c r="D175" s="36">
        <f>((58.54)+3.05+4.1+0.75*(3.05+2.4))*10.764</f>
        <v>751.08501000000001</v>
      </c>
      <c r="E175" s="36">
        <v>0</v>
      </c>
      <c r="F175" s="36">
        <f t="shared" ref="F175:F180" si="22">D175*(($F$133)+1)+(IF(E175&lt;101,E175,IF(E175&lt;201,E175/2,IF(E175&lt;=301,E175/3,E175/4))))</f>
        <v>1126.6275150000001</v>
      </c>
      <c r="G175" s="79" t="str">
        <f>A174</f>
        <v>8th, 13th &amp; 18th Floor For Residential (Part Refuge Area)</v>
      </c>
      <c r="H175" s="80"/>
      <c r="I175" s="17"/>
      <c r="L175" s="74"/>
      <c r="M175" s="74"/>
    </row>
    <row r="176" spans="1:14" s="46" customFormat="1" x14ac:dyDescent="0.35">
      <c r="A176" s="120">
        <v>2</v>
      </c>
      <c r="B176" s="121"/>
      <c r="C176" s="36" t="s">
        <v>167</v>
      </c>
      <c r="D176" s="36">
        <f>((58.54)+3.05+4.1+0.75*(3.05+2.4))*10.764</f>
        <v>751.08501000000001</v>
      </c>
      <c r="E176" s="36">
        <v>0</v>
      </c>
      <c r="F176" s="36">
        <f t="shared" si="22"/>
        <v>1126.6275150000001</v>
      </c>
      <c r="G176" s="81"/>
      <c r="H176" s="82"/>
      <c r="I176" s="17"/>
      <c r="N176" s="17"/>
    </row>
    <row r="177" spans="1:16" s="46" customFormat="1" x14ac:dyDescent="0.35">
      <c r="A177" s="120">
        <v>3</v>
      </c>
      <c r="B177" s="121"/>
      <c r="C177" s="36" t="s">
        <v>168</v>
      </c>
      <c r="D177" s="36">
        <f>((41.65)+3.05+3.05+0.75*(2.4))*10.764</f>
        <v>533.35619999999983</v>
      </c>
      <c r="E177" s="36">
        <v>0</v>
      </c>
      <c r="F177" s="36">
        <f t="shared" si="22"/>
        <v>800.0342999999998</v>
      </c>
      <c r="G177" s="81"/>
      <c r="H177" s="82"/>
      <c r="I177" s="17"/>
      <c r="N177" s="17"/>
    </row>
    <row r="178" spans="1:16" s="46" customFormat="1" x14ac:dyDescent="0.35">
      <c r="A178" s="120">
        <v>4</v>
      </c>
      <c r="B178" s="121"/>
      <c r="C178" s="75" t="s">
        <v>169</v>
      </c>
      <c r="D178" s="76"/>
      <c r="E178" s="76"/>
      <c r="F178" s="77"/>
      <c r="G178" s="81"/>
      <c r="H178" s="82"/>
      <c r="I178" s="17"/>
      <c r="N178" s="17"/>
    </row>
    <row r="179" spans="1:16" s="46" customFormat="1" x14ac:dyDescent="0.35">
      <c r="A179" s="120">
        <v>5</v>
      </c>
      <c r="B179" s="121"/>
      <c r="C179" s="36" t="s">
        <v>168</v>
      </c>
      <c r="D179" s="36">
        <f>((41.65)+3.05+3.05+0.75*(2.4))*10.764</f>
        <v>533.35619999999983</v>
      </c>
      <c r="E179" s="36">
        <v>0</v>
      </c>
      <c r="F179" s="36">
        <f t="shared" si="22"/>
        <v>800.0342999999998</v>
      </c>
      <c r="G179" s="81"/>
      <c r="H179" s="82"/>
      <c r="I179" s="17"/>
      <c r="N179" s="17"/>
    </row>
    <row r="180" spans="1:16" s="46" customFormat="1" x14ac:dyDescent="0.35">
      <c r="A180" s="120">
        <v>6</v>
      </c>
      <c r="B180" s="121"/>
      <c r="C180" s="36" t="s">
        <v>168</v>
      </c>
      <c r="D180" s="36">
        <f>((41.65)+3.05+3.05+0.75*(2.4))*10.764</f>
        <v>533.35619999999983</v>
      </c>
      <c r="E180" s="36">
        <v>0</v>
      </c>
      <c r="F180" s="36">
        <f t="shared" si="22"/>
        <v>800.0342999999998</v>
      </c>
      <c r="G180" s="83"/>
      <c r="H180" s="84"/>
      <c r="I180" s="17">
        <f>5500000/F180</f>
        <v>6874.7052470125363</v>
      </c>
      <c r="N180" s="17"/>
    </row>
    <row r="181" spans="1:16" s="4" customFormat="1" x14ac:dyDescent="0.35">
      <c r="A181" s="91" t="s">
        <v>179</v>
      </c>
      <c r="B181" s="91"/>
      <c r="C181" s="91"/>
      <c r="D181" s="91"/>
      <c r="E181" s="91"/>
      <c r="F181" s="91"/>
      <c r="G181" s="91"/>
      <c r="H181" s="91"/>
    </row>
    <row r="182" spans="1:16" s="4" customFormat="1" x14ac:dyDescent="0.35">
      <c r="A182" s="91" t="s">
        <v>166</v>
      </c>
      <c r="B182" s="91"/>
      <c r="C182" s="91"/>
      <c r="D182" s="91"/>
      <c r="E182" s="91"/>
      <c r="F182" s="91"/>
      <c r="G182" s="91"/>
      <c r="H182" s="91"/>
    </row>
    <row r="183" spans="1:16" s="4" customFormat="1" x14ac:dyDescent="0.35">
      <c r="A183" s="91" t="s">
        <v>197</v>
      </c>
      <c r="B183" s="91"/>
      <c r="C183" s="91"/>
      <c r="D183" s="91"/>
      <c r="E183" s="91"/>
      <c r="F183" s="91"/>
      <c r="G183" s="91"/>
      <c r="H183" s="91"/>
    </row>
    <row r="184" spans="1:16" s="41" customFormat="1" x14ac:dyDescent="0.35">
      <c r="A184" s="108" t="s">
        <v>200</v>
      </c>
      <c r="B184" s="109"/>
      <c r="C184" s="109"/>
      <c r="D184" s="109"/>
      <c r="E184" s="109"/>
      <c r="F184" s="109"/>
      <c r="G184" s="109"/>
      <c r="H184" s="110"/>
      <c r="I184" s="17">
        <f>3+3+4+4+3</f>
        <v>17</v>
      </c>
      <c r="N184" s="41" t="str">
        <f t="shared" ref="N184" si="23">O184&amp;""&amp;",..,"&amp;""&amp;P184</f>
        <v>1,..,1</v>
      </c>
      <c r="O184" s="41">
        <f>O183+1</f>
        <v>1</v>
      </c>
      <c r="P184" s="41">
        <f>P183+1</f>
        <v>1</v>
      </c>
    </row>
    <row r="185" spans="1:16" s="41" customFormat="1" ht="15.75" customHeight="1" x14ac:dyDescent="0.35">
      <c r="A185" s="120">
        <v>1</v>
      </c>
      <c r="B185" s="121"/>
      <c r="C185" s="36" t="s">
        <v>167</v>
      </c>
      <c r="D185" s="36">
        <f>((58.54)+(3.05+2.4*0.75+3.05*0.75+4.1))*10.764</f>
        <v>751.08501000000001</v>
      </c>
      <c r="E185" s="36">
        <v>0</v>
      </c>
      <c r="F185" s="36">
        <f t="shared" ref="F185:F190" si="24">D185*(($F$133)+1)+(IF(E185&lt;101,E185,IF(E185&lt;201,E185/2,IF(E185&lt;=301,E185/3,E185/4))))</f>
        <v>1126.6275150000001</v>
      </c>
      <c r="G185" s="79" t="str">
        <f>A184</f>
        <v>1st to 3rd, 5th to 7th, 9th to 12th, 14th to 17th &amp; 19th to 21st Floor</v>
      </c>
      <c r="H185" s="80"/>
      <c r="I185" s="17">
        <f>((3.05*4.75+2.4*3.4+3.05*3.05+3.08*3.2+2.1*1.2+1.2*2.1)+(3.05*1+2*0.6+2.4*1+1.2*2.23+1.05*0.6))</f>
        <v>56.802000000000007</v>
      </c>
      <c r="P185" s="18"/>
    </row>
    <row r="186" spans="1:16" s="41" customFormat="1" ht="15.75" customHeight="1" x14ac:dyDescent="0.35">
      <c r="A186" s="120">
        <v>2</v>
      </c>
      <c r="B186" s="121"/>
      <c r="C186" s="36" t="s">
        <v>167</v>
      </c>
      <c r="D186" s="36">
        <f>((58.54)+(3.05+2.4*0.75+3.05*0.75+4.1))*10.764</f>
        <v>751.08501000000001</v>
      </c>
      <c r="E186" s="36">
        <v>0</v>
      </c>
      <c r="F186" s="36">
        <f t="shared" si="24"/>
        <v>1126.6275150000001</v>
      </c>
      <c r="G186" s="81"/>
      <c r="H186" s="82"/>
      <c r="I186" s="17"/>
      <c r="N186" s="41" t="str">
        <f ca="1">O186&amp;""&amp;" to "&amp;""&amp;P186</f>
        <v>1301 to 2101</v>
      </c>
      <c r="O186" s="41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10^ROW(INDIRECT("1:"&amp;LEN((LEFT(A184,SUM(LEN(A184)-LEN(SUBSTITUTE(A184,{"0","1","2"},""))))))))/10))*100+1</f>
        <v>1301</v>
      </c>
      <c r="P186" s="41">
        <f ca="1">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",LEN(A184))),LEN(A184)))))))/10))*100+1</f>
        <v>2101</v>
      </c>
    </row>
    <row r="187" spans="1:16" s="41" customFormat="1" ht="15.75" customHeight="1" x14ac:dyDescent="0.35">
      <c r="A187" s="120">
        <v>3</v>
      </c>
      <c r="B187" s="121"/>
      <c r="C187" s="36" t="s">
        <v>168</v>
      </c>
      <c r="D187" s="36">
        <f>((41.65)+(3.05+2.4*0.75+3.05))*10.764</f>
        <v>533.35619999999994</v>
      </c>
      <c r="E187" s="36">
        <v>0</v>
      </c>
      <c r="F187" s="36">
        <f t="shared" si="24"/>
        <v>800.03429999999992</v>
      </c>
      <c r="G187" s="81"/>
      <c r="H187" s="82"/>
      <c r="I187" s="17"/>
      <c r="N187" s="41" t="str">
        <f ca="1">O187&amp;""&amp;" to "&amp;""&amp;P187</f>
        <v>1302 to 2102</v>
      </c>
      <c r="O187" s="41">
        <f t="shared" ref="O187:P187" ca="1" si="25">O186+1</f>
        <v>1302</v>
      </c>
      <c r="P187" s="41">
        <f t="shared" ca="1" si="25"/>
        <v>2102</v>
      </c>
    </row>
    <row r="188" spans="1:16" s="41" customFormat="1" ht="15.75" customHeight="1" x14ac:dyDescent="0.35">
      <c r="A188" s="120">
        <v>4</v>
      </c>
      <c r="B188" s="121"/>
      <c r="C188" s="36" t="s">
        <v>168</v>
      </c>
      <c r="D188" s="36">
        <f>((41.65)+(3.05+2.4*0.75+3.05))*10.764</f>
        <v>533.35619999999994</v>
      </c>
      <c r="E188" s="36">
        <v>0</v>
      </c>
      <c r="F188" s="36">
        <f t="shared" si="24"/>
        <v>800.03429999999992</v>
      </c>
      <c r="G188" s="81"/>
      <c r="H188" s="82"/>
      <c r="I188" s="17"/>
      <c r="N188" s="41" t="str">
        <f t="shared" ref="N188:N190" ca="1" si="26">O188&amp;""&amp;" to "&amp;""&amp;P188</f>
        <v>1303 to 2103</v>
      </c>
      <c r="O188" s="41">
        <f t="shared" ref="O188:P188" ca="1" si="27">O187+1</f>
        <v>1303</v>
      </c>
      <c r="P188" s="41">
        <f t="shared" ca="1" si="27"/>
        <v>2103</v>
      </c>
    </row>
    <row r="189" spans="1:16" s="41" customFormat="1" ht="15.75" customHeight="1" x14ac:dyDescent="0.35">
      <c r="A189" s="120">
        <v>5</v>
      </c>
      <c r="B189" s="121"/>
      <c r="C189" s="36" t="s">
        <v>168</v>
      </c>
      <c r="D189" s="36">
        <f>((41.65)+(3.05+2.4*0.75+3.05))*10.764</f>
        <v>533.35619999999994</v>
      </c>
      <c r="E189" s="36">
        <v>0</v>
      </c>
      <c r="F189" s="36">
        <f t="shared" si="24"/>
        <v>800.03429999999992</v>
      </c>
      <c r="G189" s="81"/>
      <c r="H189" s="82"/>
      <c r="I189" s="17"/>
      <c r="N189" s="41" t="str">
        <f t="shared" ca="1" si="26"/>
        <v>1304 to 2104</v>
      </c>
      <c r="O189" s="41">
        <f t="shared" ref="O189:P189" ca="1" si="28">O188+1</f>
        <v>1304</v>
      </c>
      <c r="P189" s="41">
        <f t="shared" ca="1" si="28"/>
        <v>2104</v>
      </c>
    </row>
    <row r="190" spans="1:16" s="41" customFormat="1" ht="15.75" customHeight="1" x14ac:dyDescent="0.35">
      <c r="A190" s="120">
        <v>6</v>
      </c>
      <c r="B190" s="121"/>
      <c r="C190" s="36" t="s">
        <v>168</v>
      </c>
      <c r="D190" s="36">
        <f>((41.65)+(3.05+2.4*0.75+3.05))*10.764</f>
        <v>533.35619999999994</v>
      </c>
      <c r="E190" s="36">
        <v>0</v>
      </c>
      <c r="F190" s="36">
        <f t="shared" si="24"/>
        <v>800.03429999999992</v>
      </c>
      <c r="G190" s="83"/>
      <c r="H190" s="84"/>
      <c r="I190" s="17"/>
      <c r="N190" s="41" t="str">
        <f t="shared" ca="1" si="26"/>
        <v>1305 to 2105</v>
      </c>
      <c r="O190" s="41">
        <f t="shared" ref="O190:P190" ca="1" si="29">O189+1</f>
        <v>1305</v>
      </c>
      <c r="P190" s="41">
        <f t="shared" ca="1" si="29"/>
        <v>2105</v>
      </c>
    </row>
    <row r="191" spans="1:16" s="46" customFormat="1" x14ac:dyDescent="0.35">
      <c r="A191" s="108" t="s">
        <v>201</v>
      </c>
      <c r="B191" s="109"/>
      <c r="C191" s="109"/>
      <c r="D191" s="109"/>
      <c r="E191" s="109"/>
      <c r="F191" s="109"/>
      <c r="G191" s="109"/>
      <c r="H191" s="110"/>
      <c r="I191" s="17">
        <f>4</f>
        <v>4</v>
      </c>
      <c r="N191" s="46" t="str">
        <f t="shared" ref="N191" ca="1" si="30">O191&amp;""&amp;",..,"&amp;""&amp;P191</f>
        <v>1305,..,2105</v>
      </c>
      <c r="O191" s="46">
        <f ca="1">O189+1</f>
        <v>1305</v>
      </c>
      <c r="P191" s="46">
        <f ca="1">P189+1</f>
        <v>2105</v>
      </c>
    </row>
    <row r="192" spans="1:16" s="46" customFormat="1" ht="15.75" customHeight="1" x14ac:dyDescent="0.35">
      <c r="A192" s="120">
        <v>1</v>
      </c>
      <c r="B192" s="121"/>
      <c r="C192" s="36" t="s">
        <v>167</v>
      </c>
      <c r="D192" s="36">
        <f>((58.54)+(3.05+2.4*0.75+3.05*0.75+4.1))*10.764</f>
        <v>751.08501000000001</v>
      </c>
      <c r="E192" s="36">
        <v>0</v>
      </c>
      <c r="F192" s="36">
        <f t="shared" ref="F192:F197" si="31">D192*(($F$133)+1)+(IF(E192&lt;101,E192,IF(E192&lt;201,E192/2,IF(E192&lt;=301,E192/3,E192/4))))</f>
        <v>1126.6275150000001</v>
      </c>
      <c r="G192" s="79" t="str">
        <f>A191</f>
        <v>4th, 8th, 13th &amp; 18th Floor For Residential (Part Refuge Area)</v>
      </c>
      <c r="H192" s="80"/>
      <c r="I192" s="17">
        <f>((3.05*4.75+2.4*3.4+3.05*3.05+3.08*3.2+2.1*1.2+1.2*2.1)+(3.05*1+2*0.6+2.4*1+1.2*2.23+1.05*0.6))</f>
        <v>56.802000000000007</v>
      </c>
      <c r="P192" s="18"/>
    </row>
    <row r="193" spans="1:16" s="46" customFormat="1" ht="15.75" customHeight="1" x14ac:dyDescent="0.35">
      <c r="A193" s="120">
        <v>2</v>
      </c>
      <c r="B193" s="121"/>
      <c r="C193" s="36" t="s">
        <v>167</v>
      </c>
      <c r="D193" s="36">
        <f>((58.54)+(3.05+2.4*0.75+3.05*0.75+4.1))*10.764</f>
        <v>751.08501000000001</v>
      </c>
      <c r="E193" s="36">
        <v>0</v>
      </c>
      <c r="F193" s="36">
        <f t="shared" si="31"/>
        <v>1126.6275150000001</v>
      </c>
      <c r="G193" s="81"/>
      <c r="H193" s="82"/>
      <c r="I193" s="17"/>
      <c r="N193" s="46" t="str">
        <f ca="1">O193&amp;""&amp;" to "&amp;""&amp;P193</f>
        <v>401 to 1801</v>
      </c>
      <c r="O193" s="46">
        <f ca="1">(SUMPRODUCT(MID(0&amp;(LEFT(A191,SUM(LEN(A191)-LEN(SUBSTITUTE(A191,{"0","1","2"},""))))), LARGE(INDEX(ISNUMBER(--MID((LEFT(A191,SUM(LEN(A191)-LEN(SUBSTITUTE(A191,{"0","1","2"},""))))), ROW(INDIRECT("1:"&amp;LEN((LEFT(A191,SUM(LEN(A191)-LEN(SUBSTITUTE(A191,{"0","1","2"},"")))))))), 1)) * ROW(INDIRECT("1:"&amp;LEN((LEFT(A191,SUM(LEN(A191)-LEN(SUBSTITUTE(A191,{"0","1","2"},"")))))))), 0), ROW(INDIRECT("1:"&amp;LEN((LEFT(A191,SUM(LEN(A191)-LEN(SUBSTITUTE(A191,{"0","1","2"},"")))))))))+1, 1) * 10^ROW(INDIRECT("1:"&amp;LEN((LEFT(A191,SUM(LEN(A191)-LEN(SUBSTITUTE(A191,{"0","1","2"},""))))))))/10))*100+1</f>
        <v>401</v>
      </c>
      <c r="P193" s="46">
        <f ca="1">(SUMPRODUCT(MID(0&amp;(--TRIM(RIGHT(SUBSTITUTE(LEFT(A191,_xlfn.AGGREGATE(16,6,FIND({0,1,2,3,4,5,6,7,8,9},A191,ROW(INDIRECT("1:"&amp;LEN(A191)))),1))," ",REPT(" ",LEN(A191))),LEN(A191)))), LARGE(INDEX(ISNUMBER(--MID((--TRIM(RIGHT(SUBSTITUTE(LEFT(A191,_xlfn.AGGREGATE(16,6,FIND({0,1,2,3,4,5,6,7,8,9},A191,ROW(INDIRECT("1:"&amp;LEN(A191)))),1))," ",REPT(" ",LEN(A191))),LEN(A191)))), ROW(INDIRECT("1:"&amp;LEN((--TRIM(RIGHT(SUBSTITUTE(LEFT(A191,_xlfn.AGGREGATE(16,6,FIND({0,1,2,3,4,5,6,7,8,9},A191,ROW(INDIRECT("1:"&amp;LEN(A191)))),1))," ",REPT(" ",LEN(A191))),LEN(A191))))))), 1)) * ROW(INDIRECT("1:"&amp;LEN((--TRIM(RIGHT(SUBSTITUTE(LEFT(A191,_xlfn.AGGREGATE(16,6,FIND({0,1,2,3,4,5,6,7,8,9},A191,ROW(INDIRECT("1:"&amp;LEN(A191)))),1))," ",REPT(" ",LEN(A191))),LEN(A191))))))), 0), ROW(INDIRECT("1:"&amp;LEN((--TRIM(RIGHT(SUBSTITUTE(LEFT(A191,_xlfn.AGGREGATE(16,6,FIND({0,1,2,3,4,5,6,7,8,9},A191,ROW(INDIRECT("1:"&amp;LEN(A191)))),1))," ",REPT(" ",LEN(A191))),LEN(A191))))))))+1, 1) * 10^ROW(INDIRECT("1:"&amp;LEN((--TRIM(RIGHT(SUBSTITUTE(LEFT(A191,_xlfn.AGGREGATE(16,6,FIND({0,1,2,3,4,5,6,7,8,9},A191,ROW(INDIRECT("1:"&amp;LEN(A191)))),1))," ",REPT(" ",LEN(A191))),LEN(A191)))))))/10))*100+1</f>
        <v>1801</v>
      </c>
    </row>
    <row r="194" spans="1:16" s="46" customFormat="1" ht="15.75" customHeight="1" x14ac:dyDescent="0.35">
      <c r="A194" s="120">
        <v>3</v>
      </c>
      <c r="B194" s="121"/>
      <c r="C194" s="36" t="s">
        <v>168</v>
      </c>
      <c r="D194" s="36">
        <f>((41.65)+(3.05+2.4*0.75+3.05))*10.764</f>
        <v>533.35619999999994</v>
      </c>
      <c r="E194" s="36">
        <v>0</v>
      </c>
      <c r="F194" s="36">
        <f t="shared" si="31"/>
        <v>800.03429999999992</v>
      </c>
      <c r="G194" s="81"/>
      <c r="H194" s="82"/>
      <c r="I194" s="17"/>
      <c r="N194" s="46" t="str">
        <f ca="1">O194&amp;""&amp;" to "&amp;""&amp;P194</f>
        <v>402 to 1802</v>
      </c>
      <c r="O194" s="46">
        <f t="shared" ref="O194:P194" ca="1" si="32">O193+1</f>
        <v>402</v>
      </c>
      <c r="P194" s="46">
        <f t="shared" ca="1" si="32"/>
        <v>1802</v>
      </c>
    </row>
    <row r="195" spans="1:16" s="46" customFormat="1" ht="15.75" customHeight="1" x14ac:dyDescent="0.35">
      <c r="A195" s="120">
        <v>4</v>
      </c>
      <c r="B195" s="121"/>
      <c r="C195" s="75" t="s">
        <v>169</v>
      </c>
      <c r="D195" s="76"/>
      <c r="E195" s="76"/>
      <c r="F195" s="77"/>
      <c r="G195" s="81"/>
      <c r="H195" s="82"/>
      <c r="I195" s="17"/>
      <c r="N195" s="46" t="str">
        <f t="shared" ref="N195:N197" ca="1" si="33">O195&amp;""&amp;" to "&amp;""&amp;P195</f>
        <v>403 to 1803</v>
      </c>
      <c r="O195" s="46">
        <f t="shared" ref="O195:P195" ca="1" si="34">O194+1</f>
        <v>403</v>
      </c>
      <c r="P195" s="46">
        <f t="shared" ca="1" si="34"/>
        <v>1803</v>
      </c>
    </row>
    <row r="196" spans="1:16" s="46" customFormat="1" ht="15.75" customHeight="1" x14ac:dyDescent="0.35">
      <c r="A196" s="120">
        <v>5</v>
      </c>
      <c r="B196" s="121"/>
      <c r="C196" s="36" t="s">
        <v>168</v>
      </c>
      <c r="D196" s="36">
        <f>((41.65)+(3.05+2.4*0.75+3.05))*10.764</f>
        <v>533.35619999999994</v>
      </c>
      <c r="E196" s="36">
        <v>0</v>
      </c>
      <c r="F196" s="36">
        <f t="shared" si="31"/>
        <v>800.03429999999992</v>
      </c>
      <c r="G196" s="81"/>
      <c r="H196" s="82"/>
      <c r="I196" s="17"/>
      <c r="N196" s="46" t="str">
        <f t="shared" ca="1" si="33"/>
        <v>404 to 1804</v>
      </c>
      <c r="O196" s="46">
        <f t="shared" ref="O196:P196" ca="1" si="35">O195+1</f>
        <v>404</v>
      </c>
      <c r="P196" s="46">
        <f t="shared" ca="1" si="35"/>
        <v>1804</v>
      </c>
    </row>
    <row r="197" spans="1:16" s="46" customFormat="1" ht="15.75" customHeight="1" x14ac:dyDescent="0.35">
      <c r="A197" s="120">
        <v>6</v>
      </c>
      <c r="B197" s="121"/>
      <c r="C197" s="36" t="s">
        <v>168</v>
      </c>
      <c r="D197" s="36">
        <f>((41.65)+(3.05+2.4*0.75+3.05))*10.764</f>
        <v>533.35619999999994</v>
      </c>
      <c r="E197" s="36">
        <v>0</v>
      </c>
      <c r="F197" s="36">
        <f t="shared" si="31"/>
        <v>800.03429999999992</v>
      </c>
      <c r="G197" s="83"/>
      <c r="H197" s="84"/>
      <c r="I197" s="17"/>
      <c r="N197" s="46" t="str">
        <f t="shared" ca="1" si="33"/>
        <v>405 to 1805</v>
      </c>
      <c r="O197" s="46">
        <f t="shared" ref="O197:P197" ca="1" si="36">O196+1</f>
        <v>405</v>
      </c>
      <c r="P197" s="46">
        <f t="shared" ca="1" si="36"/>
        <v>1805</v>
      </c>
    </row>
    <row r="198" spans="1:16" s="20" customFormat="1" x14ac:dyDescent="0.35">
      <c r="A198" s="166" t="s">
        <v>70</v>
      </c>
      <c r="B198" s="166"/>
      <c r="C198" s="166"/>
      <c r="D198" s="166"/>
      <c r="E198" s="166"/>
      <c r="F198" s="166"/>
      <c r="G198" s="166"/>
      <c r="H198" s="166"/>
      <c r="I198" s="17"/>
      <c r="M198" s="25"/>
      <c r="N198" s="33" t="e">
        <f t="shared" ref="N198" si="37">O198&amp;""&amp;" &amp; "&amp;""&amp;P198</f>
        <v>#REF!</v>
      </c>
      <c r="O198" s="20" t="e">
        <f>#REF!+1</f>
        <v>#REF!</v>
      </c>
      <c r="P198" s="20" t="e">
        <f>#REF!+1</f>
        <v>#REF!</v>
      </c>
    </row>
    <row r="199" spans="1:16" s="1" customFormat="1" ht="62.5" customHeight="1" x14ac:dyDescent="0.35">
      <c r="A199" s="53">
        <v>1</v>
      </c>
      <c r="B199" s="85" t="s">
        <v>236</v>
      </c>
      <c r="C199" s="86"/>
      <c r="D199" s="86"/>
      <c r="E199" s="86"/>
      <c r="F199" s="86"/>
      <c r="G199" s="86"/>
      <c r="H199" s="87"/>
      <c r="I199" s="56" t="s">
        <v>234</v>
      </c>
    </row>
    <row r="200" spans="1:16" s="1" customFormat="1" ht="16.5" customHeight="1" x14ac:dyDescent="0.35">
      <c r="A200" s="53">
        <f t="shared" ref="A200:A209" si="38">A199+1</f>
        <v>2</v>
      </c>
      <c r="B200" s="88" t="str">
        <f>(IF(F132="Saleable area Loading :","We have considered Saleable area of Flats as per our Calculation.","We considered Saleable area of Flat as per Builder area Sheet."))</f>
        <v>We have considered Saleable area of Flats as per our Calculation.</v>
      </c>
      <c r="C200" s="89"/>
      <c r="D200" s="89"/>
      <c r="E200" s="89"/>
      <c r="F200" s="89"/>
      <c r="G200" s="89"/>
      <c r="H200" s="90"/>
    </row>
    <row r="201" spans="1:16" s="1" customFormat="1" x14ac:dyDescent="0.35">
      <c r="A201" s="53">
        <v>3</v>
      </c>
      <c r="B201" s="71" t="s">
        <v>120</v>
      </c>
      <c r="C201" s="72"/>
      <c r="D201" s="72"/>
      <c r="E201" s="72"/>
      <c r="F201" s="72"/>
      <c r="G201" s="72"/>
      <c r="H201" s="73"/>
    </row>
    <row r="202" spans="1:16" s="1" customFormat="1" x14ac:dyDescent="0.35">
      <c r="A202" s="53">
        <f t="shared" si="38"/>
        <v>4</v>
      </c>
      <c r="B202" s="71" t="s">
        <v>204</v>
      </c>
      <c r="C202" s="72"/>
      <c r="D202" s="72"/>
      <c r="E202" s="72"/>
      <c r="F202" s="72"/>
      <c r="G202" s="72"/>
      <c r="H202" s="73"/>
    </row>
    <row r="203" spans="1:16" s="1" customFormat="1" x14ac:dyDescent="0.35">
      <c r="A203" s="53">
        <f t="shared" si="38"/>
        <v>5</v>
      </c>
      <c r="B203" s="71" t="s">
        <v>121</v>
      </c>
      <c r="C203" s="72"/>
      <c r="D203" s="72"/>
      <c r="E203" s="72"/>
      <c r="F203" s="72"/>
      <c r="G203" s="72"/>
      <c r="H203" s="73"/>
    </row>
    <row r="204" spans="1:16" s="1" customFormat="1" x14ac:dyDescent="0.35">
      <c r="A204" s="53">
        <f t="shared" si="38"/>
        <v>6</v>
      </c>
      <c r="B204" s="71" t="s">
        <v>122</v>
      </c>
      <c r="C204" s="72"/>
      <c r="D204" s="72"/>
      <c r="E204" s="72"/>
      <c r="F204" s="72"/>
      <c r="G204" s="72"/>
      <c r="H204" s="73"/>
    </row>
    <row r="205" spans="1:16" s="1" customFormat="1" x14ac:dyDescent="0.35">
      <c r="A205" s="53">
        <f t="shared" si="38"/>
        <v>7</v>
      </c>
      <c r="B205" s="71" t="s">
        <v>208</v>
      </c>
      <c r="C205" s="72"/>
      <c r="D205" s="72"/>
      <c r="E205" s="72"/>
      <c r="F205" s="72"/>
      <c r="G205" s="72"/>
      <c r="H205" s="73"/>
    </row>
    <row r="206" spans="1:16" s="1" customFormat="1" x14ac:dyDescent="0.35">
      <c r="A206" s="53">
        <f t="shared" si="38"/>
        <v>8</v>
      </c>
      <c r="B206" s="71" t="s">
        <v>207</v>
      </c>
      <c r="C206" s="72"/>
      <c r="D206" s="72"/>
      <c r="E206" s="72"/>
      <c r="F206" s="72"/>
      <c r="G206" s="72"/>
      <c r="H206" s="73"/>
    </row>
    <row r="207" spans="1:16" s="1" customFormat="1" x14ac:dyDescent="0.35">
      <c r="A207" s="53">
        <f>A205+1</f>
        <v>8</v>
      </c>
      <c r="B207" s="71" t="s">
        <v>217</v>
      </c>
      <c r="C207" s="72"/>
      <c r="D207" s="72"/>
      <c r="E207" s="72"/>
      <c r="F207" s="72"/>
      <c r="G207" s="72"/>
      <c r="H207" s="73"/>
    </row>
    <row r="208" spans="1:16" s="1" customFormat="1" ht="33.75" customHeight="1" x14ac:dyDescent="0.35">
      <c r="A208" s="53">
        <f>A206+1</f>
        <v>9</v>
      </c>
      <c r="B208" s="71" t="s">
        <v>230</v>
      </c>
      <c r="C208" s="72"/>
      <c r="D208" s="72"/>
      <c r="E208" s="72"/>
      <c r="F208" s="72"/>
      <c r="G208" s="72"/>
      <c r="H208" s="73"/>
    </row>
    <row r="209" spans="1:8" s="1" customFormat="1" hidden="1" x14ac:dyDescent="0.35">
      <c r="A209" s="53">
        <f t="shared" si="38"/>
        <v>10</v>
      </c>
      <c r="B209" s="88" t="s">
        <v>184</v>
      </c>
      <c r="C209" s="173"/>
      <c r="D209" s="173"/>
      <c r="E209" s="173"/>
      <c r="F209" s="173"/>
      <c r="G209" s="173"/>
      <c r="H209" s="174"/>
    </row>
    <row r="210" spans="1:8" s="1" customFormat="1" x14ac:dyDescent="0.35">
      <c r="A210" s="169" t="s">
        <v>63</v>
      </c>
      <c r="B210" s="169"/>
      <c r="C210" s="169"/>
      <c r="D210" s="169"/>
      <c r="E210" s="169"/>
      <c r="F210" s="169"/>
      <c r="G210" s="169"/>
      <c r="H210" s="169"/>
    </row>
    <row r="211" spans="1:8" x14ac:dyDescent="0.35">
      <c r="A211" s="137" t="s">
        <v>64</v>
      </c>
      <c r="B211" s="137"/>
      <c r="C211" s="137"/>
      <c r="D211" s="137"/>
      <c r="E211" s="137"/>
      <c r="F211" s="137"/>
      <c r="G211" s="137"/>
      <c r="H211" s="137"/>
    </row>
    <row r="212" spans="1:8" x14ac:dyDescent="0.35">
      <c r="A212" s="168" t="s">
        <v>65</v>
      </c>
      <c r="B212" s="168"/>
      <c r="C212" s="168"/>
      <c r="D212" s="168"/>
      <c r="E212" s="168"/>
      <c r="F212" s="168"/>
      <c r="G212" s="168"/>
      <c r="H212" s="168"/>
    </row>
    <row r="213" spans="1:8" ht="15.75" customHeight="1" x14ac:dyDescent="0.35">
      <c r="A213" s="137" t="s">
        <v>66</v>
      </c>
      <c r="B213" s="137"/>
      <c r="C213" s="137"/>
      <c r="D213" s="137"/>
      <c r="E213" s="137"/>
      <c r="F213" s="137"/>
      <c r="G213" s="137"/>
      <c r="H213" s="137"/>
    </row>
    <row r="214" spans="1:8" x14ac:dyDescent="0.35">
      <c r="A214" s="137" t="s">
        <v>67</v>
      </c>
      <c r="B214" s="137"/>
      <c r="C214" s="137"/>
      <c r="D214" s="137"/>
      <c r="E214" s="137"/>
      <c r="F214" s="137"/>
      <c r="G214" s="137"/>
      <c r="H214" s="137"/>
    </row>
    <row r="215" spans="1:8" x14ac:dyDescent="0.35">
      <c r="A215" s="137" t="s">
        <v>123</v>
      </c>
      <c r="B215" s="137"/>
      <c r="C215" s="137"/>
      <c r="D215" s="137"/>
      <c r="E215" s="137"/>
      <c r="F215" s="137"/>
      <c r="G215" s="137"/>
      <c r="H215" s="137"/>
    </row>
    <row r="216" spans="1:8" ht="31.5" customHeight="1" x14ac:dyDescent="0.35">
      <c r="A216" s="135" t="s">
        <v>124</v>
      </c>
      <c r="B216" s="135"/>
      <c r="C216" s="135"/>
      <c r="D216" s="135"/>
      <c r="E216" s="135"/>
      <c r="F216" s="135"/>
      <c r="G216" s="135"/>
      <c r="H216" s="135"/>
    </row>
    <row r="217" spans="1:8" x14ac:dyDescent="0.35">
      <c r="A217" s="60" t="s">
        <v>80</v>
      </c>
      <c r="B217" s="60"/>
      <c r="C217" s="60" t="s">
        <v>233</v>
      </c>
      <c r="D217" s="60"/>
      <c r="E217" s="60" t="s">
        <v>115</v>
      </c>
      <c r="F217" s="60"/>
      <c r="G217" s="60" t="s">
        <v>235</v>
      </c>
      <c r="H217" s="60"/>
    </row>
    <row r="218" spans="1:8" x14ac:dyDescent="0.35">
      <c r="A218" s="59" t="s">
        <v>82</v>
      </c>
      <c r="B218" s="59"/>
      <c r="C218" s="59"/>
      <c r="D218" s="59"/>
      <c r="E218" s="59"/>
      <c r="F218" s="59"/>
      <c r="G218" s="59"/>
      <c r="H218" s="59"/>
    </row>
    <row r="219" spans="1:8" x14ac:dyDescent="0.35">
      <c r="A219" s="59"/>
      <c r="B219" s="59"/>
      <c r="C219" s="59"/>
      <c r="D219" s="59"/>
      <c r="E219" s="59"/>
      <c r="F219" s="59"/>
      <c r="G219" s="59"/>
      <c r="H219" s="59"/>
    </row>
    <row r="220" spans="1:8" x14ac:dyDescent="0.35">
      <c r="A220" s="59"/>
      <c r="B220" s="59"/>
      <c r="C220" s="59"/>
      <c r="D220" s="59"/>
      <c r="E220" s="59"/>
      <c r="F220" s="59"/>
      <c r="G220" s="59"/>
      <c r="H220" s="59"/>
    </row>
    <row r="221" spans="1:8" x14ac:dyDescent="0.35">
      <c r="A221" s="59"/>
      <c r="B221" s="59"/>
      <c r="C221" s="59"/>
      <c r="D221" s="59"/>
      <c r="E221" s="59"/>
      <c r="F221" s="59"/>
      <c r="G221" s="59"/>
      <c r="H221" s="59"/>
    </row>
    <row r="222" spans="1:8" x14ac:dyDescent="0.35">
      <c r="A222" s="9" t="s">
        <v>68</v>
      </c>
      <c r="B222" s="10"/>
      <c r="C222" s="10"/>
      <c r="D222" s="9" t="str">
        <f>E8</f>
        <v>Ira Insignia</v>
      </c>
      <c r="F222" s="10"/>
      <c r="G222" s="10"/>
      <c r="H222" s="10"/>
    </row>
    <row r="223" spans="1:8" x14ac:dyDescent="0.35">
      <c r="A223" s="10"/>
      <c r="B223" s="10"/>
      <c r="C223" s="10"/>
      <c r="D223" s="10"/>
      <c r="E223" s="10"/>
      <c r="F223" s="10"/>
      <c r="G223" s="10"/>
      <c r="H223" s="10"/>
    </row>
    <row r="224" spans="1:8" x14ac:dyDescent="0.35">
      <c r="A224" s="10"/>
      <c r="B224" s="10"/>
      <c r="C224" s="10"/>
      <c r="D224" s="10"/>
      <c r="E224" s="10"/>
      <c r="F224" s="10"/>
      <c r="G224" s="10"/>
      <c r="H224" s="10"/>
    </row>
    <row r="226" ht="15" customHeight="1" x14ac:dyDescent="0.35"/>
    <row r="265" spans="1:8" ht="15.5" customHeight="1" x14ac:dyDescent="0.35">
      <c r="A265" s="9" t="s">
        <v>68</v>
      </c>
      <c r="B265" s="10"/>
      <c r="C265" s="10"/>
      <c r="D265" s="9" t="str">
        <f>E8</f>
        <v>Ira Insignia</v>
      </c>
      <c r="F265" s="10"/>
      <c r="G265" s="10"/>
      <c r="H265" s="10"/>
    </row>
    <row r="266" spans="1:8" x14ac:dyDescent="0.35">
      <c r="A266" s="10"/>
      <c r="B266" s="10"/>
      <c r="C266" s="10"/>
      <c r="D266" s="10"/>
      <c r="E266" s="10"/>
      <c r="F266" s="10"/>
      <c r="G266" s="10"/>
      <c r="H266" s="10"/>
    </row>
    <row r="267" spans="1:8" x14ac:dyDescent="0.35">
      <c r="A267" s="10"/>
      <c r="B267" s="10"/>
      <c r="C267" s="10"/>
      <c r="D267" s="10"/>
      <c r="E267" s="10"/>
      <c r="F267" s="10"/>
      <c r="G267" s="10"/>
      <c r="H267" s="10"/>
    </row>
    <row r="269" spans="1:8" ht="15" customHeight="1" x14ac:dyDescent="0.35"/>
    <row r="293" spans="1:8" x14ac:dyDescent="0.35">
      <c r="A293" s="70" t="s">
        <v>205</v>
      </c>
      <c r="B293" s="70"/>
      <c r="C293" s="10"/>
      <c r="D293" s="9"/>
      <c r="F293" s="10"/>
      <c r="G293" s="10"/>
      <c r="H293" s="10"/>
    </row>
    <row r="294" spans="1:8" x14ac:dyDescent="0.35">
      <c r="A294" s="10"/>
      <c r="B294" s="10"/>
      <c r="C294" s="10"/>
      <c r="D294" s="10"/>
      <c r="E294" s="10"/>
      <c r="F294" s="10"/>
      <c r="G294" s="10"/>
      <c r="H294" s="10"/>
    </row>
    <row r="295" spans="1:8" x14ac:dyDescent="0.35">
      <c r="A295" s="10"/>
      <c r="B295" s="10"/>
      <c r="C295" s="10"/>
      <c r="D295" s="10"/>
      <c r="E295" s="10"/>
      <c r="F295" s="10"/>
      <c r="G295" s="10"/>
      <c r="H295" s="10"/>
    </row>
    <row r="297" spans="1:8" ht="15" customHeight="1" x14ac:dyDescent="0.35"/>
    <row r="336" spans="1:1" x14ac:dyDescent="0.35">
      <c r="A336" s="12" t="s">
        <v>69</v>
      </c>
    </row>
    <row r="379" spans="1:1" x14ac:dyDescent="0.35">
      <c r="A379" s="12"/>
    </row>
  </sheetData>
  <mergeCells count="394">
    <mergeCell ref="B206:H206"/>
    <mergeCell ref="A194:B194"/>
    <mergeCell ref="A195:B195"/>
    <mergeCell ref="A196:B196"/>
    <mergeCell ref="A197:B197"/>
    <mergeCell ref="A154:B154"/>
    <mergeCell ref="A155:B155"/>
    <mergeCell ref="A156:B156"/>
    <mergeCell ref="A157:B157"/>
    <mergeCell ref="A158:B158"/>
    <mergeCell ref="A159:B159"/>
    <mergeCell ref="A161:B161"/>
    <mergeCell ref="A162:B162"/>
    <mergeCell ref="A163:B163"/>
    <mergeCell ref="A164:B164"/>
    <mergeCell ref="A165:B165"/>
    <mergeCell ref="A166:B166"/>
    <mergeCell ref="A180:B180"/>
    <mergeCell ref="A185:B185"/>
    <mergeCell ref="A186:B186"/>
    <mergeCell ref="A187:B187"/>
    <mergeCell ref="A188:B188"/>
    <mergeCell ref="A189:B189"/>
    <mergeCell ref="A190:B190"/>
    <mergeCell ref="A150:B150"/>
    <mergeCell ref="A168:B168"/>
    <mergeCell ref="A169:B169"/>
    <mergeCell ref="A152:H152"/>
    <mergeCell ref="A151:H151"/>
    <mergeCell ref="G161:H166"/>
    <mergeCell ref="A192:B192"/>
    <mergeCell ref="A193:B193"/>
    <mergeCell ref="A170:B170"/>
    <mergeCell ref="A171:B171"/>
    <mergeCell ref="A172:B172"/>
    <mergeCell ref="A173:B173"/>
    <mergeCell ref="A175:B175"/>
    <mergeCell ref="A176:B176"/>
    <mergeCell ref="A177:B177"/>
    <mergeCell ref="A178:B178"/>
    <mergeCell ref="A179:B179"/>
    <mergeCell ref="A184:H184"/>
    <mergeCell ref="G185:H190"/>
    <mergeCell ref="A191:H191"/>
    <mergeCell ref="G192:H197"/>
    <mergeCell ref="C195:F195"/>
    <mergeCell ref="E39:H39"/>
    <mergeCell ref="A39:D39"/>
    <mergeCell ref="A45:B45"/>
    <mergeCell ref="C45:E45"/>
    <mergeCell ref="G45:H45"/>
    <mergeCell ref="G47:H47"/>
    <mergeCell ref="D51:H51"/>
    <mergeCell ref="C47:E47"/>
    <mergeCell ref="A54:C56"/>
    <mergeCell ref="D54:H54"/>
    <mergeCell ref="D55:H55"/>
    <mergeCell ref="C46:E46"/>
    <mergeCell ref="A49:B49"/>
    <mergeCell ref="C49:E49"/>
    <mergeCell ref="A46:B46"/>
    <mergeCell ref="A50:H50"/>
    <mergeCell ref="A51:C51"/>
    <mergeCell ref="A52:C52"/>
    <mergeCell ref="D52:H52"/>
    <mergeCell ref="G49:H49"/>
    <mergeCell ref="D56:H56"/>
    <mergeCell ref="C48:H48"/>
    <mergeCell ref="A95:B95"/>
    <mergeCell ref="E95:F95"/>
    <mergeCell ref="G95:H95"/>
    <mergeCell ref="A96:B96"/>
    <mergeCell ref="E96:F105"/>
    <mergeCell ref="G96:H105"/>
    <mergeCell ref="A99:B99"/>
    <mergeCell ref="A100:B100"/>
    <mergeCell ref="A101:B101"/>
    <mergeCell ref="A73:B73"/>
    <mergeCell ref="A82:B82"/>
    <mergeCell ref="E82:F91"/>
    <mergeCell ref="G82:H91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75:B75"/>
    <mergeCell ref="A103:B103"/>
    <mergeCell ref="A104:B104"/>
    <mergeCell ref="A97:B97"/>
    <mergeCell ref="A98:B98"/>
    <mergeCell ref="A102:B102"/>
    <mergeCell ref="A109:E109"/>
    <mergeCell ref="C124:D124"/>
    <mergeCell ref="C125:D125"/>
    <mergeCell ref="E125:F125"/>
    <mergeCell ref="A107:E107"/>
    <mergeCell ref="A112:E112"/>
    <mergeCell ref="F112:H112"/>
    <mergeCell ref="F108:H108"/>
    <mergeCell ref="A108:E108"/>
    <mergeCell ref="F107:H107"/>
    <mergeCell ref="A106:H106"/>
    <mergeCell ref="G122:H122"/>
    <mergeCell ref="A105:B105"/>
    <mergeCell ref="F113:H113"/>
    <mergeCell ref="A128:B128"/>
    <mergeCell ref="C128:D128"/>
    <mergeCell ref="E128:F128"/>
    <mergeCell ref="G128:H128"/>
    <mergeCell ref="C127:D127"/>
    <mergeCell ref="E127:F127"/>
    <mergeCell ref="G127:H127"/>
    <mergeCell ref="A113:E113"/>
    <mergeCell ref="A115:E115"/>
    <mergeCell ref="G124:H124"/>
    <mergeCell ref="A117:E117"/>
    <mergeCell ref="A126:A127"/>
    <mergeCell ref="A92:B92"/>
    <mergeCell ref="C92:H92"/>
    <mergeCell ref="A94:B94"/>
    <mergeCell ref="C94:H94"/>
    <mergeCell ref="A78:B78"/>
    <mergeCell ref="C78:H78"/>
    <mergeCell ref="A80:B80"/>
    <mergeCell ref="C80:H80"/>
    <mergeCell ref="A81:B81"/>
    <mergeCell ref="E81:F81"/>
    <mergeCell ref="G81:H81"/>
    <mergeCell ref="F117:H117"/>
    <mergeCell ref="F115:H115"/>
    <mergeCell ref="A131:H131"/>
    <mergeCell ref="G121:H121"/>
    <mergeCell ref="A116:E116"/>
    <mergeCell ref="C122:D122"/>
    <mergeCell ref="E122:F122"/>
    <mergeCell ref="B132:B133"/>
    <mergeCell ref="A132:A133"/>
    <mergeCell ref="C132:C133"/>
    <mergeCell ref="E126:F126"/>
    <mergeCell ref="G126:H126"/>
    <mergeCell ref="F116:H116"/>
    <mergeCell ref="G125:H125"/>
    <mergeCell ref="A160:H160"/>
    <mergeCell ref="B203:H203"/>
    <mergeCell ref="B201:H201"/>
    <mergeCell ref="B202:H202"/>
    <mergeCell ref="C126:D126"/>
    <mergeCell ref="A215:H215"/>
    <mergeCell ref="A212:H212"/>
    <mergeCell ref="A210:H210"/>
    <mergeCell ref="A211:H211"/>
    <mergeCell ref="A130:H130"/>
    <mergeCell ref="B207:H207"/>
    <mergeCell ref="B208:H208"/>
    <mergeCell ref="B209:H209"/>
    <mergeCell ref="A138:B138"/>
    <mergeCell ref="A139:B139"/>
    <mergeCell ref="A140:B140"/>
    <mergeCell ref="A141:B141"/>
    <mergeCell ref="A135:H135"/>
    <mergeCell ref="A143:B143"/>
    <mergeCell ref="A145:B145"/>
    <mergeCell ref="A146:B146"/>
    <mergeCell ref="A147:B147"/>
    <mergeCell ref="A148:B148"/>
    <mergeCell ref="A149:B149"/>
    <mergeCell ref="A62:C62"/>
    <mergeCell ref="D62:H62"/>
    <mergeCell ref="A68:B68"/>
    <mergeCell ref="G67:H67"/>
    <mergeCell ref="A66:B66"/>
    <mergeCell ref="A64:B64"/>
    <mergeCell ref="C64:H64"/>
    <mergeCell ref="A72:B72"/>
    <mergeCell ref="A59:C59"/>
    <mergeCell ref="D59:H59"/>
    <mergeCell ref="C66:H66"/>
    <mergeCell ref="A69:B69"/>
    <mergeCell ref="A71:B71"/>
    <mergeCell ref="E67:F67"/>
    <mergeCell ref="A60:C60"/>
    <mergeCell ref="D60:H60"/>
    <mergeCell ref="A63:C63"/>
    <mergeCell ref="D63:H63"/>
    <mergeCell ref="A61:C61"/>
    <mergeCell ref="D61:H61"/>
    <mergeCell ref="A57:C57"/>
    <mergeCell ref="A58:C58"/>
    <mergeCell ref="D57:H57"/>
    <mergeCell ref="E68:F77"/>
    <mergeCell ref="G68:H77"/>
    <mergeCell ref="A76:B76"/>
    <mergeCell ref="A77:B77"/>
    <mergeCell ref="D58:H58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3:H53"/>
    <mergeCell ref="A53:C53"/>
    <mergeCell ref="G46:H46"/>
    <mergeCell ref="A47:B48"/>
    <mergeCell ref="A74:B74"/>
    <mergeCell ref="A67:B67"/>
    <mergeCell ref="A70:B7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5:H35"/>
    <mergeCell ref="C36:H36"/>
    <mergeCell ref="A110:E110"/>
    <mergeCell ref="A111:E111"/>
    <mergeCell ref="A142:B142"/>
    <mergeCell ref="G129:H129"/>
    <mergeCell ref="F111:H111"/>
    <mergeCell ref="F110:H110"/>
    <mergeCell ref="G154:H159"/>
    <mergeCell ref="A134:H134"/>
    <mergeCell ref="A136:H136"/>
    <mergeCell ref="A137:H137"/>
    <mergeCell ref="A120:H120"/>
    <mergeCell ref="A118:E118"/>
    <mergeCell ref="F118:H118"/>
    <mergeCell ref="A119:E119"/>
    <mergeCell ref="F119:H119"/>
    <mergeCell ref="A153:H153"/>
    <mergeCell ref="A125:B125"/>
    <mergeCell ref="A122:B122"/>
    <mergeCell ref="A123:H123"/>
    <mergeCell ref="E124:F124"/>
    <mergeCell ref="E121:F121"/>
    <mergeCell ref="A121:B121"/>
    <mergeCell ref="F114:H114"/>
    <mergeCell ref="C121:D121"/>
    <mergeCell ref="I14:J14"/>
    <mergeCell ref="I17:J17"/>
    <mergeCell ref="I40:L40"/>
    <mergeCell ref="I41:L41"/>
    <mergeCell ref="I42:L42"/>
    <mergeCell ref="I43:L43"/>
    <mergeCell ref="I52:M52"/>
    <mergeCell ref="I45:K45"/>
    <mergeCell ref="M45:N45"/>
    <mergeCell ref="I46:K46"/>
    <mergeCell ref="M46:N46"/>
    <mergeCell ref="I47:K47"/>
    <mergeCell ref="M47:N47"/>
    <mergeCell ref="I48:N48"/>
    <mergeCell ref="K14:P14"/>
    <mergeCell ref="I15:J15"/>
    <mergeCell ref="K15:L15"/>
    <mergeCell ref="M15:N15"/>
    <mergeCell ref="O15:P15"/>
    <mergeCell ref="I16:J16"/>
    <mergeCell ref="K16:L16"/>
    <mergeCell ref="M16:N16"/>
    <mergeCell ref="O16:P16"/>
    <mergeCell ref="K17:L17"/>
    <mergeCell ref="A293:B293"/>
    <mergeCell ref="B204:H204"/>
    <mergeCell ref="B205:H205"/>
    <mergeCell ref="L161:M161"/>
    <mergeCell ref="C164:F164"/>
    <mergeCell ref="A167:H167"/>
    <mergeCell ref="G168:H173"/>
    <mergeCell ref="L168:M168"/>
    <mergeCell ref="A174:H174"/>
    <mergeCell ref="G175:H180"/>
    <mergeCell ref="L175:M175"/>
    <mergeCell ref="C178:F178"/>
    <mergeCell ref="B199:H199"/>
    <mergeCell ref="B200:H200"/>
    <mergeCell ref="A182:H182"/>
    <mergeCell ref="A183:H183"/>
    <mergeCell ref="E217:F217"/>
    <mergeCell ref="C217:D217"/>
    <mergeCell ref="G217:H217"/>
    <mergeCell ref="A213:H213"/>
    <mergeCell ref="A216:H216"/>
    <mergeCell ref="A214:H214"/>
    <mergeCell ref="A198:H198"/>
    <mergeCell ref="A181:H181"/>
    <mergeCell ref="A218:H221"/>
    <mergeCell ref="A217:B217"/>
    <mergeCell ref="M17:N17"/>
    <mergeCell ref="O17:P17"/>
    <mergeCell ref="I18:J18"/>
    <mergeCell ref="K18:L18"/>
    <mergeCell ref="M18:N18"/>
    <mergeCell ref="O18:P18"/>
    <mergeCell ref="I38:L38"/>
    <mergeCell ref="I39:L39"/>
    <mergeCell ref="L154:M154"/>
    <mergeCell ref="F109:H109"/>
    <mergeCell ref="A114:E114"/>
    <mergeCell ref="A144:H144"/>
    <mergeCell ref="G145:H150"/>
    <mergeCell ref="C148:F150"/>
    <mergeCell ref="A124:B124"/>
    <mergeCell ref="D132:D133"/>
    <mergeCell ref="E132:E133"/>
    <mergeCell ref="G132:H133"/>
    <mergeCell ref="G138:H143"/>
    <mergeCell ref="A129:B129"/>
    <mergeCell ref="C129:D129"/>
    <mergeCell ref="E129:F129"/>
  </mergeCells>
  <hyperlinks>
    <hyperlink ref="I54" r:id="rId1"/>
    <hyperlink ref="C36" r:id="rId2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4" manualBreakCount="4">
    <brk id="221" max="16383" man="1"/>
    <brk id="264" max="16383" man="1"/>
    <brk id="292" max="7" man="1"/>
    <brk id="335" max="16383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11" sqref="Q11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Sheet1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2025-09-20T13:05:43Z</cp:lastPrinted>
  <dcterms:created xsi:type="dcterms:W3CDTF">2019-07-16T09:29:46Z</dcterms:created>
  <dcterms:modified xsi:type="dcterms:W3CDTF">2025-09-20T13:07:44Z</dcterms:modified>
</cp:coreProperties>
</file>