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9-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6" i="1" l="1"/>
  <c r="E165" i="1"/>
  <c r="E164" i="1"/>
  <c r="E168" i="1"/>
  <c r="E167" i="1"/>
  <c r="E163" i="1"/>
  <c r="E152" i="1"/>
  <c r="E153" i="1"/>
  <c r="E151" i="1"/>
  <c r="E150" i="1"/>
  <c r="E149" i="1"/>
  <c r="E148" i="1"/>
  <c r="D168" i="1" l="1"/>
  <c r="F168" i="1" s="1"/>
  <c r="H168" i="1" s="1"/>
  <c r="D167" i="1"/>
  <c r="F167" i="1" s="1"/>
  <c r="H167" i="1" s="1"/>
  <c r="D166" i="1"/>
  <c r="F166" i="1" s="1"/>
  <c r="H166" i="1" s="1"/>
  <c r="D165" i="1"/>
  <c r="F165" i="1" s="1"/>
  <c r="H165" i="1" s="1"/>
  <c r="D164" i="1"/>
  <c r="D163" i="1"/>
  <c r="F163" i="1" s="1"/>
  <c r="H163" i="1" s="1"/>
  <c r="D161" i="1"/>
  <c r="F161" i="1" s="1"/>
  <c r="H161" i="1" s="1"/>
  <c r="D160" i="1"/>
  <c r="F160" i="1" s="1"/>
  <c r="H160" i="1" s="1"/>
  <c r="D158" i="1"/>
  <c r="F158" i="1" s="1"/>
  <c r="H158" i="1" s="1"/>
  <c r="D157" i="1"/>
  <c r="F157" i="1" s="1"/>
  <c r="H157" i="1" s="1"/>
  <c r="D153" i="1"/>
  <c r="F153" i="1" s="1"/>
  <c r="H153" i="1" s="1"/>
  <c r="D152" i="1"/>
  <c r="F152" i="1" s="1"/>
  <c r="H152" i="1" s="1"/>
  <c r="D151" i="1"/>
  <c r="D150" i="1"/>
  <c r="D149" i="1"/>
  <c r="D148" i="1"/>
  <c r="D145" i="1"/>
  <c r="D144" i="1"/>
  <c r="D142" i="1"/>
  <c r="D141" i="1"/>
  <c r="F164" i="1"/>
  <c r="H164" i="1" s="1"/>
  <c r="A164" i="1"/>
  <c r="A165" i="1" s="1"/>
  <c r="A166" i="1" s="1"/>
  <c r="A167" i="1" s="1"/>
  <c r="A168" i="1" s="1"/>
  <c r="I151" i="1"/>
  <c r="I145" i="1"/>
  <c r="I144" i="1"/>
  <c r="I141" i="1"/>
  <c r="A158" i="1"/>
  <c r="A160" i="1" s="1"/>
  <c r="A161" i="1" s="1"/>
  <c r="J143" i="1"/>
  <c r="E44" i="1"/>
  <c r="G123" i="1" l="1"/>
  <c r="E123" i="1"/>
  <c r="C123" i="1"/>
  <c r="J99" i="1"/>
  <c r="J98" i="1"/>
  <c r="J97" i="1"/>
  <c r="J96" i="1"/>
  <c r="J85" i="1" l="1"/>
  <c r="J84" i="1"/>
  <c r="J83" i="1"/>
  <c r="J82" i="1"/>
  <c r="H75" i="1"/>
  <c r="J79" i="1" l="1"/>
  <c r="C78" i="1" s="1"/>
  <c r="J80" i="1"/>
  <c r="J81" i="1" s="1"/>
  <c r="J86" i="1" s="1"/>
  <c r="J87" i="1" s="1"/>
  <c r="C79" i="1" s="1"/>
  <c r="E78" i="1" s="1"/>
  <c r="D87" i="1"/>
  <c r="D83" i="1"/>
  <c r="D81" i="1"/>
  <c r="J78" i="1"/>
  <c r="D86" i="1"/>
  <c r="D82" i="1"/>
  <c r="J77" i="1"/>
  <c r="D84" i="1"/>
  <c r="J74" i="1"/>
  <c r="J76" i="1" s="1"/>
  <c r="D80" i="1"/>
  <c r="D85" i="1"/>
  <c r="H89" i="1"/>
  <c r="D79" i="1" l="1"/>
  <c r="G78" i="1"/>
  <c r="D78" i="1"/>
  <c r="J75" i="1" s="1"/>
  <c r="J92" i="1"/>
  <c r="D99" i="1"/>
  <c r="D95" i="1"/>
  <c r="J88" i="1"/>
  <c r="J90" i="1" s="1"/>
  <c r="J94" i="1"/>
  <c r="J95" i="1" s="1"/>
  <c r="J100" i="1" s="1"/>
  <c r="J101" i="1" s="1"/>
  <c r="C93" i="1" s="1"/>
  <c r="D93" i="1" s="1"/>
  <c r="J93" i="1"/>
  <c r="C92" i="1" s="1"/>
  <c r="D92" i="1" s="1"/>
  <c r="D97" i="1"/>
  <c r="D100" i="1"/>
  <c r="J91" i="1"/>
  <c r="D98" i="1"/>
  <c r="D94" i="1"/>
  <c r="D101" i="1"/>
  <c r="D96" i="1"/>
  <c r="G92" i="1" l="1"/>
  <c r="E92" i="1"/>
  <c r="J89" i="1"/>
  <c r="I75" i="1"/>
  <c r="I76" i="1" s="1"/>
  <c r="I89" i="1"/>
  <c r="I90" i="1" s="1"/>
  <c r="I74" i="1" l="1"/>
  <c r="C76" i="1" s="1"/>
  <c r="I88" i="1"/>
  <c r="C90" i="1" s="1"/>
  <c r="B171" i="1" l="1"/>
  <c r="G59" i="1" l="1"/>
  <c r="C59" i="1"/>
  <c r="G57" i="1"/>
  <c r="C57" i="1"/>
  <c r="C55" i="1"/>
  <c r="S34" i="1" l="1"/>
  <c r="F11" i="5" l="1"/>
  <c r="G11" i="5" s="1"/>
  <c r="F10" i="5"/>
  <c r="G10" i="5" s="1"/>
  <c r="F9" i="5"/>
  <c r="G9" i="5" s="1"/>
  <c r="F8" i="5"/>
  <c r="G8" i="5" s="1"/>
  <c r="F7" i="5"/>
  <c r="G7" i="5" s="1"/>
  <c r="F6" i="5"/>
  <c r="G6" i="5" s="1"/>
  <c r="F5" i="5"/>
  <c r="G5" i="5" s="1"/>
  <c r="G12" i="5" s="1"/>
  <c r="D194" i="1"/>
  <c r="B172" i="1"/>
  <c r="F151" i="1"/>
  <c r="H151" i="1" s="1"/>
  <c r="F150" i="1"/>
  <c r="H150" i="1" s="1"/>
  <c r="F149" i="1"/>
  <c r="H149" i="1" s="1"/>
  <c r="F148" i="1"/>
  <c r="A149" i="1"/>
  <c r="A150" i="1" s="1"/>
  <c r="A151" i="1" s="1"/>
  <c r="A152" i="1" s="1"/>
  <c r="A153" i="1" s="1"/>
  <c r="F145" i="1"/>
  <c r="H145" i="1" s="1"/>
  <c r="F144" i="1"/>
  <c r="H144" i="1" s="1"/>
  <c r="F142" i="1"/>
  <c r="H142" i="1" s="1"/>
  <c r="A142" i="1"/>
  <c r="A144" i="1" s="1"/>
  <c r="A145" i="1" s="1"/>
  <c r="F141" i="1"/>
  <c r="H141" i="1" s="1"/>
  <c r="H134" i="1"/>
  <c r="F134" i="1"/>
  <c r="H133" i="1"/>
  <c r="F133" i="1"/>
  <c r="H132" i="1"/>
  <c r="F132" i="1"/>
  <c r="A132" i="1"/>
  <c r="A133" i="1" s="1"/>
  <c r="A134" i="1" s="1"/>
  <c r="H131" i="1"/>
  <c r="F131" i="1"/>
  <c r="F114" i="1"/>
  <c r="D68" i="1"/>
  <c r="G52" i="1"/>
  <c r="G53" i="1" s="1"/>
  <c r="C52" i="1"/>
  <c r="E45" i="1"/>
  <c r="E46" i="1" s="1"/>
  <c r="E32" i="1"/>
  <c r="E29" i="1"/>
  <c r="E27" i="1"/>
  <c r="C17" i="1"/>
  <c r="I16" i="1"/>
  <c r="Z14" i="1"/>
  <c r="E8" i="1"/>
  <c r="E3" i="1"/>
  <c r="H148" i="1" l="1"/>
  <c r="G122" i="1" s="1"/>
  <c r="G124" i="1" s="1"/>
  <c r="G125" i="1" s="1"/>
  <c r="E122" i="1"/>
  <c r="E124" i="1" s="1"/>
  <c r="E125" i="1" s="1"/>
  <c r="C122" i="1"/>
  <c r="C124" i="1" s="1"/>
  <c r="C125" i="1" s="1"/>
  <c r="D72" i="1"/>
  <c r="F73" i="1" l="1"/>
  <c r="D73" i="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<sst xmlns="http://schemas.openxmlformats.org/spreadsheetml/2006/main" count="590" uniqueCount="356">
  <si>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</si>
  <si>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</si>
  <si>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</si>
  <si>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</si>
  <si>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</si>
  <si>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</si>
  <si>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</si>
  <si>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</si>
  <si>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</si>
  <si>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</si>
  <si>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</si>
  <si>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</si>
  <si>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</si>
  <si>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</si>
  <si>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</si>
  <si>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</si>
  <si>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</si>
  <si>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</si>
  <si>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</si>
  <si>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</si>
  <si>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</si>
  <si>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</si>
  <si>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</si>
  <si>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</si>
  <si>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</si>
  <si>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</si>
  <si>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</si>
  <si>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</si>
  <si>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</si>
  <si>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</si>
  <si>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</si>
  <si>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</si>
  <si>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</si>
  <si>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</si>
  <si>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</si>
  <si>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</si>
  <si>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</si>
  <si>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</si>
  <si>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</si>
  <si>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</si>
  <si>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</si>
  <si>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</si>
  <si>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</si>
  <si>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</si>
  <si>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</si>
  <si>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</si>
  <si>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</si>
  <si>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</si>
  <si>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</si>
  <si>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</si>
  <si>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</si>
  <si>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</si>
  <si>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</si>
  <si>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</si>
  <si>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</si>
  <si>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</si>
  <si>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</si>
  <si>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</si>
  <si>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</si>
  <si>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</si>
  <si>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</si>
  <si>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</si>
  <si>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</si>
  <si>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</si>
  <si>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</si>
  <si>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</si>
  <si>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</si>
  <si>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</si>
  <si>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</si>
  <si>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</si>
  <si>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</si>
  <si>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</si>
  <si>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</si>
  <si>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</si>
  <si>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</si>
  <si>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</si>
  <si>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</si>
  <si>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</si>
  <si>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</si>
  <si>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</si>
  <si>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</si>
  <si>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</si>
  <si>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</si>
  <si>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</si>
  <si>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</si>
  <si>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</si>
  <si>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</si>
  <si>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</si>
  <si>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</si>
  <si>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</si>
  <si>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</si>
  <si>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</si>
  <si>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</si>
  <si>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</si>
  <si>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</si>
  <si>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</si>
  <si>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</si>
  <si>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</si>
  <si>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</si>
  <si>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</si>
  <si>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</si>
  <si>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</si>
  <si>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</si>
  <si>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</si>
  <si>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</si>
  <si>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</si>
  <si>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</si>
  <si>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</si>
  <si>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</si>
  <si>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</si>
  <si>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</si>
  <si>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</si>
  <si>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</si>
  <si>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</si>
  <si>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</si>
  <si>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</si>
  <si>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</si>
  <si>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</si>
  <si>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</si>
  <si>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</si>
  <si>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</si>
  <si>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</si>
  <si>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</si>
  <si>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</si>
  <si>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</si>
  <si>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</si>
  <si>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</si>
  <si>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</si>
  <si>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Possession</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</si>
  <si>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</si>
  <si>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</si>
  <si>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</si>
  <si>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</si>
  <si>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</si>
  <si>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</si>
  <si>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</si>
  <si>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</si>
  <si>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</si>
  <si>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</si>
  <si>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</si>
  <si>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</si>
  <si>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</si>
  <si>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</si>
  <si>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</si>
  <si>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</si>
  <si>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</si>
  <si>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</si>
  <si>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</si>
  <si>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</si>
  <si>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</si>
  <si>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</si>
  <si>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</si>
  <si>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</si>
  <si>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</si>
  <si>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</si>
  <si>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</si>
  <si>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</si>
  <si>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</si>
  <si>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</si>
  <si>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</si>
  <si>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</si>
  <si>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</si>
  <si>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</si>
  <si>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</si>
  <si>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</si>
  <si>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</si>
  <si>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</si>
  <si>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</si>
  <si>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</si>
  <si>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</si>
  <si>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</si>
  <si>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</si>
  <si>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</si>
  <si>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</si>
  <si>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</si>
  <si>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</si>
  <si>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</si>
  <si>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</si>
  <si>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</si>
  <si>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</si>
  <si>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</si>
  <si>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</si>
  <si>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</si>
  <si>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</si>
  <si>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</si>
  <si>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</si>
  <si>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</si>
  <si>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</si>
  <si>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</si>
  <si>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</si>
  <si>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</si>
  <si>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</si>
  <si>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</si>
  <si>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</si>
  <si>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</si>
  <si>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</si>
  <si>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</si>
  <si>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</si>
  <si>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</si>
  <si>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</si>
  <si>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</si>
  <si>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</si>
  <si>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</si>
  <si>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</si>
  <si>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</si>
  <si>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</si>
  <si>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</si>
  <si>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</si>
  <si>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</si>
  <si>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</si>
  <si>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</si>
  <si>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</si>
  <si>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</si>
  <si>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</si>
  <si>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</si>
  <si>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</si>
  <si>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</si>
  <si>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</si>
  <si>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</si>
  <si>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</si>
  <si>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</si>
  <si>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</si>
  <si>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</si>
  <si>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</si>
  <si>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</si>
  <si>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</si>
  <si>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</si>
  <si>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</si>
  <si>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</si>
  <si>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</si>
  <si>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</si>
  <si>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</si>
  <si>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</si>
  <si>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</si>
  <si>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</si>
  <si>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</si>
  <si>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</si>
  <si>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</si>
  <si>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</si>
  <si>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</si>
  <si>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</si>
  <si>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</si>
  <si>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</si>
  <si>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</si>
  <si>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</si>
  <si>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</si>
  <si>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</si>
  <si>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</si>
  <si>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</si>
  <si>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</si>
  <si>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</si>
  <si>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</si>
  <si>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</si>
  <si>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</si>
  <si>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</si>
  <si>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</si>
  <si>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</si>
  <si>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</si>
  <si>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</si>
  <si>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</si>
  <si>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</si>
  <si>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</si>
  <si>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</si>
  <si>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</si>
  <si>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</si>
  <si>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</si>
  <si>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</si>
  <si>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</si>
  <si>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</si>
  <si>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</si>
  <si>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</si>
  <si>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</si>
  <si>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</si>
  <si>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</si>
  <si>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</si>
  <si>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</si>
  <si>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</si>
  <si>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</si>
  <si>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</si>
  <si>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</si>
  <si>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</si>
  <si>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</si>
  <si>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</si>
  <si>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</si>
  <si>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</si>
  <si>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</si>
  <si>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</si>
  <si>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</si>
  <si>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</si>
  <si>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</si>
  <si>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</si>
  <si>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</si>
  <si>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</si>
  <si>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</si>
  <si>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</si>
  <si>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Ext. Plaster</t>
  </si>
  <si>
    <t>Electrification</t>
  </si>
  <si>
    <t>Visharia Sadguru Bhoomi LLP</t>
  </si>
  <si>
    <t>9819363031/7499332987</t>
  </si>
  <si>
    <t>Building No.2 (Wing A &amp; B)</t>
  </si>
  <si>
    <t>P99000054221</t>
  </si>
  <si>
    <t>Gut No</t>
  </si>
  <si>
    <t>Makane</t>
  </si>
  <si>
    <t>02 Wing</t>
  </si>
  <si>
    <t>Mahsul/Kaksh.1/T.1/NP/S.R-264/2021</t>
  </si>
  <si>
    <t>Building No.2 (Wing A &amp; B) = Gr + 1st to 7th Floor</t>
  </si>
  <si>
    <t>Approved Builtup Area of Building No.2 (Wing A &amp; B) (Sq.Mt)</t>
  </si>
  <si>
    <t>As per RERA - 31/12/2027</t>
  </si>
  <si>
    <r>
      <t xml:space="preserve">Proposed Amenities :                                                                                                                                                                                                                         </t>
    </r>
    <r>
      <rPr>
        <b/>
        <sz val="12"/>
        <rFont val="Times New Roman"/>
        <family val="1"/>
      </rPr>
      <t xml:space="preserve">                                               </t>
    </r>
  </si>
  <si>
    <t>Compound Wall, Rainwater Harvesting Pit, Parking, Branded Lifts, Power Backup, Luxurious Green &amp; Peaceful Community etc.</t>
  </si>
  <si>
    <t xml:space="preserve">Details of Residential in Building   </t>
  </si>
  <si>
    <t>Building No.2</t>
  </si>
  <si>
    <t>1BHK</t>
  </si>
  <si>
    <t>-</t>
  </si>
  <si>
    <t>Parking Area</t>
  </si>
  <si>
    <t>Ground Floor For Residential &amp; (Part Entarnce Lobby &amp; Parking Area)</t>
  </si>
  <si>
    <t>1.5BHK</t>
  </si>
  <si>
    <t>Entarnce Lobby &amp; Parking Area</t>
  </si>
  <si>
    <t>Wing B</t>
  </si>
  <si>
    <t>Wing A</t>
  </si>
  <si>
    <t>Ground Floor For Residential &amp; (Part Entarnce Lobby, Society Office &amp; Parking Area)</t>
  </si>
  <si>
    <t xml:space="preserve"> Entarnce Lobby &amp; Society Office Area</t>
  </si>
  <si>
    <t>1st to 7th Floor For Residential</t>
  </si>
  <si>
    <t>Residential Area Details :Flats</t>
  </si>
  <si>
    <t>Flats - 92</t>
  </si>
  <si>
    <t>19.575833,72.802556</t>
  </si>
  <si>
    <t>https://maps.app.goo.gl/ywDNXm4p1pprcWM4A</t>
  </si>
  <si>
    <t>Makane Kapase</t>
  </si>
  <si>
    <t>2.4 KM from Saphale Railway Station</t>
  </si>
  <si>
    <t>Saphale West</t>
  </si>
  <si>
    <t>Internal Road</t>
  </si>
  <si>
    <t>Kavya apartment</t>
  </si>
  <si>
    <t>Building</t>
  </si>
  <si>
    <t>Open Plot</t>
  </si>
  <si>
    <t>Amenity Building/Building No.1</t>
  </si>
  <si>
    <t>Adj.230</t>
  </si>
  <si>
    <t>12.0 M Wide Layout Road</t>
  </si>
  <si>
    <t>Sadguru Tower Bldg No.2</t>
  </si>
  <si>
    <t xml:space="preserve"> Building No.3, Adj.226</t>
  </si>
  <si>
    <t>We considered Gross carpet area = Net carpet + Balcony Area.</t>
  </si>
  <si>
    <t>documents</t>
  </si>
  <si>
    <t>227/Pt</t>
  </si>
  <si>
    <t>Mahsul/K-1/MJ-1/B.S.P/S.R/C.R/
264/21</t>
  </si>
  <si>
    <t>Balcony Area + AP Area</t>
  </si>
  <si>
    <t>Approved Plans, CC, Cost Sheet, Sale Plans</t>
  </si>
  <si>
    <t>Society Formation Charges + Advance Maintenance Charges + Development Charges + Water, Electricity, ETC</t>
  </si>
  <si>
    <t xml:space="preserve">Don’t raise the rates </t>
  </si>
  <si>
    <t>Mr. Damodar Shetty 8935018080</t>
  </si>
  <si>
    <t xml:space="preserve"> rate 3500 trupti index2 on 29/01/2025.</t>
  </si>
  <si>
    <t>Recommended Rates/Other Charges of the Property have been revised on 29/01/2025.</t>
  </si>
  <si>
    <t>Building No.2 (Wing A) = Gr + 1st to 7th Floor</t>
  </si>
  <si>
    <t>Building No.2 (Wing B) = Gr + 1st to 7th Floor</t>
  </si>
  <si>
    <t>Yadnesh Patil</t>
  </si>
  <si>
    <t>Mr. Mayur : 9773393904</t>
  </si>
  <si>
    <t>Wing A = Construction work is same as last visit (dtd.09/07/2025).
Wing B = Construction work is in process at the time of visit.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</si>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</sst>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theme="1"/>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9"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8" xfId="1" applyFont="1" applyBorder="1"/>
    <xf numFmtId="0" fontId="18"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5" fillId="2" borderId="24" xfId="0" applyFont="1" applyFill="1" applyBorder="1"/>
    <xf numFmtId="0" fontId="26" fillId="0" borderId="25"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5"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0" fontId="31" fillId="0" borderId="25" xfId="0" applyFont="1" applyBorder="1"/>
    <xf numFmtId="0" fontId="7" fillId="0" borderId="1" xfId="1" applyFont="1" applyBorder="1" applyAlignment="1" applyProtection="1">
      <alignment horizontal="center" vertical="top"/>
      <protection locked="0"/>
    </xf>
    <xf numFmtId="0" fontId="31" fillId="0" borderId="4" xfId="0" applyFont="1" applyBorder="1"/>
    <xf numFmtId="0" fontId="16" fillId="0" borderId="0" xfId="0" applyFont="1" applyProtection="1">
      <protection hidden="1"/>
    </xf>
    <xf numFmtId="9" fontId="7" fillId="0" borderId="1" xfId="8" applyFont="1" applyFill="1" applyBorder="1" applyAlignment="1" applyProtection="1">
      <alignment horizontal="center" vertical="top" wrapText="1"/>
      <protection locked="0"/>
    </xf>
    <xf numFmtId="0" fontId="16" fillId="0" borderId="8" xfId="0" applyFont="1" applyBorder="1" applyProtection="1">
      <protection hidden="1"/>
    </xf>
    <xf numFmtId="1" fontId="31" fillId="0" borderId="8" xfId="0" applyNumberFormat="1" applyFont="1" applyBorder="1"/>
    <xf numFmtId="1" fontId="31" fillId="0" borderId="8" xfId="0" applyNumberFormat="1" applyFont="1" applyBorder="1" applyAlignment="1">
      <alignment horizontal="right"/>
    </xf>
    <xf numFmtId="0" fontId="16" fillId="0" borderId="9" xfId="0" applyFont="1" applyBorder="1" applyProtection="1">
      <protection hidden="1"/>
    </xf>
    <xf numFmtId="1" fontId="31" fillId="0" borderId="10" xfId="0" applyNumberFormat="1" applyFont="1" applyBorder="1"/>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31" fillId="2" borderId="11" xfId="0" applyFont="1" applyFill="1" applyBorder="1"/>
    <xf numFmtId="0" fontId="31" fillId="0" borderId="7" xfId="0" applyFont="1" applyBorder="1"/>
    <xf numFmtId="1" fontId="8"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8" fillId="0" borderId="29" xfId="0" applyNumberFormat="1" applyFont="1" applyBorder="1" applyAlignment="1" applyProtection="1">
      <alignment horizontal="center" vertical="top" wrapText="1"/>
      <protection locked="0"/>
    </xf>
    <xf numFmtId="1" fontId="8" fillId="0" borderId="30" xfId="0" applyNumberFormat="1" applyFont="1" applyBorder="1" applyAlignment="1" applyProtection="1">
      <alignment horizontal="center" vertical="top" wrapText="1"/>
      <protection locked="0"/>
    </xf>
    <xf numFmtId="0" fontId="6" fillId="0" borderId="6"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7" xfId="1" applyFont="1" applyBorder="1" applyAlignment="1" applyProtection="1">
      <alignment vertical="top" wrapText="1"/>
      <protection locked="0"/>
    </xf>
    <xf numFmtId="1" fontId="6" fillId="0" borderId="2" xfId="0" applyNumberFormat="1" applyFont="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1" fontId="10" fillId="0" borderId="2" xfId="0" applyNumberFormat="1"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9" fontId="12" fillId="0" borderId="13"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19" xfId="8" applyFont="1" applyFill="1" applyBorder="1" applyAlignment="1" applyProtection="1">
      <alignment horizontal="center" vertical="center" wrapText="1"/>
      <protection locked="0"/>
    </xf>
    <xf numFmtId="9" fontId="12" fillId="0" borderId="8"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4"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center" wrapText="1"/>
      <protection locked="0"/>
    </xf>
    <xf numFmtId="1" fontId="8" fillId="0" borderId="29" xfId="0" applyNumberFormat="1" applyFont="1" applyBorder="1" applyAlignment="1" applyProtection="1">
      <alignment horizontal="center" vertical="center" wrapText="1"/>
      <protection locked="0"/>
    </xf>
    <xf numFmtId="1" fontId="10" fillId="0" borderId="29" xfId="0" applyNumberFormat="1" applyFont="1" applyBorder="1" applyAlignment="1" applyProtection="1">
      <alignment horizontal="center" vertical="center"/>
      <protection locked="0"/>
    </xf>
    <xf numFmtId="1" fontId="10" fillId="0" borderId="29"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0" fontId="13" fillId="0" borderId="6" xfId="1" applyFont="1" applyBorder="1" applyAlignment="1" applyProtection="1">
      <alignment horizontal="left" vertical="top"/>
      <protection locked="0"/>
    </xf>
    <xf numFmtId="0" fontId="13" fillId="0" borderId="17"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3"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8" fillId="0" borderId="6"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14" fontId="12" fillId="0" borderId="6" xfId="1" applyNumberFormat="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vertical="top" wrapText="1"/>
      <protection locked="0"/>
    </xf>
    <xf numFmtId="1" fontId="10" fillId="0" borderId="1"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8" fillId="0" borderId="12" xfId="1" applyFont="1" applyBorder="1" applyAlignment="1" applyProtection="1">
      <alignment horizontal="left" vertical="top"/>
      <protection locked="0"/>
    </xf>
    <xf numFmtId="0" fontId="8" fillId="0" borderId="12" xfId="1" applyFont="1" applyBorder="1" applyAlignment="1" applyProtection="1">
      <alignment horizontal="center" vertical="top"/>
      <protection locked="0"/>
    </xf>
    <xf numFmtId="0" fontId="12" fillId="0" borderId="26" xfId="1" applyFont="1" applyBorder="1" applyAlignment="1" applyProtection="1">
      <alignment horizontal="center" vertical="top" wrapText="1"/>
      <protection locked="0"/>
    </xf>
    <xf numFmtId="0" fontId="12" fillId="0" borderId="27" xfId="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7" fillId="0" borderId="19" xfId="1" applyFont="1" applyBorder="1" applyAlignment="1">
      <alignment horizontal="center"/>
    </xf>
    <xf numFmtId="0" fontId="7" fillId="0" borderId="0" xfId="1" applyFont="1" applyAlignment="1">
      <alignment horizontal="center"/>
    </xf>
    <xf numFmtId="0" fontId="6" fillId="0" borderId="17" xfId="1" applyFont="1" applyBorder="1" applyAlignment="1" applyProtection="1">
      <alignment horizontal="left" vertical="top"/>
      <protection locked="0"/>
    </xf>
    <xf numFmtId="0" fontId="6" fillId="0" borderId="7" xfId="1" applyFont="1" applyBorder="1" applyAlignment="1" applyProtection="1">
      <alignment horizontal="left" vertical="top"/>
      <protection locked="0"/>
    </xf>
    <xf numFmtId="0" fontId="9" fillId="0" borderId="1" xfId="5" applyFont="1" applyBorder="1" applyAlignment="1">
      <alignment horizontal="left"/>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3" fillId="0" borderId="31"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8</xdr:col>
      <xdr:colOff>481852</xdr:colOff>
      <xdr:row>16</xdr:row>
      <xdr:rowOff>280147</xdr:rowOff>
    </xdr:from>
    <xdr:to>
      <xdr:col>14</xdr:col>
      <xdr:colOff>417338</xdr:colOff>
      <xdr:row>22</xdr:row>
      <xdr:rowOff>123664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90764" y="3686735"/>
          <a:ext cx="5123809" cy="1285714"/>
        </a:xfrm>
        <a:prstGeom prst="rect">
          <a:avLst/>
        </a:prstGeom>
      </xdr:spPr>
    </xdr:pic>
    <xdr:clientData/>
  </xdr:twoCellAnchor>
  <xdr:twoCellAnchor editAs="oneCell">
    <xdr:from>
      <xdr:col>8</xdr:col>
      <xdr:colOff>885265</xdr:colOff>
      <xdr:row>49</xdr:row>
      <xdr:rowOff>152431</xdr:rowOff>
    </xdr:from>
    <xdr:to>
      <xdr:col>14</xdr:col>
      <xdr:colOff>638736</xdr:colOff>
      <xdr:row>64</xdr:row>
      <xdr:rowOff>181835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194177" y="10831637"/>
          <a:ext cx="4941794" cy="2687439"/>
        </a:xfrm>
        <a:prstGeom prst="rect">
          <a:avLst/>
        </a:prstGeom>
      </xdr:spPr>
    </xdr:pic>
    <xdr:clientData/>
  </xdr:twoCellAnchor>
  <xdr:twoCellAnchor editAs="oneCell">
    <xdr:from>
      <xdr:col>10</xdr:col>
      <xdr:colOff>312858</xdr:colOff>
      <xdr:row>135</xdr:row>
      <xdr:rowOff>235607</xdr:rowOff>
    </xdr:from>
    <xdr:to>
      <xdr:col>13</xdr:col>
      <xdr:colOff>123265</xdr:colOff>
      <xdr:row>145</xdr:row>
      <xdr:rowOff>112060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549182" y="27073695"/>
          <a:ext cx="2230877" cy="2274512"/>
        </a:xfrm>
        <a:prstGeom prst="rect">
          <a:avLst/>
        </a:prstGeom>
      </xdr:spPr>
    </xdr:pic>
    <xdr:clientData/>
  </xdr:twoCellAnchor>
  <xdr:twoCellAnchor editAs="oneCell">
    <xdr:from>
      <xdr:col>8</xdr:col>
      <xdr:colOff>179528</xdr:colOff>
      <xdr:row>152</xdr:row>
      <xdr:rowOff>152401</xdr:rowOff>
    </xdr:from>
    <xdr:to>
      <xdr:col>10</xdr:col>
      <xdr:colOff>30599</xdr:colOff>
      <xdr:row>163</xdr:row>
      <xdr:rowOff>66675</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a:stretch>
          <a:fillRect/>
        </a:stretch>
      </xdr:blipFill>
      <xdr:spPr>
        <a:xfrm>
          <a:off x="6494603" y="30613351"/>
          <a:ext cx="1775121" cy="2114549"/>
        </a:xfrm>
        <a:prstGeom prst="rect">
          <a:avLst/>
        </a:prstGeom>
      </xdr:spPr>
    </xdr:pic>
    <xdr:clientData/>
  </xdr:twoCellAnchor>
  <xdr:twoCellAnchor editAs="oneCell">
    <xdr:from>
      <xdr:col>9</xdr:col>
      <xdr:colOff>135029</xdr:colOff>
      <xdr:row>143</xdr:row>
      <xdr:rowOff>163900</xdr:rowOff>
    </xdr:from>
    <xdr:to>
      <xdr:col>13</xdr:col>
      <xdr:colOff>461173</xdr:colOff>
      <xdr:row>155</xdr:row>
      <xdr:rowOff>105959</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a:stretch>
          <a:fillRect/>
        </a:stretch>
      </xdr:blipFill>
      <xdr:spPr>
        <a:xfrm>
          <a:off x="7612154" y="28824625"/>
          <a:ext cx="3507494" cy="2342359"/>
        </a:xfrm>
        <a:prstGeom prst="rect">
          <a:avLst/>
        </a:prstGeom>
      </xdr:spPr>
    </xdr:pic>
    <xdr:clientData/>
  </xdr:twoCellAnchor>
  <xdr:twoCellAnchor editAs="oneCell">
    <xdr:from>
      <xdr:col>9</xdr:col>
      <xdr:colOff>410696</xdr:colOff>
      <xdr:row>163</xdr:row>
      <xdr:rowOff>135031</xdr:rowOff>
    </xdr:from>
    <xdr:to>
      <xdr:col>14</xdr:col>
      <xdr:colOff>159650</xdr:colOff>
      <xdr:row>177</xdr:row>
      <xdr:rowOff>32283</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a:stretch>
          <a:fillRect/>
        </a:stretch>
      </xdr:blipFill>
      <xdr:spPr>
        <a:xfrm>
          <a:off x="7885020" y="29315149"/>
          <a:ext cx="3771865" cy="2508223"/>
        </a:xfrm>
        <a:prstGeom prst="rect">
          <a:avLst/>
        </a:prstGeom>
      </xdr:spPr>
    </xdr:pic>
    <xdr:clientData/>
  </xdr:twoCellAnchor>
  <xdr:twoCellAnchor editAs="oneCell">
    <xdr:from>
      <xdr:col>8</xdr:col>
      <xdr:colOff>781050</xdr:colOff>
      <xdr:row>113</xdr:row>
      <xdr:rowOff>139512</xdr:rowOff>
    </xdr:from>
    <xdr:to>
      <xdr:col>14</xdr:col>
      <xdr:colOff>476931</xdr:colOff>
      <xdr:row>134</xdr:row>
      <xdr:rowOff>158787</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a:stretch>
          <a:fillRect/>
        </a:stretch>
      </xdr:blipFill>
      <xdr:spPr>
        <a:xfrm>
          <a:off x="7089962" y="21497924"/>
          <a:ext cx="4884204" cy="1632923"/>
        </a:xfrm>
        <a:prstGeom prst="rect">
          <a:avLst/>
        </a:prstGeom>
      </xdr:spPr>
    </xdr:pic>
    <xdr:clientData/>
  </xdr:twoCellAnchor>
  <xdr:twoCellAnchor>
    <xdr:from>
      <xdr:col>1</xdr:col>
      <xdr:colOff>464457</xdr:colOff>
      <xdr:row>237</xdr:row>
      <xdr:rowOff>2802</xdr:rowOff>
    </xdr:from>
    <xdr:to>
      <xdr:col>6</xdr:col>
      <xdr:colOff>121581</xdr:colOff>
      <xdr:row>256</xdr:row>
      <xdr:rowOff>3116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tretch>
          <a:fillRect/>
        </a:stretch>
      </xdr:blipFill>
      <xdr:spPr>
        <a:xfrm>
          <a:off x="1226457" y="42170537"/>
          <a:ext cx="3747271" cy="3832726"/>
        </a:xfrm>
        <a:prstGeom prst="rect">
          <a:avLst/>
        </a:prstGeom>
        <a:ln w="9525">
          <a:solidFill>
            <a:schemeClr val="tx1"/>
          </a:solidFill>
        </a:ln>
      </xdr:spPr>
    </xdr:pic>
    <xdr:clientData/>
  </xdr:twoCellAnchor>
  <xdr:twoCellAnchor>
    <xdr:from>
      <xdr:col>0</xdr:col>
      <xdr:colOff>250732</xdr:colOff>
      <xdr:row>256</xdr:row>
      <xdr:rowOff>133514</xdr:rowOff>
    </xdr:from>
    <xdr:to>
      <xdr:col>7</xdr:col>
      <xdr:colOff>418820</xdr:colOff>
      <xdr:row>277</xdr:row>
      <xdr:rowOff>24547</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250732" y="46133661"/>
          <a:ext cx="5748617" cy="4126857"/>
        </a:xfrm>
        <a:prstGeom prst="rect">
          <a:avLst/>
        </a:prstGeom>
        <a:ln w="9525">
          <a:solidFill>
            <a:schemeClr val="tx1"/>
          </a:solidFill>
        </a:ln>
      </xdr:spPr>
    </xdr:pic>
    <xdr:clientData/>
  </xdr:twoCellAnchor>
  <xdr:twoCellAnchor>
    <xdr:from>
      <xdr:col>4</xdr:col>
      <xdr:colOff>97240</xdr:colOff>
      <xdr:row>263</xdr:row>
      <xdr:rowOff>103845</xdr:rowOff>
    </xdr:from>
    <xdr:to>
      <xdr:col>5</xdr:col>
      <xdr:colOff>176556</xdr:colOff>
      <xdr:row>267</xdr:row>
      <xdr:rowOff>190846</xdr:rowOff>
    </xdr:to>
    <xdr:sp macro="" textlink="">
      <xdr:nvSpPr>
        <xdr:cNvPr id="26" name="L-Shape 25">
          <a:extLst>
            <a:ext uri="{FF2B5EF4-FFF2-40B4-BE49-F238E27FC236}">
              <a16:creationId xmlns:a16="http://schemas.microsoft.com/office/drawing/2014/main" id="{00000000-0008-0000-0000-00001A000000}"/>
            </a:ext>
          </a:extLst>
        </xdr:cNvPr>
        <xdr:cNvSpPr/>
      </xdr:nvSpPr>
      <xdr:spPr>
        <a:xfrm rot="2575119">
          <a:off x="3425387" y="47515933"/>
          <a:ext cx="863728" cy="893825"/>
        </a:xfrm>
        <a:prstGeom prst="corner">
          <a:avLst>
            <a:gd name="adj1" fmla="val 59027"/>
            <a:gd name="adj2" fmla="val 59598"/>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652025</xdr:colOff>
      <xdr:row>260</xdr:row>
      <xdr:rowOff>46318</xdr:rowOff>
    </xdr:from>
    <xdr:to>
      <xdr:col>6</xdr:col>
      <xdr:colOff>53469</xdr:colOff>
      <xdr:row>264</xdr:row>
      <xdr:rowOff>130950</xdr:rowOff>
    </xdr:to>
    <xdr:sp macro="" textlink="">
      <xdr:nvSpPr>
        <xdr:cNvPr id="27" name="L-Shape 26">
          <a:extLst>
            <a:ext uri="{FF2B5EF4-FFF2-40B4-BE49-F238E27FC236}">
              <a16:creationId xmlns:a16="http://schemas.microsoft.com/office/drawing/2014/main" id="{00000000-0008-0000-0000-00001B000000}"/>
            </a:ext>
          </a:extLst>
        </xdr:cNvPr>
        <xdr:cNvSpPr/>
      </xdr:nvSpPr>
      <xdr:spPr>
        <a:xfrm rot="7842248">
          <a:off x="3997166" y="46836295"/>
          <a:ext cx="891455" cy="925444"/>
        </a:xfrm>
        <a:prstGeom prst="corner">
          <a:avLst>
            <a:gd name="adj1" fmla="val 60805"/>
            <a:gd name="adj2" fmla="val 60315"/>
          </a:avLst>
        </a:prstGeom>
        <a:noFill/>
        <a:ln w="19050">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534336</xdr:colOff>
      <xdr:row>262</xdr:row>
      <xdr:rowOff>19953</xdr:rowOff>
    </xdr:from>
    <xdr:to>
      <xdr:col>4</xdr:col>
      <xdr:colOff>36453</xdr:colOff>
      <xdr:row>267</xdr:row>
      <xdr:rowOff>188628</xdr:rowOff>
    </xdr:to>
    <xdr:sp macro="" textlink="">
      <xdr:nvSpPr>
        <xdr:cNvPr id="28" name="TextBox 8">
          <a:extLst>
            <a:ext uri="{FF2B5EF4-FFF2-40B4-BE49-F238E27FC236}">
              <a16:creationId xmlns:a16="http://schemas.microsoft.com/office/drawing/2014/main" id="{00000000-0008-0000-0000-00001C000000}"/>
            </a:ext>
          </a:extLst>
        </xdr:cNvPr>
        <xdr:cNvSpPr txBox="1"/>
      </xdr:nvSpPr>
      <xdr:spPr>
        <a:xfrm rot="18581973">
          <a:off x="2565498" y="47608438"/>
          <a:ext cx="1177205" cy="42099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solidFill>
                <a:srgbClr val="0000FF"/>
              </a:solidFill>
            </a:rPr>
            <a:t>Building No.2 (Wing A)</a:t>
          </a:r>
          <a:endParaRPr lang="en-IN" sz="1050" b="1">
            <a:solidFill>
              <a:srgbClr val="0000FF"/>
            </a:solidFill>
          </a:endParaRPr>
        </a:p>
      </xdr:txBody>
    </xdr:sp>
    <xdr:clientData/>
  </xdr:twoCellAnchor>
  <xdr:twoCellAnchor>
    <xdr:from>
      <xdr:col>4</xdr:col>
      <xdr:colOff>398345</xdr:colOff>
      <xdr:row>257</xdr:row>
      <xdr:rowOff>71000</xdr:rowOff>
    </xdr:from>
    <xdr:to>
      <xdr:col>5</xdr:col>
      <xdr:colOff>34932</xdr:colOff>
      <xdr:row>263</xdr:row>
      <xdr:rowOff>80608</xdr:rowOff>
    </xdr:to>
    <xdr:sp macro="" textlink="">
      <xdr:nvSpPr>
        <xdr:cNvPr id="29" name="TextBox 11">
          <a:extLst>
            <a:ext uri="{FF2B5EF4-FFF2-40B4-BE49-F238E27FC236}">
              <a16:creationId xmlns:a16="http://schemas.microsoft.com/office/drawing/2014/main" id="{00000000-0008-0000-0000-00001D000000}"/>
            </a:ext>
          </a:extLst>
        </xdr:cNvPr>
        <xdr:cNvSpPr txBox="1"/>
      </xdr:nvSpPr>
      <xdr:spPr>
        <a:xfrm rot="18581973">
          <a:off x="3327070" y="46672275"/>
          <a:ext cx="1219843" cy="42099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solidFill>
                <a:srgbClr val="C00000"/>
              </a:solidFill>
            </a:rPr>
            <a:t>Building No.2 (Wing B)</a:t>
          </a:r>
          <a:endParaRPr lang="en-IN" sz="1050" b="1">
            <a:solidFill>
              <a:srgbClr val="C00000"/>
            </a:solidFill>
          </a:endParaRPr>
        </a:p>
      </xdr:txBody>
    </xdr:sp>
    <xdr:clientData/>
  </xdr:twoCellAnchor>
  <xdr:twoCellAnchor editAs="oneCell">
    <xdr:from>
      <xdr:col>0</xdr:col>
      <xdr:colOff>697728</xdr:colOff>
      <xdr:row>280</xdr:row>
      <xdr:rowOff>123265</xdr:rowOff>
    </xdr:from>
    <xdr:to>
      <xdr:col>7</xdr:col>
      <xdr:colOff>15805</xdr:colOff>
      <xdr:row>297</xdr:row>
      <xdr:rowOff>134910</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697728" y="52891765"/>
          <a:ext cx="4898606" cy="3440645"/>
        </a:xfrm>
        <a:prstGeom prst="rect">
          <a:avLst/>
        </a:prstGeom>
        <a:ln w="9525">
          <a:solidFill>
            <a:schemeClr val="tx1"/>
          </a:solidFill>
        </a:ln>
      </xdr:spPr>
    </xdr:pic>
    <xdr:clientData/>
  </xdr:twoCellAnchor>
  <xdr:twoCellAnchor>
    <xdr:from>
      <xdr:col>0</xdr:col>
      <xdr:colOff>280149</xdr:colOff>
      <xdr:row>298</xdr:row>
      <xdr:rowOff>80276</xdr:rowOff>
    </xdr:from>
    <xdr:to>
      <xdr:col>7</xdr:col>
      <xdr:colOff>366151</xdr:colOff>
      <xdr:row>320</xdr:row>
      <xdr:rowOff>36420</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280149" y="56106326"/>
          <a:ext cx="5959752" cy="4286844"/>
          <a:chOff x="635152" y="4624141"/>
          <a:chExt cx="5666531" cy="3987723"/>
        </a:xfrm>
      </xdr:grpSpPr>
      <xdr:grpSp>
        <xdr:nvGrpSpPr>
          <xdr:cNvPr id="32" name="Group 31">
            <a:extLst>
              <a:ext uri="{FF2B5EF4-FFF2-40B4-BE49-F238E27FC236}">
                <a16:creationId xmlns:a16="http://schemas.microsoft.com/office/drawing/2014/main" id="{00000000-0008-0000-0000-000020000000}"/>
              </a:ext>
            </a:extLst>
          </xdr:cNvPr>
          <xdr:cNvGrpSpPr/>
        </xdr:nvGrpSpPr>
        <xdr:grpSpPr>
          <a:xfrm>
            <a:off x="635152" y="4624141"/>
            <a:ext cx="5666531" cy="3987723"/>
            <a:chOff x="635152" y="4441261"/>
            <a:chExt cx="5666531" cy="3987723"/>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r="1623" b="5082"/>
            <a:stretch/>
          </xdr:blipFill>
          <xdr:spPr>
            <a:xfrm>
              <a:off x="635152" y="4441261"/>
              <a:ext cx="5666531" cy="3987723"/>
            </a:xfrm>
            <a:prstGeom prst="rect">
              <a:avLst/>
            </a:prstGeom>
            <a:ln w="9525">
              <a:solidFill>
                <a:schemeClr val="tx1"/>
              </a:solidFill>
            </a:ln>
          </xdr:spPr>
        </xdr:pic>
        <xdr:sp macro="" textlink="">
          <xdr:nvSpPr>
            <xdr:cNvPr id="35" name="Freeform 34">
              <a:extLst>
                <a:ext uri="{FF2B5EF4-FFF2-40B4-BE49-F238E27FC236}">
                  <a16:creationId xmlns:a16="http://schemas.microsoft.com/office/drawing/2014/main" id="{00000000-0008-0000-0000-000023000000}"/>
                </a:ext>
              </a:extLst>
            </xdr:cNvPr>
            <xdr:cNvSpPr/>
          </xdr:nvSpPr>
          <xdr:spPr>
            <a:xfrm rot="20671878">
              <a:off x="2784068" y="5867023"/>
              <a:ext cx="580367" cy="578192"/>
            </a:xfrm>
            <a:custGeom>
              <a:avLst/>
              <a:gdLst>
                <a:gd name="connsiteX0" fmla="*/ 1828800 w 1828800"/>
                <a:gd name="connsiteY0" fmla="*/ 584200 h 1892300"/>
                <a:gd name="connsiteX1" fmla="*/ 1181100 w 1828800"/>
                <a:gd name="connsiteY1" fmla="*/ 0 h 1892300"/>
                <a:gd name="connsiteX2" fmla="*/ 0 w 1828800"/>
                <a:gd name="connsiteY2" fmla="*/ 1333500 h 1892300"/>
                <a:gd name="connsiteX3" fmla="*/ 584200 w 1828800"/>
                <a:gd name="connsiteY3" fmla="*/ 1892300 h 1892300"/>
                <a:gd name="connsiteX4" fmla="*/ 927100 w 1828800"/>
                <a:gd name="connsiteY4" fmla="*/ 1511300 h 1892300"/>
                <a:gd name="connsiteX5" fmla="*/ 749300 w 1828800"/>
                <a:gd name="connsiteY5" fmla="*/ 1295400 h 1892300"/>
                <a:gd name="connsiteX6" fmla="*/ 1193800 w 1828800"/>
                <a:gd name="connsiteY6" fmla="*/ 749300 h 1892300"/>
                <a:gd name="connsiteX7" fmla="*/ 1473200 w 1828800"/>
                <a:gd name="connsiteY7" fmla="*/ 977900 h 1892300"/>
                <a:gd name="connsiteX8" fmla="*/ 1828800 w 1828800"/>
                <a:gd name="connsiteY8" fmla="*/ 584200 h 1892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828800" h="1892300">
                  <a:moveTo>
                    <a:pt x="1828800" y="584200"/>
                  </a:moveTo>
                  <a:lnTo>
                    <a:pt x="1181100" y="0"/>
                  </a:lnTo>
                  <a:lnTo>
                    <a:pt x="0" y="1333500"/>
                  </a:lnTo>
                  <a:lnTo>
                    <a:pt x="584200" y="1892300"/>
                  </a:lnTo>
                  <a:lnTo>
                    <a:pt x="927100" y="1511300"/>
                  </a:lnTo>
                  <a:lnTo>
                    <a:pt x="749300" y="1295400"/>
                  </a:lnTo>
                  <a:lnTo>
                    <a:pt x="1193800" y="749300"/>
                  </a:lnTo>
                  <a:lnTo>
                    <a:pt x="1473200" y="977900"/>
                  </a:lnTo>
                  <a:lnTo>
                    <a:pt x="1828800" y="58420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33" name="TextBox 10">
            <a:extLst>
              <a:ext uri="{FF2B5EF4-FFF2-40B4-BE49-F238E27FC236}">
                <a16:creationId xmlns:a16="http://schemas.microsoft.com/office/drawing/2014/main" id="{00000000-0008-0000-0000-000021000000}"/>
              </a:ext>
            </a:extLst>
          </xdr:cNvPr>
          <xdr:cNvSpPr txBox="1"/>
        </xdr:nvSpPr>
        <xdr:spPr>
          <a:xfrm rot="17693285">
            <a:off x="2226283" y="5880404"/>
            <a:ext cx="146304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Building No.2</a:t>
            </a:r>
            <a:endParaRPr lang="en-IN" sz="1100" b="1">
              <a:solidFill>
                <a:srgbClr val="FFFF00"/>
              </a:solidFill>
            </a:endParaRPr>
          </a:p>
        </xdr:txBody>
      </xdr:sp>
    </xdr:grpSp>
    <xdr:clientData/>
  </xdr:twoCellAnchor>
  <xdr:twoCellAnchor>
    <xdr:from>
      <xdr:col>13</xdr:col>
      <xdr:colOff>558010</xdr:colOff>
      <xdr:row>196</xdr:row>
      <xdr:rowOff>33618</xdr:rowOff>
    </xdr:from>
    <xdr:to>
      <xdr:col>14</xdr:col>
      <xdr:colOff>669652</xdr:colOff>
      <xdr:row>198</xdr:row>
      <xdr:rowOff>848</xdr:rowOff>
    </xdr:to>
    <xdr:sp macro="" textlink="">
      <xdr:nvSpPr>
        <xdr:cNvPr id="46" name="TextBox 35">
          <a:extLst>
            <a:ext uri="{FF2B5EF4-FFF2-40B4-BE49-F238E27FC236}">
              <a16:creationId xmlns:a16="http://schemas.microsoft.com/office/drawing/2014/main" id="{00000000-0008-0000-0000-00002E000000}"/>
            </a:ext>
          </a:extLst>
        </xdr:cNvPr>
        <xdr:cNvSpPr txBox="1"/>
      </xdr:nvSpPr>
      <xdr:spPr>
        <a:xfrm>
          <a:off x="11214804" y="33729706"/>
          <a:ext cx="952083" cy="370642"/>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clientData/>
  </xdr:twoCellAnchor>
  <xdr:twoCellAnchor>
    <xdr:from>
      <xdr:col>9</xdr:col>
      <xdr:colOff>672352</xdr:colOff>
      <xdr:row>207</xdr:row>
      <xdr:rowOff>123281</xdr:rowOff>
    </xdr:from>
    <xdr:to>
      <xdr:col>11</xdr:col>
      <xdr:colOff>142059</xdr:colOff>
      <xdr:row>209</xdr:row>
      <xdr:rowOff>84399</xdr:rowOff>
    </xdr:to>
    <xdr:sp macro="" textlink="">
      <xdr:nvSpPr>
        <xdr:cNvPr id="47" name="TextBox 36">
          <a:extLst>
            <a:ext uri="{FF2B5EF4-FFF2-40B4-BE49-F238E27FC236}">
              <a16:creationId xmlns:a16="http://schemas.microsoft.com/office/drawing/2014/main" id="{00000000-0008-0000-0000-00002F000000}"/>
            </a:ext>
          </a:extLst>
        </xdr:cNvPr>
        <xdr:cNvSpPr txBox="1"/>
      </xdr:nvSpPr>
      <xdr:spPr>
        <a:xfrm>
          <a:off x="8146676" y="36038134"/>
          <a:ext cx="937677" cy="364530"/>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13</xdr:col>
      <xdr:colOff>558010</xdr:colOff>
      <xdr:row>207</xdr:row>
      <xdr:rowOff>123281</xdr:rowOff>
    </xdr:from>
    <xdr:to>
      <xdr:col>14</xdr:col>
      <xdr:colOff>655246</xdr:colOff>
      <xdr:row>209</xdr:row>
      <xdr:rowOff>84399</xdr:rowOff>
    </xdr:to>
    <xdr:sp macro="" textlink="">
      <xdr:nvSpPr>
        <xdr:cNvPr id="48" name="TextBox 36">
          <a:extLst>
            <a:ext uri="{FF2B5EF4-FFF2-40B4-BE49-F238E27FC236}">
              <a16:creationId xmlns:a16="http://schemas.microsoft.com/office/drawing/2014/main" id="{00000000-0008-0000-0000-000030000000}"/>
            </a:ext>
          </a:extLst>
        </xdr:cNvPr>
        <xdr:cNvSpPr txBox="1"/>
      </xdr:nvSpPr>
      <xdr:spPr>
        <a:xfrm>
          <a:off x="11214804" y="36038134"/>
          <a:ext cx="937677" cy="364530"/>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11</xdr:col>
      <xdr:colOff>746680</xdr:colOff>
      <xdr:row>200</xdr:row>
      <xdr:rowOff>133350</xdr:rowOff>
    </xdr:from>
    <xdr:to>
      <xdr:col>12</xdr:col>
      <xdr:colOff>680325</xdr:colOff>
      <xdr:row>202</xdr:row>
      <xdr:rowOff>113791</xdr:rowOff>
    </xdr:to>
    <xdr:sp macro="" textlink="">
      <xdr:nvSpPr>
        <xdr:cNvPr id="71" name="TextBox 35">
          <a:extLst>
            <a:ext uri="{FF2B5EF4-FFF2-40B4-BE49-F238E27FC236}">
              <a16:creationId xmlns:a16="http://schemas.microsoft.com/office/drawing/2014/main" id="{00000000-0008-0000-0000-000047000000}"/>
            </a:ext>
          </a:extLst>
        </xdr:cNvPr>
        <xdr:cNvSpPr txBox="1"/>
      </xdr:nvSpPr>
      <xdr:spPr>
        <a:xfrm>
          <a:off x="10417730" y="36690300"/>
          <a:ext cx="898845"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clientData/>
  </xdr:twoCellAnchor>
  <xdr:twoCellAnchor>
    <xdr:from>
      <xdr:col>11</xdr:col>
      <xdr:colOff>873125</xdr:colOff>
      <xdr:row>187</xdr:row>
      <xdr:rowOff>358774</xdr:rowOff>
    </xdr:from>
    <xdr:to>
      <xdr:col>13</xdr:col>
      <xdr:colOff>96888</xdr:colOff>
      <xdr:row>189</xdr:row>
      <xdr:rowOff>84704</xdr:rowOff>
    </xdr:to>
    <xdr:sp macro="" textlink="">
      <xdr:nvSpPr>
        <xdr:cNvPr id="72" name="TextBox 35">
          <a:extLst>
            <a:ext uri="{FF2B5EF4-FFF2-40B4-BE49-F238E27FC236}">
              <a16:creationId xmlns:a16="http://schemas.microsoft.com/office/drawing/2014/main" id="{00000000-0008-0000-0000-000048000000}"/>
            </a:ext>
          </a:extLst>
        </xdr:cNvPr>
        <xdr:cNvSpPr txBox="1"/>
      </xdr:nvSpPr>
      <xdr:spPr>
        <a:xfrm>
          <a:off x="10544175" y="34115374"/>
          <a:ext cx="1014463" cy="3609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clientData/>
  </xdr:twoCellAnchor>
  <xdr:oneCellAnchor>
    <xdr:from>
      <xdr:col>9</xdr:col>
      <xdr:colOff>133350</xdr:colOff>
      <xdr:row>196</xdr:row>
      <xdr:rowOff>57150</xdr:rowOff>
    </xdr:from>
    <xdr:ext cx="596574"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267700" y="358267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clientData/>
  </xdr:oneCellAnchor>
  <xdr:twoCellAnchor>
    <xdr:from>
      <xdr:col>10</xdr:col>
      <xdr:colOff>45720</xdr:colOff>
      <xdr:row>191</xdr:row>
      <xdr:rowOff>116840</xdr:rowOff>
    </xdr:from>
    <xdr:to>
      <xdr:col>18</xdr:col>
      <xdr:colOff>206061</xdr:colOff>
      <xdr:row>231</xdr:row>
      <xdr:rowOff>183875</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999220" y="35079940"/>
          <a:ext cx="6523041" cy="7941035"/>
          <a:chOff x="304800" y="35439350"/>
          <a:chExt cx="6502721" cy="7941035"/>
        </a:xfrm>
      </xdr:grpSpPr>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79299" y="42660385"/>
            <a:ext cx="1598846" cy="72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115141" y="35439350"/>
            <a:ext cx="1337246" cy="2736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446518" y="38279126"/>
            <a:ext cx="1337246" cy="2736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566945" y="35439350"/>
            <a:ext cx="1337246" cy="2736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663337" y="35439350"/>
            <a:ext cx="1337246" cy="2736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898322" y="38282595"/>
            <a:ext cx="1337246" cy="2736000"/>
          </a:xfrm>
          <a:prstGeom prst="rect">
            <a:avLst/>
          </a:prstGeom>
          <a:ln>
            <a:solidFill>
              <a:schemeClr val="tx1"/>
            </a:solidFill>
          </a:ln>
        </xdr:spPr>
      </xdr:pic>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018749" y="35439350"/>
            <a:ext cx="1337246" cy="2736000"/>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617049" y="41125840"/>
            <a:ext cx="3190472" cy="1440000"/>
          </a:xfrm>
          <a:prstGeom prst="rect">
            <a:avLst/>
          </a:prstGeom>
          <a:ln>
            <a:solidFill>
              <a:schemeClr val="tx1"/>
            </a:solidFill>
          </a:ln>
        </xdr:spPr>
      </xdr:pic>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350126" y="38279126"/>
            <a:ext cx="1337246" cy="2736000"/>
          </a:xfrm>
          <a:prstGeom prst="rect">
            <a:avLst/>
          </a:prstGeom>
          <a:ln>
            <a:solidFill>
              <a:schemeClr val="tx1"/>
            </a:solidFill>
          </a:ln>
        </xdr:spPr>
      </xdr:pic>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04800" y="41125840"/>
            <a:ext cx="3197691" cy="1440000"/>
          </a:xfrm>
          <a:prstGeom prst="rect">
            <a:avLst/>
          </a:prstGeom>
          <a:ln>
            <a:solidFill>
              <a:schemeClr val="tx1"/>
            </a:solidFill>
          </a:ln>
        </xdr:spPr>
      </xdr:pic>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1272937" y="371856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2775541" y="372491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3935245" y="3696335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5342599" y="3678555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2100568" y="39174476"/>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3165022" y="39908195"/>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Wing B</a:t>
            </a:r>
          </a:p>
        </xdr:txBody>
      </xdr:sp>
    </xdr:grpSp>
    <xdr:clientData/>
  </xdr:twoCellAnchor>
  <xdr:twoCellAnchor>
    <xdr:from>
      <xdr:col>0</xdr:col>
      <xdr:colOff>177800</xdr:colOff>
      <xdr:row>194</xdr:row>
      <xdr:rowOff>120650</xdr:rowOff>
    </xdr:from>
    <xdr:to>
      <xdr:col>7</xdr:col>
      <xdr:colOff>849469</xdr:colOff>
      <xdr:row>229</xdr:row>
      <xdr:rowOff>166572</xdr:rowOff>
    </xdr:to>
    <xdr:grpSp>
      <xdr:nvGrpSpPr>
        <xdr:cNvPr id="22" name="Group 21"/>
        <xdr:cNvGrpSpPr/>
      </xdr:nvGrpSpPr>
      <xdr:grpSpPr>
        <a:xfrm>
          <a:off x="177800" y="35674300"/>
          <a:ext cx="6545419" cy="6935672"/>
          <a:chOff x="177800" y="35674300"/>
          <a:chExt cx="6545419" cy="6935672"/>
        </a:xfrm>
      </xdr:grpSpPr>
      <xdr:pic>
        <xdr:nvPicPr>
          <xdr:cNvPr id="55" name="Picture 5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5374625" y="40809972"/>
            <a:ext cx="1348594" cy="180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018621" y="38530136"/>
            <a:ext cx="2877677"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108514" y="40809972"/>
            <a:ext cx="2149348" cy="180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77800" y="40809972"/>
            <a:ext cx="1348594" cy="180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608601" y="35674300"/>
            <a:ext cx="2049863" cy="273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438096" y="35674300"/>
            <a:ext cx="2049863" cy="2736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67591" y="35674300"/>
            <a:ext cx="2049863" cy="2736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643157" y="40809972"/>
            <a:ext cx="1348594" cy="180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255065" y="38530136"/>
            <a:ext cx="1618313" cy="216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5041541" y="38530136"/>
            <a:ext cx="1618313" cy="2160000"/>
          </a:xfrm>
          <a:prstGeom prst="rect">
            <a:avLst/>
          </a:prstGeom>
          <a:ln>
            <a:solidFill>
              <a:schemeClr val="tx1"/>
            </a:solidFill>
          </a:ln>
        </xdr:spPr>
      </xdr:pic>
      <xdr:sp macro="" textlink="">
        <xdr:nvSpPr>
          <xdr:cNvPr id="77" name="TextBox 76">
            <a:extLst>
              <a:ext uri="{FF2B5EF4-FFF2-40B4-BE49-F238E27FC236}">
                <a16:creationId xmlns:a16="http://schemas.microsoft.com/office/drawing/2014/main" id="{00000000-0008-0000-0000-000041000000}"/>
              </a:ext>
            </a:extLst>
          </xdr:cNvPr>
          <xdr:cNvSpPr txBox="1"/>
        </xdr:nvSpPr>
        <xdr:spPr>
          <a:xfrm>
            <a:off x="3276296" y="37395150"/>
            <a:ext cx="5984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78" name="TextBox 77">
            <a:extLst>
              <a:ext uri="{FF2B5EF4-FFF2-40B4-BE49-F238E27FC236}">
                <a16:creationId xmlns:a16="http://schemas.microsoft.com/office/drawing/2014/main" id="{00000000-0008-0000-0000-000041000000}"/>
              </a:ext>
            </a:extLst>
          </xdr:cNvPr>
          <xdr:cNvSpPr txBox="1"/>
        </xdr:nvSpPr>
        <xdr:spPr>
          <a:xfrm>
            <a:off x="705741" y="37064950"/>
            <a:ext cx="5984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79" name="TextBox 78">
            <a:extLst>
              <a:ext uri="{FF2B5EF4-FFF2-40B4-BE49-F238E27FC236}">
                <a16:creationId xmlns:a16="http://schemas.microsoft.com/office/drawing/2014/main" id="{00000000-0008-0000-0000-000041000000}"/>
              </a:ext>
            </a:extLst>
          </xdr:cNvPr>
          <xdr:cNvSpPr txBox="1"/>
        </xdr:nvSpPr>
        <xdr:spPr>
          <a:xfrm>
            <a:off x="3618821" y="39774736"/>
            <a:ext cx="5984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wDNXm4p1pprcWM4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0"/>
  <sheetViews>
    <sheetView tabSelected="1" view="pageBreakPreview" topLeftCell="A88" zoomScaleNormal="100" zoomScaleSheetLayoutView="100" zoomScalePageLayoutView="85" workbookViewId="0">
      <selection activeCell="C97" sqref="C97"/>
    </sheetView>
  </sheetViews>
  <sheetFormatPr defaultColWidth="9.1796875" defaultRowHeight="15.5" x14ac:dyDescent="0.35"/>
  <cols>
    <col min="1" max="1" width="11.453125" style="37" customWidth="1"/>
    <col min="2" max="2" width="12" style="37" customWidth="1"/>
    <col min="3" max="3" width="12.81640625" style="37" customWidth="1"/>
    <col min="4" max="4" width="13.81640625" style="37" customWidth="1"/>
    <col min="5" max="5" width="11.81640625" style="37" customWidth="1"/>
    <col min="6" max="6" width="11.1796875" style="37" customWidth="1"/>
    <col min="7" max="7" width="11" style="37" customWidth="1"/>
    <col min="8" max="8" width="15.1796875"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81640625" style="18" customWidth="1"/>
    <col min="17" max="18" width="9.1796875" style="18"/>
    <col min="19" max="19" width="10.81640625" style="18" bestFit="1" customWidth="1"/>
    <col min="20" max="20" width="10.81640625" style="18" customWidth="1"/>
    <col min="21" max="247" width="9.1796875" style="18"/>
    <col min="248" max="248" width="8.81640625" style="18" customWidth="1"/>
    <col min="249" max="249" width="9.81640625" style="18" customWidth="1"/>
    <col min="250" max="250" width="14.453125" style="18" customWidth="1"/>
    <col min="251" max="251" width="7.179687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81640625" style="18" customWidth="1"/>
    <col min="505" max="505" width="9.81640625" style="18" customWidth="1"/>
    <col min="506" max="506" width="14.453125" style="18" customWidth="1"/>
    <col min="507" max="507" width="7.179687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81640625" style="18" customWidth="1"/>
    <col min="761" max="761" width="9.81640625" style="18" customWidth="1"/>
    <col min="762" max="762" width="14.453125" style="18" customWidth="1"/>
    <col min="763" max="763" width="7.179687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81640625" style="18" customWidth="1"/>
    <col min="1017" max="1017" width="9.81640625" style="18" customWidth="1"/>
    <col min="1018" max="1018" width="14.453125" style="18" customWidth="1"/>
    <col min="1019" max="1019" width="7.179687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81640625" style="18" customWidth="1"/>
    <col min="1273" max="1273" width="9.81640625" style="18" customWidth="1"/>
    <col min="1274" max="1274" width="14.453125" style="18" customWidth="1"/>
    <col min="1275" max="1275" width="7.179687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81640625" style="18" customWidth="1"/>
    <col min="1529" max="1529" width="9.81640625" style="18" customWidth="1"/>
    <col min="1530" max="1530" width="14.453125" style="18" customWidth="1"/>
    <col min="1531" max="1531" width="7.179687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81640625" style="18" customWidth="1"/>
    <col min="1785" max="1785" width="9.81640625" style="18" customWidth="1"/>
    <col min="1786" max="1786" width="14.453125" style="18" customWidth="1"/>
    <col min="1787" max="1787" width="7.179687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81640625" style="18" customWidth="1"/>
    <col min="2041" max="2041" width="9.81640625" style="18" customWidth="1"/>
    <col min="2042" max="2042" width="14.453125" style="18" customWidth="1"/>
    <col min="2043" max="2043" width="7.179687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81640625" style="18" customWidth="1"/>
    <col min="2297" max="2297" width="9.81640625" style="18" customWidth="1"/>
    <col min="2298" max="2298" width="14.453125" style="18" customWidth="1"/>
    <col min="2299" max="2299" width="7.179687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81640625" style="18" customWidth="1"/>
    <col min="2553" max="2553" width="9.81640625" style="18" customWidth="1"/>
    <col min="2554" max="2554" width="14.453125" style="18" customWidth="1"/>
    <col min="2555" max="2555" width="7.179687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81640625" style="18" customWidth="1"/>
    <col min="2809" max="2809" width="9.81640625" style="18" customWidth="1"/>
    <col min="2810" max="2810" width="14.453125" style="18" customWidth="1"/>
    <col min="2811" max="2811" width="7.179687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81640625" style="18" customWidth="1"/>
    <col min="3065" max="3065" width="9.81640625" style="18" customWidth="1"/>
    <col min="3066" max="3066" width="14.453125" style="18" customWidth="1"/>
    <col min="3067" max="3067" width="7.179687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81640625" style="18" customWidth="1"/>
    <col min="3321" max="3321" width="9.81640625" style="18" customWidth="1"/>
    <col min="3322" max="3322" width="14.453125" style="18" customWidth="1"/>
    <col min="3323" max="3323" width="7.179687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81640625" style="18" customWidth="1"/>
    <col min="3577" max="3577" width="9.81640625" style="18" customWidth="1"/>
    <col min="3578" max="3578" width="14.453125" style="18" customWidth="1"/>
    <col min="3579" max="3579" width="7.179687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81640625" style="18" customWidth="1"/>
    <col min="3833" max="3833" width="9.81640625" style="18" customWidth="1"/>
    <col min="3834" max="3834" width="14.453125" style="18" customWidth="1"/>
    <col min="3835" max="3835" width="7.179687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81640625" style="18" customWidth="1"/>
    <col min="4089" max="4089" width="9.81640625" style="18" customWidth="1"/>
    <col min="4090" max="4090" width="14.453125" style="18" customWidth="1"/>
    <col min="4091" max="4091" width="7.179687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81640625" style="18" customWidth="1"/>
    <col min="4345" max="4345" width="9.81640625" style="18" customWidth="1"/>
    <col min="4346" max="4346" width="14.453125" style="18" customWidth="1"/>
    <col min="4347" max="4347" width="7.179687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81640625" style="18" customWidth="1"/>
    <col min="4601" max="4601" width="9.81640625" style="18" customWidth="1"/>
    <col min="4602" max="4602" width="14.453125" style="18" customWidth="1"/>
    <col min="4603" max="4603" width="7.179687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81640625" style="18" customWidth="1"/>
    <col min="4857" max="4857" width="9.81640625" style="18" customWidth="1"/>
    <col min="4858" max="4858" width="14.453125" style="18" customWidth="1"/>
    <col min="4859" max="4859" width="7.179687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81640625" style="18" customWidth="1"/>
    <col min="5113" max="5113" width="9.81640625" style="18" customWidth="1"/>
    <col min="5114" max="5114" width="14.453125" style="18" customWidth="1"/>
    <col min="5115" max="5115" width="7.179687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81640625" style="18" customWidth="1"/>
    <col min="5369" max="5369" width="9.81640625" style="18" customWidth="1"/>
    <col min="5370" max="5370" width="14.453125" style="18" customWidth="1"/>
    <col min="5371" max="5371" width="7.179687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81640625" style="18" customWidth="1"/>
    <col min="5625" max="5625" width="9.81640625" style="18" customWidth="1"/>
    <col min="5626" max="5626" width="14.453125" style="18" customWidth="1"/>
    <col min="5627" max="5627" width="7.179687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81640625" style="18" customWidth="1"/>
    <col min="5881" max="5881" width="9.81640625" style="18" customWidth="1"/>
    <col min="5882" max="5882" width="14.453125" style="18" customWidth="1"/>
    <col min="5883" max="5883" width="7.179687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81640625" style="18" customWidth="1"/>
    <col min="6137" max="6137" width="9.81640625" style="18" customWidth="1"/>
    <col min="6138" max="6138" width="14.453125" style="18" customWidth="1"/>
    <col min="6139" max="6139" width="7.179687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81640625" style="18" customWidth="1"/>
    <col min="6393" max="6393" width="9.81640625" style="18" customWidth="1"/>
    <col min="6394" max="6394" width="14.453125" style="18" customWidth="1"/>
    <col min="6395" max="6395" width="7.179687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81640625" style="18" customWidth="1"/>
    <col min="6649" max="6649" width="9.81640625" style="18" customWidth="1"/>
    <col min="6650" max="6650" width="14.453125" style="18" customWidth="1"/>
    <col min="6651" max="6651" width="7.179687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81640625" style="18" customWidth="1"/>
    <col min="6905" max="6905" width="9.81640625" style="18" customWidth="1"/>
    <col min="6906" max="6906" width="14.453125" style="18" customWidth="1"/>
    <col min="6907" max="6907" width="7.179687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81640625" style="18" customWidth="1"/>
    <col min="7161" max="7161" width="9.81640625" style="18" customWidth="1"/>
    <col min="7162" max="7162" width="14.453125" style="18" customWidth="1"/>
    <col min="7163" max="7163" width="7.179687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81640625" style="18" customWidth="1"/>
    <col min="7417" max="7417" width="9.81640625" style="18" customWidth="1"/>
    <col min="7418" max="7418" width="14.453125" style="18" customWidth="1"/>
    <col min="7419" max="7419" width="7.179687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81640625" style="18" customWidth="1"/>
    <col min="7673" max="7673" width="9.81640625" style="18" customWidth="1"/>
    <col min="7674" max="7674" width="14.453125" style="18" customWidth="1"/>
    <col min="7675" max="7675" width="7.179687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81640625" style="18" customWidth="1"/>
    <col min="7929" max="7929" width="9.81640625" style="18" customWidth="1"/>
    <col min="7930" max="7930" width="14.453125" style="18" customWidth="1"/>
    <col min="7931" max="7931" width="7.179687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81640625" style="18" customWidth="1"/>
    <col min="8185" max="8185" width="9.81640625" style="18" customWidth="1"/>
    <col min="8186" max="8186" width="14.453125" style="18" customWidth="1"/>
    <col min="8187" max="8187" width="7.179687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81640625" style="18" customWidth="1"/>
    <col min="8441" max="8441" width="9.81640625" style="18" customWidth="1"/>
    <col min="8442" max="8442" width="14.453125" style="18" customWidth="1"/>
    <col min="8443" max="8443" width="7.179687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81640625" style="18" customWidth="1"/>
    <col min="8697" max="8697" width="9.81640625" style="18" customWidth="1"/>
    <col min="8698" max="8698" width="14.453125" style="18" customWidth="1"/>
    <col min="8699" max="8699" width="7.179687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81640625" style="18" customWidth="1"/>
    <col min="8953" max="8953" width="9.81640625" style="18" customWidth="1"/>
    <col min="8954" max="8954" width="14.453125" style="18" customWidth="1"/>
    <col min="8955" max="8955" width="7.179687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81640625" style="18" customWidth="1"/>
    <col min="9209" max="9209" width="9.81640625" style="18" customWidth="1"/>
    <col min="9210" max="9210" width="14.453125" style="18" customWidth="1"/>
    <col min="9211" max="9211" width="7.179687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81640625" style="18" customWidth="1"/>
    <col min="9465" max="9465" width="9.81640625" style="18" customWidth="1"/>
    <col min="9466" max="9466" width="14.453125" style="18" customWidth="1"/>
    <col min="9467" max="9467" width="7.179687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81640625" style="18" customWidth="1"/>
    <col min="9721" max="9721" width="9.81640625" style="18" customWidth="1"/>
    <col min="9722" max="9722" width="14.453125" style="18" customWidth="1"/>
    <col min="9723" max="9723" width="7.179687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81640625" style="18" customWidth="1"/>
    <col min="9977" max="9977" width="9.81640625" style="18" customWidth="1"/>
    <col min="9978" max="9978" width="14.453125" style="18" customWidth="1"/>
    <col min="9979" max="9979" width="7.179687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81640625" style="18" customWidth="1"/>
    <col min="10233" max="10233" width="9.81640625" style="18" customWidth="1"/>
    <col min="10234" max="10234" width="14.453125" style="18" customWidth="1"/>
    <col min="10235" max="10235" width="7.179687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81640625" style="18" customWidth="1"/>
    <col min="10489" max="10489" width="9.81640625" style="18" customWidth="1"/>
    <col min="10490" max="10490" width="14.453125" style="18" customWidth="1"/>
    <col min="10491" max="10491" width="7.179687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81640625" style="18" customWidth="1"/>
    <col min="10745" max="10745" width="9.81640625" style="18" customWidth="1"/>
    <col min="10746" max="10746" width="14.453125" style="18" customWidth="1"/>
    <col min="10747" max="10747" width="7.179687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81640625" style="18" customWidth="1"/>
    <col min="11001" max="11001" width="9.81640625" style="18" customWidth="1"/>
    <col min="11002" max="11002" width="14.453125" style="18" customWidth="1"/>
    <col min="11003" max="11003" width="7.179687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81640625" style="18" customWidth="1"/>
    <col min="11257" max="11257" width="9.81640625" style="18" customWidth="1"/>
    <col min="11258" max="11258" width="14.453125" style="18" customWidth="1"/>
    <col min="11259" max="11259" width="7.179687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81640625" style="18" customWidth="1"/>
    <col min="11513" max="11513" width="9.81640625" style="18" customWidth="1"/>
    <col min="11514" max="11514" width="14.453125" style="18" customWidth="1"/>
    <col min="11515" max="11515" width="7.179687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81640625" style="18" customWidth="1"/>
    <col min="11769" max="11769" width="9.81640625" style="18" customWidth="1"/>
    <col min="11770" max="11770" width="14.453125" style="18" customWidth="1"/>
    <col min="11771" max="11771" width="7.179687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81640625" style="18" customWidth="1"/>
    <col min="12025" max="12025" width="9.81640625" style="18" customWidth="1"/>
    <col min="12026" max="12026" width="14.453125" style="18" customWidth="1"/>
    <col min="12027" max="12027" width="7.179687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81640625" style="18" customWidth="1"/>
    <col min="12281" max="12281" width="9.81640625" style="18" customWidth="1"/>
    <col min="12282" max="12282" width="14.453125" style="18" customWidth="1"/>
    <col min="12283" max="12283" width="7.179687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81640625" style="18" customWidth="1"/>
    <col min="12537" max="12537" width="9.81640625" style="18" customWidth="1"/>
    <col min="12538" max="12538" width="14.453125" style="18" customWidth="1"/>
    <col min="12539" max="12539" width="7.179687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81640625" style="18" customWidth="1"/>
    <col min="12793" max="12793" width="9.81640625" style="18" customWidth="1"/>
    <col min="12794" max="12794" width="14.453125" style="18" customWidth="1"/>
    <col min="12795" max="12795" width="7.179687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81640625" style="18" customWidth="1"/>
    <col min="13049" max="13049" width="9.81640625" style="18" customWidth="1"/>
    <col min="13050" max="13050" width="14.453125" style="18" customWidth="1"/>
    <col min="13051" max="13051" width="7.179687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81640625" style="18" customWidth="1"/>
    <col min="13305" max="13305" width="9.81640625" style="18" customWidth="1"/>
    <col min="13306" max="13306" width="14.453125" style="18" customWidth="1"/>
    <col min="13307" max="13307" width="7.179687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81640625" style="18" customWidth="1"/>
    <col min="13561" max="13561" width="9.81640625" style="18" customWidth="1"/>
    <col min="13562" max="13562" width="14.453125" style="18" customWidth="1"/>
    <col min="13563" max="13563" width="7.179687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81640625" style="18" customWidth="1"/>
    <col min="13817" max="13817" width="9.81640625" style="18" customWidth="1"/>
    <col min="13818" max="13818" width="14.453125" style="18" customWidth="1"/>
    <col min="13819" max="13819" width="7.179687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81640625" style="18" customWidth="1"/>
    <col min="14073" max="14073" width="9.81640625" style="18" customWidth="1"/>
    <col min="14074" max="14074" width="14.453125" style="18" customWidth="1"/>
    <col min="14075" max="14075" width="7.179687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81640625" style="18" customWidth="1"/>
    <col min="14329" max="14329" width="9.81640625" style="18" customWidth="1"/>
    <col min="14330" max="14330" width="14.453125" style="18" customWidth="1"/>
    <col min="14331" max="14331" width="7.179687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81640625" style="18" customWidth="1"/>
    <col min="14585" max="14585" width="9.81640625" style="18" customWidth="1"/>
    <col min="14586" max="14586" width="14.453125" style="18" customWidth="1"/>
    <col min="14587" max="14587" width="7.179687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81640625" style="18" customWidth="1"/>
    <col min="14841" max="14841" width="9.81640625" style="18" customWidth="1"/>
    <col min="14842" max="14842" width="14.453125" style="18" customWidth="1"/>
    <col min="14843" max="14843" width="7.179687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81640625" style="18" customWidth="1"/>
    <col min="15097" max="15097" width="9.81640625" style="18" customWidth="1"/>
    <col min="15098" max="15098" width="14.453125" style="18" customWidth="1"/>
    <col min="15099" max="15099" width="7.179687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81640625" style="18" customWidth="1"/>
    <col min="15353" max="15353" width="9.81640625" style="18" customWidth="1"/>
    <col min="15354" max="15354" width="14.453125" style="18" customWidth="1"/>
    <col min="15355" max="15355" width="7.179687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81640625" style="18" customWidth="1"/>
    <col min="15609" max="15609" width="9.81640625" style="18" customWidth="1"/>
    <col min="15610" max="15610" width="14.453125" style="18" customWidth="1"/>
    <col min="15611" max="15611" width="7.179687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81640625" style="18" customWidth="1"/>
    <col min="15865" max="15865" width="9.81640625" style="18" customWidth="1"/>
    <col min="15866" max="15866" width="14.453125" style="18" customWidth="1"/>
    <col min="15867" max="15867" width="7.179687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81640625" style="18" customWidth="1"/>
    <col min="16121" max="16121" width="9.81640625" style="18" customWidth="1"/>
    <col min="16122" max="16122" width="14.453125" style="18" customWidth="1"/>
    <col min="16123" max="16123" width="7.179687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69" t="s">
        <v>158</v>
      </c>
      <c r="B1" s="169"/>
      <c r="C1" s="169"/>
      <c r="D1" s="169"/>
      <c r="E1" s="169"/>
      <c r="F1" s="169"/>
      <c r="G1" s="169"/>
      <c r="H1" s="169"/>
    </row>
    <row r="2" spans="1:26" ht="16.5" customHeight="1" x14ac:dyDescent="0.35">
      <c r="A2" s="125" t="s">
        <v>0</v>
      </c>
      <c r="B2" s="125"/>
      <c r="C2" s="125"/>
      <c r="D2" s="125"/>
      <c r="E2" s="125"/>
      <c r="F2" s="125"/>
      <c r="G2" s="125"/>
      <c r="H2" s="125"/>
    </row>
    <row r="3" spans="1:26" x14ac:dyDescent="0.35">
      <c r="A3" s="120" t="s">
        <v>1</v>
      </c>
      <c r="B3" s="120"/>
      <c r="C3" s="120"/>
      <c r="D3" s="120"/>
      <c r="E3" s="120" t="str">
        <f ca="1">TEXT(TODAY(),"DD/MM/YYYY")</f>
        <v>19/09/2025</v>
      </c>
      <c r="F3" s="120"/>
      <c r="G3" s="120"/>
      <c r="H3" s="120"/>
      <c r="K3" s="48" t="s">
        <v>230</v>
      </c>
      <c r="L3" s="47" t="s">
        <v>228</v>
      </c>
      <c r="M3" s="47" t="s">
        <v>233</v>
      </c>
      <c r="N3" s="47" t="s">
        <v>231</v>
      </c>
      <c r="O3" s="47" t="s">
        <v>232</v>
      </c>
      <c r="P3" s="47" t="s">
        <v>234</v>
      </c>
    </row>
    <row r="4" spans="1:26" ht="15" customHeight="1" x14ac:dyDescent="0.35">
      <c r="A4" s="120" t="s">
        <v>227</v>
      </c>
      <c r="B4" s="120"/>
      <c r="C4" s="120"/>
      <c r="D4" s="120"/>
      <c r="E4" s="120" t="s">
        <v>228</v>
      </c>
      <c r="F4" s="120"/>
      <c r="G4" s="120"/>
      <c r="H4" s="120"/>
      <c r="K4" s="46" t="s">
        <v>229</v>
      </c>
      <c r="L4" s="47" t="s">
        <v>164</v>
      </c>
      <c r="M4" s="47" t="s">
        <v>238</v>
      </c>
      <c r="N4" s="47" t="s">
        <v>240</v>
      </c>
      <c r="O4" s="47" t="s">
        <v>242</v>
      </c>
      <c r="P4" s="47"/>
    </row>
    <row r="5" spans="1:26" ht="15" customHeight="1" x14ac:dyDescent="0.35">
      <c r="A5" s="120" t="s">
        <v>2</v>
      </c>
      <c r="B5" s="120"/>
      <c r="C5" s="120"/>
      <c r="D5" s="120"/>
      <c r="E5" s="120" t="s">
        <v>164</v>
      </c>
      <c r="F5" s="120"/>
      <c r="G5" s="120"/>
      <c r="H5" s="120"/>
      <c r="K5" s="46"/>
      <c r="L5" s="47" t="s">
        <v>235</v>
      </c>
      <c r="M5" s="47" t="s">
        <v>239</v>
      </c>
      <c r="N5" s="47" t="s">
        <v>241</v>
      </c>
      <c r="O5" s="47" t="s">
        <v>243</v>
      </c>
      <c r="P5" s="47"/>
    </row>
    <row r="6" spans="1:26" x14ac:dyDescent="0.35">
      <c r="A6" s="120" t="s">
        <v>3</v>
      </c>
      <c r="B6" s="120"/>
      <c r="C6" s="120"/>
      <c r="D6" s="120"/>
      <c r="E6" s="171">
        <v>45919</v>
      </c>
      <c r="F6" s="120"/>
      <c r="G6" s="120"/>
      <c r="H6" s="120"/>
      <c r="K6" s="46"/>
      <c r="L6" s="47" t="s">
        <v>236</v>
      </c>
      <c r="M6" s="47"/>
      <c r="N6" s="47"/>
      <c r="O6" s="47" t="s">
        <v>244</v>
      </c>
      <c r="P6" s="47"/>
    </row>
    <row r="7" spans="1:26" ht="16.5" customHeight="1" x14ac:dyDescent="0.35">
      <c r="A7" s="120" t="s">
        <v>4</v>
      </c>
      <c r="B7" s="120"/>
      <c r="C7" s="120"/>
      <c r="D7" s="120"/>
      <c r="E7" s="120" t="s">
        <v>297</v>
      </c>
      <c r="F7" s="120"/>
      <c r="G7" s="120"/>
      <c r="H7" s="120"/>
      <c r="K7" s="46"/>
      <c r="L7" s="47" t="s">
        <v>237</v>
      </c>
      <c r="M7" s="47"/>
      <c r="N7" s="47"/>
      <c r="O7" s="47" t="s">
        <v>244</v>
      </c>
      <c r="P7" s="47"/>
    </row>
    <row r="8" spans="1:26" ht="15" customHeight="1" x14ac:dyDescent="0.35">
      <c r="A8" s="120" t="s">
        <v>5</v>
      </c>
      <c r="B8" s="120"/>
      <c r="C8" s="120"/>
      <c r="D8" s="120"/>
      <c r="E8" s="120" t="str">
        <f>E7</f>
        <v>Visharia Sadguru Bhoomi LLP</v>
      </c>
      <c r="F8" s="120"/>
      <c r="G8" s="120"/>
      <c r="H8" s="120"/>
      <c r="K8" s="46"/>
      <c r="L8" s="47"/>
      <c r="M8" s="47"/>
      <c r="N8" s="47"/>
      <c r="O8" s="47" t="s">
        <v>245</v>
      </c>
      <c r="P8" s="47"/>
    </row>
    <row r="9" spans="1:26" x14ac:dyDescent="0.35">
      <c r="A9" s="120" t="s">
        <v>6</v>
      </c>
      <c r="B9" s="120"/>
      <c r="C9" s="120"/>
      <c r="D9" s="120"/>
      <c r="E9" s="170" t="s">
        <v>337</v>
      </c>
      <c r="F9" s="170"/>
      <c r="G9" s="170"/>
      <c r="H9" s="170"/>
      <c r="K9" s="46"/>
      <c r="L9" s="47"/>
      <c r="M9" s="47"/>
      <c r="N9" s="47"/>
      <c r="O9" s="47" t="s">
        <v>246</v>
      </c>
      <c r="P9" s="47"/>
    </row>
    <row r="10" spans="1:26" x14ac:dyDescent="0.35">
      <c r="A10" s="120" t="s">
        <v>161</v>
      </c>
      <c r="B10" s="120"/>
      <c r="C10" s="120"/>
      <c r="D10" s="120"/>
      <c r="E10" s="120" t="s">
        <v>298</v>
      </c>
      <c r="F10" s="120"/>
      <c r="G10" s="120"/>
      <c r="H10" s="120"/>
      <c r="K10" s="46"/>
      <c r="L10" s="47"/>
      <c r="M10" s="47"/>
      <c r="N10" s="47"/>
      <c r="O10" s="47"/>
      <c r="P10" s="47"/>
    </row>
    <row r="11" spans="1:26" hidden="1" x14ac:dyDescent="0.35">
      <c r="A11" s="120" t="s">
        <v>161</v>
      </c>
      <c r="B11" s="120"/>
      <c r="C11" s="120"/>
      <c r="D11" s="120"/>
      <c r="E11" s="120" t="s">
        <v>347</v>
      </c>
      <c r="F11" s="120"/>
      <c r="G11" s="120"/>
      <c r="H11" s="120"/>
      <c r="K11" s="46"/>
      <c r="L11" s="47"/>
      <c r="M11" s="47"/>
      <c r="N11" s="47"/>
      <c r="O11" s="47"/>
      <c r="P11" s="47"/>
    </row>
    <row r="12" spans="1:26" x14ac:dyDescent="0.35">
      <c r="A12" s="120" t="s">
        <v>162</v>
      </c>
      <c r="B12" s="120"/>
      <c r="C12" s="120"/>
      <c r="D12" s="120"/>
      <c r="E12" s="120" t="s">
        <v>353</v>
      </c>
      <c r="F12" s="120"/>
      <c r="G12" s="120"/>
      <c r="H12" s="120"/>
    </row>
    <row r="13" spans="1:26" x14ac:dyDescent="0.35">
      <c r="A13" s="120" t="s">
        <v>7</v>
      </c>
      <c r="B13" s="120"/>
      <c r="C13" s="120"/>
      <c r="D13" s="120"/>
      <c r="E13" s="120" t="s">
        <v>299</v>
      </c>
      <c r="F13" s="120"/>
      <c r="G13" s="120"/>
      <c r="H13" s="120"/>
    </row>
    <row r="14" spans="1:26" x14ac:dyDescent="0.35">
      <c r="A14" s="120" t="s">
        <v>165</v>
      </c>
      <c r="B14" s="120"/>
      <c r="C14" s="120"/>
      <c r="D14" s="120"/>
      <c r="E14" s="120" t="s">
        <v>28</v>
      </c>
      <c r="F14" s="120"/>
      <c r="G14" s="120"/>
      <c r="H14" s="120"/>
      <c r="S14" s="47" t="s">
        <v>172</v>
      </c>
      <c r="T14" s="47" t="s">
        <v>182</v>
      </c>
      <c r="U14" s="47" t="s">
        <v>166</v>
      </c>
      <c r="V14" s="47" t="s">
        <v>187</v>
      </c>
      <c r="W14" s="47" t="s">
        <v>205</v>
      </c>
      <c r="X14"/>
      <c r="Y14" t="s">
        <v>187</v>
      </c>
      <c r="Z14" t="e">
        <f ca="1">OFFSET($S$14,1,MATCH($G21,$S$14:$W$14,0)-1,15,1)</f>
        <v>#VALUE!</v>
      </c>
    </row>
    <row r="15" spans="1:26" x14ac:dyDescent="0.35">
      <c r="A15" s="120" t="s">
        <v>273</v>
      </c>
      <c r="B15" s="120"/>
      <c r="C15" s="120"/>
      <c r="D15" s="120"/>
      <c r="E15" s="110" t="s">
        <v>344</v>
      </c>
      <c r="F15" s="110"/>
      <c r="G15" s="110"/>
      <c r="H15" s="110"/>
      <c r="S15" s="47" t="s">
        <v>173</v>
      </c>
      <c r="T15" s="47" t="s">
        <v>180</v>
      </c>
      <c r="U15" s="47" t="s">
        <v>202</v>
      </c>
      <c r="V15" s="47" t="s">
        <v>188</v>
      </c>
      <c r="W15" s="47" t="s">
        <v>206</v>
      </c>
      <c r="X15"/>
      <c r="Y15"/>
      <c r="Z15"/>
    </row>
    <row r="16" spans="1:26" x14ac:dyDescent="0.35">
      <c r="A16" s="78" t="s">
        <v>8</v>
      </c>
      <c r="B16" s="78"/>
      <c r="C16" s="78"/>
      <c r="D16" s="78"/>
      <c r="E16" s="110" t="s">
        <v>300</v>
      </c>
      <c r="F16" s="120"/>
      <c r="G16" s="120"/>
      <c r="H16" s="120"/>
      <c r="I16" s="192" t="e">
        <f ca="1">OFFSET($D$5,1,MATCH($J14,$D$5:$H$5,0)-1,15,1)</f>
        <v>#N/A</v>
      </c>
      <c r="J16" s="193"/>
      <c r="K16" s="193"/>
      <c r="L16" s="193"/>
      <c r="M16" s="193"/>
      <c r="N16" s="193"/>
      <c r="O16" s="193"/>
      <c r="P16" s="193"/>
      <c r="S16" s="47" t="s">
        <v>174</v>
      </c>
      <c r="T16" s="47" t="s">
        <v>181</v>
      </c>
      <c r="U16" s="47" t="s">
        <v>203</v>
      </c>
      <c r="V16" s="47" t="s">
        <v>189</v>
      </c>
      <c r="W16" s="47" t="s">
        <v>219</v>
      </c>
      <c r="X16"/>
      <c r="Y16"/>
      <c r="Z16"/>
    </row>
    <row r="17" spans="1:26" ht="34.5" customHeight="1" x14ac:dyDescent="0.35">
      <c r="A17" s="99" t="s">
        <v>9</v>
      </c>
      <c r="B17" s="99"/>
      <c r="C17" s="99" t="str">
        <f>CONCATENATE((IF(OR(E9="",E9="NA"),"",E9)),", ",(IF(OR(A18="",A18="NA"),"",A18)),".",(IF(OR(C18="",C18="NA"),"",C18)),", near ",(IF(OR(C23="",C23="NA"),"",C23)),", ",(IF(OR(C20="",C20="NA"),"",C20)),", ",(IF(OR(C19="",C19="NA"),"",C19)),", ",(IF(OR(G20="",G20="NA"),"",G20)),", ",(IF(OR(C21="",C21="NA"),"",C21)),", ",(IF(OR(C22="",C22="NA"),"",C22)),", ",(IF(OR(G21="",G21="NA"),"",G21))," - ",(IF(OR(G22="",G22="NA"),"",G22)),".")</f>
        <v>Sadguru Tower Bldg No.2, Gut No.227/Pt, near Kavya apartment, Internal Road, Makane Kapase, Makane, Saphale West, Palghar, Palghar - 401102.</v>
      </c>
      <c r="D17" s="99"/>
      <c r="E17" s="99"/>
      <c r="F17" s="99"/>
      <c r="G17" s="99"/>
      <c r="H17" s="99"/>
      <c r="S17" s="47" t="s">
        <v>175</v>
      </c>
      <c r="T17" s="47" t="s">
        <v>183</v>
      </c>
      <c r="U17" s="47" t="s">
        <v>204</v>
      </c>
      <c r="V17" s="47" t="s">
        <v>190</v>
      </c>
      <c r="W17" s="47" t="s">
        <v>207</v>
      </c>
      <c r="X17"/>
      <c r="Y17"/>
      <c r="Z17"/>
    </row>
    <row r="18" spans="1:26" x14ac:dyDescent="0.35">
      <c r="A18" s="110" t="s">
        <v>301</v>
      </c>
      <c r="B18" s="110"/>
      <c r="C18" s="110" t="s">
        <v>341</v>
      </c>
      <c r="D18" s="110"/>
      <c r="E18" s="110"/>
      <c r="F18" s="110"/>
      <c r="G18" s="110"/>
      <c r="H18" s="110"/>
      <c r="S18" s="47" t="s">
        <v>176</v>
      </c>
      <c r="T18" s="47" t="s">
        <v>184</v>
      </c>
      <c r="U18" s="47" t="s">
        <v>166</v>
      </c>
      <c r="V18" s="47" t="s">
        <v>191</v>
      </c>
      <c r="W18" s="47" t="s">
        <v>208</v>
      </c>
      <c r="X18"/>
      <c r="Y18"/>
      <c r="Z18"/>
    </row>
    <row r="19" spans="1:26" ht="15.75" customHeight="1" x14ac:dyDescent="0.35">
      <c r="A19" s="110" t="s">
        <v>156</v>
      </c>
      <c r="B19" s="110"/>
      <c r="C19" s="110" t="s">
        <v>327</v>
      </c>
      <c r="D19" s="110"/>
      <c r="E19" s="110"/>
      <c r="F19" s="110"/>
      <c r="G19" s="110"/>
      <c r="H19" s="110"/>
      <c r="S19" s="47" t="s">
        <v>177</v>
      </c>
      <c r="T19" s="47" t="s">
        <v>182</v>
      </c>
      <c r="U19" s="47"/>
      <c r="V19" s="47" t="s">
        <v>192</v>
      </c>
      <c r="W19" s="47" t="s">
        <v>209</v>
      </c>
      <c r="X19"/>
      <c r="Y19"/>
      <c r="Z19"/>
    </row>
    <row r="20" spans="1:26" ht="15.75" customHeight="1" x14ac:dyDescent="0.35">
      <c r="A20" s="99" t="s">
        <v>10</v>
      </c>
      <c r="B20" s="99"/>
      <c r="C20" s="120" t="s">
        <v>330</v>
      </c>
      <c r="D20" s="120"/>
      <c r="E20" s="110" t="s">
        <v>69</v>
      </c>
      <c r="F20" s="110"/>
      <c r="G20" s="110" t="s">
        <v>302</v>
      </c>
      <c r="H20" s="110"/>
      <c r="S20" s="47" t="s">
        <v>178</v>
      </c>
      <c r="T20" s="47" t="s">
        <v>185</v>
      </c>
      <c r="U20" s="47"/>
      <c r="V20" s="47" t="s">
        <v>193</v>
      </c>
      <c r="W20" s="47" t="s">
        <v>210</v>
      </c>
      <c r="X20"/>
      <c r="Y20"/>
      <c r="Z20"/>
    </row>
    <row r="21" spans="1:26" x14ac:dyDescent="0.35">
      <c r="A21" s="78" t="s">
        <v>12</v>
      </c>
      <c r="B21" s="78"/>
      <c r="C21" s="110" t="s">
        <v>329</v>
      </c>
      <c r="D21" s="110"/>
      <c r="E21" s="110" t="s">
        <v>11</v>
      </c>
      <c r="F21" s="110"/>
      <c r="G21" s="168" t="s">
        <v>182</v>
      </c>
      <c r="H21" s="168"/>
      <c r="S21" s="47" t="s">
        <v>179</v>
      </c>
      <c r="T21" s="47" t="s">
        <v>186</v>
      </c>
      <c r="U21" s="47"/>
      <c r="V21" s="47" t="s">
        <v>194</v>
      </c>
      <c r="W21" s="47" t="s">
        <v>211</v>
      </c>
      <c r="X21"/>
      <c r="Y21"/>
      <c r="Z21"/>
    </row>
    <row r="22" spans="1:26" x14ac:dyDescent="0.35">
      <c r="A22" s="78" t="s">
        <v>70</v>
      </c>
      <c r="B22" s="78"/>
      <c r="C22" s="110" t="s">
        <v>182</v>
      </c>
      <c r="D22" s="110"/>
      <c r="E22" s="110" t="s">
        <v>13</v>
      </c>
      <c r="F22" s="110"/>
      <c r="G22" s="110">
        <v>401102</v>
      </c>
      <c r="H22" s="110"/>
      <c r="S22" s="47"/>
      <c r="T22" s="47"/>
      <c r="U22" s="47"/>
      <c r="V22" s="47" t="s">
        <v>195</v>
      </c>
      <c r="W22" s="47" t="s">
        <v>212</v>
      </c>
      <c r="X22"/>
      <c r="Y22"/>
      <c r="Z22"/>
    </row>
    <row r="23" spans="1:26" ht="32.25" customHeight="1" x14ac:dyDescent="0.35">
      <c r="A23" s="78" t="s">
        <v>117</v>
      </c>
      <c r="B23" s="78"/>
      <c r="C23" s="110" t="s">
        <v>331</v>
      </c>
      <c r="D23" s="110"/>
      <c r="E23" s="99" t="s">
        <v>14</v>
      </c>
      <c r="F23" s="99"/>
      <c r="G23" s="110" t="s">
        <v>328</v>
      </c>
      <c r="H23" s="110"/>
      <c r="S23" s="47"/>
      <c r="T23" s="47"/>
      <c r="U23" s="47"/>
      <c r="V23" s="47" t="s">
        <v>196</v>
      </c>
      <c r="W23" s="47" t="s">
        <v>213</v>
      </c>
      <c r="X23"/>
      <c r="Y23"/>
      <c r="Z23"/>
    </row>
    <row r="24" spans="1:26" ht="15" customHeight="1" x14ac:dyDescent="0.35">
      <c r="A24" s="99" t="s">
        <v>72</v>
      </c>
      <c r="B24" s="99"/>
      <c r="C24" s="99"/>
      <c r="D24" s="99"/>
      <c r="E24" s="120" t="s">
        <v>15</v>
      </c>
      <c r="F24" s="120"/>
      <c r="G24" s="120"/>
      <c r="H24" s="120"/>
      <c r="S24" s="47"/>
      <c r="T24" s="47"/>
      <c r="U24" s="47"/>
      <c r="V24" s="47" t="s">
        <v>197</v>
      </c>
      <c r="W24" s="47" t="s">
        <v>214</v>
      </c>
      <c r="X24"/>
      <c r="Y24"/>
      <c r="Z24"/>
    </row>
    <row r="25" spans="1:26" ht="18.75" customHeight="1" x14ac:dyDescent="0.35">
      <c r="A25" s="99"/>
      <c r="B25" s="99"/>
      <c r="C25" s="99"/>
      <c r="D25" s="99"/>
      <c r="E25" s="120"/>
      <c r="F25" s="120"/>
      <c r="G25" s="120"/>
      <c r="H25" s="120"/>
      <c r="S25" s="47"/>
      <c r="T25" s="47"/>
      <c r="U25" s="47"/>
      <c r="V25" s="47" t="s">
        <v>198</v>
      </c>
      <c r="W25" s="47" t="s">
        <v>215</v>
      </c>
      <c r="X25"/>
      <c r="Y25"/>
      <c r="Z25"/>
    </row>
    <row r="26" spans="1:26" ht="15" customHeight="1" x14ac:dyDescent="0.35">
      <c r="A26" s="99" t="s">
        <v>16</v>
      </c>
      <c r="B26" s="99"/>
      <c r="C26" s="99"/>
      <c r="D26" s="99"/>
      <c r="E26" s="110" t="s">
        <v>17</v>
      </c>
      <c r="F26" s="110"/>
      <c r="G26" s="110"/>
      <c r="H26" s="110"/>
      <c r="S26" s="47"/>
      <c r="T26" s="47"/>
      <c r="U26" s="47"/>
      <c r="V26" s="47" t="s">
        <v>199</v>
      </c>
      <c r="W26" s="47" t="s">
        <v>216</v>
      </c>
      <c r="X26"/>
      <c r="Y26"/>
      <c r="Z26"/>
    </row>
    <row r="27" spans="1:26" ht="15" customHeight="1" x14ac:dyDescent="0.35">
      <c r="A27" s="78" t="s">
        <v>18</v>
      </c>
      <c r="B27" s="78"/>
      <c r="C27" s="78"/>
      <c r="D27" s="78"/>
      <c r="E27" s="110" t="str">
        <f>IF(AND(G21="Mumbai"),"Upper Class","Middle Class")</f>
        <v>Middle Class</v>
      </c>
      <c r="F27" s="110"/>
      <c r="G27" s="110"/>
      <c r="H27" s="110"/>
      <c r="S27" s="47"/>
      <c r="T27" s="47"/>
      <c r="U27" s="47"/>
      <c r="V27" s="47" t="s">
        <v>200</v>
      </c>
      <c r="W27" s="47" t="s">
        <v>217</v>
      </c>
      <c r="X27"/>
      <c r="Y27"/>
      <c r="Z27"/>
    </row>
    <row r="28" spans="1:26" x14ac:dyDescent="0.35">
      <c r="A28" s="78" t="s">
        <v>19</v>
      </c>
      <c r="B28" s="78"/>
      <c r="C28" s="78"/>
      <c r="D28" s="78"/>
      <c r="E28" s="110" t="s">
        <v>20</v>
      </c>
      <c r="F28" s="110"/>
      <c r="G28" s="110"/>
      <c r="H28" s="110"/>
      <c r="S28" s="47"/>
      <c r="T28" s="47"/>
      <c r="U28" s="47"/>
      <c r="V28" s="47" t="s">
        <v>201</v>
      </c>
      <c r="W28" s="47" t="s">
        <v>218</v>
      </c>
      <c r="X28"/>
      <c r="Y28"/>
      <c r="Z28"/>
    </row>
    <row r="29" spans="1:26" ht="15.75" customHeight="1" x14ac:dyDescent="0.35">
      <c r="A29" s="78" t="s">
        <v>21</v>
      </c>
      <c r="B29" s="78"/>
      <c r="C29" s="78"/>
      <c r="D29" s="78"/>
      <c r="E29" s="110" t="str">
        <f>IF(AND(G21="Mumbai"),"Developed","Developing")</f>
        <v>Developing</v>
      </c>
      <c r="F29" s="110"/>
      <c r="G29" s="110"/>
      <c r="H29" s="110"/>
    </row>
    <row r="30" spans="1:26" x14ac:dyDescent="0.35">
      <c r="A30" s="78" t="s">
        <v>22</v>
      </c>
      <c r="B30" s="78"/>
      <c r="C30" s="78"/>
      <c r="D30" s="78"/>
      <c r="E30" s="110" t="s">
        <v>23</v>
      </c>
      <c r="F30" s="110"/>
      <c r="G30" s="110"/>
      <c r="H30" s="110"/>
    </row>
    <row r="31" spans="1:26" ht="15.75" customHeight="1" x14ac:dyDescent="0.35">
      <c r="A31" s="78" t="s">
        <v>77</v>
      </c>
      <c r="B31" s="78"/>
      <c r="C31" s="78"/>
      <c r="D31" s="78"/>
      <c r="E31" s="110" t="s">
        <v>78</v>
      </c>
      <c r="F31" s="110"/>
      <c r="G31" s="110"/>
      <c r="H31" s="110"/>
    </row>
    <row r="32" spans="1:26" ht="15" customHeight="1" x14ac:dyDescent="0.35">
      <c r="A32" s="78" t="s">
        <v>30</v>
      </c>
      <c r="B32" s="78"/>
      <c r="C32" s="78"/>
      <c r="D32" s="78"/>
      <c r="E32" s="110"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2" s="110"/>
      <c r="G32" s="110"/>
      <c r="H32" s="110"/>
    </row>
    <row r="33" spans="1:19" ht="15.75" customHeight="1" x14ac:dyDescent="0.35">
      <c r="A33" s="78" t="s">
        <v>88</v>
      </c>
      <c r="B33" s="78"/>
      <c r="C33" s="78"/>
      <c r="D33" s="78"/>
      <c r="E33" s="110" t="s">
        <v>31</v>
      </c>
      <c r="F33" s="110"/>
      <c r="G33" s="110"/>
      <c r="H33" s="110"/>
    </row>
    <row r="34" spans="1:19" s="19" customFormat="1" x14ac:dyDescent="0.35">
      <c r="A34" s="167" t="s">
        <v>89</v>
      </c>
      <c r="B34" s="167"/>
      <c r="C34" s="197" t="s">
        <v>167</v>
      </c>
      <c r="D34" s="197"/>
      <c r="E34" s="197"/>
      <c r="F34" s="197" t="s">
        <v>29</v>
      </c>
      <c r="G34" s="197"/>
      <c r="H34" s="197"/>
      <c r="S34" s="19" t="e">
        <f ca="1">OFFSET($S$14,1,MATCH($G21,$S$14:$W$14,0)-1,15,1)</f>
        <v>#VALUE!</v>
      </c>
    </row>
    <row r="35" spans="1:19" s="19" customFormat="1" x14ac:dyDescent="0.35">
      <c r="A35" s="154" t="s">
        <v>24</v>
      </c>
      <c r="B35" s="154" t="s">
        <v>28</v>
      </c>
      <c r="C35" s="198" t="s">
        <v>338</v>
      </c>
      <c r="D35" s="198"/>
      <c r="E35" s="198"/>
      <c r="F35" s="198" t="s">
        <v>332</v>
      </c>
      <c r="G35" s="198"/>
      <c r="H35" s="198"/>
    </row>
    <row r="36" spans="1:19" x14ac:dyDescent="0.35">
      <c r="A36" s="154" t="s">
        <v>25</v>
      </c>
      <c r="B36" s="154" t="s">
        <v>28</v>
      </c>
      <c r="C36" s="198" t="s">
        <v>336</v>
      </c>
      <c r="D36" s="198"/>
      <c r="E36" s="198"/>
      <c r="F36" s="198" t="s">
        <v>333</v>
      </c>
      <c r="G36" s="198"/>
      <c r="H36" s="198"/>
    </row>
    <row r="37" spans="1:19" s="19" customFormat="1" x14ac:dyDescent="0.35">
      <c r="A37" s="154" t="s">
        <v>27</v>
      </c>
      <c r="B37" s="154" t="s">
        <v>28</v>
      </c>
      <c r="C37" s="198" t="s">
        <v>335</v>
      </c>
      <c r="D37" s="198"/>
      <c r="E37" s="198"/>
      <c r="F37" s="198" t="s">
        <v>333</v>
      </c>
      <c r="G37" s="198"/>
      <c r="H37" s="198"/>
    </row>
    <row r="38" spans="1:19" x14ac:dyDescent="0.35">
      <c r="A38" s="154" t="s">
        <v>26</v>
      </c>
      <c r="B38" s="154" t="s">
        <v>28</v>
      </c>
      <c r="C38" s="198" t="s">
        <v>334</v>
      </c>
      <c r="D38" s="198"/>
      <c r="E38" s="198"/>
      <c r="F38" s="198" t="s">
        <v>333</v>
      </c>
      <c r="G38" s="198"/>
      <c r="H38" s="198"/>
    </row>
    <row r="39" spans="1:19" x14ac:dyDescent="0.35">
      <c r="A39" s="78" t="s">
        <v>274</v>
      </c>
      <c r="B39" s="78"/>
      <c r="C39" s="78"/>
      <c r="D39" s="78"/>
      <c r="E39" s="78"/>
      <c r="F39" s="78"/>
      <c r="G39" s="78"/>
      <c r="H39" s="78"/>
    </row>
    <row r="40" spans="1:19" ht="15.75" customHeight="1" x14ac:dyDescent="0.35">
      <c r="A40" s="78" t="s">
        <v>159</v>
      </c>
      <c r="B40" s="78"/>
      <c r="C40" s="79" t="s">
        <v>325</v>
      </c>
      <c r="D40" s="79"/>
      <c r="E40" s="79"/>
      <c r="F40" s="79"/>
      <c r="G40" s="79"/>
      <c r="H40" s="79"/>
    </row>
    <row r="41" spans="1:19" x14ac:dyDescent="0.35">
      <c r="A41" s="78" t="s">
        <v>155</v>
      </c>
      <c r="B41" s="78"/>
      <c r="C41" s="166" t="s">
        <v>326</v>
      </c>
      <c r="D41" s="110"/>
      <c r="E41" s="110"/>
      <c r="F41" s="110"/>
      <c r="G41" s="110"/>
      <c r="H41" s="110"/>
    </row>
    <row r="42" spans="1:19" x14ac:dyDescent="0.35">
      <c r="A42" s="79" t="s">
        <v>32</v>
      </c>
      <c r="B42" s="79"/>
      <c r="C42" s="79"/>
      <c r="D42" s="79"/>
      <c r="E42" s="79"/>
      <c r="F42" s="79"/>
      <c r="G42" s="79"/>
      <c r="H42" s="79"/>
    </row>
    <row r="43" spans="1:19" x14ac:dyDescent="0.35">
      <c r="A43" s="78" t="s">
        <v>33</v>
      </c>
      <c r="B43" s="78"/>
      <c r="C43" s="78"/>
      <c r="D43" s="78"/>
      <c r="E43" s="155">
        <v>5759.56</v>
      </c>
      <c r="F43" s="155"/>
      <c r="G43" s="155"/>
      <c r="H43" s="155"/>
    </row>
    <row r="44" spans="1:19" x14ac:dyDescent="0.35">
      <c r="A44" s="78" t="s">
        <v>34</v>
      </c>
      <c r="B44" s="78"/>
      <c r="C44" s="78"/>
      <c r="D44" s="78"/>
      <c r="E44" s="157">
        <f>5759.56/E43</f>
        <v>1</v>
      </c>
      <c r="F44" s="157"/>
      <c r="G44" s="157"/>
      <c r="H44" s="157"/>
    </row>
    <row r="45" spans="1:19" x14ac:dyDescent="0.35">
      <c r="A45" s="78" t="s">
        <v>35</v>
      </c>
      <c r="B45" s="78"/>
      <c r="C45" s="78"/>
      <c r="D45" s="78"/>
      <c r="E45" s="157">
        <f>E47/E43-E44</f>
        <v>0.59988957489808237</v>
      </c>
      <c r="F45" s="157"/>
      <c r="G45" s="157"/>
      <c r="H45" s="157"/>
    </row>
    <row r="46" spans="1:19" x14ac:dyDescent="0.35">
      <c r="A46" s="78" t="s">
        <v>36</v>
      </c>
      <c r="B46" s="78"/>
      <c r="C46" s="78"/>
      <c r="D46" s="78"/>
      <c r="E46" s="157">
        <f>E44+E45</f>
        <v>1.5998895748980824</v>
      </c>
      <c r="F46" s="157"/>
      <c r="G46" s="157"/>
      <c r="H46" s="157"/>
    </row>
    <row r="47" spans="1:19" x14ac:dyDescent="0.35">
      <c r="A47" s="78" t="s">
        <v>87</v>
      </c>
      <c r="B47" s="78"/>
      <c r="C47" s="78"/>
      <c r="D47" s="78"/>
      <c r="E47" s="158">
        <v>9214.66</v>
      </c>
      <c r="F47" s="158"/>
      <c r="G47" s="158"/>
      <c r="H47" s="158"/>
    </row>
    <row r="48" spans="1:19" x14ac:dyDescent="0.35">
      <c r="A48" s="120" t="s">
        <v>37</v>
      </c>
      <c r="B48" s="120"/>
      <c r="C48" s="120"/>
      <c r="D48" s="120"/>
      <c r="E48" s="120" t="s">
        <v>303</v>
      </c>
      <c r="F48" s="120"/>
      <c r="G48" s="120"/>
      <c r="H48" s="120"/>
    </row>
    <row r="49" spans="1:24" x14ac:dyDescent="0.35">
      <c r="A49" s="79" t="s">
        <v>38</v>
      </c>
      <c r="B49" s="79"/>
      <c r="C49" s="79"/>
      <c r="D49" s="79"/>
      <c r="E49" s="79"/>
      <c r="F49" s="79"/>
      <c r="G49" s="79"/>
      <c r="H49" s="79"/>
    </row>
    <row r="50" spans="1:24" ht="33.75" customHeight="1" x14ac:dyDescent="0.35">
      <c r="A50" s="100" t="s">
        <v>144</v>
      </c>
      <c r="B50" s="102"/>
      <c r="C50" s="133" t="s">
        <v>270</v>
      </c>
      <c r="D50" s="134"/>
      <c r="E50" s="134"/>
      <c r="F50" s="134"/>
      <c r="G50" s="134"/>
      <c r="H50" s="135"/>
      <c r="R50" t="s">
        <v>247</v>
      </c>
      <c r="S50" t="s">
        <v>166</v>
      </c>
      <c r="T50" t="s">
        <v>172</v>
      </c>
      <c r="U50" t="s">
        <v>187</v>
      </c>
      <c r="V50" t="s">
        <v>182</v>
      </c>
    </row>
    <row r="51" spans="1:24" ht="34.5" customHeight="1" x14ac:dyDescent="0.35">
      <c r="A51" s="100" t="s">
        <v>39</v>
      </c>
      <c r="B51" s="102"/>
      <c r="C51" s="100" t="s">
        <v>342</v>
      </c>
      <c r="D51" s="194"/>
      <c r="E51" s="195"/>
      <c r="F51" s="17" t="s">
        <v>40</v>
      </c>
      <c r="G51" s="163">
        <v>44749</v>
      </c>
      <c r="H51" s="164"/>
      <c r="R51"/>
      <c r="S51" t="s">
        <v>248</v>
      </c>
      <c r="T51" t="s">
        <v>253</v>
      </c>
      <c r="U51" t="s">
        <v>264</v>
      </c>
      <c r="V51" t="s">
        <v>269</v>
      </c>
    </row>
    <row r="52" spans="1:24" ht="30.75" customHeight="1" x14ac:dyDescent="0.35">
      <c r="A52" s="100" t="s">
        <v>41</v>
      </c>
      <c r="B52" s="102"/>
      <c r="C52" s="100" t="str">
        <f>C51</f>
        <v>Mahsul/K-1/MJ-1/B.S.P/S.R/C.R/
264/21</v>
      </c>
      <c r="D52" s="101"/>
      <c r="E52" s="102"/>
      <c r="F52" s="17" t="s">
        <v>40</v>
      </c>
      <c r="G52" s="163">
        <f>G51</f>
        <v>44749</v>
      </c>
      <c r="H52" s="164"/>
      <c r="R52"/>
      <c r="S52" t="s">
        <v>249</v>
      </c>
      <c r="T52" t="s">
        <v>254</v>
      </c>
      <c r="U52" t="s">
        <v>262</v>
      </c>
      <c r="V52" t="s">
        <v>270</v>
      </c>
    </row>
    <row r="53" spans="1:24" s="20" customFormat="1" x14ac:dyDescent="0.35">
      <c r="A53" s="136" t="s">
        <v>148</v>
      </c>
      <c r="B53" s="137"/>
      <c r="C53" s="100" t="s">
        <v>304</v>
      </c>
      <c r="D53" s="101"/>
      <c r="E53" s="102"/>
      <c r="F53" s="17" t="s">
        <v>40</v>
      </c>
      <c r="G53" s="163">
        <f>G52</f>
        <v>44749</v>
      </c>
      <c r="H53" s="164"/>
      <c r="R53"/>
      <c r="S53" t="s">
        <v>250</v>
      </c>
      <c r="T53" t="s">
        <v>255</v>
      </c>
      <c r="U53" t="s">
        <v>252</v>
      </c>
      <c r="V53" t="s">
        <v>271</v>
      </c>
    </row>
    <row r="54" spans="1:24" s="20" customFormat="1" x14ac:dyDescent="0.35">
      <c r="A54" s="138"/>
      <c r="B54" s="139"/>
      <c r="C54" s="100" t="s">
        <v>305</v>
      </c>
      <c r="D54" s="101"/>
      <c r="E54" s="101"/>
      <c r="F54" s="101"/>
      <c r="G54" s="101"/>
      <c r="H54" s="102"/>
      <c r="R54"/>
      <c r="S54" t="s">
        <v>251</v>
      </c>
      <c r="T54" t="s">
        <v>258</v>
      </c>
      <c r="U54" t="s">
        <v>265</v>
      </c>
    </row>
    <row r="55" spans="1:24" s="20" customFormat="1" hidden="1" x14ac:dyDescent="0.35">
      <c r="A55" s="159" t="s">
        <v>275</v>
      </c>
      <c r="B55" s="160"/>
      <c r="C55" s="100" t="str">
        <f>C54</f>
        <v>Building No.2 (Wing A &amp; B) = Gr + 1st to 7th Floor</v>
      </c>
      <c r="D55" s="101"/>
      <c r="E55" s="102"/>
      <c r="F55" s="17" t="s">
        <v>40</v>
      </c>
      <c r="G55" s="100"/>
      <c r="H55" s="102"/>
      <c r="R55"/>
      <c r="S55" t="s">
        <v>250</v>
      </c>
      <c r="T55" t="s">
        <v>255</v>
      </c>
      <c r="U55" t="s">
        <v>252</v>
      </c>
      <c r="V55" t="s">
        <v>271</v>
      </c>
    </row>
    <row r="56" spans="1:24" s="20" customFormat="1" ht="32.25" hidden="1" customHeight="1" x14ac:dyDescent="0.35">
      <c r="A56" s="161"/>
      <c r="B56" s="162"/>
      <c r="C56" s="91"/>
      <c r="D56" s="92"/>
      <c r="E56" s="92"/>
      <c r="F56" s="92"/>
      <c r="G56" s="92"/>
      <c r="H56" s="93"/>
      <c r="R56"/>
      <c r="S56" t="s">
        <v>252</v>
      </c>
      <c r="T56" t="s">
        <v>256</v>
      </c>
      <c r="U56" t="s">
        <v>266</v>
      </c>
      <c r="V56" s="18"/>
      <c r="W56" s="18"/>
      <c r="X56" s="18"/>
    </row>
    <row r="57" spans="1:24" s="20" customFormat="1" ht="34.5" hidden="1" customHeight="1" x14ac:dyDescent="0.35">
      <c r="A57" s="159" t="s">
        <v>276</v>
      </c>
      <c r="B57" s="160"/>
      <c r="C57" s="100">
        <f>C56</f>
        <v>0</v>
      </c>
      <c r="D57" s="101"/>
      <c r="E57" s="102"/>
      <c r="F57" s="17" t="s">
        <v>40</v>
      </c>
      <c r="G57" s="100">
        <f>G56</f>
        <v>0</v>
      </c>
      <c r="H57" s="102"/>
      <c r="R57"/>
      <c r="S57" s="18"/>
      <c r="T57" t="s">
        <v>257</v>
      </c>
      <c r="U57" t="s">
        <v>267</v>
      </c>
      <c r="V57" s="18"/>
      <c r="W57" s="18"/>
      <c r="X57" s="18"/>
    </row>
    <row r="58" spans="1:24" s="20" customFormat="1" ht="41.25" hidden="1" customHeight="1" x14ac:dyDescent="0.35">
      <c r="A58" s="161"/>
      <c r="B58" s="162"/>
      <c r="C58" s="100"/>
      <c r="D58" s="101"/>
      <c r="E58" s="101"/>
      <c r="F58" s="101"/>
      <c r="G58" s="101"/>
      <c r="H58" s="102"/>
      <c r="R58"/>
      <c r="S58" s="18"/>
      <c r="T58" t="s">
        <v>259</v>
      </c>
      <c r="U58" t="s">
        <v>268</v>
      </c>
      <c r="V58" s="18"/>
      <c r="W58" s="18"/>
      <c r="X58" s="18"/>
    </row>
    <row r="59" spans="1:24" s="20" customFormat="1" ht="15.75" hidden="1" customHeight="1" x14ac:dyDescent="0.35">
      <c r="A59" s="159" t="s">
        <v>277</v>
      </c>
      <c r="B59" s="160"/>
      <c r="C59" s="100">
        <f>C58</f>
        <v>0</v>
      </c>
      <c r="D59" s="101"/>
      <c r="E59" s="102"/>
      <c r="F59" s="17" t="s">
        <v>40</v>
      </c>
      <c r="G59" s="100">
        <f>G58</f>
        <v>0</v>
      </c>
      <c r="H59" s="102"/>
      <c r="R59"/>
      <c r="S59" s="18"/>
      <c r="T59" t="s">
        <v>260</v>
      </c>
      <c r="U59" s="18" t="s">
        <v>291</v>
      </c>
      <c r="V59" s="18"/>
      <c r="W59" s="18"/>
      <c r="X59" s="18"/>
    </row>
    <row r="60" spans="1:24" s="20" customFormat="1" ht="33.75" hidden="1" customHeight="1" x14ac:dyDescent="0.35">
      <c r="A60" s="161"/>
      <c r="B60" s="162"/>
      <c r="C60" s="100"/>
      <c r="D60" s="101"/>
      <c r="E60" s="101"/>
      <c r="F60" s="101"/>
      <c r="G60" s="101"/>
      <c r="H60" s="102"/>
      <c r="R60"/>
      <c r="S60" s="18"/>
      <c r="T60" t="s">
        <v>261</v>
      </c>
      <c r="U60" s="18"/>
      <c r="V60" s="18"/>
      <c r="W60" s="18"/>
      <c r="X60" s="18"/>
    </row>
    <row r="61" spans="1:24" x14ac:dyDescent="0.35">
      <c r="A61" s="147" t="s">
        <v>42</v>
      </c>
      <c r="B61" s="148"/>
      <c r="C61" s="147" t="s">
        <v>100</v>
      </c>
      <c r="D61" s="149"/>
      <c r="E61" s="148"/>
      <c r="F61" s="40" t="s">
        <v>40</v>
      </c>
      <c r="G61" s="107" t="s">
        <v>28</v>
      </c>
      <c r="H61" s="108"/>
      <c r="R61"/>
      <c r="T61" t="s">
        <v>263</v>
      </c>
    </row>
    <row r="62" spans="1:24" x14ac:dyDescent="0.35">
      <c r="A62" s="180" t="s">
        <v>44</v>
      </c>
      <c r="B62" s="180"/>
      <c r="C62" s="180"/>
      <c r="D62" s="180"/>
      <c r="E62" s="180"/>
      <c r="F62" s="180"/>
      <c r="G62" s="180"/>
      <c r="H62" s="180"/>
      <c r="T62" t="s">
        <v>272</v>
      </c>
    </row>
    <row r="63" spans="1:24" ht="30.75" customHeight="1" x14ac:dyDescent="0.35">
      <c r="A63" s="99" t="s">
        <v>306</v>
      </c>
      <c r="B63" s="99"/>
      <c r="C63" s="99"/>
      <c r="D63" s="78">
        <v>4053.32</v>
      </c>
      <c r="E63" s="78"/>
      <c r="F63" s="78"/>
      <c r="G63" s="78"/>
      <c r="H63" s="78"/>
      <c r="R63"/>
    </row>
    <row r="64" spans="1:24" x14ac:dyDescent="0.35">
      <c r="A64" s="110" t="s">
        <v>45</v>
      </c>
      <c r="B64" s="120"/>
      <c r="C64" s="120"/>
      <c r="D64" s="106" t="s">
        <v>324</v>
      </c>
      <c r="E64" s="106"/>
      <c r="F64" s="106"/>
      <c r="G64" s="106"/>
      <c r="H64" s="106"/>
      <c r="I64" s="21"/>
      <c r="R64"/>
    </row>
    <row r="65" spans="1:19" x14ac:dyDescent="0.35">
      <c r="A65" s="140" t="s">
        <v>46</v>
      </c>
      <c r="B65" s="141"/>
      <c r="C65" s="165"/>
      <c r="D65" s="145" t="s">
        <v>305</v>
      </c>
      <c r="E65" s="146"/>
      <c r="F65" s="146"/>
      <c r="G65" s="146"/>
      <c r="H65" s="146"/>
      <c r="R65"/>
    </row>
    <row r="66" spans="1:19" ht="15.75" customHeight="1" x14ac:dyDescent="0.35">
      <c r="A66" s="140" t="s">
        <v>85</v>
      </c>
      <c r="B66" s="141"/>
      <c r="C66" s="141"/>
      <c r="D66" s="142" t="s">
        <v>305</v>
      </c>
      <c r="E66" s="143"/>
      <c r="F66" s="143"/>
      <c r="G66" s="143"/>
      <c r="H66" s="144"/>
      <c r="R66"/>
    </row>
    <row r="67" spans="1:19" ht="15.75" customHeight="1" x14ac:dyDescent="0.35">
      <c r="A67" s="78" t="s">
        <v>43</v>
      </c>
      <c r="B67" s="78"/>
      <c r="C67" s="78"/>
      <c r="D67" s="99" t="s">
        <v>307</v>
      </c>
      <c r="E67" s="99"/>
      <c r="F67" s="99"/>
      <c r="G67" s="99"/>
      <c r="H67" s="99"/>
      <c r="J67" s="22"/>
      <c r="K67" s="21"/>
      <c r="N67" s="21"/>
      <c r="S67"/>
    </row>
    <row r="68" spans="1:19" ht="15.75" customHeight="1" x14ac:dyDescent="0.35">
      <c r="A68" s="78" t="s">
        <v>83</v>
      </c>
      <c r="B68" s="78"/>
      <c r="C68" s="78"/>
      <c r="D68" s="156" t="str">
        <f>(IF(G61="NA","60 Years After Completion",IF(G61&lt;&gt;"NA",""&amp;60-ROUNDDOWN((E3-G61)/360,0)&amp;" Years"," ")))</f>
        <v>60 Years After Completion</v>
      </c>
      <c r="E68" s="156"/>
      <c r="F68" s="156"/>
      <c r="G68" s="156"/>
      <c r="H68" s="156"/>
      <c r="N68" s="21"/>
      <c r="S68"/>
    </row>
    <row r="69" spans="1:19" ht="15.75" customHeight="1" x14ac:dyDescent="0.35">
      <c r="A69" s="78" t="s">
        <v>84</v>
      </c>
      <c r="B69" s="78"/>
      <c r="C69" s="78"/>
      <c r="D69" s="99" t="s">
        <v>23</v>
      </c>
      <c r="E69" s="99"/>
      <c r="F69" s="99"/>
      <c r="G69" s="99"/>
      <c r="H69" s="99"/>
      <c r="J69" s="23"/>
      <c r="K69" s="23"/>
      <c r="S69"/>
    </row>
    <row r="70" spans="1:19" ht="35" customHeight="1" x14ac:dyDescent="0.35">
      <c r="A70" s="120" t="s">
        <v>308</v>
      </c>
      <c r="B70" s="120"/>
      <c r="C70" s="120"/>
      <c r="D70" s="110" t="s">
        <v>309</v>
      </c>
      <c r="E70" s="110"/>
      <c r="F70" s="110"/>
      <c r="G70" s="110"/>
      <c r="H70" s="110"/>
      <c r="I70" s="19" t="s">
        <v>340</v>
      </c>
      <c r="S70"/>
    </row>
    <row r="71" spans="1:19" x14ac:dyDescent="0.35">
      <c r="A71" s="99" t="s">
        <v>141</v>
      </c>
      <c r="B71" s="99"/>
      <c r="C71" s="99"/>
      <c r="D71" s="99" t="s">
        <v>28</v>
      </c>
      <c r="E71" s="99"/>
      <c r="F71" s="99"/>
      <c r="G71" s="99"/>
      <c r="H71" s="99"/>
      <c r="I71" s="24"/>
      <c r="J71" s="24"/>
      <c r="K71" s="24"/>
      <c r="L71" s="24"/>
      <c r="M71" s="24"/>
      <c r="N71" s="24"/>
    </row>
    <row r="72" spans="1:19" ht="15.75" customHeight="1" x14ac:dyDescent="0.35">
      <c r="A72" s="78" t="s">
        <v>82</v>
      </c>
      <c r="B72" s="78"/>
      <c r="C72" s="78"/>
      <c r="D72" s="110" t="str">
        <f ca="1">(IF(G78&gt;95%,"Nothing",IF(G78&gt;0%,"Cement, Aggregate, Steel, etc",IF(G78=0%,"Work not yet Started"))))</f>
        <v>Cement, Aggregate, Steel, etc</v>
      </c>
      <c r="E72" s="110"/>
      <c r="F72" s="110"/>
      <c r="G72" s="110"/>
      <c r="H72" s="110"/>
      <c r="J72" s="23"/>
      <c r="S72"/>
    </row>
    <row r="73" spans="1:19" ht="33.75" customHeight="1" thickBot="1" x14ac:dyDescent="0.4">
      <c r="A73" s="99" t="s">
        <v>113</v>
      </c>
      <c r="B73" s="99"/>
      <c r="C73" s="99"/>
      <c r="D73" s="110" t="str">
        <f ca="1">(IF(D72="Nothing","Yes",IF(D72="Cement, Aggregate, Steel, etc","Under Construction",IF(D72="Work not yet Started","Work not yet Started"))))</f>
        <v>Under Construction</v>
      </c>
      <c r="E73" s="110"/>
      <c r="F73" s="110" t="str">
        <f ca="1">(IF(D72="Nothing","Yes",IF(D72="Cement, Aggregate, Steel, etc","Under Construction",IF(D72="Work not yet Started","Work not yet Started"))))</f>
        <v>Under Construction</v>
      </c>
      <c r="G73" s="110"/>
      <c r="H73" s="110"/>
      <c r="S73"/>
    </row>
    <row r="74" spans="1:19" ht="15.75" customHeight="1" x14ac:dyDescent="0.35">
      <c r="A74" s="150" t="s">
        <v>133</v>
      </c>
      <c r="B74" s="150"/>
      <c r="C74" s="151" t="s">
        <v>350</v>
      </c>
      <c r="D74" s="151"/>
      <c r="E74" s="151"/>
      <c r="F74" s="151"/>
      <c r="G74" s="151"/>
      <c r="H74" s="151"/>
      <c r="I74" s="72" t="str">
        <f ca="1">IF(D87=100%,"All work Completed. Possession granted to the Building.",IF(D86=100%,"All work Completed, Waiting for OC",I75&amp;""&amp;I76&amp;""&amp;J75&amp;""&amp;J74&amp;" "&amp;J76))</f>
        <v>Excavation, Plinth Completed, RCC upto 5 Slab, Brickwork upto 3 Floor Completed</v>
      </c>
      <c r="J74" s="58"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Electric work upto "&amp;C85&amp;" Floor","")))&amp;(IF(C86=H75,"",IF(C86&gt;0,", Painting upto "&amp;C86&amp;" Floor","")))&amp;(IF(C87=H75,"",IF(C87&gt;0,", Possession upto "&amp;C87&amp;" Floor","")))</f>
        <v>, RCC upto 5 Slab, Brickwork upto 3 Floor</v>
      </c>
      <c r="S74"/>
    </row>
    <row r="75" spans="1:19" x14ac:dyDescent="0.35">
      <c r="A75" s="59" t="s">
        <v>135</v>
      </c>
      <c r="B75" s="59">
        <v>0</v>
      </c>
      <c r="C75" s="59" t="s">
        <v>68</v>
      </c>
      <c r="D75" s="59">
        <v>1</v>
      </c>
      <c r="E75" s="59" t="s">
        <v>67</v>
      </c>
      <c r="F75" s="59">
        <v>0</v>
      </c>
      <c r="G75" s="59" t="s">
        <v>76</v>
      </c>
      <c r="H75" s="59">
        <f ca="1">--TRIM(RIGHT(SUBSTITUTE(LEFT(C74,_xlfn.AGGREGATE(16,6,FIND({0,1,2,3,4,5,6,7,8,9},C74,ROW(INDIRECT("1:"&amp;LEN(C74)))),1))," ",REPT(" ",LEN(C74))),LEN(C74)))</f>
        <v>7</v>
      </c>
      <c r="I75" s="73" t="str">
        <f ca="1">IF(D78=100%,"Excavation","")&amp;IF(D79=100%,", Plinth","")&amp;IF(D80=100%,", RCC Slab","")&amp;IF(D81=100%,", Brickwork","")&amp;IF(D82=100%,", Internal Plaster","")&amp;IF(D83=100%,", External Plaster","")&amp;IF(D84=100%,", Flooring","")&amp;IF(D85=100%,", Electric work","")&amp;IF(D86=100%,", Painting &amp; Wodden work","")</f>
        <v>Excavation, Plinth</v>
      </c>
      <c r="J75" s="60"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4.5" customHeight="1" x14ac:dyDescent="0.35">
      <c r="A76" s="80" t="s">
        <v>86</v>
      </c>
      <c r="B76" s="80"/>
      <c r="C76" s="151" t="str">
        <f ca="1">I74</f>
        <v>Excavation, Plinth Completed, RCC upto 5 Slab, Brickwork upto 3 Floor Completed</v>
      </c>
      <c r="D76" s="151"/>
      <c r="E76" s="151"/>
      <c r="F76" s="151"/>
      <c r="G76" s="151"/>
      <c r="H76" s="151"/>
      <c r="I76" s="73" t="str">
        <f ca="1">IF(I75&lt;&gt;""," Completed","")</f>
        <v xml:space="preserve"> Completed</v>
      </c>
      <c r="J76" s="60" t="str">
        <f ca="1">IF(J74&lt;&gt;"","Completed","")</f>
        <v>Completed</v>
      </c>
      <c r="S76"/>
    </row>
    <row r="77" spans="1:19" ht="15.75" customHeight="1" x14ac:dyDescent="0.35">
      <c r="A77" s="81" t="s">
        <v>47</v>
      </c>
      <c r="B77" s="81"/>
      <c r="C77" s="77" t="s">
        <v>132</v>
      </c>
      <c r="D77" s="77" t="s">
        <v>79</v>
      </c>
      <c r="E77" s="81" t="s">
        <v>81</v>
      </c>
      <c r="F77" s="81"/>
      <c r="G77" s="81" t="s">
        <v>80</v>
      </c>
      <c r="H77" s="81"/>
      <c r="I77" s="61" t="s">
        <v>134</v>
      </c>
      <c r="J77" s="25">
        <f ca="1">H75*25%</f>
        <v>1.75</v>
      </c>
      <c r="S77"/>
    </row>
    <row r="78" spans="1:19" x14ac:dyDescent="0.35">
      <c r="A78" s="81" t="s">
        <v>123</v>
      </c>
      <c r="B78" s="81"/>
      <c r="C78" s="77">
        <f ca="1">J79</f>
        <v>7</v>
      </c>
      <c r="D78" s="62">
        <f ca="1">((100/H75)*C78)/100</f>
        <v>1</v>
      </c>
      <c r="E78" s="204">
        <f ca="1">(((C79/H75*10)+(50/(D75+F75+H75)*C80)+(5/(H75)*C81)+(5/(H75)*C82)+(5/H75*C83)+(10/H75*C84)+(5/H75*C85)+(5/H75*C86)+(5/H75*C87))/100)</f>
        <v>0.43392857142857144</v>
      </c>
      <c r="F78" s="204"/>
      <c r="G78" s="204">
        <f ca="1">((((C78/H75)*20)+((C79/H75)*25)+(30/(H75+F75+D75)*C80)+(5/H75*C81)+(5/H75*C82)+(5/H75*C83)+(5/H75*C84)+(0/H75*C85)+(5/H75*C86)+(0/H75*C87))/100)</f>
        <v>0.65892857142857142</v>
      </c>
      <c r="H78" s="204"/>
      <c r="I78" s="61" t="s">
        <v>95</v>
      </c>
      <c r="J78" s="63">
        <f ca="1">H75*50%</f>
        <v>3.5</v>
      </c>
    </row>
    <row r="79" spans="1:19" x14ac:dyDescent="0.35">
      <c r="A79" s="81" t="s">
        <v>48</v>
      </c>
      <c r="B79" s="81"/>
      <c r="C79" s="70">
        <f ca="1">J87</f>
        <v>7</v>
      </c>
      <c r="D79" s="62">
        <f ca="1">((100/H75)*C79)/100</f>
        <v>1</v>
      </c>
      <c r="E79" s="204"/>
      <c r="F79" s="204"/>
      <c r="G79" s="204"/>
      <c r="H79" s="204"/>
      <c r="I79" s="61" t="s">
        <v>96</v>
      </c>
      <c r="J79" s="63">
        <f ca="1">H75</f>
        <v>7</v>
      </c>
      <c r="S79"/>
    </row>
    <row r="80" spans="1:19" ht="15.75" customHeight="1" x14ac:dyDescent="0.35">
      <c r="A80" s="81" t="s">
        <v>124</v>
      </c>
      <c r="B80" s="81"/>
      <c r="C80" s="77">
        <v>5</v>
      </c>
      <c r="D80" s="62">
        <f ca="1">((100/(D75+F75+H75))*C80)/100</f>
        <v>0.625</v>
      </c>
      <c r="E80" s="204"/>
      <c r="F80" s="204"/>
      <c r="G80" s="204"/>
      <c r="H80" s="204"/>
      <c r="I80" s="61" t="s">
        <v>97</v>
      </c>
      <c r="J80" s="64">
        <f ca="1">(IF(B75&gt;1,(H75/(B75+2)),H75/4))</f>
        <v>1.75</v>
      </c>
      <c r="S80"/>
    </row>
    <row r="81" spans="1:10" ht="15.75" customHeight="1" x14ac:dyDescent="0.35">
      <c r="A81" s="81" t="s">
        <v>129</v>
      </c>
      <c r="B81" s="81" t="s">
        <v>125</v>
      </c>
      <c r="C81" s="77">
        <v>3</v>
      </c>
      <c r="D81" s="62">
        <f ca="1">((100/H75)*C81)/100</f>
        <v>0.4285714285714286</v>
      </c>
      <c r="E81" s="204"/>
      <c r="F81" s="204"/>
      <c r="G81" s="204"/>
      <c r="H81" s="204"/>
      <c r="I81" s="61" t="s">
        <v>98</v>
      </c>
      <c r="J81" s="64">
        <f ca="1">(IF(B75&gt;1,(H75/(B75+2)+J80),H75/4+J80))</f>
        <v>3.5</v>
      </c>
    </row>
    <row r="82" spans="1:10" ht="15.75" customHeight="1" x14ac:dyDescent="0.35">
      <c r="A82" s="81" t="s">
        <v>130</v>
      </c>
      <c r="B82" s="81" t="s">
        <v>125</v>
      </c>
      <c r="C82" s="77">
        <v>0</v>
      </c>
      <c r="D82" s="62">
        <f ca="1">((100/H75)*C82)/100</f>
        <v>0</v>
      </c>
      <c r="E82" s="204"/>
      <c r="F82" s="204"/>
      <c r="G82" s="204"/>
      <c r="H82" s="204"/>
      <c r="I82" s="61" t="s">
        <v>139</v>
      </c>
      <c r="J82" s="64">
        <f>(IF(B75&gt;1,(H75/(B75+2)+J81),0))</f>
        <v>0</v>
      </c>
    </row>
    <row r="83" spans="1:10" ht="15" customHeight="1" x14ac:dyDescent="0.35">
      <c r="A83" s="81" t="s">
        <v>295</v>
      </c>
      <c r="B83" s="81" t="s">
        <v>127</v>
      </c>
      <c r="C83" s="77">
        <v>0</v>
      </c>
      <c r="D83" s="62">
        <f ca="1">((100/(H75))*C83)/100</f>
        <v>0</v>
      </c>
      <c r="E83" s="204"/>
      <c r="F83" s="204"/>
      <c r="G83" s="204"/>
      <c r="H83" s="204"/>
      <c r="I83" s="61" t="s">
        <v>136</v>
      </c>
      <c r="J83" s="64">
        <f>(IF(B75&gt;2,(H75/(B75+2)+J82),0))</f>
        <v>0</v>
      </c>
    </row>
    <row r="84" spans="1:10" ht="15.75" customHeight="1" x14ac:dyDescent="0.35">
      <c r="A84" s="81" t="s">
        <v>126</v>
      </c>
      <c r="B84" s="81" t="s">
        <v>126</v>
      </c>
      <c r="C84" s="77">
        <v>0</v>
      </c>
      <c r="D84" s="62">
        <f ca="1">((100/H75)*C84)/100</f>
        <v>0</v>
      </c>
      <c r="E84" s="204"/>
      <c r="F84" s="204"/>
      <c r="G84" s="204"/>
      <c r="H84" s="204"/>
      <c r="I84" s="61" t="s">
        <v>137</v>
      </c>
      <c r="J84" s="65">
        <f>(IF(B75&gt;3,(H75/(B75+2)+J83),0))</f>
        <v>0</v>
      </c>
    </row>
    <row r="85" spans="1:10" ht="15.75" customHeight="1" x14ac:dyDescent="0.35">
      <c r="A85" s="81" t="s">
        <v>296</v>
      </c>
      <c r="B85" s="81"/>
      <c r="C85" s="77">
        <v>0</v>
      </c>
      <c r="D85" s="62">
        <f ca="1">((100/H75)*C85)/100</f>
        <v>0</v>
      </c>
      <c r="E85" s="204"/>
      <c r="F85" s="204"/>
      <c r="G85" s="204"/>
      <c r="H85" s="204"/>
      <c r="I85" s="61" t="s">
        <v>138</v>
      </c>
      <c r="J85" s="64">
        <f>(IF(B75&gt;4,(H75/(B75+2)+J84),0))</f>
        <v>0</v>
      </c>
    </row>
    <row r="86" spans="1:10" ht="15.75" customHeight="1" x14ac:dyDescent="0.35">
      <c r="A86" s="81" t="s">
        <v>131</v>
      </c>
      <c r="B86" s="81"/>
      <c r="C86" s="77">
        <v>0</v>
      </c>
      <c r="D86" s="62">
        <f ca="1">((100/(H75))*C86)/100</f>
        <v>0</v>
      </c>
      <c r="E86" s="204"/>
      <c r="F86" s="204"/>
      <c r="G86" s="204"/>
      <c r="H86" s="204"/>
      <c r="I86" s="61" t="s">
        <v>140</v>
      </c>
      <c r="J86" s="64">
        <f ca="1">(IF(B75=1,(H75/(B75+3)+J81),IF(B75=0,(H75/4+J81),IF(B75&gt;1,0))))</f>
        <v>5.25</v>
      </c>
    </row>
    <row r="87" spans="1:10" ht="16" thickBot="1" x14ac:dyDescent="0.4">
      <c r="A87" s="81" t="s">
        <v>128</v>
      </c>
      <c r="B87" s="81"/>
      <c r="C87" s="77">
        <v>0</v>
      </c>
      <c r="D87" s="62">
        <f ca="1">((100/(H75))*C87)/100</f>
        <v>0</v>
      </c>
      <c r="E87" s="204"/>
      <c r="F87" s="204"/>
      <c r="G87" s="204"/>
      <c r="H87" s="204"/>
      <c r="I87" s="66" t="s">
        <v>99</v>
      </c>
      <c r="J87" s="67">
        <f ca="1">(IF(B75&gt;1.5,(H75/(B75+2)+J81+MAX(0,J82-J81)+MAX(0,J83-J82)+MAX(0,J84-J83)+MAX(0,J85-J84)+MAX(0,J86-J85)),IF(B75=1,(H75/(B75+3)+J86),IF(B75=0,H75/4+J86))))</f>
        <v>7</v>
      </c>
    </row>
    <row r="88" spans="1:10" ht="15.75" customHeight="1" x14ac:dyDescent="0.35">
      <c r="A88" s="199" t="s">
        <v>133</v>
      </c>
      <c r="B88" s="200"/>
      <c r="C88" s="201" t="s">
        <v>351</v>
      </c>
      <c r="D88" s="202"/>
      <c r="E88" s="202"/>
      <c r="F88" s="202"/>
      <c r="G88" s="202"/>
      <c r="H88" s="203"/>
      <c r="I88" s="41" t="str">
        <f ca="1">IF(D101=100%,"All work Completed. Possession granted to the Building.",IF(D100=100%,"All work Completed, Waiting for OC",I89&amp;""&amp;I90&amp;""&amp;J89&amp;""&amp;J88&amp;" "&amp;J90))</f>
        <v>Excavation, Plinth, RCC Slab, Brickwork Completed, Internal Plaster upto 1 Floor, External Plaster upto 2 Floor Completed</v>
      </c>
      <c r="J88" s="42"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Electric work upto "&amp;C99&amp;" Floor","")))&amp;(IF(C100=H89,"",IF(C100&gt;0,", Painting upto "&amp;C100&amp;" Floor","")))&amp;(IF(C101=H89,"",IF(C101&gt;0,", Possession upto "&amp;C101&amp;" Floor","")))</f>
        <v>, Internal Plaster upto 1 Floor, External Plaster upto 2 Floor</v>
      </c>
    </row>
    <row r="89" spans="1:10" x14ac:dyDescent="0.35">
      <c r="A89" s="15" t="s">
        <v>135</v>
      </c>
      <c r="B89" s="45">
        <v>0</v>
      </c>
      <c r="C89" s="45" t="s">
        <v>68</v>
      </c>
      <c r="D89" s="45">
        <v>1</v>
      </c>
      <c r="E89" s="45" t="s">
        <v>67</v>
      </c>
      <c r="F89" s="45">
        <v>0</v>
      </c>
      <c r="G89" s="45" t="s">
        <v>76</v>
      </c>
      <c r="H89" s="16">
        <f ca="1">--TRIM(RIGHT(SUBSTITUTE(LEFT(C88,_xlfn.AGGREGATE(16,6,FIND({0,1,2,3,4,5,6,7,8,9},C88,ROW(INDIRECT("1:"&amp;LEN(C88)))),1))," ",REPT(" ",LEN(C88))),LEN(C88)))</f>
        <v>7</v>
      </c>
      <c r="I89" s="43" t="str">
        <f ca="1">IF(D92=100%,"Excavation","")&amp;IF(D93=100%,", Plinth","")&amp;IF(D94=100%,", RCC Slab","")&amp;IF(D95=100%,", Brickwork","")&amp;IF(D96=100%,", Internal Plaster","")&amp;IF(D97=100%,", External Plaster","")&amp;IF(D98=100%,", Flooring","")&amp;IF(D99=100%,", Electric work","")&amp;IF(D100=100%,", Painting &amp; Wodden work","")</f>
        <v>Excavation, Plinth, RCC Slab, Brickwork</v>
      </c>
      <c r="J89" s="44"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0.5" customHeight="1" x14ac:dyDescent="0.35">
      <c r="A90" s="189" t="s">
        <v>86</v>
      </c>
      <c r="B90" s="170"/>
      <c r="C90" s="190" t="str">
        <f ca="1">I88</f>
        <v>Excavation, Plinth, RCC Slab, Brickwork Completed, Internal Plaster upto 1 Floor, External Plaster upto 2 Floor Completed</v>
      </c>
      <c r="D90" s="190"/>
      <c r="E90" s="190"/>
      <c r="F90" s="190"/>
      <c r="G90" s="190"/>
      <c r="H90" s="191"/>
      <c r="I90" s="43" t="str">
        <f ca="1">IF(I89&lt;&gt;""," Completed","")</f>
        <v xml:space="preserve"> Completed</v>
      </c>
      <c r="J90" s="44" t="str">
        <f ca="1">IF(J88&lt;&gt;"","Completed","")</f>
        <v>Completed</v>
      </c>
    </row>
    <row r="91" spans="1:10" ht="15.75" customHeight="1" x14ac:dyDescent="0.35">
      <c r="A91" s="97" t="s">
        <v>47</v>
      </c>
      <c r="B91" s="98"/>
      <c r="C91" s="52" t="s">
        <v>132</v>
      </c>
      <c r="D91" s="52" t="s">
        <v>79</v>
      </c>
      <c r="E91" s="98" t="s">
        <v>81</v>
      </c>
      <c r="F91" s="98"/>
      <c r="G91" s="98" t="s">
        <v>80</v>
      </c>
      <c r="H91" s="153"/>
      <c r="I91" s="13" t="s">
        <v>134</v>
      </c>
      <c r="J91" s="25">
        <f ca="1">H89*25%</f>
        <v>1.75</v>
      </c>
    </row>
    <row r="92" spans="1:10" x14ac:dyDescent="0.35">
      <c r="A92" s="97" t="s">
        <v>123</v>
      </c>
      <c r="B92" s="98"/>
      <c r="C92" s="52">
        <f ca="1">J93</f>
        <v>7</v>
      </c>
      <c r="D92" s="53">
        <f ca="1">((100/H89)*C92)/100</f>
        <v>1</v>
      </c>
      <c r="E92" s="111">
        <f ca="1">(((C93/H89*10)+(50/(D89+F89+H89)*C94)+(5/(H89)*C95)+(5/(H89)*C96)+(5/H89*C97)+(10/H89*C98)+(5/H89*C99)+(5/H89*C100)+(5/H89*C101))/100)</f>
        <v>0.67142857142857137</v>
      </c>
      <c r="F92" s="117"/>
      <c r="G92" s="111">
        <f ca="1">((((C92/H89)*20)+((C93/H89)*25)+(30/(H89+F89+D89)*C94)+(5/H89*C95)+(5/H89*C96)+(5/H89*C97)+(5/H89*C98)+(0/H89*C99)+(5/H89*C100)+(0/H89*C101))/100)</f>
        <v>0.8214285714285714</v>
      </c>
      <c r="H92" s="112"/>
      <c r="I92" s="13" t="s">
        <v>95</v>
      </c>
      <c r="J92" s="26">
        <f ca="1">H89*50%</f>
        <v>3.5</v>
      </c>
    </row>
    <row r="93" spans="1:10" x14ac:dyDescent="0.35">
      <c r="A93" s="97" t="s">
        <v>48</v>
      </c>
      <c r="B93" s="98"/>
      <c r="C93" s="71">
        <f ca="1">J101</f>
        <v>7</v>
      </c>
      <c r="D93" s="53">
        <f ca="1">((100/H89)*C93)/100</f>
        <v>1</v>
      </c>
      <c r="E93" s="113"/>
      <c r="F93" s="118"/>
      <c r="G93" s="113"/>
      <c r="H93" s="114"/>
      <c r="I93" s="13" t="s">
        <v>96</v>
      </c>
      <c r="J93" s="26">
        <f ca="1">H89</f>
        <v>7</v>
      </c>
    </row>
    <row r="94" spans="1:10" ht="15.75" customHeight="1" x14ac:dyDescent="0.35">
      <c r="A94" s="97" t="s">
        <v>124</v>
      </c>
      <c r="B94" s="98"/>
      <c r="C94" s="52">
        <v>8</v>
      </c>
      <c r="D94" s="53">
        <f ca="1">((100/(D89+F89+H89))*C94)/100</f>
        <v>1</v>
      </c>
      <c r="E94" s="113"/>
      <c r="F94" s="118"/>
      <c r="G94" s="113"/>
      <c r="H94" s="114"/>
      <c r="I94" s="13" t="s">
        <v>97</v>
      </c>
      <c r="J94" s="27">
        <f ca="1">(IF(B89&gt;1,(H89/(B89+2)),H89/4))</f>
        <v>1.75</v>
      </c>
    </row>
    <row r="95" spans="1:10" ht="15.75" customHeight="1" x14ac:dyDescent="0.35">
      <c r="A95" s="97" t="s">
        <v>129</v>
      </c>
      <c r="B95" s="98" t="s">
        <v>125</v>
      </c>
      <c r="C95" s="52">
        <v>7</v>
      </c>
      <c r="D95" s="53">
        <f ca="1">((100/H89)*C95)/100</f>
        <v>1</v>
      </c>
      <c r="E95" s="113"/>
      <c r="F95" s="118"/>
      <c r="G95" s="113"/>
      <c r="H95" s="114"/>
      <c r="I95" s="13" t="s">
        <v>98</v>
      </c>
      <c r="J95" s="27">
        <f ca="1">(IF(B89&gt;1,(H89/(B89+2)+J94),H89/4+J94))</f>
        <v>3.5</v>
      </c>
    </row>
    <row r="96" spans="1:10" ht="15.75" customHeight="1" x14ac:dyDescent="0.35">
      <c r="A96" s="97" t="s">
        <v>130</v>
      </c>
      <c r="B96" s="98" t="s">
        <v>125</v>
      </c>
      <c r="C96" s="52">
        <v>1</v>
      </c>
      <c r="D96" s="53">
        <f ca="1">((100/H89)*C96)/100</f>
        <v>0.14285714285714288</v>
      </c>
      <c r="E96" s="113"/>
      <c r="F96" s="118"/>
      <c r="G96" s="113"/>
      <c r="H96" s="114"/>
      <c r="I96" s="13" t="s">
        <v>139</v>
      </c>
      <c r="J96" s="27">
        <f>(IF(B89&gt;1,(H89/(B89+2)+J95),0))</f>
        <v>0</v>
      </c>
    </row>
    <row r="97" spans="1:22" ht="15" customHeight="1" x14ac:dyDescent="0.35">
      <c r="A97" s="97" t="s">
        <v>295</v>
      </c>
      <c r="B97" s="98" t="s">
        <v>127</v>
      </c>
      <c r="C97" s="52">
        <v>2</v>
      </c>
      <c r="D97" s="53">
        <f ca="1">((100/(H89))*C97)/100</f>
        <v>0.28571428571428575</v>
      </c>
      <c r="E97" s="113"/>
      <c r="F97" s="118"/>
      <c r="G97" s="113"/>
      <c r="H97" s="114"/>
      <c r="I97" s="13" t="s">
        <v>136</v>
      </c>
      <c r="J97" s="27">
        <f>(IF(B89&gt;2,(H89/(B89+2)+J96),0))</f>
        <v>0</v>
      </c>
    </row>
    <row r="98" spans="1:22" ht="15.75" customHeight="1" x14ac:dyDescent="0.35">
      <c r="A98" s="97" t="s">
        <v>126</v>
      </c>
      <c r="B98" s="98" t="s">
        <v>126</v>
      </c>
      <c r="C98" s="52">
        <v>0</v>
      </c>
      <c r="D98" s="53">
        <f ca="1">((100/H89)*C98)/100</f>
        <v>0</v>
      </c>
      <c r="E98" s="113"/>
      <c r="F98" s="118"/>
      <c r="G98" s="113"/>
      <c r="H98" s="114"/>
      <c r="I98" s="13" t="s">
        <v>137</v>
      </c>
      <c r="J98" s="28">
        <f>(IF(B89&gt;3,(H89/(B89+2)+J97),0))</f>
        <v>0</v>
      </c>
    </row>
    <row r="99" spans="1:22" ht="15.75" customHeight="1" x14ac:dyDescent="0.35">
      <c r="A99" s="97" t="s">
        <v>296</v>
      </c>
      <c r="B99" s="98"/>
      <c r="C99" s="52">
        <v>0</v>
      </c>
      <c r="D99" s="53">
        <f ca="1">((100/H89)*C99)/100</f>
        <v>0</v>
      </c>
      <c r="E99" s="113"/>
      <c r="F99" s="118"/>
      <c r="G99" s="113"/>
      <c r="H99" s="114"/>
      <c r="I99" s="13" t="s">
        <v>138</v>
      </c>
      <c r="J99" s="27">
        <f>(IF(B89&gt;4,(H89/(B89+2)+J98),0))</f>
        <v>0</v>
      </c>
    </row>
    <row r="100" spans="1:22" ht="15.75" customHeight="1" x14ac:dyDescent="0.35">
      <c r="A100" s="97" t="s">
        <v>131</v>
      </c>
      <c r="B100" s="98"/>
      <c r="C100" s="52">
        <v>0</v>
      </c>
      <c r="D100" s="53">
        <f ca="1">((100/(H89))*C100)/100</f>
        <v>0</v>
      </c>
      <c r="E100" s="113"/>
      <c r="F100" s="118"/>
      <c r="G100" s="113"/>
      <c r="H100" s="114"/>
      <c r="I100" s="13" t="s">
        <v>140</v>
      </c>
      <c r="J100" s="27">
        <f ca="1">(IF(B89=1,(H89/(B89+3)+J95),IF(B89=0,(H89/4+J95),IF(B89&gt;1,0))))</f>
        <v>5.25</v>
      </c>
    </row>
    <row r="101" spans="1:22" ht="16" thickBot="1" x14ac:dyDescent="0.4">
      <c r="A101" s="187" t="s">
        <v>128</v>
      </c>
      <c r="B101" s="188"/>
      <c r="C101" s="54">
        <v>0</v>
      </c>
      <c r="D101" s="55">
        <f ca="1">((100/(H89))*C101)/100</f>
        <v>0</v>
      </c>
      <c r="E101" s="115"/>
      <c r="F101" s="119"/>
      <c r="G101" s="115"/>
      <c r="H101" s="116"/>
      <c r="I101" s="14" t="s">
        <v>99</v>
      </c>
      <c r="J101" s="29">
        <f ca="1">(IF(B89&gt;1.5,(H89/(B89+2)+J95+MAX(0,J96-J95)+MAX(0,J97-J96)+MAX(0,J98-J97)+MAX(0,J99-J98)+MAX(0,J100-J99)),IF(B89=1,(H89/(B89+3)+J100),IF(B89=0,H89/4+J100))))</f>
        <v>7</v>
      </c>
    </row>
    <row r="102" spans="1:22" s="32" customFormat="1" ht="15.75" customHeight="1" x14ac:dyDescent="0.35">
      <c r="A102" s="185" t="s">
        <v>150</v>
      </c>
      <c r="B102" s="185"/>
      <c r="C102" s="185"/>
      <c r="D102" s="185"/>
      <c r="E102" s="185"/>
      <c r="F102" s="186" t="s">
        <v>154</v>
      </c>
      <c r="G102" s="186"/>
      <c r="H102" s="186"/>
      <c r="I102" s="18"/>
      <c r="J102" s="18"/>
      <c r="R102"/>
      <c r="S102" s="18"/>
      <c r="T102"/>
      <c r="U102" s="18"/>
      <c r="V102" s="18"/>
    </row>
    <row r="103" spans="1:22" s="32" customFormat="1" x14ac:dyDescent="0.35">
      <c r="A103" s="78" t="s">
        <v>152</v>
      </c>
      <c r="B103" s="78"/>
      <c r="C103" s="78"/>
      <c r="D103" s="78"/>
      <c r="E103" s="78"/>
      <c r="F103" s="184">
        <v>3350</v>
      </c>
      <c r="G103" s="184"/>
      <c r="H103" s="184"/>
      <c r="I103" s="18" t="s">
        <v>346</v>
      </c>
      <c r="J103" s="18" t="s">
        <v>348</v>
      </c>
      <c r="R103"/>
      <c r="S103" s="18"/>
      <c r="T103"/>
      <c r="U103" s="18"/>
      <c r="V103" s="18"/>
    </row>
    <row r="104" spans="1:22" s="32" customFormat="1" hidden="1" x14ac:dyDescent="0.35">
      <c r="A104" s="78" t="s">
        <v>151</v>
      </c>
      <c r="B104" s="78"/>
      <c r="C104" s="78"/>
      <c r="D104" s="78"/>
      <c r="E104" s="78"/>
      <c r="F104" s="184"/>
      <c r="G104" s="184"/>
      <c r="H104" s="184"/>
      <c r="I104" s="18"/>
      <c r="J104" s="18"/>
      <c r="R104"/>
      <c r="S104" s="18"/>
      <c r="T104"/>
      <c r="U104" s="18"/>
      <c r="V104" s="18"/>
    </row>
    <row r="105" spans="1:22" s="32" customFormat="1" hidden="1" x14ac:dyDescent="0.35">
      <c r="A105" s="78" t="s">
        <v>153</v>
      </c>
      <c r="B105" s="78"/>
      <c r="C105" s="78"/>
      <c r="D105" s="78"/>
      <c r="E105" s="78"/>
      <c r="F105" s="184"/>
      <c r="G105" s="184"/>
      <c r="H105" s="184"/>
      <c r="I105" s="18"/>
      <c r="J105" s="18"/>
      <c r="R105"/>
      <c r="S105" s="18"/>
      <c r="T105"/>
      <c r="U105" s="18"/>
      <c r="V105" s="18"/>
    </row>
    <row r="106" spans="1:22" s="32" customFormat="1" hidden="1" x14ac:dyDescent="0.35">
      <c r="A106" s="78" t="s">
        <v>168</v>
      </c>
      <c r="B106" s="78"/>
      <c r="C106" s="78"/>
      <c r="D106" s="78"/>
      <c r="E106" s="78"/>
      <c r="F106" s="184"/>
      <c r="G106" s="184"/>
      <c r="H106" s="184"/>
      <c r="I106" s="30"/>
      <c r="J106" s="30"/>
      <c r="T106"/>
    </row>
    <row r="107" spans="1:22" s="32" customFormat="1" ht="15.75" hidden="1" customHeight="1" x14ac:dyDescent="0.35">
      <c r="A107" s="78" t="s">
        <v>90</v>
      </c>
      <c r="B107" s="78"/>
      <c r="C107" s="78"/>
      <c r="D107" s="78"/>
      <c r="E107" s="78"/>
      <c r="F107" s="184"/>
      <c r="G107" s="184"/>
      <c r="H107" s="184"/>
      <c r="I107" s="30"/>
      <c r="J107" s="30"/>
      <c r="T107"/>
    </row>
    <row r="108" spans="1:22" s="32" customFormat="1" hidden="1" x14ac:dyDescent="0.35">
      <c r="A108" s="78" t="s">
        <v>91</v>
      </c>
      <c r="B108" s="78"/>
      <c r="C108" s="78"/>
      <c r="D108" s="78"/>
      <c r="E108" s="78"/>
      <c r="F108" s="184"/>
      <c r="G108" s="184"/>
      <c r="H108" s="184"/>
      <c r="I108" s="30"/>
      <c r="J108" s="30"/>
      <c r="T108"/>
    </row>
    <row r="109" spans="1:22" s="32" customFormat="1" hidden="1" x14ac:dyDescent="0.3">
      <c r="A109" s="78" t="s">
        <v>92</v>
      </c>
      <c r="B109" s="78"/>
      <c r="C109" s="78"/>
      <c r="D109" s="78"/>
      <c r="E109" s="78"/>
      <c r="F109" s="184"/>
      <c r="G109" s="184"/>
      <c r="H109" s="184"/>
      <c r="I109" s="30"/>
      <c r="J109" s="30"/>
    </row>
    <row r="110" spans="1:22" s="32" customFormat="1" hidden="1" x14ac:dyDescent="0.3">
      <c r="A110" s="78" t="s">
        <v>93</v>
      </c>
      <c r="B110" s="78"/>
      <c r="C110" s="78"/>
      <c r="D110" s="78"/>
      <c r="E110" s="78"/>
      <c r="F110" s="184"/>
      <c r="G110" s="184"/>
      <c r="H110" s="184"/>
      <c r="I110" s="30"/>
      <c r="J110" s="30"/>
    </row>
    <row r="111" spans="1:22" s="32" customFormat="1" ht="34.5" customHeight="1" x14ac:dyDescent="0.3">
      <c r="A111" s="99" t="s">
        <v>345</v>
      </c>
      <c r="B111" s="99"/>
      <c r="C111" s="99"/>
      <c r="D111" s="99"/>
      <c r="E111" s="99"/>
      <c r="F111" s="184">
        <v>125000</v>
      </c>
      <c r="G111" s="184"/>
      <c r="H111" s="184"/>
      <c r="I111" s="30"/>
      <c r="J111" s="30"/>
    </row>
    <row r="112" spans="1:22" s="31" customFormat="1" hidden="1" x14ac:dyDescent="0.35">
      <c r="A112" s="78" t="s">
        <v>94</v>
      </c>
      <c r="B112" s="78"/>
      <c r="C112" s="78"/>
      <c r="D112" s="78"/>
      <c r="E112" s="78"/>
      <c r="F112" s="184"/>
      <c r="G112" s="184"/>
      <c r="H112" s="184"/>
      <c r="I112" s="30"/>
      <c r="J112" s="30"/>
      <c r="T112" s="32"/>
    </row>
    <row r="113" spans="1:20" x14ac:dyDescent="0.35">
      <c r="A113" s="78" t="s">
        <v>49</v>
      </c>
      <c r="B113" s="78"/>
      <c r="C113" s="78"/>
      <c r="D113" s="78"/>
      <c r="E113" s="78"/>
      <c r="F113" s="184">
        <v>100000</v>
      </c>
      <c r="G113" s="184"/>
      <c r="H113" s="184"/>
      <c r="T113" s="32"/>
    </row>
    <row r="114" spans="1:20" x14ac:dyDescent="0.35">
      <c r="A114" s="79" t="s">
        <v>50</v>
      </c>
      <c r="B114" s="79"/>
      <c r="C114" s="79"/>
      <c r="D114" s="79"/>
      <c r="E114" s="79"/>
      <c r="F114" s="184">
        <f>F103*0.8</f>
        <v>2680</v>
      </c>
      <c r="G114" s="184"/>
      <c r="H114" s="184"/>
      <c r="I114" s="31"/>
      <c r="J114" s="31"/>
      <c r="T114" s="32"/>
    </row>
    <row r="115" spans="1:20" s="34" customFormat="1" hidden="1" x14ac:dyDescent="0.35">
      <c r="A115" s="152" t="s">
        <v>71</v>
      </c>
      <c r="B115" s="152"/>
      <c r="C115" s="152"/>
      <c r="D115" s="152"/>
      <c r="E115" s="152"/>
      <c r="F115" s="152"/>
      <c r="G115" s="152"/>
      <c r="H115" s="152"/>
      <c r="I115" s="32"/>
      <c r="J115" s="32"/>
      <c r="T115" s="31"/>
    </row>
    <row r="116" spans="1:20" s="34" customFormat="1" hidden="1" x14ac:dyDescent="0.35">
      <c r="A116" s="83" t="s">
        <v>51</v>
      </c>
      <c r="B116" s="83"/>
      <c r="C116" s="86" t="s">
        <v>74</v>
      </c>
      <c r="D116" s="86"/>
      <c r="E116" s="87" t="s">
        <v>52</v>
      </c>
      <c r="F116" s="87"/>
      <c r="G116" s="83" t="s">
        <v>53</v>
      </c>
      <c r="H116" s="83"/>
      <c r="I116" s="32"/>
      <c r="J116" s="32"/>
      <c r="T116" s="18"/>
    </row>
    <row r="117" spans="1:20" s="34" customFormat="1" ht="15.75" hidden="1" customHeight="1" x14ac:dyDescent="0.35">
      <c r="A117" s="94"/>
      <c r="B117" s="56"/>
      <c r="C117" s="88"/>
      <c r="D117" s="88"/>
      <c r="E117" s="85"/>
      <c r="F117" s="85"/>
      <c r="G117" s="85"/>
      <c r="H117" s="85"/>
      <c r="I117" s="32"/>
      <c r="J117" s="32"/>
      <c r="L117" s="121"/>
      <c r="M117" s="121"/>
      <c r="N117" s="33"/>
      <c r="T117" s="18"/>
    </row>
    <row r="118" spans="1:20" s="34" customFormat="1" ht="15.75" hidden="1" customHeight="1" x14ac:dyDescent="0.35">
      <c r="A118" s="95"/>
      <c r="B118" s="56"/>
      <c r="C118" s="88"/>
      <c r="D118" s="88"/>
      <c r="E118" s="85"/>
      <c r="F118" s="85"/>
      <c r="G118" s="85"/>
      <c r="H118" s="85"/>
      <c r="I118" s="32"/>
      <c r="J118" s="32"/>
      <c r="L118" s="121"/>
      <c r="M118" s="121"/>
      <c r="N118" s="33"/>
    </row>
    <row r="119" spans="1:20" s="34" customFormat="1" ht="15.75" hidden="1" customHeight="1" x14ac:dyDescent="0.35">
      <c r="A119" s="152" t="s">
        <v>143</v>
      </c>
      <c r="B119" s="152"/>
      <c r="C119" s="86"/>
      <c r="D119" s="86"/>
      <c r="E119" s="87"/>
      <c r="F119" s="87"/>
      <c r="G119" s="83"/>
      <c r="H119" s="83"/>
      <c r="I119" s="32"/>
      <c r="J119" s="32"/>
      <c r="L119" s="121"/>
      <c r="M119" s="121"/>
      <c r="N119" s="33"/>
    </row>
    <row r="120" spans="1:20" s="34" customFormat="1" ht="15.75" customHeight="1" x14ac:dyDescent="0.35">
      <c r="A120" s="152" t="s">
        <v>323</v>
      </c>
      <c r="B120" s="152"/>
      <c r="C120" s="152"/>
      <c r="D120" s="152"/>
      <c r="E120" s="152"/>
      <c r="F120" s="152"/>
      <c r="G120" s="152"/>
      <c r="H120" s="152"/>
      <c r="I120" s="32"/>
      <c r="J120" s="32"/>
      <c r="L120" s="121"/>
      <c r="M120" s="121"/>
      <c r="N120" s="33"/>
    </row>
    <row r="121" spans="1:20" s="34" customFormat="1" x14ac:dyDescent="0.35">
      <c r="A121" s="83" t="s">
        <v>51</v>
      </c>
      <c r="B121" s="83"/>
      <c r="C121" s="86" t="s">
        <v>74</v>
      </c>
      <c r="D121" s="86"/>
      <c r="E121" s="87" t="s">
        <v>52</v>
      </c>
      <c r="F121" s="87"/>
      <c r="G121" s="83" t="s">
        <v>53</v>
      </c>
      <c r="H121" s="83"/>
      <c r="I121" s="32"/>
      <c r="J121" s="32"/>
      <c r="N121" s="33"/>
    </row>
    <row r="122" spans="1:20" x14ac:dyDescent="0.35">
      <c r="A122" s="94" t="s">
        <v>311</v>
      </c>
      <c r="B122" s="56" t="s">
        <v>319</v>
      </c>
      <c r="C122" s="84">
        <f>COUNT(F141:F142,F144:F145)+COUNT(F148:F153)*7</f>
        <v>46</v>
      </c>
      <c r="D122" s="84"/>
      <c r="E122" s="85">
        <f>SUM(F141:F142,F144:F145)+SUM(F148:F153)*7</f>
        <v>19057.150709999994</v>
      </c>
      <c r="F122" s="85"/>
      <c r="G122" s="85">
        <f>SUM(H141:H142,H144:H145)+SUM(H148:H153)*7</f>
        <v>27632.868529499992</v>
      </c>
      <c r="H122" s="85"/>
      <c r="I122" s="32"/>
      <c r="J122" s="32"/>
      <c r="T122" s="34"/>
    </row>
    <row r="123" spans="1:20" s="34" customFormat="1" x14ac:dyDescent="0.35">
      <c r="A123" s="95"/>
      <c r="B123" s="56" t="s">
        <v>318</v>
      </c>
      <c r="C123" s="84">
        <f>COUNT(F157:F158,F160:F161)+COUNT(F163:F168)*7</f>
        <v>46</v>
      </c>
      <c r="D123" s="84"/>
      <c r="E123" s="85">
        <f>SUM(F157:F158,F160:F161)+SUM(F163:F168)*7</f>
        <v>19057.150709999998</v>
      </c>
      <c r="F123" s="85"/>
      <c r="G123" s="85">
        <f>SUM(H157:H158,H160:H161)+SUM(H163:H168)*7</f>
        <v>27632.868529499992</v>
      </c>
      <c r="H123" s="85"/>
      <c r="I123" s="32"/>
      <c r="J123" s="32"/>
    </row>
    <row r="124" spans="1:20" s="34" customFormat="1" x14ac:dyDescent="0.35">
      <c r="A124" s="103" t="s">
        <v>143</v>
      </c>
      <c r="B124" s="103"/>
      <c r="C124" s="109">
        <f t="shared" ref="C124:G124" si="0">SUM(C122:D123)</f>
        <v>92</v>
      </c>
      <c r="D124" s="109"/>
      <c r="E124" s="104">
        <f t="shared" si="0"/>
        <v>38114.301419999989</v>
      </c>
      <c r="F124" s="104"/>
      <c r="G124" s="105">
        <f t="shared" si="0"/>
        <v>55265.737058999985</v>
      </c>
      <c r="H124" s="105"/>
      <c r="I124" s="32"/>
      <c r="J124" s="32"/>
    </row>
    <row r="125" spans="1:20" s="34" customFormat="1" ht="15.75" hidden="1" customHeight="1" thickBot="1" x14ac:dyDescent="0.4">
      <c r="A125" s="127" t="s">
        <v>160</v>
      </c>
      <c r="B125" s="128"/>
      <c r="C125" s="129">
        <f>C119+C124</f>
        <v>92</v>
      </c>
      <c r="D125" s="129"/>
      <c r="E125" s="130">
        <f>E119+E124</f>
        <v>38114.301419999989</v>
      </c>
      <c r="F125" s="130"/>
      <c r="G125" s="89">
        <f>G119+G124</f>
        <v>55265.737058999985</v>
      </c>
      <c r="H125" s="90"/>
      <c r="I125" s="32"/>
      <c r="J125" s="32"/>
      <c r="L125" s="121"/>
      <c r="M125" s="121"/>
      <c r="N125" s="33"/>
      <c r="T125" s="18"/>
    </row>
    <row r="126" spans="1:20" s="34" customFormat="1" ht="15.75" customHeight="1" x14ac:dyDescent="0.35">
      <c r="A126" s="125" t="s">
        <v>54</v>
      </c>
      <c r="B126" s="125"/>
      <c r="C126" s="125"/>
      <c r="D126" s="125"/>
      <c r="E126" s="125"/>
      <c r="F126" s="125"/>
      <c r="G126" s="125"/>
      <c r="H126" s="125"/>
      <c r="I126" s="31"/>
      <c r="J126" s="31"/>
      <c r="L126" s="121"/>
      <c r="M126" s="121"/>
      <c r="N126" s="33"/>
    </row>
    <row r="127" spans="1:20" s="34" customFormat="1" ht="15.75" customHeight="1" x14ac:dyDescent="0.35">
      <c r="A127" s="131" t="s">
        <v>310</v>
      </c>
      <c r="B127" s="131"/>
      <c r="C127" s="131"/>
      <c r="D127" s="131"/>
      <c r="E127" s="131"/>
      <c r="F127" s="131"/>
      <c r="G127" s="131"/>
      <c r="H127" s="131"/>
      <c r="I127" s="18"/>
      <c r="J127" s="18"/>
      <c r="L127" s="121"/>
      <c r="M127" s="121"/>
      <c r="N127" s="33"/>
    </row>
    <row r="128" spans="1:20" s="34" customFormat="1" ht="36.75" hidden="1" customHeight="1" x14ac:dyDescent="0.35">
      <c r="A128" s="126" t="s">
        <v>115</v>
      </c>
      <c r="B128" s="126" t="s">
        <v>169</v>
      </c>
      <c r="C128" s="126" t="s">
        <v>55</v>
      </c>
      <c r="D128" s="126" t="s">
        <v>225</v>
      </c>
      <c r="E128" s="96" t="s">
        <v>149</v>
      </c>
      <c r="F128" s="126" t="s">
        <v>56</v>
      </c>
      <c r="G128" s="96" t="s">
        <v>57</v>
      </c>
      <c r="H128" s="74" t="s">
        <v>142</v>
      </c>
      <c r="I128" s="18"/>
      <c r="J128" s="18"/>
      <c r="L128" s="121"/>
      <c r="M128" s="121"/>
      <c r="N128" s="33"/>
    </row>
    <row r="129" spans="1:14" s="34" customFormat="1" hidden="1" x14ac:dyDescent="0.35">
      <c r="A129" s="126"/>
      <c r="B129" s="126"/>
      <c r="C129" s="126"/>
      <c r="D129" s="126"/>
      <c r="E129" s="96"/>
      <c r="F129" s="126"/>
      <c r="G129" s="96"/>
      <c r="H129" s="75">
        <v>0.45</v>
      </c>
      <c r="L129" s="121"/>
      <c r="M129" s="121"/>
    </row>
    <row r="130" spans="1:14" s="34" customFormat="1" hidden="1" x14ac:dyDescent="0.35">
      <c r="A130" s="132" t="s">
        <v>114</v>
      </c>
      <c r="B130" s="132"/>
      <c r="C130" s="132"/>
      <c r="D130" s="132"/>
      <c r="E130" s="132"/>
      <c r="F130" s="132"/>
      <c r="G130" s="132"/>
      <c r="H130" s="132"/>
      <c r="J130" s="33"/>
      <c r="N130" s="33"/>
    </row>
    <row r="131" spans="1:14" s="34" customFormat="1" hidden="1" x14ac:dyDescent="0.35">
      <c r="A131" s="122">
        <v>1</v>
      </c>
      <c r="B131" s="122"/>
      <c r="C131" s="39"/>
      <c r="D131" s="39"/>
      <c r="E131" s="39">
        <v>0</v>
      </c>
      <c r="F131" s="39">
        <f>D131+E131</f>
        <v>0</v>
      </c>
      <c r="G131" s="39">
        <v>0</v>
      </c>
      <c r="H131" s="39">
        <f>(D131+E131)*(($H$129)+1)</f>
        <v>0</v>
      </c>
      <c r="I131" s="33"/>
      <c r="N131" s="33"/>
    </row>
    <row r="132" spans="1:14" s="34" customFormat="1" hidden="1" x14ac:dyDescent="0.35">
      <c r="A132" s="122">
        <f>A131+1</f>
        <v>2</v>
      </c>
      <c r="B132" s="122"/>
      <c r="C132" s="39"/>
      <c r="D132" s="39"/>
      <c r="E132" s="39">
        <v>0</v>
      </c>
      <c r="F132" s="39">
        <f>D132+E132</f>
        <v>0</v>
      </c>
      <c r="G132" s="39">
        <v>0</v>
      </c>
      <c r="H132" s="39">
        <f>(D132+E132)*(($H$129)+1)</f>
        <v>0</v>
      </c>
      <c r="I132" s="33"/>
      <c r="N132" s="33"/>
    </row>
    <row r="133" spans="1:14" s="34" customFormat="1" hidden="1" x14ac:dyDescent="0.35">
      <c r="A133" s="122">
        <f>A132+1</f>
        <v>3</v>
      </c>
      <c r="B133" s="122"/>
      <c r="C133" s="39"/>
      <c r="D133" s="39"/>
      <c r="E133" s="39">
        <v>0</v>
      </c>
      <c r="F133" s="39">
        <f>D133+E133</f>
        <v>0</v>
      </c>
      <c r="G133" s="39">
        <v>0</v>
      </c>
      <c r="H133" s="39">
        <f>(D133+E133)*(($H$129)+1)</f>
        <v>0</v>
      </c>
      <c r="I133" s="33"/>
      <c r="N133" s="33"/>
    </row>
    <row r="134" spans="1:14" s="34" customFormat="1" hidden="1" x14ac:dyDescent="0.35">
      <c r="A134" s="122">
        <f>A133+1</f>
        <v>4</v>
      </c>
      <c r="B134" s="122"/>
      <c r="C134" s="39"/>
      <c r="D134" s="39"/>
      <c r="E134" s="39">
        <v>0</v>
      </c>
      <c r="F134" s="39">
        <f>D134+E134</f>
        <v>0</v>
      </c>
      <c r="G134" s="39">
        <v>0</v>
      </c>
      <c r="H134" s="39">
        <f>(D134+E134)*(($H$129)+1)</f>
        <v>0</v>
      </c>
      <c r="I134" s="33"/>
      <c r="N134" s="33"/>
    </row>
    <row r="135" spans="1:14" s="34" customFormat="1" ht="15.75" customHeight="1" x14ac:dyDescent="0.35">
      <c r="A135" s="122"/>
      <c r="B135" s="122"/>
      <c r="C135" s="122"/>
      <c r="D135" s="122"/>
      <c r="E135" s="122"/>
      <c r="F135" s="122"/>
      <c r="G135" s="122"/>
      <c r="H135" s="122"/>
      <c r="I135" s="69">
        <v>10.763999999999999</v>
      </c>
    </row>
    <row r="136" spans="1:14" s="34" customFormat="1" ht="45.75" customHeight="1" x14ac:dyDescent="0.35">
      <c r="A136" s="126" t="s">
        <v>116</v>
      </c>
      <c r="B136" s="126" t="s">
        <v>170</v>
      </c>
      <c r="C136" s="126" t="s">
        <v>55</v>
      </c>
      <c r="D136" s="126" t="s">
        <v>225</v>
      </c>
      <c r="E136" s="126" t="s">
        <v>343</v>
      </c>
      <c r="F136" s="126" t="s">
        <v>56</v>
      </c>
      <c r="G136" s="96" t="s">
        <v>57</v>
      </c>
      <c r="H136" s="74" t="s">
        <v>142</v>
      </c>
      <c r="I136" s="33"/>
      <c r="J136" s="18"/>
    </row>
    <row r="137" spans="1:14" s="34" customFormat="1" x14ac:dyDescent="0.35">
      <c r="A137" s="126"/>
      <c r="B137" s="126"/>
      <c r="C137" s="126"/>
      <c r="D137" s="126"/>
      <c r="E137" s="126"/>
      <c r="F137" s="126"/>
      <c r="G137" s="96"/>
      <c r="H137" s="76">
        <v>0.45</v>
      </c>
      <c r="I137" s="33"/>
    </row>
    <row r="138" spans="1:14" s="34" customFormat="1" ht="15.75" customHeight="1" x14ac:dyDescent="0.35">
      <c r="A138" s="132" t="s">
        <v>311</v>
      </c>
      <c r="B138" s="132"/>
      <c r="C138" s="132"/>
      <c r="D138" s="132"/>
      <c r="E138" s="132"/>
      <c r="F138" s="132"/>
      <c r="G138" s="132"/>
      <c r="H138" s="132"/>
      <c r="J138" s="33"/>
    </row>
    <row r="139" spans="1:14" s="34" customFormat="1" ht="15.75" customHeight="1" x14ac:dyDescent="0.35">
      <c r="A139" s="132" t="s">
        <v>319</v>
      </c>
      <c r="B139" s="132"/>
      <c r="C139" s="132"/>
      <c r="D139" s="132"/>
      <c r="E139" s="132"/>
      <c r="F139" s="132"/>
      <c r="G139" s="132"/>
      <c r="H139" s="132"/>
      <c r="I139" s="33"/>
    </row>
    <row r="140" spans="1:14" s="34" customFormat="1" ht="15.75" customHeight="1" x14ac:dyDescent="0.35">
      <c r="A140" s="173" t="s">
        <v>315</v>
      </c>
      <c r="B140" s="174"/>
      <c r="C140" s="174"/>
      <c r="D140" s="174"/>
      <c r="E140" s="174"/>
      <c r="F140" s="174"/>
      <c r="G140" s="174"/>
      <c r="H140" s="175"/>
      <c r="I140" s="33"/>
    </row>
    <row r="141" spans="1:14" s="34" customFormat="1" x14ac:dyDescent="0.35">
      <c r="A141" s="123">
        <v>1</v>
      </c>
      <c r="B141" s="124"/>
      <c r="C141" s="39" t="s">
        <v>312</v>
      </c>
      <c r="D141" s="69">
        <f>(29.74)*10.764</f>
        <v>320.12135999999998</v>
      </c>
      <c r="E141" s="39">
        <v>0</v>
      </c>
      <c r="F141" s="39">
        <f>D141+E141</f>
        <v>320.12135999999998</v>
      </c>
      <c r="G141" s="39">
        <v>0</v>
      </c>
      <c r="H141" s="39">
        <f>F141*(($H$137)+1)+(IF(G141&lt;101,G141,IF(G141&lt;201,G141/2,IF(G141&lt;=301,G141/3,G141/4))))</f>
        <v>464.17597199999994</v>
      </c>
      <c r="I141" s="33">
        <f>4*2.75+1.7*2.15+2.75*2.75+1.7*1.1+1.1*1.5+0.9*2.5</f>
        <v>27.987500000000001</v>
      </c>
    </row>
    <row r="142" spans="1:14" s="34" customFormat="1" ht="15.75" customHeight="1" x14ac:dyDescent="0.35">
      <c r="A142" s="123">
        <f>A141+1</f>
        <v>2</v>
      </c>
      <c r="B142" s="124"/>
      <c r="C142" s="39" t="s">
        <v>312</v>
      </c>
      <c r="D142" s="69">
        <f>(29.74)*10.764</f>
        <v>320.12135999999998</v>
      </c>
      <c r="E142" s="39">
        <v>0</v>
      </c>
      <c r="F142" s="39">
        <f>D142+E142</f>
        <v>320.12135999999998</v>
      </c>
      <c r="G142" s="39">
        <v>0</v>
      </c>
      <c r="H142" s="39">
        <f>F142*(($H$137)+1)+(IF(G142&lt;101,G142,IF(G142&lt;201,G142/2,IF(G142&lt;=301,G142/3,G142/4))))</f>
        <v>464.17597199999994</v>
      </c>
      <c r="I142" s="33"/>
    </row>
    <row r="143" spans="1:14" s="34" customFormat="1" ht="15.75" customHeight="1" x14ac:dyDescent="0.35">
      <c r="A143" s="123" t="s">
        <v>313</v>
      </c>
      <c r="B143" s="124"/>
      <c r="C143" s="123" t="s">
        <v>314</v>
      </c>
      <c r="D143" s="176"/>
      <c r="E143" s="176"/>
      <c r="F143" s="176"/>
      <c r="G143" s="176"/>
      <c r="H143" s="124"/>
      <c r="J143" s="33">
        <f>2.6*2.95*(10.764)</f>
        <v>82.559880000000007</v>
      </c>
    </row>
    <row r="144" spans="1:14" s="34" customFormat="1" ht="15.75" customHeight="1" x14ac:dyDescent="0.35">
      <c r="A144" s="123">
        <f>A142+1</f>
        <v>3</v>
      </c>
      <c r="B144" s="124"/>
      <c r="C144" s="39" t="s">
        <v>316</v>
      </c>
      <c r="D144" s="69">
        <f>(41.23)*10.764</f>
        <v>443.79971999999992</v>
      </c>
      <c r="E144" s="39">
        <v>0</v>
      </c>
      <c r="F144" s="39">
        <f>D144+E144</f>
        <v>443.79971999999992</v>
      </c>
      <c r="G144" s="39">
        <v>0</v>
      </c>
      <c r="H144" s="39">
        <f>F144*(($H$137)+1)+(IF(G144&lt;101,G144,IF(G144&lt;201,G144/2,IF(G144&lt;=301,G144/3,G144/4))))</f>
        <v>643.50959399999988</v>
      </c>
      <c r="I144" s="33">
        <f>2.75*4.3+2.15*2+2.6*2.95+2.75*3.05+2.15*0.45+1.5*1.1+1.1*1.7+2.4*0.9</f>
        <v>38.83</v>
      </c>
    </row>
    <row r="145" spans="1:20" s="34" customFormat="1" ht="15.75" customHeight="1" x14ac:dyDescent="0.35">
      <c r="A145" s="123">
        <f>A144+1</f>
        <v>4</v>
      </c>
      <c r="B145" s="124"/>
      <c r="C145" s="39" t="s">
        <v>312</v>
      </c>
      <c r="D145" s="69">
        <f>(33.16)*10.764</f>
        <v>356.93423999999993</v>
      </c>
      <c r="E145" s="39">
        <v>0</v>
      </c>
      <c r="F145" s="39">
        <f>D145+E145</f>
        <v>356.93423999999993</v>
      </c>
      <c r="G145" s="39">
        <v>0</v>
      </c>
      <c r="H145" s="39">
        <f>F145*(($H$137)+1)+(IF(G145&lt;101,G145,IF(G145&lt;201,G145/2,IF(G145&lt;=301,G145/3,G145/4))))</f>
        <v>517.55464799999993</v>
      </c>
      <c r="I145" s="33">
        <f>2.75*4.3+2.15*2+2.75*3.05+2.15*0.45+1.1*1.7+1.5*1.1+2.4*0.9</f>
        <v>31.16</v>
      </c>
    </row>
    <row r="146" spans="1:20" s="34" customFormat="1" ht="15.75" customHeight="1" x14ac:dyDescent="0.35">
      <c r="A146" s="123" t="s">
        <v>313</v>
      </c>
      <c r="B146" s="124"/>
      <c r="C146" s="123" t="s">
        <v>317</v>
      </c>
      <c r="D146" s="176"/>
      <c r="E146" s="176"/>
      <c r="F146" s="176"/>
      <c r="G146" s="176"/>
      <c r="H146" s="124"/>
      <c r="I146" s="33"/>
    </row>
    <row r="147" spans="1:20" s="34" customFormat="1" ht="15.75" customHeight="1" x14ac:dyDescent="0.35">
      <c r="A147" s="173" t="s">
        <v>322</v>
      </c>
      <c r="B147" s="174"/>
      <c r="C147" s="174"/>
      <c r="D147" s="174"/>
      <c r="E147" s="174"/>
      <c r="F147" s="174"/>
      <c r="G147" s="174"/>
      <c r="H147" s="175"/>
      <c r="I147" s="33"/>
    </row>
    <row r="148" spans="1:20" s="34" customFormat="1" x14ac:dyDescent="0.35">
      <c r="A148" s="122">
        <v>1</v>
      </c>
      <c r="B148" s="122"/>
      <c r="C148" s="39" t="s">
        <v>312</v>
      </c>
      <c r="D148" s="69">
        <f>(29.74)*10.764</f>
        <v>320.12135999999998</v>
      </c>
      <c r="E148" s="39">
        <f>0.7*(2.75+2.15+2.75)*10.764</f>
        <v>57.64121999999999</v>
      </c>
      <c r="F148" s="39">
        <f t="shared" ref="F148:F153" si="1">D148+E148</f>
        <v>377.76257999999996</v>
      </c>
      <c r="G148" s="39">
        <v>0</v>
      </c>
      <c r="H148" s="39">
        <f t="shared" ref="H148:H153" si="2">F148*(($H$137)+1)+(IF(G148&lt;101,G148,IF(G148&lt;201,G148/2,IF(G148&lt;=301,G148/3,G148/4))))</f>
        <v>547.75574099999994</v>
      </c>
      <c r="I148" s="33"/>
    </row>
    <row r="149" spans="1:20" s="34" customFormat="1" ht="15.75" customHeight="1" x14ac:dyDescent="0.35">
      <c r="A149" s="122">
        <f>A148+1</f>
        <v>2</v>
      </c>
      <c r="B149" s="122"/>
      <c r="C149" s="39" t="s">
        <v>312</v>
      </c>
      <c r="D149" s="69">
        <f>(29.74)*10.764</f>
        <v>320.12135999999998</v>
      </c>
      <c r="E149" s="39">
        <f>0.7*(2.75+2.15+2.75)*10.764</f>
        <v>57.64121999999999</v>
      </c>
      <c r="F149" s="39">
        <f t="shared" si="1"/>
        <v>377.76257999999996</v>
      </c>
      <c r="G149" s="39">
        <v>0</v>
      </c>
      <c r="H149" s="39">
        <f t="shared" si="2"/>
        <v>547.75574099999994</v>
      </c>
      <c r="I149" s="33"/>
    </row>
    <row r="150" spans="1:20" s="34" customFormat="1" ht="15.75" customHeight="1" x14ac:dyDescent="0.35">
      <c r="A150" s="122">
        <f>A149+1</f>
        <v>3</v>
      </c>
      <c r="B150" s="122"/>
      <c r="C150" s="39" t="s">
        <v>312</v>
      </c>
      <c r="D150" s="69">
        <f>(33.16)*10.764</f>
        <v>356.93423999999993</v>
      </c>
      <c r="E150" s="39">
        <f>0.7*(2.75+2.15+2.75)*10.764</f>
        <v>57.64121999999999</v>
      </c>
      <c r="F150" s="39">
        <f t="shared" si="1"/>
        <v>414.57545999999991</v>
      </c>
      <c r="G150" s="39">
        <v>0</v>
      </c>
      <c r="H150" s="39">
        <f t="shared" si="2"/>
        <v>601.13441699999987</v>
      </c>
      <c r="I150" s="33"/>
    </row>
    <row r="151" spans="1:20" s="34" customFormat="1" ht="15.75" customHeight="1" x14ac:dyDescent="0.35">
      <c r="A151" s="122">
        <f>A150+1</f>
        <v>4</v>
      </c>
      <c r="B151" s="122"/>
      <c r="C151" s="39" t="s">
        <v>316</v>
      </c>
      <c r="D151" s="69">
        <f>(41.23)*10.764</f>
        <v>443.79971999999992</v>
      </c>
      <c r="E151" s="69">
        <f>(4.9+0.7*(2.75+2.6))*10.764</f>
        <v>93.054779999999994</v>
      </c>
      <c r="F151" s="39">
        <f t="shared" si="1"/>
        <v>536.85449999999992</v>
      </c>
      <c r="G151" s="39">
        <v>0</v>
      </c>
      <c r="H151" s="39">
        <f t="shared" si="2"/>
        <v>778.4390249999999</v>
      </c>
      <c r="I151" s="68">
        <f>2.75+2.15</f>
        <v>4.9000000000000004</v>
      </c>
    </row>
    <row r="152" spans="1:20" s="34" customFormat="1" ht="15.75" customHeight="1" x14ac:dyDescent="0.35">
      <c r="A152" s="122">
        <f>A151+1</f>
        <v>5</v>
      </c>
      <c r="B152" s="122"/>
      <c r="C152" s="39" t="s">
        <v>312</v>
      </c>
      <c r="D152" s="69">
        <f>(33.16)*10.764</f>
        <v>356.93423999999993</v>
      </c>
      <c r="E152" s="69">
        <f>(4.9+0.75*2.75)*10.764</f>
        <v>74.94435</v>
      </c>
      <c r="F152" s="39">
        <f t="shared" si="1"/>
        <v>431.87858999999992</v>
      </c>
      <c r="G152" s="39">
        <v>0</v>
      </c>
      <c r="H152" s="39">
        <f t="shared" si="2"/>
        <v>626.22395549999987</v>
      </c>
      <c r="I152" s="33"/>
    </row>
    <row r="153" spans="1:20" s="34" customFormat="1" ht="15.75" customHeight="1" x14ac:dyDescent="0.35">
      <c r="A153" s="122">
        <f>A152+1</f>
        <v>6</v>
      </c>
      <c r="B153" s="122"/>
      <c r="C153" s="39" t="s">
        <v>312</v>
      </c>
      <c r="D153" s="69">
        <f>(29.74)*10.764</f>
        <v>320.12135999999998</v>
      </c>
      <c r="E153" s="39">
        <f>0.7*(2.75+2.15+2.75)*10.764</f>
        <v>57.64121999999999</v>
      </c>
      <c r="F153" s="39">
        <f t="shared" si="1"/>
        <v>377.76257999999996</v>
      </c>
      <c r="G153" s="39">
        <v>0</v>
      </c>
      <c r="H153" s="39">
        <f t="shared" si="2"/>
        <v>547.75574099999994</v>
      </c>
      <c r="I153" s="33"/>
    </row>
    <row r="154" spans="1:20" s="34" customFormat="1" ht="15.75" customHeight="1" x14ac:dyDescent="0.35">
      <c r="A154" s="173" t="s">
        <v>318</v>
      </c>
      <c r="B154" s="174"/>
      <c r="C154" s="174"/>
      <c r="D154" s="174"/>
      <c r="E154" s="174"/>
      <c r="F154" s="174"/>
      <c r="G154" s="174"/>
      <c r="H154" s="175"/>
      <c r="I154" s="33"/>
    </row>
    <row r="155" spans="1:20" s="32" customFormat="1" x14ac:dyDescent="0.35">
      <c r="A155" s="173" t="s">
        <v>320</v>
      </c>
      <c r="B155" s="174"/>
      <c r="C155" s="174"/>
      <c r="D155" s="174"/>
      <c r="E155" s="174"/>
      <c r="F155" s="174"/>
      <c r="G155" s="174"/>
      <c r="H155" s="175"/>
      <c r="I155" s="33"/>
      <c r="J155" s="34"/>
      <c r="T155" s="34"/>
    </row>
    <row r="156" spans="1:20" s="32" customFormat="1" x14ac:dyDescent="0.35">
      <c r="A156" s="123" t="s">
        <v>313</v>
      </c>
      <c r="B156" s="124"/>
      <c r="C156" s="123" t="s">
        <v>321</v>
      </c>
      <c r="D156" s="176"/>
      <c r="E156" s="176"/>
      <c r="F156" s="176"/>
      <c r="G156" s="176"/>
      <c r="H156" s="124"/>
      <c r="I156" s="33"/>
      <c r="J156" s="34"/>
      <c r="T156" s="34"/>
    </row>
    <row r="157" spans="1:20" s="32" customFormat="1" x14ac:dyDescent="0.35">
      <c r="A157" s="123">
        <v>1</v>
      </c>
      <c r="B157" s="124"/>
      <c r="C157" s="39" t="s">
        <v>312</v>
      </c>
      <c r="D157" s="69">
        <f>(33.16)*10.764</f>
        <v>356.93423999999993</v>
      </c>
      <c r="E157" s="39">
        <v>0</v>
      </c>
      <c r="F157" s="39">
        <f>D157+E157</f>
        <v>356.93423999999993</v>
      </c>
      <c r="G157" s="39">
        <v>0</v>
      </c>
      <c r="H157" s="39">
        <f>F157*(($H$137)+1)+(IF(G157&lt;101,G157,IF(G157&lt;201,G157/2,IF(G157&lt;=301,G157/3,G157/4))))</f>
        <v>517.55464799999993</v>
      </c>
      <c r="I157" s="33"/>
      <c r="J157" s="34"/>
      <c r="T157" s="34"/>
    </row>
    <row r="158" spans="1:20" s="32" customFormat="1" x14ac:dyDescent="0.35">
      <c r="A158" s="123">
        <f>A157+1</f>
        <v>2</v>
      </c>
      <c r="B158" s="124"/>
      <c r="C158" s="39" t="s">
        <v>316</v>
      </c>
      <c r="D158" s="69">
        <f>(41.23)*10.764</f>
        <v>443.79971999999992</v>
      </c>
      <c r="E158" s="39">
        <v>0</v>
      </c>
      <c r="F158" s="39">
        <f>D158+E158</f>
        <v>443.79971999999992</v>
      </c>
      <c r="G158" s="39">
        <v>0</v>
      </c>
      <c r="H158" s="39">
        <f>F158*(($H$137)+1)+(IF(G158&lt;101,G158,IF(G158&lt;201,G158/2,IF(G158&lt;=301,G158/3,G158/4))))</f>
        <v>643.50959399999988</v>
      </c>
      <c r="I158" s="33"/>
      <c r="J158" s="34"/>
    </row>
    <row r="159" spans="1:20" s="32" customFormat="1" ht="15.75" customHeight="1" x14ac:dyDescent="0.35">
      <c r="A159" s="123" t="s">
        <v>313</v>
      </c>
      <c r="B159" s="124"/>
      <c r="C159" s="123" t="s">
        <v>314</v>
      </c>
      <c r="D159" s="176"/>
      <c r="E159" s="176"/>
      <c r="F159" s="176"/>
      <c r="G159" s="176"/>
      <c r="H159" s="124"/>
      <c r="I159" s="33"/>
      <c r="J159" s="34"/>
    </row>
    <row r="160" spans="1:20" s="32" customFormat="1" x14ac:dyDescent="0.35">
      <c r="A160" s="123">
        <f>A158+1</f>
        <v>3</v>
      </c>
      <c r="B160" s="124"/>
      <c r="C160" s="39" t="s">
        <v>312</v>
      </c>
      <c r="D160" s="69">
        <f>(29.74)*10.764</f>
        <v>320.12135999999998</v>
      </c>
      <c r="E160" s="39">
        <v>0</v>
      </c>
      <c r="F160" s="39">
        <f>D160+E160</f>
        <v>320.12135999999998</v>
      </c>
      <c r="G160" s="39">
        <v>0</v>
      </c>
      <c r="H160" s="39">
        <f>F160*(($H$137)+1)+(IF(G160&lt;101,G160,IF(G160&lt;201,G160/2,IF(G160&lt;=301,G160/3,G160/4))))</f>
        <v>464.17597199999994</v>
      </c>
      <c r="I160" s="33"/>
      <c r="J160" s="34"/>
    </row>
    <row r="161" spans="1:20" s="32" customFormat="1" x14ac:dyDescent="0.35">
      <c r="A161" s="123">
        <f>A160+1</f>
        <v>4</v>
      </c>
      <c r="B161" s="124"/>
      <c r="C161" s="39" t="s">
        <v>312</v>
      </c>
      <c r="D161" s="69">
        <f>(29.74)*10.764</f>
        <v>320.12135999999998</v>
      </c>
      <c r="E161" s="39">
        <v>0</v>
      </c>
      <c r="F161" s="39">
        <f>D161+E161</f>
        <v>320.12135999999998</v>
      </c>
      <c r="G161" s="39">
        <v>0</v>
      </c>
      <c r="H161" s="39">
        <f>F161*(($H$137)+1)+(IF(G161&lt;101,G161,IF(G161&lt;201,G161/2,IF(G161&lt;=301,G161/3,G161/4))))</f>
        <v>464.17597199999994</v>
      </c>
      <c r="I161" s="33"/>
      <c r="J161" s="34"/>
    </row>
    <row r="162" spans="1:20" s="32" customFormat="1" x14ac:dyDescent="0.35">
      <c r="A162" s="173" t="s">
        <v>322</v>
      </c>
      <c r="B162" s="174"/>
      <c r="C162" s="174"/>
      <c r="D162" s="174"/>
      <c r="E162" s="174"/>
      <c r="F162" s="174"/>
      <c r="G162" s="174"/>
      <c r="H162" s="175"/>
      <c r="I162" s="33"/>
      <c r="J162" s="34"/>
    </row>
    <row r="163" spans="1:20" s="32" customFormat="1" x14ac:dyDescent="0.35">
      <c r="A163" s="122">
        <v>1</v>
      </c>
      <c r="B163" s="122"/>
      <c r="C163" s="39" t="s">
        <v>312</v>
      </c>
      <c r="D163" s="69">
        <f>(29.74)*10.764</f>
        <v>320.12135999999998</v>
      </c>
      <c r="E163" s="39">
        <f>0.7*(2.75+2.15+2.75)*10.764</f>
        <v>57.64121999999999</v>
      </c>
      <c r="F163" s="39">
        <f t="shared" ref="F163:F168" si="3">D163+E163</f>
        <v>377.76257999999996</v>
      </c>
      <c r="G163" s="39">
        <v>0</v>
      </c>
      <c r="H163" s="39">
        <f t="shared" ref="H163:H168" si="4">F163*(($H$137)+1)+(IF(G163&lt;101,G163,IF(G163&lt;201,G163/2,IF(G163&lt;=301,G163/3,G163/4))))</f>
        <v>547.75574099999994</v>
      </c>
      <c r="I163" s="33"/>
      <c r="J163" s="34"/>
    </row>
    <row r="164" spans="1:20" s="32" customFormat="1" x14ac:dyDescent="0.35">
      <c r="A164" s="122">
        <f>A163+1</f>
        <v>2</v>
      </c>
      <c r="B164" s="122"/>
      <c r="C164" s="39" t="s">
        <v>312</v>
      </c>
      <c r="D164" s="69">
        <f>(33.16)*10.764</f>
        <v>356.93423999999993</v>
      </c>
      <c r="E164" s="69">
        <f>(4.9+0.75*2.75)*10.764</f>
        <v>74.94435</v>
      </c>
      <c r="F164" s="39">
        <f t="shared" si="3"/>
        <v>431.87858999999992</v>
      </c>
      <c r="G164" s="39">
        <v>0</v>
      </c>
      <c r="H164" s="39">
        <f t="shared" si="4"/>
        <v>626.22395549999987</v>
      </c>
      <c r="I164" s="33"/>
      <c r="J164" s="34"/>
    </row>
    <row r="165" spans="1:20" s="32" customFormat="1" x14ac:dyDescent="0.35">
      <c r="A165" s="122">
        <f>A164+1</f>
        <v>3</v>
      </c>
      <c r="B165" s="122"/>
      <c r="C165" s="39" t="s">
        <v>316</v>
      </c>
      <c r="D165" s="69">
        <f>(41.23)*10.764</f>
        <v>443.79971999999992</v>
      </c>
      <c r="E165" s="69">
        <f>(4.9+0.7*(2.75+2.6))*10.764</f>
        <v>93.054779999999994</v>
      </c>
      <c r="F165" s="39">
        <f t="shared" si="3"/>
        <v>536.85449999999992</v>
      </c>
      <c r="G165" s="39">
        <v>0</v>
      </c>
      <c r="H165" s="39">
        <f t="shared" si="4"/>
        <v>778.4390249999999</v>
      </c>
      <c r="I165" s="33"/>
      <c r="J165" s="34"/>
    </row>
    <row r="166" spans="1:20" s="32" customFormat="1" x14ac:dyDescent="0.35">
      <c r="A166" s="122">
        <f>A165+1</f>
        <v>4</v>
      </c>
      <c r="B166" s="122"/>
      <c r="C166" s="39" t="s">
        <v>312</v>
      </c>
      <c r="D166" s="69">
        <f>(33.16)*10.764</f>
        <v>356.93423999999993</v>
      </c>
      <c r="E166" s="39">
        <f t="shared" ref="E166:E168" si="5">0.7*(2.75+2.15+2.75)*10.764</f>
        <v>57.64121999999999</v>
      </c>
      <c r="F166" s="39">
        <f t="shared" si="3"/>
        <v>414.57545999999991</v>
      </c>
      <c r="G166" s="39">
        <v>0</v>
      </c>
      <c r="H166" s="39">
        <f t="shared" si="4"/>
        <v>601.13441699999987</v>
      </c>
      <c r="I166" s="33"/>
      <c r="J166" s="34"/>
    </row>
    <row r="167" spans="1:20" ht="15.75" customHeight="1" x14ac:dyDescent="0.35">
      <c r="A167" s="122">
        <f>A166+1</f>
        <v>5</v>
      </c>
      <c r="B167" s="122"/>
      <c r="C167" s="39" t="s">
        <v>312</v>
      </c>
      <c r="D167" s="69">
        <f>(29.74)*10.764</f>
        <v>320.12135999999998</v>
      </c>
      <c r="E167" s="39">
        <f t="shared" si="5"/>
        <v>57.64121999999999</v>
      </c>
      <c r="F167" s="39">
        <f t="shared" si="3"/>
        <v>377.76257999999996</v>
      </c>
      <c r="G167" s="39">
        <v>0</v>
      </c>
      <c r="H167" s="39">
        <f t="shared" si="4"/>
        <v>547.75574099999994</v>
      </c>
      <c r="I167" s="33"/>
      <c r="J167" s="34"/>
      <c r="T167" s="32"/>
    </row>
    <row r="168" spans="1:20" x14ac:dyDescent="0.35">
      <c r="A168" s="122">
        <f>A167+1</f>
        <v>6</v>
      </c>
      <c r="B168" s="122"/>
      <c r="C168" s="39" t="s">
        <v>312</v>
      </c>
      <c r="D168" s="69">
        <f>(29.74)*10.764</f>
        <v>320.12135999999998</v>
      </c>
      <c r="E168" s="39">
        <f t="shared" si="5"/>
        <v>57.64121999999999</v>
      </c>
      <c r="F168" s="39">
        <f t="shared" si="3"/>
        <v>377.76257999999996</v>
      </c>
      <c r="G168" s="39">
        <v>0</v>
      </c>
      <c r="H168" s="39">
        <f t="shared" si="4"/>
        <v>547.75574099999994</v>
      </c>
      <c r="I168" s="33"/>
      <c r="J168" s="34"/>
      <c r="T168" s="32"/>
    </row>
    <row r="169" spans="1:20" x14ac:dyDescent="0.35">
      <c r="A169" s="181" t="s">
        <v>65</v>
      </c>
      <c r="B169" s="181"/>
      <c r="C169" s="181"/>
      <c r="D169" s="181"/>
      <c r="E169" s="181"/>
      <c r="F169" s="181"/>
      <c r="G169" s="181"/>
      <c r="H169" s="181"/>
      <c r="I169" s="32"/>
      <c r="J169" s="32"/>
    </row>
    <row r="170" spans="1:20" ht="30.5" customHeight="1" x14ac:dyDescent="0.35">
      <c r="A170" s="57" t="s">
        <v>146</v>
      </c>
      <c r="B170" s="183" t="s">
        <v>354</v>
      </c>
      <c r="C170" s="183"/>
      <c r="D170" s="183"/>
      <c r="E170" s="183"/>
      <c r="F170" s="183"/>
      <c r="G170" s="183"/>
      <c r="H170" s="183"/>
      <c r="I170" s="32"/>
      <c r="J170" s="32"/>
    </row>
    <row r="171" spans="1:20" x14ac:dyDescent="0.35">
      <c r="A171" s="56" t="s">
        <v>146</v>
      </c>
      <c r="B171" s="182" t="str">
        <f>(IF(H136="Saleable area Loading :","We have considered Saleable area of Flats as per our Calculation.","We considered Saleable area of Flat as per Builder area Sheet."))</f>
        <v>We have considered Saleable area of Flats as per our Calculation.</v>
      </c>
      <c r="C171" s="182"/>
      <c r="D171" s="182"/>
      <c r="E171" s="182"/>
      <c r="F171" s="182"/>
      <c r="G171" s="182"/>
      <c r="H171" s="182"/>
      <c r="I171" s="32"/>
      <c r="J171" s="32"/>
    </row>
    <row r="172" spans="1:20" hidden="1" x14ac:dyDescent="0.35">
      <c r="A172" s="56" t="s">
        <v>146</v>
      </c>
      <c r="B172" s="182" t="str">
        <f>(IF(H128="Saleable area Loading :","We have considered Saleable area of Commercial as per our Calculation.","We considered Saleable area of Commercial as per Builder area Sheet."))</f>
        <v>We have considered Saleable area of Commercial as per our Calculation.</v>
      </c>
      <c r="C172" s="182"/>
      <c r="D172" s="182"/>
      <c r="E172" s="182"/>
      <c r="F172" s="182"/>
      <c r="G172" s="182"/>
      <c r="H172" s="182"/>
      <c r="I172" s="32"/>
      <c r="J172" s="32"/>
    </row>
    <row r="173" spans="1:20" x14ac:dyDescent="0.35">
      <c r="A173" s="56" t="s">
        <v>146</v>
      </c>
      <c r="B173" s="82" t="s">
        <v>118</v>
      </c>
      <c r="C173" s="82"/>
      <c r="D173" s="82"/>
      <c r="E173" s="82"/>
      <c r="F173" s="82"/>
      <c r="G173" s="82"/>
      <c r="H173" s="82"/>
      <c r="I173" s="32"/>
      <c r="J173" s="32"/>
    </row>
    <row r="174" spans="1:20" x14ac:dyDescent="0.35">
      <c r="A174" s="56" t="s">
        <v>146</v>
      </c>
      <c r="B174" s="82" t="s">
        <v>339</v>
      </c>
      <c r="C174" s="82"/>
      <c r="D174" s="82"/>
      <c r="E174" s="82"/>
      <c r="F174" s="82"/>
      <c r="G174" s="82"/>
      <c r="H174" s="82"/>
      <c r="I174" s="32"/>
      <c r="J174" s="32"/>
    </row>
    <row r="175" spans="1:20" x14ac:dyDescent="0.35">
      <c r="A175" s="56" t="s">
        <v>146</v>
      </c>
      <c r="B175" s="82" t="s">
        <v>145</v>
      </c>
      <c r="C175" s="82"/>
      <c r="D175" s="82"/>
      <c r="E175" s="82"/>
      <c r="F175" s="82"/>
      <c r="G175" s="82"/>
      <c r="H175" s="82"/>
      <c r="I175" s="32"/>
      <c r="J175" s="32"/>
    </row>
    <row r="176" spans="1:20" x14ac:dyDescent="0.35">
      <c r="A176" s="56" t="s">
        <v>146</v>
      </c>
      <c r="B176" s="82" t="s">
        <v>119</v>
      </c>
      <c r="C176" s="82"/>
      <c r="D176" s="82"/>
      <c r="E176" s="82"/>
      <c r="F176" s="82"/>
      <c r="G176" s="82"/>
      <c r="H176" s="82"/>
      <c r="I176" s="32"/>
      <c r="J176" s="32"/>
    </row>
    <row r="177" spans="1:8" ht="30.75" hidden="1" customHeight="1" x14ac:dyDescent="0.35">
      <c r="A177" s="56" t="s">
        <v>146</v>
      </c>
      <c r="B177" s="82" t="s">
        <v>147</v>
      </c>
      <c r="C177" s="82"/>
      <c r="D177" s="82"/>
      <c r="E177" s="82"/>
      <c r="F177" s="82"/>
      <c r="G177" s="82"/>
      <c r="H177" s="82"/>
    </row>
    <row r="178" spans="1:8" ht="15" customHeight="1" x14ac:dyDescent="0.35">
      <c r="A178" s="56" t="s">
        <v>146</v>
      </c>
      <c r="B178" s="82" t="s">
        <v>120</v>
      </c>
      <c r="C178" s="82"/>
      <c r="D178" s="82"/>
      <c r="E178" s="82"/>
      <c r="F178" s="82"/>
      <c r="G178" s="82"/>
      <c r="H178" s="82"/>
    </row>
    <row r="179" spans="1:8" ht="15" customHeight="1" x14ac:dyDescent="0.35">
      <c r="A179" s="56" t="s">
        <v>146</v>
      </c>
      <c r="B179" s="82" t="s">
        <v>349</v>
      </c>
      <c r="C179" s="82"/>
      <c r="D179" s="82"/>
      <c r="E179" s="82"/>
      <c r="F179" s="82"/>
      <c r="G179" s="82"/>
      <c r="H179" s="82"/>
    </row>
    <row r="180" spans="1:8" hidden="1" x14ac:dyDescent="0.35">
      <c r="A180" s="56" t="s">
        <v>146</v>
      </c>
      <c r="B180" s="177" t="s">
        <v>171</v>
      </c>
      <c r="C180" s="177"/>
      <c r="D180" s="177"/>
      <c r="E180" s="177"/>
      <c r="F180" s="177"/>
      <c r="G180" s="177"/>
      <c r="H180" s="177"/>
    </row>
    <row r="181" spans="1:8" hidden="1" x14ac:dyDescent="0.35">
      <c r="A181" s="56" t="s">
        <v>146</v>
      </c>
      <c r="B181" s="177" t="s">
        <v>226</v>
      </c>
      <c r="C181" s="177"/>
      <c r="D181" s="177"/>
      <c r="E181" s="177"/>
      <c r="F181" s="177"/>
      <c r="G181" s="177"/>
      <c r="H181" s="177"/>
    </row>
    <row r="182" spans="1:8" x14ac:dyDescent="0.35">
      <c r="A182" s="180" t="s">
        <v>58</v>
      </c>
      <c r="B182" s="180"/>
      <c r="C182" s="180"/>
      <c r="D182" s="180"/>
      <c r="E182" s="180"/>
      <c r="F182" s="180"/>
      <c r="G182" s="180"/>
      <c r="H182" s="180"/>
    </row>
    <row r="183" spans="1:8" x14ac:dyDescent="0.35">
      <c r="A183" s="78" t="s">
        <v>59</v>
      </c>
      <c r="B183" s="78"/>
      <c r="C183" s="78"/>
      <c r="D183" s="78"/>
      <c r="E183" s="78"/>
      <c r="F183" s="78"/>
      <c r="G183" s="78"/>
      <c r="H183" s="78"/>
    </row>
    <row r="184" spans="1:8" x14ac:dyDescent="0.35">
      <c r="A184" s="172" t="s">
        <v>60</v>
      </c>
      <c r="B184" s="172"/>
      <c r="C184" s="172"/>
      <c r="D184" s="172"/>
      <c r="E184" s="172"/>
      <c r="F184" s="172"/>
      <c r="G184" s="172"/>
      <c r="H184" s="172"/>
    </row>
    <row r="185" spans="1:8" x14ac:dyDescent="0.35">
      <c r="A185" s="78" t="s">
        <v>61</v>
      </c>
      <c r="B185" s="78"/>
      <c r="C185" s="78"/>
      <c r="D185" s="78"/>
      <c r="E185" s="78"/>
      <c r="F185" s="78"/>
      <c r="G185" s="78"/>
      <c r="H185" s="78"/>
    </row>
    <row r="186" spans="1:8" x14ac:dyDescent="0.35">
      <c r="A186" s="78" t="s">
        <v>62</v>
      </c>
      <c r="B186" s="78"/>
      <c r="C186" s="78"/>
      <c r="D186" s="78"/>
      <c r="E186" s="78"/>
      <c r="F186" s="78"/>
      <c r="G186" s="78"/>
      <c r="H186" s="78"/>
    </row>
    <row r="187" spans="1:8" x14ac:dyDescent="0.35">
      <c r="A187" s="78" t="s">
        <v>121</v>
      </c>
      <c r="B187" s="78"/>
      <c r="C187" s="78"/>
      <c r="D187" s="78"/>
      <c r="E187" s="78"/>
      <c r="F187" s="78"/>
      <c r="G187" s="78"/>
      <c r="H187" s="78"/>
    </row>
    <row r="188" spans="1:8" ht="34.5" customHeight="1" x14ac:dyDescent="0.35">
      <c r="A188" s="99" t="s">
        <v>122</v>
      </c>
      <c r="B188" s="99"/>
      <c r="C188" s="99"/>
      <c r="D188" s="99"/>
      <c r="E188" s="99"/>
      <c r="F188" s="99"/>
      <c r="G188" s="99"/>
      <c r="H188" s="99"/>
    </row>
    <row r="189" spans="1:8" x14ac:dyDescent="0.35">
      <c r="A189" s="179" t="s">
        <v>73</v>
      </c>
      <c r="B189" s="179"/>
      <c r="C189" s="179" t="s">
        <v>352</v>
      </c>
      <c r="D189" s="179"/>
      <c r="E189" s="179" t="s">
        <v>101</v>
      </c>
      <c r="F189" s="179"/>
      <c r="G189" s="179" t="s">
        <v>355</v>
      </c>
      <c r="H189" s="179"/>
    </row>
    <row r="190" spans="1:8" x14ac:dyDescent="0.35">
      <c r="A190" s="178" t="s">
        <v>75</v>
      </c>
      <c r="B190" s="178"/>
      <c r="C190" s="178"/>
      <c r="D190" s="178"/>
      <c r="E190" s="178"/>
      <c r="F190" s="178"/>
      <c r="G190" s="178"/>
      <c r="H190" s="178"/>
    </row>
    <row r="191" spans="1:8" x14ac:dyDescent="0.35">
      <c r="A191" s="178"/>
      <c r="B191" s="178"/>
      <c r="C191" s="178"/>
      <c r="D191" s="178"/>
      <c r="E191" s="178"/>
      <c r="F191" s="178"/>
      <c r="G191" s="178"/>
      <c r="H191" s="178"/>
    </row>
    <row r="192" spans="1:8" x14ac:dyDescent="0.35">
      <c r="A192" s="178"/>
      <c r="B192" s="178"/>
      <c r="C192" s="178"/>
      <c r="D192" s="178"/>
      <c r="E192" s="178"/>
      <c r="F192" s="178"/>
      <c r="G192" s="178"/>
      <c r="H192" s="178"/>
    </row>
    <row r="193" spans="1:8" x14ac:dyDescent="0.35">
      <c r="A193" s="178"/>
      <c r="B193" s="178"/>
      <c r="C193" s="178"/>
      <c r="D193" s="178"/>
      <c r="E193" s="178"/>
      <c r="F193" s="178"/>
      <c r="G193" s="178"/>
      <c r="H193" s="178"/>
    </row>
    <row r="194" spans="1:8" x14ac:dyDescent="0.35">
      <c r="A194" s="35" t="s">
        <v>63</v>
      </c>
      <c r="B194" s="36"/>
      <c r="C194" s="36"/>
      <c r="D194" s="35" t="str">
        <f>E9</f>
        <v>Sadguru Tower Bldg No.2</v>
      </c>
      <c r="F194" s="36"/>
      <c r="G194" s="36"/>
      <c r="H194" s="36"/>
    </row>
    <row r="195" spans="1:8" x14ac:dyDescent="0.35">
      <c r="A195" s="36"/>
      <c r="B195" s="36"/>
      <c r="C195" s="36"/>
      <c r="D195" s="36"/>
      <c r="E195" s="36"/>
      <c r="F195" s="36"/>
      <c r="G195" s="36"/>
      <c r="H195" s="36"/>
    </row>
    <row r="196" spans="1:8" x14ac:dyDescent="0.35">
      <c r="A196" s="36"/>
      <c r="B196" s="36"/>
      <c r="C196" s="36"/>
      <c r="D196" s="36"/>
      <c r="E196" s="36"/>
      <c r="F196" s="36"/>
      <c r="G196" s="36"/>
      <c r="H196" s="36"/>
    </row>
    <row r="237" spans="1:1" x14ac:dyDescent="0.35">
      <c r="A237" s="38" t="s">
        <v>157</v>
      </c>
    </row>
    <row r="280" spans="1:1" x14ac:dyDescent="0.35">
      <c r="A280" s="38" t="s">
        <v>64</v>
      </c>
    </row>
  </sheetData>
  <mergeCells count="346">
    <mergeCell ref="I16:P16"/>
    <mergeCell ref="F112:H112"/>
    <mergeCell ref="F110:H110"/>
    <mergeCell ref="E44:H44"/>
    <mergeCell ref="A44:D44"/>
    <mergeCell ref="A51:B51"/>
    <mergeCell ref="C51:E51"/>
    <mergeCell ref="G51:H51"/>
    <mergeCell ref="G53:H53"/>
    <mergeCell ref="A52:B52"/>
    <mergeCell ref="A55:B56"/>
    <mergeCell ref="C55:E55"/>
    <mergeCell ref="G55:H55"/>
    <mergeCell ref="A57:B58"/>
    <mergeCell ref="C57:E57"/>
    <mergeCell ref="G57:H57"/>
    <mergeCell ref="A62:H62"/>
    <mergeCell ref="A97:B97"/>
    <mergeCell ref="A98:B98"/>
    <mergeCell ref="A72:C72"/>
    <mergeCell ref="A88:B88"/>
    <mergeCell ref="G77:H77"/>
    <mergeCell ref="E78:F87"/>
    <mergeCell ref="G78:H87"/>
    <mergeCell ref="A86:B86"/>
    <mergeCell ref="A87:B87"/>
    <mergeCell ref="A101:B101"/>
    <mergeCell ref="A90:B90"/>
    <mergeCell ref="A84:B84"/>
    <mergeCell ref="C90:H90"/>
    <mergeCell ref="A80:B80"/>
    <mergeCell ref="A78:B78"/>
    <mergeCell ref="C88:H88"/>
    <mergeCell ref="A83:B83"/>
    <mergeCell ref="A91:B91"/>
    <mergeCell ref="A93:B93"/>
    <mergeCell ref="A94:B94"/>
    <mergeCell ref="A95:B95"/>
    <mergeCell ref="A96:B96"/>
    <mergeCell ref="F103:H103"/>
    <mergeCell ref="G117:H117"/>
    <mergeCell ref="F109:H109"/>
    <mergeCell ref="C116:D116"/>
    <mergeCell ref="A106:E106"/>
    <mergeCell ref="A105:E105"/>
    <mergeCell ref="A102:E102"/>
    <mergeCell ref="F106:H106"/>
    <mergeCell ref="F102:H102"/>
    <mergeCell ref="F107:H107"/>
    <mergeCell ref="A108:E108"/>
    <mergeCell ref="F108:H108"/>
    <mergeCell ref="A115:H115"/>
    <mergeCell ref="A113:E113"/>
    <mergeCell ref="F113:H113"/>
    <mergeCell ref="A114:E114"/>
    <mergeCell ref="F114:H114"/>
    <mergeCell ref="F111:H111"/>
    <mergeCell ref="E116:F116"/>
    <mergeCell ref="A116:B116"/>
    <mergeCell ref="F104:H104"/>
    <mergeCell ref="A104:E104"/>
    <mergeCell ref="F105:H105"/>
    <mergeCell ref="A109:E109"/>
    <mergeCell ref="A168:B168"/>
    <mergeCell ref="B170:H170"/>
    <mergeCell ref="B171:H171"/>
    <mergeCell ref="D128:D129"/>
    <mergeCell ref="G128:G129"/>
    <mergeCell ref="A166:B166"/>
    <mergeCell ref="A154:H154"/>
    <mergeCell ref="A153:B153"/>
    <mergeCell ref="A131:B131"/>
    <mergeCell ref="A145:B145"/>
    <mergeCell ref="C128:C129"/>
    <mergeCell ref="B136:B137"/>
    <mergeCell ref="B128:B129"/>
    <mergeCell ref="A128:A129"/>
    <mergeCell ref="C136:C137"/>
    <mergeCell ref="G136:G137"/>
    <mergeCell ref="E136:E137"/>
    <mergeCell ref="A121:B121"/>
    <mergeCell ref="A190:H193"/>
    <mergeCell ref="A189:B189"/>
    <mergeCell ref="E189:F189"/>
    <mergeCell ref="C189:D189"/>
    <mergeCell ref="G189:H189"/>
    <mergeCell ref="A158:B158"/>
    <mergeCell ref="A185:H185"/>
    <mergeCell ref="C159:H159"/>
    <mergeCell ref="A161:B161"/>
    <mergeCell ref="A159:B159"/>
    <mergeCell ref="A188:H188"/>
    <mergeCell ref="A186:H186"/>
    <mergeCell ref="A182:H182"/>
    <mergeCell ref="A169:H169"/>
    <mergeCell ref="A165:B165"/>
    <mergeCell ref="A162:H162"/>
    <mergeCell ref="A167:B167"/>
    <mergeCell ref="B180:H180"/>
    <mergeCell ref="B179:H179"/>
    <mergeCell ref="B176:H176"/>
    <mergeCell ref="B172:H172"/>
    <mergeCell ref="A160:B160"/>
    <mergeCell ref="A183:H183"/>
    <mergeCell ref="A187:H187"/>
    <mergeCell ref="A184:H184"/>
    <mergeCell ref="B174:H174"/>
    <mergeCell ref="B175:H175"/>
    <mergeCell ref="A163:B163"/>
    <mergeCell ref="A130:H130"/>
    <mergeCell ref="B173:H173"/>
    <mergeCell ref="A139:H139"/>
    <mergeCell ref="A140:H140"/>
    <mergeCell ref="A146:B146"/>
    <mergeCell ref="A143:B143"/>
    <mergeCell ref="C143:H143"/>
    <mergeCell ref="C146:H146"/>
    <mergeCell ref="A147:H147"/>
    <mergeCell ref="A155:H155"/>
    <mergeCell ref="B181:H181"/>
    <mergeCell ref="B177:H177"/>
    <mergeCell ref="A164:B164"/>
    <mergeCell ref="C156:H156"/>
    <mergeCell ref="A152:B152"/>
    <mergeCell ref="A156:B156"/>
    <mergeCell ref="A157:B157"/>
    <mergeCell ref="A132:B132"/>
    <mergeCell ref="D136:D137"/>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E15:H15"/>
    <mergeCell ref="A16:D16"/>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E28:H28"/>
    <mergeCell ref="A30:D30"/>
    <mergeCell ref="E30:H30"/>
    <mergeCell ref="A27:D27"/>
    <mergeCell ref="E27:H27"/>
    <mergeCell ref="A26:D26"/>
    <mergeCell ref="E26:H26"/>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A39:H39"/>
    <mergeCell ref="A38:B38"/>
    <mergeCell ref="C38:E38"/>
    <mergeCell ref="A43:D43"/>
    <mergeCell ref="E43:H43"/>
    <mergeCell ref="A42:H42"/>
    <mergeCell ref="A67:C67"/>
    <mergeCell ref="A68:C68"/>
    <mergeCell ref="D67:H67"/>
    <mergeCell ref="D68:H68"/>
    <mergeCell ref="A45:D45"/>
    <mergeCell ref="E45:H45"/>
    <mergeCell ref="E46:H46"/>
    <mergeCell ref="E47:H47"/>
    <mergeCell ref="F38:H38"/>
    <mergeCell ref="A59:B60"/>
    <mergeCell ref="C59:E59"/>
    <mergeCell ref="G59:H59"/>
    <mergeCell ref="G52:H52"/>
    <mergeCell ref="A49:H49"/>
    <mergeCell ref="A65:C65"/>
    <mergeCell ref="A41:B41"/>
    <mergeCell ref="C41:H41"/>
    <mergeCell ref="A63:C63"/>
    <mergeCell ref="L120:M120"/>
    <mergeCell ref="L119:M119"/>
    <mergeCell ref="L118:M118"/>
    <mergeCell ref="L117:M117"/>
    <mergeCell ref="A85:B85"/>
    <mergeCell ref="A74:B74"/>
    <mergeCell ref="C74:H74"/>
    <mergeCell ref="A82:B82"/>
    <mergeCell ref="A69:C69"/>
    <mergeCell ref="D69:H69"/>
    <mergeCell ref="C76:H76"/>
    <mergeCell ref="A79:B79"/>
    <mergeCell ref="A81:B81"/>
    <mergeCell ref="E77:F77"/>
    <mergeCell ref="A70:C70"/>
    <mergeCell ref="A120:H120"/>
    <mergeCell ref="A119:B119"/>
    <mergeCell ref="C119:D119"/>
    <mergeCell ref="E119:F119"/>
    <mergeCell ref="E91:F91"/>
    <mergeCell ref="G91:H91"/>
    <mergeCell ref="A73:C73"/>
    <mergeCell ref="D73:H73"/>
    <mergeCell ref="A71:C71"/>
    <mergeCell ref="A50:B50"/>
    <mergeCell ref="C50:H50"/>
    <mergeCell ref="D70:H70"/>
    <mergeCell ref="A46:D46"/>
    <mergeCell ref="A48:D48"/>
    <mergeCell ref="A53:B54"/>
    <mergeCell ref="C53:E53"/>
    <mergeCell ref="A66:C66"/>
    <mergeCell ref="D66:H66"/>
    <mergeCell ref="E48:H48"/>
    <mergeCell ref="D63:H63"/>
    <mergeCell ref="C52:E52"/>
    <mergeCell ref="C54:H54"/>
    <mergeCell ref="D65:H65"/>
    <mergeCell ref="A61:B61"/>
    <mergeCell ref="C61:E61"/>
    <mergeCell ref="L129:M129"/>
    <mergeCell ref="A151:B151"/>
    <mergeCell ref="A148:B148"/>
    <mergeCell ref="A149:B149"/>
    <mergeCell ref="L128:M128"/>
    <mergeCell ref="L125:M125"/>
    <mergeCell ref="A142:B142"/>
    <mergeCell ref="L126:M126"/>
    <mergeCell ref="A144:B144"/>
    <mergeCell ref="L127:M127"/>
    <mergeCell ref="A126:H126"/>
    <mergeCell ref="A136:A137"/>
    <mergeCell ref="F136:F137"/>
    <mergeCell ref="A141:B141"/>
    <mergeCell ref="A134:B134"/>
    <mergeCell ref="A133:B133"/>
    <mergeCell ref="A135:H135"/>
    <mergeCell ref="F128:F129"/>
    <mergeCell ref="A150:B150"/>
    <mergeCell ref="A125:B125"/>
    <mergeCell ref="C125:D125"/>
    <mergeCell ref="E125:F125"/>
    <mergeCell ref="A127:H127"/>
    <mergeCell ref="A138:H138"/>
    <mergeCell ref="D71:H71"/>
    <mergeCell ref="C58:H58"/>
    <mergeCell ref="C60:H60"/>
    <mergeCell ref="A107:E107"/>
    <mergeCell ref="A124:B124"/>
    <mergeCell ref="E124:F124"/>
    <mergeCell ref="A112:E112"/>
    <mergeCell ref="G124:H124"/>
    <mergeCell ref="D64:H64"/>
    <mergeCell ref="G61:H61"/>
    <mergeCell ref="C124:D124"/>
    <mergeCell ref="C118:D118"/>
    <mergeCell ref="E118:F118"/>
    <mergeCell ref="G118:H118"/>
    <mergeCell ref="D72:H72"/>
    <mergeCell ref="G116:H116"/>
    <mergeCell ref="A111:E111"/>
    <mergeCell ref="E122:F122"/>
    <mergeCell ref="G92:H101"/>
    <mergeCell ref="E92:F101"/>
    <mergeCell ref="A99:B99"/>
    <mergeCell ref="A100:B100"/>
    <mergeCell ref="A64:C64"/>
    <mergeCell ref="A110:E110"/>
    <mergeCell ref="A40:B40"/>
    <mergeCell ref="C40:H40"/>
    <mergeCell ref="A47:D47"/>
    <mergeCell ref="A76:B76"/>
    <mergeCell ref="A77:B77"/>
    <mergeCell ref="B178:H178"/>
    <mergeCell ref="G119:H119"/>
    <mergeCell ref="C123:D123"/>
    <mergeCell ref="E123:F123"/>
    <mergeCell ref="G123:H123"/>
    <mergeCell ref="C122:D122"/>
    <mergeCell ref="C121:D121"/>
    <mergeCell ref="G121:H121"/>
    <mergeCell ref="E121:F121"/>
    <mergeCell ref="C117:D117"/>
    <mergeCell ref="E117:F117"/>
    <mergeCell ref="G125:H125"/>
    <mergeCell ref="C56:H56"/>
    <mergeCell ref="A117:A118"/>
    <mergeCell ref="A122:A123"/>
    <mergeCell ref="G122:H122"/>
    <mergeCell ref="A103:E103"/>
    <mergeCell ref="E128:E129"/>
    <mergeCell ref="A92:B92"/>
  </mergeCells>
  <dataValidations count="14">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28:E129">
      <formula1>"Attached Loft area,Attached Otla area,Attached Mezzanine area"</formula1>
    </dataValidation>
    <dataValidation type="list" allowBlank="1" showInputMessage="1" showErrorMessage="1" sqref="G189:H189">
      <formula1>"Kunal Kadam,Pranita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B128:B129">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36:E137">
      <formula1>"Fungible area,Balcony Area + AP Area,Chajja Area,Cornice Area,AP Area,WS Area"</formula1>
    </dataValidation>
    <dataValidation type="list" allowBlank="1" showInputMessage="1" showErrorMessage="1" sqref="H129 H137">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4" manualBreakCount="4">
    <brk id="73" max="16383" man="1"/>
    <brk id="193" max="7" man="1"/>
    <brk id="236" max="7" man="1"/>
    <brk id="27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81640625" defaultRowHeight="14.5" x14ac:dyDescent="0.35"/>
  <cols>
    <col min="1" max="1" width="8.81640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81640625" style="1"/>
  </cols>
  <sheetData>
    <row r="1" spans="1:9" ht="15" customHeight="1" x14ac:dyDescent="0.35"/>
    <row r="2" spans="1:9" ht="15" customHeight="1" x14ac:dyDescent="0.35">
      <c r="A2" s="2"/>
      <c r="B2" s="2"/>
      <c r="C2" s="2"/>
      <c r="D2" s="2"/>
      <c r="E2" s="2"/>
      <c r="F2" s="2"/>
      <c r="G2" s="2"/>
      <c r="H2" s="2"/>
    </row>
    <row r="3" spans="1:9" ht="15.75" customHeight="1" x14ac:dyDescent="0.35">
      <c r="A3" s="2"/>
      <c r="B3" s="196" t="s">
        <v>102</v>
      </c>
      <c r="C3" s="196"/>
      <c r="D3" s="196"/>
      <c r="E3" s="196"/>
      <c r="F3" s="196"/>
      <c r="G3" s="196"/>
      <c r="H3" s="196"/>
    </row>
    <row r="4" spans="1:9" x14ac:dyDescent="0.35">
      <c r="A4" s="2"/>
      <c r="B4" s="3" t="s">
        <v>103</v>
      </c>
      <c r="C4" s="3" t="s">
        <v>104</v>
      </c>
      <c r="D4" s="3" t="s">
        <v>66</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172</v>
      </c>
      <c r="E4" s="47" t="s">
        <v>182</v>
      </c>
      <c r="F4" s="47" t="s">
        <v>166</v>
      </c>
      <c r="G4" s="47" t="s">
        <v>187</v>
      </c>
      <c r="H4" s="47" t="s">
        <v>205</v>
      </c>
      <c r="J4" t="s">
        <v>187</v>
      </c>
      <c r="K4" t="s">
        <v>203</v>
      </c>
    </row>
    <row r="5" spans="2:11" x14ac:dyDescent="0.35">
      <c r="B5" s="46"/>
      <c r="C5" s="46"/>
      <c r="D5" s="47" t="s">
        <v>173</v>
      </c>
      <c r="E5" s="47" t="s">
        <v>180</v>
      </c>
      <c r="F5" s="47" t="s">
        <v>202</v>
      </c>
      <c r="G5" s="47" t="s">
        <v>188</v>
      </c>
      <c r="H5" s="47" t="s">
        <v>206</v>
      </c>
    </row>
    <row r="6" spans="2:11" x14ac:dyDescent="0.35">
      <c r="B6" s="46"/>
      <c r="C6" s="46"/>
      <c r="D6" s="47" t="s">
        <v>174</v>
      </c>
      <c r="E6" s="47" t="s">
        <v>181</v>
      </c>
      <c r="F6" s="47" t="s">
        <v>203</v>
      </c>
      <c r="G6" s="47" t="s">
        <v>189</v>
      </c>
      <c r="H6" s="47" t="s">
        <v>219</v>
      </c>
    </row>
    <row r="7" spans="2:11" x14ac:dyDescent="0.35">
      <c r="B7" s="46"/>
      <c r="C7" s="46"/>
      <c r="D7" s="47" t="s">
        <v>175</v>
      </c>
      <c r="E7" s="47" t="s">
        <v>183</v>
      </c>
      <c r="F7" s="47" t="s">
        <v>204</v>
      </c>
      <c r="G7" s="47" t="s">
        <v>190</v>
      </c>
      <c r="H7" s="47" t="s">
        <v>207</v>
      </c>
    </row>
    <row r="8" spans="2:11" x14ac:dyDescent="0.35">
      <c r="B8" s="46"/>
      <c r="C8" s="46"/>
      <c r="D8" s="47" t="s">
        <v>176</v>
      </c>
      <c r="E8" s="47" t="s">
        <v>184</v>
      </c>
      <c r="F8" s="47"/>
      <c r="G8" s="47" t="s">
        <v>191</v>
      </c>
      <c r="H8" s="47" t="s">
        <v>208</v>
      </c>
    </row>
    <row r="9" spans="2:11" x14ac:dyDescent="0.35">
      <c r="B9" s="46"/>
      <c r="C9" s="46"/>
      <c r="D9" s="47" t="s">
        <v>177</v>
      </c>
      <c r="E9" s="47" t="s">
        <v>182</v>
      </c>
      <c r="F9" s="47"/>
      <c r="G9" s="47" t="s">
        <v>192</v>
      </c>
      <c r="H9" s="47" t="s">
        <v>209</v>
      </c>
    </row>
    <row r="10" spans="2:11" x14ac:dyDescent="0.35">
      <c r="B10" s="46"/>
      <c r="C10" s="46"/>
      <c r="D10" s="47" t="s">
        <v>178</v>
      </c>
      <c r="E10" s="47" t="s">
        <v>185</v>
      </c>
      <c r="F10" s="47"/>
      <c r="G10" s="47" t="s">
        <v>193</v>
      </c>
      <c r="H10" s="47" t="s">
        <v>210</v>
      </c>
    </row>
    <row r="11" spans="2:11" x14ac:dyDescent="0.35">
      <c r="B11" s="46"/>
      <c r="C11" s="46"/>
      <c r="D11" s="47" t="s">
        <v>179</v>
      </c>
      <c r="E11" s="47" t="s">
        <v>186</v>
      </c>
      <c r="F11" s="47"/>
      <c r="G11" s="47" t="s">
        <v>194</v>
      </c>
      <c r="H11" s="47" t="s">
        <v>211</v>
      </c>
    </row>
    <row r="12" spans="2:11" x14ac:dyDescent="0.35">
      <c r="B12" s="46"/>
      <c r="C12" s="46"/>
      <c r="D12" s="47"/>
      <c r="E12" s="47"/>
      <c r="F12" s="47"/>
      <c r="G12" s="47" t="s">
        <v>195</v>
      </c>
      <c r="H12" s="47" t="s">
        <v>212</v>
      </c>
    </row>
    <row r="13" spans="2:11" x14ac:dyDescent="0.35">
      <c r="B13" s="46"/>
      <c r="C13" s="46"/>
      <c r="D13" s="47"/>
      <c r="E13" s="47"/>
      <c r="F13" s="47"/>
      <c r="G13" s="47" t="s">
        <v>196</v>
      </c>
      <c r="H13" s="47" t="s">
        <v>213</v>
      </c>
    </row>
    <row r="14" spans="2:11" x14ac:dyDescent="0.35">
      <c r="B14" s="46"/>
      <c r="C14" s="46"/>
      <c r="D14" s="47"/>
      <c r="E14" s="47"/>
      <c r="F14" s="47"/>
      <c r="G14" s="47" t="s">
        <v>197</v>
      </c>
      <c r="H14" s="47" t="s">
        <v>214</v>
      </c>
    </row>
    <row r="15" spans="2:11" x14ac:dyDescent="0.35">
      <c r="B15" s="46"/>
      <c r="C15" s="46"/>
      <c r="D15" s="47"/>
      <c r="E15" s="47"/>
      <c r="F15" s="47"/>
      <c r="G15" s="47" t="s">
        <v>198</v>
      </c>
      <c r="H15" s="47" t="s">
        <v>215</v>
      </c>
    </row>
    <row r="16" spans="2:11" x14ac:dyDescent="0.35">
      <c r="B16" s="46"/>
      <c r="C16" s="46"/>
      <c r="D16" s="47"/>
      <c r="E16" s="47"/>
      <c r="F16" s="47"/>
      <c r="G16" s="47" t="s">
        <v>199</v>
      </c>
      <c r="H16" s="47" t="s">
        <v>216</v>
      </c>
    </row>
    <row r="17" spans="2:8" x14ac:dyDescent="0.35">
      <c r="B17" s="46"/>
      <c r="C17" s="46"/>
      <c r="D17" s="47"/>
      <c r="E17" s="47"/>
      <c r="F17" s="47"/>
      <c r="G17" s="47" t="s">
        <v>200</v>
      </c>
      <c r="H17" s="47" t="s">
        <v>217</v>
      </c>
    </row>
    <row r="18" spans="2:8" x14ac:dyDescent="0.35">
      <c r="B18" s="46"/>
      <c r="C18" s="46"/>
      <c r="D18" s="47"/>
      <c r="E18" s="47"/>
      <c r="F18" s="47"/>
      <c r="G18" s="47" t="s">
        <v>201</v>
      </c>
      <c r="H18" s="47" t="s">
        <v>218</v>
      </c>
    </row>
    <row r="24" spans="2:8" x14ac:dyDescent="0.35">
      <c r="C24" t="s">
        <v>163</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163</v>
      </c>
    </row>
    <row r="33" spans="3:11" x14ac:dyDescent="0.35">
      <c r="J33">
        <v>1</v>
      </c>
      <c r="K33">
        <v>2</v>
      </c>
    </row>
    <row r="34" spans="3:11" x14ac:dyDescent="0.35">
      <c r="C34" s="48" t="s">
        <v>230</v>
      </c>
      <c r="D34" s="47" t="s">
        <v>228</v>
      </c>
      <c r="E34" s="47" t="s">
        <v>233</v>
      </c>
      <c r="F34" s="47" t="s">
        <v>231</v>
      </c>
      <c r="G34" s="47" t="s">
        <v>232</v>
      </c>
      <c r="H34" s="47" t="s">
        <v>234</v>
      </c>
      <c r="J34" t="s">
        <v>187</v>
      </c>
      <c r="K34" t="s">
        <v>203</v>
      </c>
    </row>
    <row r="35" spans="3:11" x14ac:dyDescent="0.35">
      <c r="C35" s="46" t="s">
        <v>229</v>
      </c>
      <c r="D35" s="47" t="s">
        <v>164</v>
      </c>
      <c r="E35" s="47" t="s">
        <v>238</v>
      </c>
      <c r="F35" s="47" t="s">
        <v>240</v>
      </c>
      <c r="G35" s="47" t="s">
        <v>242</v>
      </c>
      <c r="H35" s="47"/>
    </row>
    <row r="36" spans="3:11" x14ac:dyDescent="0.35">
      <c r="C36" s="46"/>
      <c r="D36" s="47" t="s">
        <v>235</v>
      </c>
      <c r="E36" s="47" t="s">
        <v>239</v>
      </c>
      <c r="F36" s="47" t="s">
        <v>241</v>
      </c>
      <c r="G36" s="47" t="s">
        <v>243</v>
      </c>
      <c r="H36" s="47"/>
    </row>
    <row r="37" spans="3:11" x14ac:dyDescent="0.35">
      <c r="C37" s="46"/>
      <c r="D37" s="47" t="s">
        <v>236</v>
      </c>
      <c r="E37" s="47"/>
      <c r="F37" s="47"/>
      <c r="G37" s="47" t="s">
        <v>244</v>
      </c>
      <c r="H37" s="47"/>
    </row>
    <row r="38" spans="3:11" x14ac:dyDescent="0.35">
      <c r="C38" s="46"/>
      <c r="D38" s="47" t="s">
        <v>237</v>
      </c>
      <c r="E38" s="47"/>
      <c r="F38" s="47"/>
      <c r="G38" s="47" t="s">
        <v>244</v>
      </c>
      <c r="H38" s="47"/>
    </row>
    <row r="39" spans="3:11" x14ac:dyDescent="0.35">
      <c r="C39" s="46"/>
      <c r="D39" s="47"/>
      <c r="E39" s="47"/>
      <c r="F39" s="47"/>
      <c r="G39" s="47" t="s">
        <v>245</v>
      </c>
      <c r="H39" s="47"/>
    </row>
    <row r="40" spans="3:11" x14ac:dyDescent="0.35">
      <c r="C40" s="46"/>
      <c r="D40" s="47"/>
      <c r="E40" s="47"/>
      <c r="F40" s="47"/>
      <c r="G40" s="47" t="s">
        <v>246</v>
      </c>
      <c r="H40" s="47"/>
    </row>
    <row r="41" spans="3:11" x14ac:dyDescent="0.35">
      <c r="C41" s="46"/>
      <c r="D41" s="47"/>
      <c r="E41" s="47"/>
      <c r="F41" s="47"/>
      <c r="G41" s="47"/>
      <c r="H41" s="47"/>
    </row>
    <row r="43" spans="3:11" x14ac:dyDescent="0.35">
      <c r="C43" t="s">
        <v>247</v>
      </c>
    </row>
    <row r="44" spans="3:11" x14ac:dyDescent="0.35">
      <c r="C44" t="s">
        <v>166</v>
      </c>
      <c r="D44" t="s">
        <v>248</v>
      </c>
    </row>
    <row r="45" spans="3:11" x14ac:dyDescent="0.35">
      <c r="D45" t="s">
        <v>249</v>
      </c>
    </row>
    <row r="46" spans="3:11" x14ac:dyDescent="0.35">
      <c r="D46" t="s">
        <v>250</v>
      </c>
    </row>
    <row r="47" spans="3:11" x14ac:dyDescent="0.35">
      <c r="D47" t="s">
        <v>251</v>
      </c>
    </row>
    <row r="48" spans="3:11" x14ac:dyDescent="0.35">
      <c r="D48" t="s">
        <v>252</v>
      </c>
    </row>
    <row r="49" spans="3:4" x14ac:dyDescent="0.35">
      <c r="C49" t="s">
        <v>172</v>
      </c>
      <c r="D49" t="s">
        <v>253</v>
      </c>
    </row>
    <row r="50" spans="3:4" x14ac:dyDescent="0.35">
      <c r="D50" t="s">
        <v>254</v>
      </c>
    </row>
    <row r="51" spans="3:4" x14ac:dyDescent="0.35">
      <c r="D51" t="s">
        <v>255</v>
      </c>
    </row>
    <row r="52" spans="3:4" x14ac:dyDescent="0.35">
      <c r="D52" t="s">
        <v>258</v>
      </c>
    </row>
    <row r="53" spans="3:4" x14ac:dyDescent="0.35">
      <c r="D53" t="s">
        <v>256</v>
      </c>
    </row>
    <row r="54" spans="3:4" x14ac:dyDescent="0.35">
      <c r="D54" t="s">
        <v>257</v>
      </c>
    </row>
    <row r="55" spans="3:4" x14ac:dyDescent="0.35">
      <c r="D55" t="s">
        <v>259</v>
      </c>
    </row>
    <row r="56" spans="3:4" x14ac:dyDescent="0.35">
      <c r="D56" t="s">
        <v>260</v>
      </c>
    </row>
    <row r="57" spans="3:4" x14ac:dyDescent="0.35">
      <c r="D57" t="s">
        <v>261</v>
      </c>
    </row>
    <row r="58" spans="3:4" x14ac:dyDescent="0.35">
      <c r="D58" t="s">
        <v>263</v>
      </c>
    </row>
    <row r="59" spans="3:4" x14ac:dyDescent="0.35">
      <c r="D59" t="s">
        <v>272</v>
      </c>
    </row>
    <row r="60" spans="3:4" x14ac:dyDescent="0.35">
      <c r="C60" t="s">
        <v>187</v>
      </c>
      <c r="D60" t="s">
        <v>264</v>
      </c>
    </row>
    <row r="61" spans="3:4" x14ac:dyDescent="0.35">
      <c r="D61" t="s">
        <v>262</v>
      </c>
    </row>
    <row r="62" spans="3:4" x14ac:dyDescent="0.35">
      <c r="D62" t="s">
        <v>252</v>
      </c>
    </row>
    <row r="63" spans="3:4" x14ac:dyDescent="0.35">
      <c r="D63" t="s">
        <v>265</v>
      </c>
    </row>
    <row r="64" spans="3:4" x14ac:dyDescent="0.35">
      <c r="D64" t="s">
        <v>266</v>
      </c>
    </row>
    <row r="65" spans="3:4" x14ac:dyDescent="0.35">
      <c r="D65" t="s">
        <v>267</v>
      </c>
    </row>
    <row r="66" spans="3:4" x14ac:dyDescent="0.35">
      <c r="D66" t="s">
        <v>268</v>
      </c>
    </row>
    <row r="67" spans="3:4" x14ac:dyDescent="0.35">
      <c r="C67" t="s">
        <v>182</v>
      </c>
      <c r="D67" t="s">
        <v>269</v>
      </c>
    </row>
    <row r="68" spans="3:4" x14ac:dyDescent="0.35">
      <c r="D68" t="s">
        <v>270</v>
      </c>
    </row>
    <row r="69" spans="3:4" x14ac:dyDescent="0.35">
      <c r="D69" t="s">
        <v>271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zoomScaleNormal="100" workbookViewId="0">
      <selection activeCell="C17" sqref="C17"/>
    </sheetView>
  </sheetViews>
  <sheetFormatPr defaultRowHeight="14.5" x14ac:dyDescent="0.35"/>
  <cols>
    <col min="2" max="2" width="3" bestFit="1" customWidth="1"/>
    <col min="3" max="3" width="167.1796875" customWidth="1"/>
  </cols>
  <sheetData>
    <row r="2" spans="2:3" ht="15" customHeight="1" x14ac:dyDescent="0.35">
      <c r="B2" s="49">
        <v>1</v>
      </c>
      <c r="C2" s="51" t="s">
        <v>278</v>
      </c>
    </row>
    <row r="3" spans="2:3" x14ac:dyDescent="0.35">
      <c r="B3" s="49">
        <v>2</v>
      </c>
      <c r="C3" s="50" t="s">
        <v>279</v>
      </c>
    </row>
    <row r="4" spans="2:3" x14ac:dyDescent="0.35">
      <c r="B4" s="49">
        <v>3</v>
      </c>
      <c r="C4" s="49" t="s">
        <v>280</v>
      </c>
    </row>
    <row r="5" spans="2:3" x14ac:dyDescent="0.35">
      <c r="B5" s="49">
        <v>4</v>
      </c>
      <c r="C5" s="50" t="s">
        <v>281</v>
      </c>
    </row>
    <row r="6" spans="2:3" x14ac:dyDescent="0.35">
      <c r="B6" s="49">
        <v>5</v>
      </c>
      <c r="C6" s="49" t="s">
        <v>282</v>
      </c>
    </row>
    <row r="7" spans="2:3" x14ac:dyDescent="0.35">
      <c r="B7" s="49">
        <v>6</v>
      </c>
      <c r="C7" s="50" t="s">
        <v>283</v>
      </c>
    </row>
    <row r="8" spans="2:3" ht="72.5" x14ac:dyDescent="0.35">
      <c r="B8" s="49">
        <v>7</v>
      </c>
      <c r="C8" s="50" t="s">
        <v>284</v>
      </c>
    </row>
    <row r="9" spans="2:3" x14ac:dyDescent="0.35">
      <c r="B9" s="49">
        <v>8</v>
      </c>
      <c r="C9" s="49" t="s">
        <v>285</v>
      </c>
    </row>
    <row r="10" spans="2:3" x14ac:dyDescent="0.35">
      <c r="B10" s="49">
        <v>9</v>
      </c>
      <c r="C10" s="49" t="s">
        <v>286</v>
      </c>
    </row>
    <row r="11" spans="2:3" x14ac:dyDescent="0.35">
      <c r="B11" s="49">
        <v>10</v>
      </c>
      <c r="C11" s="49" t="s">
        <v>287</v>
      </c>
    </row>
    <row r="12" spans="2:3" x14ac:dyDescent="0.35">
      <c r="B12" s="49">
        <v>11</v>
      </c>
      <c r="C12" s="49" t="s">
        <v>288</v>
      </c>
    </row>
    <row r="13" spans="2:3" x14ac:dyDescent="0.35">
      <c r="B13" s="49">
        <v>12</v>
      </c>
      <c r="C13" s="49" t="s">
        <v>289</v>
      </c>
    </row>
    <row r="14" spans="2:3" x14ac:dyDescent="0.35">
      <c r="B14" s="49">
        <v>13</v>
      </c>
      <c r="C14" s="49" t="s">
        <v>290</v>
      </c>
    </row>
    <row r="15" spans="2:3" x14ac:dyDescent="0.35">
      <c r="B15" s="49">
        <v>14</v>
      </c>
      <c r="C15" s="49" t="s">
        <v>292</v>
      </c>
    </row>
    <row r="16" spans="2:3" x14ac:dyDescent="0.35">
      <c r="B16" s="49">
        <v>15</v>
      </c>
      <c r="C16" s="49" t="s">
        <v>293</v>
      </c>
    </row>
    <row r="17" spans="2:3" x14ac:dyDescent="0.35">
      <c r="B17" s="49">
        <v>16</v>
      </c>
      <c r="C17" s="49" t="s">
        <v>294</v>
      </c>
    </row>
    <row r="18" spans="2:3" x14ac:dyDescent="0.35">
      <c r="B18" s="49">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2025-09-19T11:11:41Z</cp:lastPrinted>
  <dcterms:created xsi:type="dcterms:W3CDTF">2019-07-16T09:29:46Z</dcterms:created>
  <dcterms:modified xsi:type="dcterms:W3CDTF">2025-09-19T11:12:12Z</dcterms:modified>
</cp:coreProperties>
</file>