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VSJCV\Making\AXIS\2025-26\Axis\APF Old\Sept 2025\20-09-2025\"/>
    </mc:Choice>
  </mc:AlternateContent>
  <bookViews>
    <workbookView xWindow="0" yWindow="0" windowWidth="19200" windowHeight="6640" tabRatio="821"/>
  </bookViews>
  <sheets>
    <sheet name="Sheet1" sheetId="1" r:id="rId1"/>
    <sheet name="1 %" sheetId="22" r:id="rId2"/>
    <sheet name="2  %" sheetId="20" r:id="rId3"/>
    <sheet name="3 %" sheetId="23" r:id="rId4"/>
    <sheet name="4 % " sheetId="25" r:id="rId5"/>
    <sheet name="5" sheetId="24" r:id="rId6"/>
    <sheet name="8" sheetId="15" r:id="rId7"/>
    <sheet name="Wing A" sheetId="11" r:id="rId8"/>
    <sheet name="VALUATION" sheetId="26" r:id="rId9"/>
  </sheets>
  <definedNames>
    <definedName name="_xlnm.Print_Area" localSheetId="0">Sheet1!$A$1:$J$450</definedName>
  </definedNames>
  <calcPr calcId="162913"/>
</workbook>
</file>

<file path=xl/calcChain.xml><?xml version="1.0" encoding="utf-8"?>
<calcChain xmlns="http://schemas.openxmlformats.org/spreadsheetml/2006/main">
  <c r="L78" i="1" l="1"/>
  <c r="L77" i="1"/>
  <c r="L76" i="1"/>
  <c r="L75" i="1"/>
  <c r="I68" i="1"/>
  <c r="L73" i="1" l="1"/>
  <c r="L74" i="1" s="1"/>
  <c r="L79" i="1" s="1"/>
  <c r="L80" i="1" s="1"/>
  <c r="C72" i="1" s="1"/>
  <c r="D79" i="1"/>
  <c r="D77" i="1"/>
  <c r="D75" i="1"/>
  <c r="D73" i="1"/>
  <c r="L71" i="1"/>
  <c r="L72" i="1"/>
  <c r="C71" i="1" s="1"/>
  <c r="L70" i="1"/>
  <c r="D80" i="1"/>
  <c r="D78" i="1"/>
  <c r="D76" i="1"/>
  <c r="D74" i="1"/>
  <c r="K56" i="1"/>
  <c r="C64" i="1"/>
  <c r="G51" i="1"/>
  <c r="F71" i="1" l="1"/>
  <c r="D72" i="1"/>
  <c r="H71" i="1"/>
  <c r="D71" i="1"/>
  <c r="L106" i="1"/>
  <c r="L105" i="1"/>
  <c r="L104" i="1"/>
  <c r="L103" i="1"/>
  <c r="I96" i="1"/>
  <c r="K67" i="1" l="1"/>
  <c r="C69" i="1" s="1"/>
  <c r="L100" i="1"/>
  <c r="C99" i="1" s="1"/>
  <c r="D99" i="1" s="1"/>
  <c r="L98" i="1"/>
  <c r="D108" i="1"/>
  <c r="D104" i="1"/>
  <c r="D103" i="1"/>
  <c r="L101" i="1"/>
  <c r="L102" i="1" s="1"/>
  <c r="L107" i="1" s="1"/>
  <c r="L108" i="1" s="1"/>
  <c r="C100" i="1" s="1"/>
  <c r="D106" i="1"/>
  <c r="D102" i="1"/>
  <c r="D107" i="1"/>
  <c r="D105" i="1"/>
  <c r="D101" i="1"/>
  <c r="L99" i="1"/>
  <c r="L92" i="1"/>
  <c r="L91" i="1"/>
  <c r="L90" i="1"/>
  <c r="L89" i="1"/>
  <c r="I82" i="1"/>
  <c r="F99" i="1" l="1"/>
  <c r="K95" i="1" s="1"/>
  <c r="C97" i="1" s="1"/>
  <c r="D100" i="1"/>
  <c r="H99" i="1"/>
  <c r="L87" i="1"/>
  <c r="L88" i="1" s="1"/>
  <c r="L93" i="1" s="1"/>
  <c r="L94" i="1" s="1"/>
  <c r="C86" i="1" s="1"/>
  <c r="D93" i="1"/>
  <c r="D91" i="1"/>
  <c r="D89" i="1"/>
  <c r="D87" i="1"/>
  <c r="L85" i="1"/>
  <c r="L86" i="1"/>
  <c r="C85" i="1" s="1"/>
  <c r="L84" i="1"/>
  <c r="D94" i="1"/>
  <c r="D92" i="1"/>
  <c r="D90" i="1"/>
  <c r="D88" i="1"/>
  <c r="K315" i="1"/>
  <c r="K313" i="1"/>
  <c r="K307" i="1"/>
  <c r="F85" i="1" l="1"/>
  <c r="D86" i="1"/>
  <c r="H85" i="1"/>
  <c r="D85" i="1"/>
  <c r="L120" i="1"/>
  <c r="L119" i="1"/>
  <c r="L118" i="1"/>
  <c r="L117" i="1"/>
  <c r="I110" i="1"/>
  <c r="K81" i="1" l="1"/>
  <c r="C83" i="1" s="1"/>
  <c r="L115" i="1"/>
  <c r="L116" i="1" s="1"/>
  <c r="D115" i="1"/>
  <c r="L113" i="1"/>
  <c r="D122" i="1"/>
  <c r="D121" i="1"/>
  <c r="D120" i="1"/>
  <c r="D119" i="1"/>
  <c r="D118" i="1"/>
  <c r="D117" i="1"/>
  <c r="D116" i="1"/>
  <c r="L114" i="1"/>
  <c r="C113" i="1" s="1"/>
  <c r="L112" i="1"/>
  <c r="G147" i="1"/>
  <c r="K55" i="1"/>
  <c r="K159" i="1"/>
  <c r="G162" i="1"/>
  <c r="G161" i="1"/>
  <c r="G160" i="1"/>
  <c r="G159" i="1"/>
  <c r="G158" i="1"/>
  <c r="G157" i="1"/>
  <c r="G156" i="1"/>
  <c r="G155" i="1"/>
  <c r="G154" i="1"/>
  <c r="G153" i="1"/>
  <c r="G152" i="1"/>
  <c r="C158" i="1"/>
  <c r="C157" i="1"/>
  <c r="C156" i="1"/>
  <c r="C155" i="1"/>
  <c r="C154" i="1"/>
  <c r="D154" i="1"/>
  <c r="D155" i="1"/>
  <c r="D156" i="1"/>
  <c r="D157" i="1"/>
  <c r="D158" i="1"/>
  <c r="L121" i="1" l="1"/>
  <c r="D113" i="1"/>
  <c r="D349" i="1"/>
  <c r="F349" i="1" s="1"/>
  <c r="D334" i="1"/>
  <c r="F334" i="1" s="1"/>
  <c r="D353" i="1"/>
  <c r="F353" i="1" s="1"/>
  <c r="D352" i="1"/>
  <c r="F352" i="1" s="1"/>
  <c r="D351" i="1"/>
  <c r="F351" i="1" s="1"/>
  <c r="D350" i="1"/>
  <c r="F350" i="1" s="1"/>
  <c r="D348" i="1"/>
  <c r="F348" i="1" s="1"/>
  <c r="D347" i="1"/>
  <c r="F347" i="1" s="1"/>
  <c r="D346" i="1"/>
  <c r="F346" i="1" s="1"/>
  <c r="D344" i="1"/>
  <c r="F344" i="1" s="1"/>
  <c r="D343" i="1"/>
  <c r="F343" i="1" s="1"/>
  <c r="D345" i="1"/>
  <c r="F345" i="1" s="1"/>
  <c r="I343" i="1"/>
  <c r="D341" i="1"/>
  <c r="F341" i="1" s="1"/>
  <c r="D340" i="1"/>
  <c r="F340" i="1" s="1"/>
  <c r="D339" i="1"/>
  <c r="F339" i="1" s="1"/>
  <c r="D338" i="1"/>
  <c r="F338" i="1" s="1"/>
  <c r="D337" i="1"/>
  <c r="F337" i="1" s="1"/>
  <c r="D333" i="1"/>
  <c r="F333" i="1" s="1"/>
  <c r="D336" i="1"/>
  <c r="F336" i="1" s="1"/>
  <c r="D335" i="1"/>
  <c r="F335" i="1" s="1"/>
  <c r="D331" i="1"/>
  <c r="F331" i="1" s="1"/>
  <c r="D329" i="1"/>
  <c r="F329" i="1" s="1"/>
  <c r="D328" i="1"/>
  <c r="F328" i="1" s="1"/>
  <c r="I313" i="1"/>
  <c r="D326" i="1"/>
  <c r="F326" i="1" s="1"/>
  <c r="D325" i="1"/>
  <c r="F325" i="1" s="1"/>
  <c r="D324" i="1"/>
  <c r="F324" i="1" s="1"/>
  <c r="D323" i="1"/>
  <c r="F323" i="1" s="1"/>
  <c r="D322" i="1"/>
  <c r="F322" i="1" s="1"/>
  <c r="D321" i="1"/>
  <c r="F321" i="1" s="1"/>
  <c r="D320" i="1"/>
  <c r="F320" i="1" s="1"/>
  <c r="D319" i="1"/>
  <c r="F319" i="1" s="1"/>
  <c r="D318" i="1"/>
  <c r="F318" i="1" s="1"/>
  <c r="D317" i="1"/>
  <c r="F317" i="1" s="1"/>
  <c r="D316" i="1"/>
  <c r="F316" i="1" s="1"/>
  <c r="D315" i="1"/>
  <c r="F315" i="1" s="1"/>
  <c r="D314" i="1"/>
  <c r="F314" i="1" s="1"/>
  <c r="D313" i="1"/>
  <c r="F313" i="1" s="1"/>
  <c r="D327" i="1"/>
  <c r="F327" i="1" s="1"/>
  <c r="D332" i="1"/>
  <c r="F332" i="1" s="1"/>
  <c r="I331" i="1"/>
  <c r="D309" i="1"/>
  <c r="F309" i="1" s="1"/>
  <c r="D310" i="1"/>
  <c r="F310" i="1" s="1"/>
  <c r="D308" i="1"/>
  <c r="F308" i="1" s="1"/>
  <c r="D307" i="1"/>
  <c r="F307" i="1" s="1"/>
  <c r="D305" i="1"/>
  <c r="F305" i="1" s="1"/>
  <c r="D304" i="1"/>
  <c r="D287" i="1"/>
  <c r="D301" i="1"/>
  <c r="F301" i="1" s="1"/>
  <c r="D300" i="1"/>
  <c r="F300" i="1" s="1"/>
  <c r="D298" i="1"/>
  <c r="F298" i="1" s="1"/>
  <c r="D297" i="1"/>
  <c r="F297" i="1" s="1"/>
  <c r="D296" i="1"/>
  <c r="F296" i="1" s="1"/>
  <c r="K296" i="1" s="1"/>
  <c r="D295" i="1"/>
  <c r="F295" i="1" s="1"/>
  <c r="K295" i="1" s="1"/>
  <c r="I294" i="1"/>
  <c r="D294" i="1"/>
  <c r="F294" i="1" s="1"/>
  <c r="K294" i="1" s="1"/>
  <c r="D299" i="1"/>
  <c r="F299" i="1" s="1"/>
  <c r="D292" i="1"/>
  <c r="F292" i="1" s="1"/>
  <c r="D291" i="1"/>
  <c r="F291" i="1" s="1"/>
  <c r="D290" i="1"/>
  <c r="F290" i="1" s="1"/>
  <c r="D289" i="1"/>
  <c r="F289" i="1" s="1"/>
  <c r="K289" i="1" s="1"/>
  <c r="D288" i="1"/>
  <c r="K281" i="1"/>
  <c r="D282" i="1"/>
  <c r="F282" i="1" s="1"/>
  <c r="D283" i="1"/>
  <c r="F283" i="1" s="1"/>
  <c r="D284" i="1"/>
  <c r="F284" i="1" s="1"/>
  <c r="D281" i="1"/>
  <c r="F281" i="1" s="1"/>
  <c r="D279" i="1"/>
  <c r="F279" i="1" s="1"/>
  <c r="D278" i="1"/>
  <c r="L122" i="1" l="1"/>
  <c r="C114" i="1" s="1"/>
  <c r="H113" i="1" s="1"/>
  <c r="F304" i="1"/>
  <c r="D161" i="1"/>
  <c r="C161" i="1"/>
  <c r="C147" i="1"/>
  <c r="D147" i="1"/>
  <c r="F278" i="1"/>
  <c r="C159" i="1"/>
  <c r="D159" i="1"/>
  <c r="D160" i="1"/>
  <c r="C160" i="1"/>
  <c r="D162" i="1"/>
  <c r="C162" i="1"/>
  <c r="L286" i="1"/>
  <c r="F288" i="1"/>
  <c r="F287" i="1"/>
  <c r="K287" i="1" s="1"/>
  <c r="I307" i="1"/>
  <c r="I281" i="1"/>
  <c r="F3" i="1"/>
  <c r="F113" i="1" l="1"/>
  <c r="K109" i="1" s="1"/>
  <c r="C111" i="1" s="1"/>
  <c r="D114" i="1"/>
  <c r="M171" i="1"/>
  <c r="M176" i="1"/>
  <c r="M177" i="1"/>
  <c r="M180"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L171" i="1"/>
  <c r="L176" i="1"/>
  <c r="L177" i="1"/>
  <c r="L180"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F195" i="1"/>
  <c r="F194" i="1"/>
  <c r="F193" i="1"/>
  <c r="F192" i="1"/>
  <c r="F189" i="1"/>
  <c r="L131" i="1" l="1"/>
  <c r="L130" i="1"/>
  <c r="L129" i="1"/>
  <c r="L128" i="1"/>
  <c r="I63" i="1"/>
  <c r="C126" i="1" l="1"/>
  <c r="D126" i="1" s="1"/>
  <c r="D133" i="1"/>
  <c r="D129" i="1"/>
  <c r="L125" i="1"/>
  <c r="C124" i="1" s="1"/>
  <c r="L123" i="1"/>
  <c r="D132" i="1"/>
  <c r="D128" i="1"/>
  <c r="L124" i="1"/>
  <c r="D131" i="1"/>
  <c r="D127" i="1"/>
  <c r="L126" i="1"/>
  <c r="L127" i="1" s="1"/>
  <c r="L132" i="1" s="1"/>
  <c r="L133" i="1" s="1"/>
  <c r="C125" i="1" s="1"/>
  <c r="D130" i="1"/>
  <c r="B16" i="25"/>
  <c r="E10" i="25" s="1"/>
  <c r="B14" i="25"/>
  <c r="N6" i="25" s="1"/>
  <c r="G18" i="25" s="1"/>
  <c r="B12" i="25"/>
  <c r="E8" i="25" s="1"/>
  <c r="B10" i="25"/>
  <c r="L6" i="25" s="1"/>
  <c r="G16" i="25" s="1"/>
  <c r="B8" i="25"/>
  <c r="K7" i="25" s="1"/>
  <c r="H15" i="25" s="1"/>
  <c r="I6" i="25"/>
  <c r="I7" i="25"/>
  <c r="H13" i="25" s="1"/>
  <c r="B6" i="25"/>
  <c r="J7" i="25" s="1"/>
  <c r="H14" i="25" s="1"/>
  <c r="E4" i="25"/>
  <c r="B16" i="24"/>
  <c r="O6" i="24" s="1"/>
  <c r="G19" i="24" s="1"/>
  <c r="B14" i="24"/>
  <c r="N7" i="24" s="1"/>
  <c r="H18" i="24" s="1"/>
  <c r="B12" i="24"/>
  <c r="E8" i="24" s="1"/>
  <c r="B10" i="24"/>
  <c r="L7" i="24" s="1"/>
  <c r="H16" i="24" s="1"/>
  <c r="B8" i="24"/>
  <c r="K7" i="24" s="1"/>
  <c r="H15" i="24" s="1"/>
  <c r="E7" i="24"/>
  <c r="L6" i="24"/>
  <c r="G16" i="24" s="1"/>
  <c r="I6" i="24"/>
  <c r="G13" i="24" s="1"/>
  <c r="B6" i="24"/>
  <c r="J7" i="24" s="1"/>
  <c r="H14" i="24" s="1"/>
  <c r="E4" i="24"/>
  <c r="B16" i="23"/>
  <c r="E10" i="23" s="1"/>
  <c r="B14" i="23"/>
  <c r="E9" i="23" s="1"/>
  <c r="B12" i="23"/>
  <c r="M6" i="23" s="1"/>
  <c r="G17" i="23" s="1"/>
  <c r="B10" i="23"/>
  <c r="L7" i="23" s="1"/>
  <c r="H16" i="23" s="1"/>
  <c r="B8" i="23"/>
  <c r="K7" i="23" s="1"/>
  <c r="H15" i="23" s="1"/>
  <c r="I6" i="23"/>
  <c r="I7" i="23" s="1"/>
  <c r="H13" i="23" s="1"/>
  <c r="B6" i="23"/>
  <c r="E5" i="23" s="1"/>
  <c r="E4" i="23"/>
  <c r="B16" i="22"/>
  <c r="E10" i="22" s="1"/>
  <c r="B14" i="22"/>
  <c r="N6" i="22" s="1"/>
  <c r="G18" i="22" s="1"/>
  <c r="B12" i="22"/>
  <c r="M6" i="22" s="1"/>
  <c r="G17" i="22" s="1"/>
  <c r="B10" i="22"/>
  <c r="L7" i="22" s="1"/>
  <c r="H16" i="22" s="1"/>
  <c r="B8" i="22"/>
  <c r="K6" i="22" s="1"/>
  <c r="G15" i="22" s="1"/>
  <c r="K7" i="22"/>
  <c r="H15" i="22" s="1"/>
  <c r="I6" i="22"/>
  <c r="I7" i="22" s="1"/>
  <c r="H13" i="22" s="1"/>
  <c r="E6" i="22"/>
  <c r="B6" i="22"/>
  <c r="J7" i="22" s="1"/>
  <c r="H14" i="22" s="1"/>
  <c r="E4" i="22"/>
  <c r="B16" i="20"/>
  <c r="O6" i="20" s="1"/>
  <c r="G19" i="20" s="1"/>
  <c r="B14" i="20"/>
  <c r="E9" i="20" s="1"/>
  <c r="N6" i="20"/>
  <c r="G18" i="20" s="1"/>
  <c r="B12" i="20"/>
  <c r="E8" i="20" s="1"/>
  <c r="B10" i="20"/>
  <c r="L7" i="20" s="1"/>
  <c r="H16" i="20" s="1"/>
  <c r="B8" i="20"/>
  <c r="K6" i="20" s="1"/>
  <c r="G15" i="20" s="1"/>
  <c r="O7" i="20"/>
  <c r="H19" i="20" s="1"/>
  <c r="M7" i="20"/>
  <c r="H17" i="20" s="1"/>
  <c r="I6" i="20"/>
  <c r="I7" i="20" s="1"/>
  <c r="H13" i="20" s="1"/>
  <c r="B6" i="20"/>
  <c r="J7" i="20" s="1"/>
  <c r="H14" i="20" s="1"/>
  <c r="E4" i="20"/>
  <c r="I268" i="1"/>
  <c r="I263" i="1"/>
  <c r="I253" i="1"/>
  <c r="I247" i="1"/>
  <c r="I241" i="1"/>
  <c r="I238" i="1"/>
  <c r="I232" i="1"/>
  <c r="I229" i="1"/>
  <c r="I221" i="1"/>
  <c r="I216" i="1"/>
  <c r="F213" i="1"/>
  <c r="F212" i="1"/>
  <c r="F211" i="1"/>
  <c r="F210" i="1"/>
  <c r="F209" i="1"/>
  <c r="F208" i="1"/>
  <c r="F207" i="1"/>
  <c r="F206" i="1"/>
  <c r="D213" i="1"/>
  <c r="D212" i="1"/>
  <c r="D211" i="1"/>
  <c r="D210" i="1"/>
  <c r="D209" i="1"/>
  <c r="D208" i="1"/>
  <c r="D207" i="1"/>
  <c r="D206" i="1"/>
  <c r="F187" i="1"/>
  <c r="D187" i="1"/>
  <c r="F204" i="1"/>
  <c r="F203" i="1"/>
  <c r="F202" i="1"/>
  <c r="F201" i="1"/>
  <c r="F200" i="1"/>
  <c r="D204" i="1"/>
  <c r="D203" i="1"/>
  <c r="D202" i="1"/>
  <c r="D201" i="1"/>
  <c r="D200" i="1"/>
  <c r="I206" i="1"/>
  <c r="F197" i="1"/>
  <c r="F196" i="1"/>
  <c r="D197" i="1"/>
  <c r="D196" i="1"/>
  <c r="D195" i="1"/>
  <c r="D194" i="1"/>
  <c r="D193" i="1"/>
  <c r="D192" i="1"/>
  <c r="F190" i="1"/>
  <c r="F188" i="1"/>
  <c r="D190" i="1"/>
  <c r="D189" i="1"/>
  <c r="D188" i="1"/>
  <c r="I192" i="1"/>
  <c r="D181" i="1"/>
  <c r="D178" i="1"/>
  <c r="D169" i="1"/>
  <c r="D170" i="1"/>
  <c r="F184" i="1"/>
  <c r="H184" i="1" s="1"/>
  <c r="D184" i="1"/>
  <c r="F183" i="1"/>
  <c r="H183" i="1" s="1"/>
  <c r="D183" i="1"/>
  <c r="F182" i="1"/>
  <c r="H182" i="1" s="1"/>
  <c r="D182" i="1"/>
  <c r="I181" i="1"/>
  <c r="F181" i="1"/>
  <c r="H181" i="1" s="1"/>
  <c r="F179" i="1"/>
  <c r="H179" i="1" s="1"/>
  <c r="D179" i="1"/>
  <c r="F178" i="1"/>
  <c r="H178" i="1" s="1"/>
  <c r="I172" i="1"/>
  <c r="F175" i="1"/>
  <c r="H175" i="1" s="1"/>
  <c r="F174" i="1"/>
  <c r="H174" i="1" s="1"/>
  <c r="F173" i="1"/>
  <c r="H173" i="1" s="1"/>
  <c r="F172" i="1"/>
  <c r="H172" i="1" s="1"/>
  <c r="D175" i="1"/>
  <c r="D174" i="1"/>
  <c r="D173" i="1"/>
  <c r="D172" i="1"/>
  <c r="F170" i="1"/>
  <c r="H170" i="1" s="1"/>
  <c r="F169" i="1"/>
  <c r="H169" i="1" s="1"/>
  <c r="G52" i="1"/>
  <c r="B16" i="15"/>
  <c r="E10" i="15" s="1"/>
  <c r="B14" i="15"/>
  <c r="E9" i="15" s="1"/>
  <c r="B12" i="15"/>
  <c r="M7" i="15" s="1"/>
  <c r="H17" i="15" s="1"/>
  <c r="B10" i="15"/>
  <c r="E7" i="15" s="1"/>
  <c r="B8" i="15"/>
  <c r="K7" i="15" s="1"/>
  <c r="H15" i="15" s="1"/>
  <c r="I6" i="15"/>
  <c r="I7" i="15" s="1"/>
  <c r="H13" i="15" s="1"/>
  <c r="E6" i="15"/>
  <c r="B6" i="15"/>
  <c r="J6" i="15" s="1"/>
  <c r="G14" i="15" s="1"/>
  <c r="E4" i="15"/>
  <c r="F235" i="1"/>
  <c r="F275" i="1"/>
  <c r="F273" i="1"/>
  <c r="F274" i="1"/>
  <c r="F272" i="1"/>
  <c r="F271" i="1"/>
  <c r="F270" i="1"/>
  <c r="F269" i="1"/>
  <c r="F268" i="1"/>
  <c r="F264" i="1"/>
  <c r="F265" i="1"/>
  <c r="F266" i="1"/>
  <c r="F263" i="1"/>
  <c r="F259" i="1"/>
  <c r="F258" i="1"/>
  <c r="F255" i="1"/>
  <c r="F256" i="1"/>
  <c r="F257" i="1"/>
  <c r="F254" i="1"/>
  <c r="F260" i="1"/>
  <c r="F253" i="1"/>
  <c r="F247" i="1"/>
  <c r="F251" i="1"/>
  <c r="F250" i="1"/>
  <c r="F249" i="1"/>
  <c r="F248" i="1"/>
  <c r="F244" i="1"/>
  <c r="F243" i="1"/>
  <c r="F242" i="1"/>
  <c r="F241" i="1"/>
  <c r="F238" i="1"/>
  <c r="F239" i="1"/>
  <c r="F234" i="1"/>
  <c r="F233" i="1"/>
  <c r="F232" i="1"/>
  <c r="F230" i="1"/>
  <c r="F229" i="1"/>
  <c r="F226" i="1"/>
  <c r="F225" i="1"/>
  <c r="F224" i="1"/>
  <c r="F223" i="1"/>
  <c r="F222" i="1"/>
  <c r="F221" i="1"/>
  <c r="F219" i="1"/>
  <c r="F218" i="1"/>
  <c r="F217" i="1"/>
  <c r="F216" i="1"/>
  <c r="D55" i="1"/>
  <c r="G144" i="1"/>
  <c r="M21" i="11"/>
  <c r="M22" i="11"/>
  <c r="M23" i="11"/>
  <c r="M24" i="11"/>
  <c r="M25" i="11"/>
  <c r="M26" i="11"/>
  <c r="M27" i="11"/>
  <c r="M28" i="11"/>
  <c r="M29" i="11"/>
  <c r="J21" i="11"/>
  <c r="J22" i="11"/>
  <c r="J23" i="11"/>
  <c r="J24" i="11"/>
  <c r="J25" i="11"/>
  <c r="J26" i="11"/>
  <c r="J27" i="11"/>
  <c r="J28" i="11"/>
  <c r="J29" i="11"/>
  <c r="F21" i="11"/>
  <c r="F22" i="11"/>
  <c r="F23" i="11"/>
  <c r="F24" i="11"/>
  <c r="F25" i="11"/>
  <c r="F26" i="11"/>
  <c r="F27" i="11"/>
  <c r="F28" i="11"/>
  <c r="F29" i="11"/>
  <c r="F30" i="11"/>
  <c r="F31" i="11"/>
  <c r="F32" i="11"/>
  <c r="F33" i="11"/>
  <c r="M7" i="11"/>
  <c r="M8" i="11"/>
  <c r="M9" i="11"/>
  <c r="M10" i="11"/>
  <c r="M11" i="11"/>
  <c r="M12" i="11"/>
  <c r="M13" i="11"/>
  <c r="M14" i="11"/>
  <c r="M15" i="11"/>
  <c r="M16" i="11"/>
  <c r="M17" i="11"/>
  <c r="M18" i="11"/>
  <c r="M19" i="11"/>
  <c r="M20" i="11"/>
  <c r="J7" i="11"/>
  <c r="J8" i="11"/>
  <c r="J9" i="11"/>
  <c r="J10" i="11"/>
  <c r="J11" i="11"/>
  <c r="J12" i="11"/>
  <c r="J13" i="11"/>
  <c r="J14" i="11"/>
  <c r="J15" i="11"/>
  <c r="J16" i="11"/>
  <c r="J17" i="11"/>
  <c r="J18" i="11"/>
  <c r="J19" i="11"/>
  <c r="J20" i="11"/>
  <c r="F7" i="11"/>
  <c r="F8" i="11"/>
  <c r="F9" i="11"/>
  <c r="F10" i="11"/>
  <c r="F11" i="11"/>
  <c r="F12" i="11"/>
  <c r="F13" i="11"/>
  <c r="F14" i="11"/>
  <c r="F15" i="11"/>
  <c r="F16" i="11"/>
  <c r="F17" i="11"/>
  <c r="F18" i="11"/>
  <c r="F19" i="11"/>
  <c r="F20" i="11"/>
  <c r="M33" i="11"/>
  <c r="J33" i="11"/>
  <c r="M32" i="11"/>
  <c r="J32" i="11"/>
  <c r="M31" i="11"/>
  <c r="J31" i="11"/>
  <c r="M30" i="11"/>
  <c r="J30" i="11"/>
  <c r="M6" i="11"/>
  <c r="J6" i="11"/>
  <c r="F6" i="11"/>
  <c r="G13" i="22"/>
  <c r="E5" i="24"/>
  <c r="J6" i="24"/>
  <c r="G14" i="24" s="1"/>
  <c r="N6" i="24"/>
  <c r="G18" i="24" s="1"/>
  <c r="G13" i="25"/>
  <c r="J7" i="15"/>
  <c r="H14" i="15" s="1"/>
  <c r="N7" i="20"/>
  <c r="H18" i="20" s="1"/>
  <c r="K7" i="20"/>
  <c r="H15" i="20" s="1"/>
  <c r="M7" i="25"/>
  <c r="H17" i="25" s="1"/>
  <c r="O6" i="25"/>
  <c r="G19" i="25" s="1"/>
  <c r="M6" i="25" l="1"/>
  <c r="G17" i="25" s="1"/>
  <c r="E6" i="20"/>
  <c r="I7" i="24"/>
  <c r="H13" i="24" s="1"/>
  <c r="L6" i="22"/>
  <c r="G16" i="22" s="1"/>
  <c r="M7" i="22"/>
  <c r="H17" i="22" s="1"/>
  <c r="E7" i="22"/>
  <c r="M6" i="20"/>
  <c r="G17" i="20" s="1"/>
  <c r="E6" i="23"/>
  <c r="E7" i="20"/>
  <c r="E8" i="22"/>
  <c r="K6" i="15"/>
  <c r="G15" i="15" s="1"/>
  <c r="M6" i="15"/>
  <c r="G17" i="15" s="1"/>
  <c r="N7" i="22"/>
  <c r="H18" i="22" s="1"/>
  <c r="E8" i="15"/>
  <c r="E10" i="20"/>
  <c r="E9" i="25"/>
  <c r="E9" i="22"/>
  <c r="E10" i="24"/>
  <c r="K6" i="23"/>
  <c r="G15" i="23" s="1"/>
  <c r="E9" i="24"/>
  <c r="N7" i="15"/>
  <c r="H18" i="15" s="1"/>
  <c r="E7" i="25"/>
  <c r="L7" i="25"/>
  <c r="H16" i="25" s="1"/>
  <c r="N7" i="23"/>
  <c r="H18" i="23" s="1"/>
  <c r="E6" i="24"/>
  <c r="L6" i="20"/>
  <c r="G16" i="20" s="1"/>
  <c r="E5" i="22"/>
  <c r="N7" i="25"/>
  <c r="H18" i="25" s="1"/>
  <c r="F34" i="11"/>
  <c r="E34" i="11" s="1"/>
  <c r="O6" i="23"/>
  <c r="G19" i="23" s="1"/>
  <c r="O7" i="23"/>
  <c r="H19" i="23" s="1"/>
  <c r="E6" i="25"/>
  <c r="K6" i="25"/>
  <c r="G15" i="25" s="1"/>
  <c r="J6" i="23"/>
  <c r="G14" i="23" s="1"/>
  <c r="K6" i="24"/>
  <c r="G15" i="24" s="1"/>
  <c r="J34" i="11"/>
  <c r="I34" i="11" s="1"/>
  <c r="N6" i="15"/>
  <c r="G18" i="15" s="1"/>
  <c r="O6" i="15"/>
  <c r="G19" i="15" s="1"/>
  <c r="O7" i="15"/>
  <c r="H19" i="15" s="1"/>
  <c r="E7" i="23"/>
  <c r="J7" i="23"/>
  <c r="H14" i="23" s="1"/>
  <c r="G13" i="20"/>
  <c r="M34" i="11"/>
  <c r="L34" i="11" s="1"/>
  <c r="E5" i="15"/>
  <c r="L6" i="23"/>
  <c r="G16" i="23" s="1"/>
  <c r="E8" i="23"/>
  <c r="O7" i="24"/>
  <c r="H19" i="24" s="1"/>
  <c r="O7" i="25"/>
  <c r="H19" i="25" s="1"/>
  <c r="C153" i="1"/>
  <c r="D153" i="1"/>
  <c r="G151" i="1"/>
  <c r="D150" i="1"/>
  <c r="C150" i="1"/>
  <c r="G150" i="1"/>
  <c r="D151" i="1"/>
  <c r="C151" i="1"/>
  <c r="C152" i="1"/>
  <c r="D152" i="1"/>
  <c r="L183" i="1"/>
  <c r="M183" i="1"/>
  <c r="M178" i="1"/>
  <c r="L178" i="1"/>
  <c r="M172" i="1"/>
  <c r="L172" i="1"/>
  <c r="L181" i="1"/>
  <c r="M181" i="1"/>
  <c r="L184" i="1"/>
  <c r="M184" i="1"/>
  <c r="M173" i="1"/>
  <c r="L173" i="1"/>
  <c r="M179" i="1"/>
  <c r="L179" i="1"/>
  <c r="L169" i="1"/>
  <c r="M169" i="1"/>
  <c r="M174" i="1"/>
  <c r="L174" i="1"/>
  <c r="M170" i="1"/>
  <c r="L170" i="1"/>
  <c r="L175" i="1"/>
  <c r="M175" i="1"/>
  <c r="M182" i="1"/>
  <c r="L182" i="1"/>
  <c r="F124" i="1"/>
  <c r="D125" i="1"/>
  <c r="H124" i="1"/>
  <c r="D124" i="1"/>
  <c r="H20" i="20"/>
  <c r="L6" i="15"/>
  <c r="G16" i="15" s="1"/>
  <c r="J6" i="25"/>
  <c r="G14" i="25" s="1"/>
  <c r="L7" i="15"/>
  <c r="H16" i="15" s="1"/>
  <c r="G13" i="15"/>
  <c r="E5" i="20"/>
  <c r="J6" i="20"/>
  <c r="G14" i="20" s="1"/>
  <c r="J6" i="22"/>
  <c r="G14" i="22" s="1"/>
  <c r="O6" i="22"/>
  <c r="G19" i="22" s="1"/>
  <c r="O7" i="22"/>
  <c r="H19" i="22" s="1"/>
  <c r="H20" i="22" s="1"/>
  <c r="M7" i="23"/>
  <c r="H17" i="23" s="1"/>
  <c r="G13" i="23"/>
  <c r="M6" i="24"/>
  <c r="G17" i="24" s="1"/>
  <c r="M7" i="24"/>
  <c r="H17" i="24" s="1"/>
  <c r="N6" i="23"/>
  <c r="G18" i="23" s="1"/>
  <c r="E5" i="25"/>
  <c r="H20" i="15" l="1"/>
  <c r="H20" i="25"/>
  <c r="G20" i="24"/>
  <c r="G20" i="20"/>
  <c r="G20" i="25"/>
  <c r="H20" i="24"/>
  <c r="H20" i="23"/>
  <c r="G20" i="23"/>
  <c r="G163" i="1"/>
  <c r="G20" i="15"/>
  <c r="C163" i="1"/>
  <c r="D163" i="1"/>
  <c r="K62" i="1"/>
  <c r="G20" i="22"/>
</calcChain>
</file>

<file path=xl/sharedStrings.xml><?xml version="1.0" encoding="utf-8"?>
<sst xmlns="http://schemas.openxmlformats.org/spreadsheetml/2006/main" count="903" uniqueCount="288">
  <si>
    <t>Date:</t>
  </si>
  <si>
    <t>CPC Name:</t>
  </si>
  <si>
    <t>Date Of Property Visit</t>
  </si>
  <si>
    <t>Name of the builder group</t>
  </si>
  <si>
    <t>Name of the builder company</t>
  </si>
  <si>
    <t>Name of the Project</t>
  </si>
  <si>
    <t>Docouments Provided</t>
  </si>
  <si>
    <t>Road</t>
  </si>
  <si>
    <t>City</t>
  </si>
  <si>
    <t>Does the property have electricity/water/Drainage Connection</t>
  </si>
  <si>
    <t>Class of locality</t>
  </si>
  <si>
    <t>Nature of land with topographical condtion</t>
  </si>
  <si>
    <t xml:space="preserve">Nature of the locality </t>
  </si>
  <si>
    <t>Boundaries</t>
  </si>
  <si>
    <t>East</t>
  </si>
  <si>
    <t>West</t>
  </si>
  <si>
    <t>North</t>
  </si>
  <si>
    <t>As per deed</t>
  </si>
  <si>
    <t>At site</t>
  </si>
  <si>
    <t>Approval details:</t>
  </si>
  <si>
    <t>Permissible FSI</t>
  </si>
  <si>
    <t>Permissible TDR/Paid FSI</t>
  </si>
  <si>
    <t>Total FSI availaible for the project</t>
  </si>
  <si>
    <t>Total number of Buildings</t>
  </si>
  <si>
    <t>Building wise Construction details</t>
  </si>
  <si>
    <t>Recommended Rates of the Property :</t>
  </si>
  <si>
    <t>Building details floor wise</t>
  </si>
  <si>
    <t>Undertaking :</t>
  </si>
  <si>
    <t>Authorized Signatory
                                                                                                                                                                                                                                                                                     Name &amp; Seal of the agency</t>
  </si>
  <si>
    <t>2) I/We have no direct or Indirect Interest in the property being valued</t>
  </si>
  <si>
    <t>Quality of infrastructure in vicinity</t>
  </si>
  <si>
    <t>Sr.</t>
  </si>
  <si>
    <t>Description</t>
  </si>
  <si>
    <t>Attached Terrace area</t>
  </si>
  <si>
    <t>Flat No.</t>
  </si>
  <si>
    <t>1) We have personally visited the property &amp; identified the same based on the documents provided</t>
  </si>
  <si>
    <t>Type of Work</t>
  </si>
  <si>
    <t>Plinth</t>
  </si>
  <si>
    <t>RCC</t>
  </si>
  <si>
    <t>Plaster</t>
  </si>
  <si>
    <t>3) The information furnished above is true and correct to my/our knowledge.</t>
  </si>
  <si>
    <t>5) Legal title of the property is not verified by us.</t>
  </si>
  <si>
    <t>6) Gross carpet area =  Net Carpet area + Fungible area.</t>
  </si>
  <si>
    <t>7) Fungible Area= Enclosed Balcony + Flower Bed + Covered Balcony + Service Slab + Duct + Chajja + Wheather Shed area.</t>
  </si>
  <si>
    <t>Gross Carpet area</t>
  </si>
  <si>
    <t xml:space="preserve">Latitude &amp; Longitude </t>
  </si>
  <si>
    <t>Flooring</t>
  </si>
  <si>
    <t>Finishing</t>
  </si>
  <si>
    <t xml:space="preserve">Valuation Report </t>
  </si>
  <si>
    <t xml:space="preserve">Details of Flats in Building   </t>
  </si>
  <si>
    <t>Yes</t>
  </si>
  <si>
    <t xml:space="preserve">Residential </t>
  </si>
  <si>
    <t>Type of Structure : RCC Framed Structure</t>
  </si>
  <si>
    <t>Expiry date:NA</t>
  </si>
  <si>
    <t>Violations Observed if any : NA</t>
  </si>
  <si>
    <t>NA</t>
  </si>
  <si>
    <t>South</t>
  </si>
  <si>
    <t xml:space="preserve">Distance from city centre: </t>
  </si>
  <si>
    <t>Plane</t>
  </si>
  <si>
    <t>Accessibility of the project from the city:(Proximities to civic amenities like school, hospital &amp; market,etc.)</t>
  </si>
  <si>
    <t xml:space="preserve">4)  The saleable area is as per Our Calculation.  </t>
  </si>
  <si>
    <t>Does the boundaries at site match, as mentioned in the Docoumentation: NA</t>
  </si>
  <si>
    <t>Fungible area</t>
  </si>
  <si>
    <t>all available at  1 to 2 km.</t>
  </si>
  <si>
    <t xml:space="preserve">Approved Layout Plan :         </t>
  </si>
  <si>
    <t>Dated</t>
  </si>
  <si>
    <t xml:space="preserve">Project location details       </t>
  </si>
  <si>
    <t>CTS No</t>
  </si>
  <si>
    <t>Locality</t>
  </si>
  <si>
    <t>District</t>
  </si>
  <si>
    <t>Pin Code</t>
  </si>
  <si>
    <t>Near by Landmark</t>
  </si>
  <si>
    <t>Good</t>
  </si>
  <si>
    <t>Total land area of the project in Sq. Mt.</t>
  </si>
  <si>
    <t>Total Approved Builtup area of the project in Sq. Mt.</t>
  </si>
  <si>
    <t xml:space="preserve">Approval Detail : Plan approval </t>
  </si>
  <si>
    <t>Expected Completion</t>
  </si>
  <si>
    <t>Approved no of units residential</t>
  </si>
  <si>
    <t>Approved no of Floors</t>
  </si>
  <si>
    <t>Distress valuation of the property Per Sq. Ft.</t>
  </si>
  <si>
    <r>
      <t xml:space="preserve">Proposed Amenities                                                                                                                                                                                                                                   </t>
    </r>
    <r>
      <rPr>
        <sz val="11"/>
        <rFont val="Times New Roman"/>
        <family val="1"/>
      </rPr>
      <t xml:space="preserve">1.  Vitrified tiles flooring 2. Granite Kitchen Platform  3. Decorative Enternace  etc.   </t>
    </r>
    <r>
      <rPr>
        <b/>
        <sz val="11"/>
        <rFont val="Times New Roman"/>
        <family val="1"/>
      </rPr>
      <t xml:space="preserve">                                               </t>
    </r>
  </si>
  <si>
    <t xml:space="preserve">Commencement date of construction </t>
  </si>
  <si>
    <t>Carpet area</t>
  </si>
  <si>
    <t>Discription</t>
  </si>
  <si>
    <t>Carpet</t>
  </si>
  <si>
    <t>Fungible</t>
  </si>
  <si>
    <t>Terrace</t>
  </si>
  <si>
    <t>L</t>
  </si>
  <si>
    <t>W</t>
  </si>
  <si>
    <t>A</t>
  </si>
  <si>
    <t>Hall</t>
  </si>
  <si>
    <t>Bed1</t>
  </si>
  <si>
    <t>Bed2</t>
  </si>
  <si>
    <t>kitch</t>
  </si>
  <si>
    <t>passage1</t>
  </si>
  <si>
    <t>passage2</t>
  </si>
  <si>
    <t>passage3</t>
  </si>
  <si>
    <t>passage4</t>
  </si>
  <si>
    <t>toilet1</t>
  </si>
  <si>
    <t>toilet2</t>
  </si>
  <si>
    <t>toilet3</t>
  </si>
  <si>
    <t>Total</t>
  </si>
  <si>
    <t xml:space="preserve">Floor No </t>
  </si>
  <si>
    <t>Flat</t>
  </si>
  <si>
    <t xml:space="preserve">Recommended rate of Parking </t>
  </si>
  <si>
    <t>CB</t>
  </si>
  <si>
    <t>FB</t>
  </si>
  <si>
    <t>DB</t>
  </si>
  <si>
    <t>Approved area of the building in Sq.Mt</t>
  </si>
  <si>
    <t>Middle class</t>
  </si>
  <si>
    <t>Recommended rate of the flat Per Sq. Ft. ( on Saleble area)</t>
  </si>
  <si>
    <t>1. Copy of Plans. 2. Copy of CC.</t>
  </si>
  <si>
    <t>Axis Sanpada</t>
  </si>
  <si>
    <t>M/s. Himalaya Builders &amp; Developers</t>
  </si>
  <si>
    <t>18/10/2016.</t>
  </si>
  <si>
    <t>8/1, 8/2A &amp; 7, 9/1B</t>
  </si>
  <si>
    <t>Pashane</t>
  </si>
  <si>
    <t>Raigad</t>
  </si>
  <si>
    <t>11990 Sq.Mt.</t>
  </si>
  <si>
    <t>Ground Floor</t>
  </si>
  <si>
    <t>1BHK</t>
  </si>
  <si>
    <t>1RK</t>
  </si>
  <si>
    <t>Open Land</t>
  </si>
  <si>
    <t>Raj Group (Tulsi)</t>
  </si>
  <si>
    <t>10619.1 Sq.Mt</t>
  </si>
  <si>
    <t>Net Land Area of project for FSI calculation in Sq. Mt.</t>
  </si>
  <si>
    <t>11681.01 Sq. Mt.</t>
  </si>
  <si>
    <t>Building No.6</t>
  </si>
  <si>
    <t>Building No.5</t>
  </si>
  <si>
    <t>Building No.7</t>
  </si>
  <si>
    <t>Building No.8</t>
  </si>
  <si>
    <t>Building No.9</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</si>
  <si>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</si>
  <si>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</si>
  <si>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</si>
  <si>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</si>
  <si>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</si>
  <si>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</si>
  <si>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</si>
  <si>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</si>
  <si>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</si>
  <si>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</si>
  <si>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</si>
  <si>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</si>
  <si>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</si>
  <si>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</si>
  <si>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</si>
  <si>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</si>
  <si>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</si>
  <si>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</si>
  <si>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</si>
  <si>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</si>
  <si>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</si>
  <si>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Google Map :</t>
  </si>
  <si>
    <t>Himalaya Garden</t>
  </si>
  <si>
    <t>PHOTOGRAPHS OF PROPERTY :  Himalaya Gardens</t>
  </si>
  <si>
    <t>Name / No of the Building</t>
  </si>
  <si>
    <t>Building No.1</t>
  </si>
  <si>
    <t>RERA No.</t>
  </si>
  <si>
    <t>Ground Floor is For Parking &amp; Residential</t>
  </si>
  <si>
    <t>1st To 4th Floor</t>
  </si>
  <si>
    <t>Building No.2</t>
  </si>
  <si>
    <t>Building No.3</t>
  </si>
  <si>
    <t>2BHK</t>
  </si>
  <si>
    <t>Building No.4</t>
  </si>
  <si>
    <t>Builder Saleable area</t>
  </si>
  <si>
    <t xml:space="preserve">BSP/BP/PASHANE/KARJAT/S.NO.8/1, 8/2A &amp; 7, 9/1B </t>
  </si>
  <si>
    <t>Floor</t>
  </si>
  <si>
    <t>Market Research Data</t>
  </si>
  <si>
    <t>Source</t>
  </si>
  <si>
    <t>Distance from proposed property</t>
  </si>
  <si>
    <t>Net Carpet</t>
  </si>
  <si>
    <t>Saleable Area</t>
  </si>
  <si>
    <t>Rate on Saleable</t>
  </si>
  <si>
    <t>Market Value</t>
  </si>
  <si>
    <t>housing</t>
  </si>
  <si>
    <t>Himalaya Gardens</t>
  </si>
  <si>
    <t>commonfloor</t>
  </si>
  <si>
    <t xml:space="preserve">Himalaya Gardens </t>
  </si>
  <si>
    <t>Average</t>
  </si>
  <si>
    <t xml:space="preserve">Valuation Adopted </t>
  </si>
  <si>
    <t>Construction details:</t>
  </si>
  <si>
    <t>Basement</t>
  </si>
  <si>
    <t>Ground</t>
  </si>
  <si>
    <t>Podium</t>
  </si>
  <si>
    <t>Floors</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</si>
  <si>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</si>
  <si>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</si>
  <si>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</si>
  <si>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</si>
  <si>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</si>
  <si>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</si>
  <si>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</si>
  <si>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</si>
  <si>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</si>
  <si>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</si>
  <si>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RCC (Including podiums)</t>
  </si>
  <si>
    <t>Footing in Process</t>
  </si>
  <si>
    <t>Brickwork</t>
  </si>
  <si>
    <t>Brickwork &amp; Internal Plaster</t>
  </si>
  <si>
    <t>Footing Completed</t>
  </si>
  <si>
    <t>Internal Plaster</t>
  </si>
  <si>
    <t>Basement 1</t>
  </si>
  <si>
    <t>Ext. Plaster &amp; Plumbing</t>
  </si>
  <si>
    <t>External Plaster &amp; Plumbing</t>
  </si>
  <si>
    <t>Basement 2</t>
  </si>
  <si>
    <t>Flooring &amp; Fitting</t>
  </si>
  <si>
    <t>Basement 3</t>
  </si>
  <si>
    <t>Painting &amp; Wooden</t>
  </si>
  <si>
    <t>Basement 4</t>
  </si>
  <si>
    <t>Building Common Amenities</t>
  </si>
  <si>
    <t>Plinth in process</t>
  </si>
  <si>
    <t>Possession</t>
  </si>
  <si>
    <t>Plinth completed</t>
  </si>
  <si>
    <t>G + 1st to 4th Floor</t>
  </si>
  <si>
    <t xml:space="preserve">Development charges </t>
  </si>
  <si>
    <t>1,00,000/-</t>
  </si>
  <si>
    <t>Building No.1 To 13</t>
  </si>
  <si>
    <t>Building No.1 To 4 = P52000018716
Building No.5 To 9 = P52000013461
Building No.10 To 13 = P52000034333</t>
  </si>
  <si>
    <t>Building No.10</t>
  </si>
  <si>
    <t>Building No.11</t>
  </si>
  <si>
    <t>Building No.12</t>
  </si>
  <si>
    <t>Shop</t>
  </si>
  <si>
    <t>Building No.13</t>
  </si>
  <si>
    <t>1st Floor</t>
  </si>
  <si>
    <t>2nd To 4th Floor</t>
  </si>
  <si>
    <t xml:space="preserve"> Residential Area Details :</t>
  </si>
  <si>
    <t>Building &amp; Wing</t>
  </si>
  <si>
    <t>No. of Units</t>
  </si>
  <si>
    <t>Total Carpet Area</t>
  </si>
  <si>
    <t>Total Saleable Area</t>
  </si>
  <si>
    <t>Approved usage of the Property: Residential &amp; Commercial                                                                                                                                      (Restrictive convenants in regards to land use , if any)</t>
  </si>
  <si>
    <t>Recommended rate of the Shop Per Sq. Ft. ( on Saleble area)</t>
  </si>
  <si>
    <t>Building No. 1</t>
  </si>
  <si>
    <t>Building No. 2</t>
  </si>
  <si>
    <t>Building No. 3</t>
  </si>
  <si>
    <t>Building No. 4</t>
  </si>
  <si>
    <t>Building No. 5</t>
  </si>
  <si>
    <t>Building No. 6</t>
  </si>
  <si>
    <t>Building No. 7</t>
  </si>
  <si>
    <t>Building No. 8</t>
  </si>
  <si>
    <t>Building No. 9</t>
  </si>
  <si>
    <t>Building No. 10</t>
  </si>
  <si>
    <t>Building No. 11</t>
  </si>
  <si>
    <t>Building No. 12</t>
  </si>
  <si>
    <t>Building No. 13</t>
  </si>
  <si>
    <t>13 Buildings</t>
  </si>
  <si>
    <t>Flats = 358 &amp; Shops = 15</t>
  </si>
  <si>
    <t>Valid Up to: Blg No.1 To 13 = G + 1st to 4th Floor</t>
  </si>
  <si>
    <t xml:space="preserve">MSH/L.N.A.1(B)/S.R.93/2016                                                                                                                    </t>
  </si>
  <si>
    <t>3.1 Km from Vangani   Railway Station.</t>
  </si>
  <si>
    <t xml:space="preserve"> Building 13 = G + 1st to 4th Floor</t>
  </si>
  <si>
    <t xml:space="preserve"> Building 1 to 9  = G + 1st to 4th Floor</t>
  </si>
  <si>
    <t>1,75,000/-</t>
  </si>
  <si>
    <t>Society formation charges &amp; Water Charges</t>
  </si>
  <si>
    <t xml:space="preserve">Grill &amp; MSEB charges </t>
  </si>
  <si>
    <t>50,000/-</t>
  </si>
  <si>
    <t>Office No. 1031, Wing J, Akshar Business Park, Plot No. 03 Sector 25, Near APMC Market, 
Vashi, Navi Mumbai, Maharashtra 400703 TEL: 022-46090378/79/8
E mail : vsjcapf@gmail.com. Web site : www.vsjadon.com</t>
  </si>
  <si>
    <t>Contact Details ( Name &amp; Contact No.)</t>
  </si>
  <si>
    <t>Location Link</t>
  </si>
  <si>
    <t>https://goo.gl/maps/DX8xafdHR5KMtMmg8</t>
  </si>
  <si>
    <t>Site Meet Person Contact Details ( Name &amp; Contact No.)</t>
  </si>
  <si>
    <t xml:space="preserve">SSNR-RA/At Pashane/Tal Karjat/S.N.8/1 &amp;other/OC/547
Valid For : Building No. 1 to 4 = Ground + 1st to 4th Floor
</t>
  </si>
  <si>
    <t xml:space="preserve">SSNR-RA/At Pashane/Tal Karjat/S.N.8/1 &amp;other/OC/1498
Valid For : Building No. 5, 6, 7, 8 &amp; 9 = Ground + 1st to 4th Floor
</t>
  </si>
  <si>
    <t xml:space="preserve">Quality of construction: </t>
  </si>
  <si>
    <t>18.9990456,73.2581485</t>
  </si>
  <si>
    <t>Pashane Internal Road</t>
  </si>
  <si>
    <t>Vangani West</t>
  </si>
  <si>
    <t>Himalaya Garden, CTS No. 8/1, 8/2A &amp; 7, 9/1B, Near Raj Group (Tulsi), Pashane Internal Road, Pashane, Vangani West, Karjat, Raigad - 421503</t>
  </si>
  <si>
    <t>MS/LNA-1/S.R/93/2016</t>
  </si>
  <si>
    <r>
      <t xml:space="preserve">Building plan approval No.
</t>
    </r>
    <r>
      <rPr>
        <b/>
        <sz val="11"/>
        <color indexed="8"/>
        <rFont val="Times New Roman"/>
        <family val="1"/>
      </rPr>
      <t>For Blg No.1 To 4</t>
    </r>
  </si>
  <si>
    <r>
      <t xml:space="preserve">Layout Approval No.
</t>
    </r>
    <r>
      <rPr>
        <b/>
        <sz val="11"/>
        <color indexed="8"/>
        <rFont val="Times New Roman"/>
        <family val="1"/>
      </rPr>
      <t>For Blg No.1 To 13</t>
    </r>
  </si>
  <si>
    <r>
      <t xml:space="preserve">Building plan approval No.
</t>
    </r>
    <r>
      <rPr>
        <b/>
        <sz val="11"/>
        <color indexed="8"/>
        <rFont val="Times New Roman"/>
        <family val="1"/>
      </rPr>
      <t xml:space="preserve">For Blg No.10 To 13 </t>
    </r>
  </si>
  <si>
    <r>
      <t xml:space="preserve">Building plan approval No.   
</t>
    </r>
    <r>
      <rPr>
        <b/>
        <sz val="11"/>
        <color indexed="8"/>
        <rFont val="Times New Roman"/>
        <family val="1"/>
      </rPr>
      <t>For Blg No.5 To 9</t>
    </r>
  </si>
  <si>
    <t>Proposed no of Floors</t>
  </si>
  <si>
    <t xml:space="preserve">Projected life of the structure: </t>
  </si>
  <si>
    <t>60 Years After Completion</t>
  </si>
  <si>
    <t>Material laying at Site: :</t>
  </si>
  <si>
    <t>Bricks, Cement &amp; Steel etc.</t>
  </si>
  <si>
    <t>O. Certificate No.:</t>
  </si>
  <si>
    <t xml:space="preserve">C.certificate cum NA order No.  
</t>
  </si>
  <si>
    <t>O. Certificate No.</t>
  </si>
  <si>
    <t xml:space="preserve"> Building 11 = G + 1st to 4th Floor</t>
  </si>
  <si>
    <t xml:space="preserve"> Building 12 = G + 1st to 4th Floor</t>
  </si>
  <si>
    <t>Building 10 to 12 = G + 1st to 4th Floor</t>
  </si>
  <si>
    <t>Bldg No. 1 to  9 = Completed.
Bldg No. 10 to 13 = 30/09/2025</t>
  </si>
  <si>
    <r>
      <t xml:space="preserve">Remarks:  
1. Building No. 1 to 9 - All work completed. OC Received.
    Building No. 10 to 12 - All work Completed. Please provide OC. Lift work is pending.
    Building No.13 = Construction work is in process at the time of visit (labour found).
2. We considered Building No. 3 to 13 Saleable area as per Builder area sheet &amp; Building No.1 &amp; 2 as per our calculation.
3. We considered Carpet area as per Approved Plan.
4. We considered Gross carpet area = Net carpet + Enclose balcony + C.B Area + W.S Area.
5. We have considered rate by verifying it from market inquire.
6. Recommended rate should be considered as all inclusive rate if other charges are not mentioned. (Excluding GST &amp; other government Taxes).
7. Car parking is subjected to authentic documentation.
8. We have considered Other charges from cost sheet.
9. We update approved floor plans of Building No.1 To 4. (19/09/2019).
10. As per site details Building No.1 To 4 - Phase II, Building No.5 To 9 - Phase I &amp; Building No. 10 to 13th - Phase III.
11. We updated approved floor plans of Building No.10 To 13. (on. 26/05/2022)
12. Since the project has received first CC on 28/02/2017, but still project is not yet completed.
13. </t>
    </r>
    <r>
      <rPr>
        <b/>
        <sz val="11"/>
        <color rgb="FFFF0000"/>
        <rFont val="Times New Roman"/>
        <family val="1"/>
      </rPr>
      <t xml:space="preserve">As per RERA, completion period of project Himalaya Garden is expired on 01/10/2024 but still project is under construction.
</t>
    </r>
    <r>
      <rPr>
        <b/>
        <sz val="11"/>
        <color indexed="8"/>
        <rFont val="Times New Roman"/>
        <family val="1"/>
      </rPr>
      <t xml:space="preserve">
</t>
    </r>
  </si>
  <si>
    <t>Mr. Arvind : 9702429914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</si>
</sst>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25" x14ac:knownFonts="1">
    <font>
      <sz val="11"/>
      <color theme="1"/>
      <name val="Calibri"/>
      <family val="2"/>
      <scheme val="minor"/>
    </font>
    <font>
      <sz val="11"/>
      <color indexed="8"/>
      <name val="Calibri"/>
      <family val="2"/>
    </font>
    <font>
      <sz val="11"/>
      <color indexed="8"/>
      <name val="Calibri"/>
      <family val="2"/>
    </font>
    <font>
      <b/>
      <sz val="11"/>
      <color indexed="8"/>
      <name val="Times New Roman"/>
      <family val="1"/>
    </font>
    <font>
      <sz val="11"/>
      <color indexed="8"/>
      <name val="Times New Roman"/>
      <family val="1"/>
    </font>
    <font>
      <sz val="11"/>
      <color indexed="8"/>
      <name val="Times New Roman"/>
      <family val="1"/>
    </font>
    <font>
      <b/>
      <sz val="12"/>
      <color indexed="8"/>
      <name val="Times New Roman"/>
      <family val="1"/>
    </font>
    <font>
      <b/>
      <sz val="11"/>
      <color indexed="8"/>
      <name val="Times New Roman"/>
      <family val="1"/>
    </font>
    <font>
      <b/>
      <sz val="11"/>
      <name val="Times New Roman"/>
      <family val="1"/>
    </font>
    <font>
      <sz val="11"/>
      <name val="Times New Roman"/>
      <family val="1"/>
    </font>
    <font>
      <sz val="12"/>
      <color indexed="8"/>
      <name val="Times New Roman"/>
      <family val="1"/>
    </font>
    <font>
      <sz val="10"/>
      <name val="Arial"/>
      <family val="2"/>
    </font>
    <font>
      <sz val="11"/>
      <color theme="1"/>
      <name val="Calibri"/>
      <family val="2"/>
      <scheme val="minor"/>
    </font>
    <font>
      <sz val="11"/>
      <color rgb="FF000000"/>
      <name val="Calibri"/>
      <family val="2"/>
    </font>
    <font>
      <b/>
      <sz val="11"/>
      <color theme="1"/>
      <name val="Calibri"/>
      <family val="2"/>
      <scheme val="minor"/>
    </font>
    <font>
      <sz val="11"/>
      <color rgb="FFFF0000"/>
      <name val="Calibri"/>
      <family val="2"/>
      <scheme val="minor"/>
    </font>
    <font>
      <b/>
      <sz val="11"/>
      <color theme="1"/>
      <name val="Times New Roman"/>
      <family val="1"/>
    </font>
    <font>
      <sz val="11"/>
      <color rgb="FFFF0000"/>
      <name val="Calibri"/>
      <family val="2"/>
    </font>
    <font>
      <sz val="12"/>
      <color theme="1"/>
      <name val="Times New Roman"/>
      <family val="1"/>
    </font>
    <font>
      <sz val="12"/>
      <name val="Times New Roman"/>
      <family val="1"/>
    </font>
    <font>
      <b/>
      <sz val="12"/>
      <name val="Times New Roman"/>
      <family val="1"/>
    </font>
    <font>
      <sz val="11"/>
      <color rgb="FF000000"/>
      <name val="Times New Roman"/>
      <family val="1"/>
    </font>
    <font>
      <b/>
      <sz val="12"/>
      <color theme="1"/>
      <name val="Times New Roman"/>
      <family val="1"/>
    </font>
    <font>
      <u/>
      <sz val="11"/>
      <color theme="10"/>
      <name val="Calibri"/>
      <family val="2"/>
      <scheme val="minor"/>
    </font>
    <font>
      <b/>
      <sz val="11"/>
      <color rgb="FFFF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164" fontId="1" fillId="0" borderId="0" applyFont="0" applyFill="0" applyBorder="0" applyAlignment="0" applyProtection="0"/>
    <xf numFmtId="0" fontId="2" fillId="0" borderId="0"/>
    <xf numFmtId="0" fontId="1" fillId="0" borderId="0"/>
    <xf numFmtId="0" fontId="1" fillId="0" borderId="0"/>
    <xf numFmtId="0" fontId="12" fillId="0" borderId="0"/>
    <xf numFmtId="0" fontId="12" fillId="0" borderId="0"/>
    <xf numFmtId="0" fontId="11" fillId="0" borderId="0"/>
    <xf numFmtId="0" fontId="12" fillId="0" borderId="0"/>
    <xf numFmtId="0" fontId="13" fillId="0" borderId="0"/>
    <xf numFmtId="0" fontId="23" fillId="0" borderId="0" applyNumberFormat="0" applyFill="0" applyBorder="0" applyAlignment="0" applyProtection="0"/>
  </cellStyleXfs>
  <cellXfs count="254">
    <xf numFmtId="0" fontId="0" fillId="0" borderId="0" xfId="0"/>
    <xf numFmtId="0" fontId="2" fillId="0" borderId="0" xfId="2"/>
    <xf numFmtId="0" fontId="4" fillId="0" borderId="2" xfId="0" applyFont="1" applyBorder="1" applyAlignment="1">
      <alignment vertical="top"/>
    </xf>
    <xf numFmtId="1" fontId="6" fillId="0" borderId="2" xfId="0" applyNumberFormat="1" applyFont="1" applyBorder="1" applyAlignment="1">
      <alignment horizontal="center" vertical="top" wrapText="1"/>
    </xf>
    <xf numFmtId="1" fontId="3" fillId="0" borderId="2" xfId="0" applyNumberFormat="1" applyFont="1" applyBorder="1" applyAlignment="1">
      <alignment horizontal="center" vertical="top" wrapText="1"/>
    </xf>
    <xf numFmtId="0" fontId="0" fillId="0" borderId="2" xfId="0" applyBorder="1"/>
    <xf numFmtId="0" fontId="14" fillId="0" borderId="2" xfId="0" applyFont="1" applyBorder="1"/>
    <xf numFmtId="0" fontId="0" fillId="0" borderId="3" xfId="0" applyBorder="1"/>
    <xf numFmtId="0" fontId="0" fillId="3" borderId="2" xfId="0" applyFill="1" applyBorder="1"/>
    <xf numFmtId="0" fontId="14" fillId="0" borderId="2" xfId="0" applyFont="1" applyBorder="1" applyAlignment="1">
      <alignment horizontal="center"/>
    </xf>
    <xf numFmtId="1" fontId="10" fillId="0" borderId="2" xfId="0" applyNumberFormat="1" applyFont="1" applyBorder="1" applyAlignment="1">
      <alignment horizontal="center" vertical="center" wrapText="1"/>
    </xf>
    <xf numFmtId="1" fontId="10" fillId="2" borderId="2" xfId="0" applyNumberFormat="1" applyFont="1" applyFill="1" applyBorder="1" applyAlignment="1">
      <alignment horizontal="center" vertical="center" wrapText="1"/>
    </xf>
    <xf numFmtId="0" fontId="14" fillId="3" borderId="2" xfId="0" applyFont="1" applyFill="1" applyBorder="1"/>
    <xf numFmtId="0" fontId="0" fillId="0" borderId="5" xfId="0" applyBorder="1"/>
    <xf numFmtId="0" fontId="0" fillId="0" borderId="0" xfId="0" applyAlignment="1">
      <alignment wrapText="1"/>
    </xf>
    <xf numFmtId="0" fontId="0" fillId="0" borderId="2" xfId="0" applyBorder="1" applyAlignment="1">
      <alignment wrapText="1"/>
    </xf>
    <xf numFmtId="0" fontId="16" fillId="0" borderId="0" xfId="0" applyFont="1"/>
    <xf numFmtId="0" fontId="13" fillId="0" borderId="0" xfId="9"/>
    <xf numFmtId="0" fontId="1" fillId="0" borderId="0" xfId="3"/>
    <xf numFmtId="0" fontId="12" fillId="0" borderId="0" xfId="8"/>
    <xf numFmtId="0" fontId="14" fillId="0" borderId="2" xfId="8" applyFont="1" applyBorder="1" applyAlignment="1">
      <alignment horizontal="center" vertical="top" wrapText="1"/>
    </xf>
    <xf numFmtId="0" fontId="17" fillId="0" borderId="0" xfId="3" applyFont="1"/>
    <xf numFmtId="0" fontId="12" fillId="0" borderId="2" xfId="8" applyBorder="1" applyAlignment="1">
      <alignment horizontal="center" vertical="center"/>
    </xf>
    <xf numFmtId="1" fontId="12" fillId="0" borderId="2" xfId="8" applyNumberFormat="1" applyBorder="1" applyAlignment="1">
      <alignment horizontal="center" vertical="center"/>
    </xf>
    <xf numFmtId="165" fontId="12" fillId="0" borderId="2" xfId="1" applyNumberFormat="1" applyFont="1" applyBorder="1" applyAlignment="1">
      <alignment horizontal="right" vertical="center"/>
    </xf>
    <xf numFmtId="0" fontId="14" fillId="0" borderId="2" xfId="8" applyFont="1" applyBorder="1" applyAlignment="1">
      <alignment horizontal="center" vertical="center"/>
    </xf>
    <xf numFmtId="1" fontId="15" fillId="0" borderId="2" xfId="8" applyNumberFormat="1" applyFont="1" applyBorder="1" applyAlignment="1">
      <alignment horizontal="center" vertical="center"/>
    </xf>
    <xf numFmtId="0" fontId="1" fillId="0" borderId="2" xfId="3" applyBorder="1" applyAlignment="1">
      <alignment horizontal="center" vertical="center"/>
    </xf>
    <xf numFmtId="0" fontId="12" fillId="0" borderId="2" xfId="8" applyBorder="1" applyAlignment="1">
      <alignment horizontal="left" vertical="top" wrapText="1"/>
    </xf>
    <xf numFmtId="0" fontId="18" fillId="0" borderId="19" xfId="6" applyFont="1" applyBorder="1" applyProtection="1">
      <protection hidden="1"/>
    </xf>
    <xf numFmtId="0" fontId="18" fillId="0" borderId="20" xfId="6" applyFont="1" applyBorder="1" applyProtection="1">
      <protection hidden="1"/>
    </xf>
    <xf numFmtId="0" fontId="19" fillId="0" borderId="21" xfId="6" applyFont="1" applyBorder="1" applyAlignment="1" applyProtection="1">
      <alignment horizontal="center" vertical="top"/>
      <protection locked="0"/>
    </xf>
    <xf numFmtId="0" fontId="19" fillId="0" borderId="2" xfId="6" applyFont="1" applyBorder="1" applyAlignment="1" applyProtection="1">
      <alignment horizontal="center" vertical="top"/>
      <protection locked="0"/>
    </xf>
    <xf numFmtId="0" fontId="18" fillId="0" borderId="0" xfId="6" applyFont="1" applyProtection="1">
      <protection hidden="1"/>
    </xf>
    <xf numFmtId="0" fontId="18" fillId="0" borderId="23" xfId="6" applyFont="1" applyBorder="1" applyProtection="1">
      <protection hidden="1"/>
    </xf>
    <xf numFmtId="0" fontId="21" fillId="0" borderId="0" xfId="0" applyFont="1" applyProtection="1">
      <protection hidden="1"/>
    </xf>
    <xf numFmtId="0" fontId="18" fillId="0" borderId="23" xfId="6" applyFont="1" applyBorder="1"/>
    <xf numFmtId="0" fontId="21" fillId="0" borderId="23" xfId="0" applyFont="1" applyBorder="1" applyProtection="1">
      <protection hidden="1"/>
    </xf>
    <xf numFmtId="1" fontId="0" fillId="0" borderId="23" xfId="0" applyNumberFormat="1" applyBorder="1"/>
    <xf numFmtId="1" fontId="0" fillId="0" borderId="23" xfId="0" applyNumberFormat="1" applyBorder="1" applyAlignment="1">
      <alignment horizontal="right"/>
    </xf>
    <xf numFmtId="0" fontId="21" fillId="0" borderId="32" xfId="0" applyFont="1" applyBorder="1" applyProtection="1">
      <protection hidden="1"/>
    </xf>
    <xf numFmtId="1" fontId="0" fillId="0" borderId="33" xfId="0" applyNumberFormat="1" applyBorder="1"/>
    <xf numFmtId="0" fontId="19" fillId="0" borderId="2" xfId="6" applyFont="1" applyBorder="1" applyAlignment="1" applyProtection="1">
      <alignment horizontal="center" wrapText="1"/>
      <protection locked="0"/>
    </xf>
    <xf numFmtId="1" fontId="19" fillId="0" borderId="2" xfId="6" applyNumberFormat="1" applyFont="1" applyBorder="1" applyAlignment="1" applyProtection="1">
      <alignment horizontal="center" wrapText="1"/>
      <protection locked="0"/>
    </xf>
    <xf numFmtId="0" fontId="19" fillId="0" borderId="28" xfId="6" applyFont="1" applyBorder="1" applyAlignment="1" applyProtection="1">
      <alignment horizontal="center" wrapText="1"/>
      <protection locked="0"/>
    </xf>
    <xf numFmtId="0" fontId="14" fillId="0" borderId="0" xfId="0" applyFont="1"/>
    <xf numFmtId="0" fontId="19" fillId="0" borderId="35" xfId="6" applyFont="1" applyBorder="1" applyAlignment="1" applyProtection="1">
      <alignment horizontal="center" vertical="top" wrapText="1"/>
      <protection locked="0"/>
    </xf>
    <xf numFmtId="0" fontId="18" fillId="0" borderId="0" xfId="0" applyFont="1" applyAlignment="1">
      <alignment horizontal="center" vertical="center"/>
    </xf>
    <xf numFmtId="0" fontId="22" fillId="0" borderId="2" xfId="0" applyFont="1" applyBorder="1" applyAlignment="1">
      <alignment horizontal="center" vertical="center"/>
    </xf>
    <xf numFmtId="0" fontId="22" fillId="0" borderId="0" xfId="0" applyFont="1" applyAlignment="1">
      <alignment horizontal="center" vertical="center"/>
    </xf>
    <xf numFmtId="0" fontId="18" fillId="0" borderId="2" xfId="0" applyFont="1" applyBorder="1" applyAlignment="1">
      <alignment horizontal="center" vertical="top"/>
    </xf>
    <xf numFmtId="0" fontId="18" fillId="0" borderId="0" xfId="0" applyFont="1" applyAlignment="1">
      <alignment horizontal="center" vertical="top"/>
    </xf>
    <xf numFmtId="1" fontId="18" fillId="0" borderId="2" xfId="0" applyNumberFormat="1" applyFont="1" applyBorder="1" applyAlignment="1">
      <alignment horizontal="center" vertical="top"/>
    </xf>
    <xf numFmtId="0" fontId="18" fillId="0" borderId="5" xfId="0" applyFont="1" applyBorder="1" applyAlignment="1">
      <alignment horizontal="center" vertical="top"/>
    </xf>
    <xf numFmtId="0" fontId="22" fillId="0" borderId="40" xfId="0" applyFont="1" applyBorder="1" applyAlignment="1">
      <alignment horizontal="center" vertical="center"/>
    </xf>
    <xf numFmtId="0" fontId="3" fillId="2" borderId="2" xfId="0" applyFont="1" applyFill="1" applyBorder="1" applyAlignment="1">
      <alignment horizontal="center" vertical="top"/>
    </xf>
    <xf numFmtId="0" fontId="0" fillId="0" borderId="6" xfId="0" applyBorder="1"/>
    <xf numFmtId="0" fontId="19" fillId="0" borderId="21" xfId="6" applyFont="1" applyBorder="1" applyAlignment="1" applyProtection="1">
      <alignment horizontal="center" vertical="top"/>
      <protection locked="0"/>
    </xf>
    <xf numFmtId="0" fontId="19" fillId="0" borderId="2" xfId="6" applyFont="1" applyBorder="1" applyAlignment="1" applyProtection="1">
      <alignment horizontal="center" vertical="top"/>
      <protection locked="0"/>
    </xf>
    <xf numFmtId="0" fontId="19" fillId="0" borderId="2" xfId="6" applyFont="1" applyBorder="1" applyAlignment="1" applyProtection="1">
      <alignment horizontal="center" vertical="top" wrapText="1"/>
      <protection locked="0"/>
    </xf>
    <xf numFmtId="1" fontId="10" fillId="0" borderId="2" xfId="0" applyNumberFormat="1" applyFont="1" applyBorder="1" applyAlignment="1">
      <alignment horizontal="center" vertical="center" wrapText="1"/>
    </xf>
    <xf numFmtId="0" fontId="19" fillId="0" borderId="2" xfId="6" applyFont="1" applyBorder="1" applyAlignment="1" applyProtection="1">
      <alignment horizontal="center" vertical="top"/>
      <protection locked="0"/>
    </xf>
    <xf numFmtId="0" fontId="4" fillId="2" borderId="2" xfId="0" applyFont="1" applyFill="1" applyBorder="1" applyAlignment="1">
      <alignment vertical="top"/>
    </xf>
    <xf numFmtId="0" fontId="19" fillId="0" borderId="2" xfId="6" applyFont="1" applyBorder="1" applyAlignment="1" applyProtection="1">
      <alignment horizontal="center" vertical="top" wrapText="1"/>
      <protection locked="0"/>
    </xf>
    <xf numFmtId="0" fontId="19" fillId="0" borderId="2" xfId="6" applyFont="1" applyBorder="1" applyAlignment="1" applyProtection="1">
      <alignment horizontal="center" vertical="top"/>
      <protection locked="0"/>
    </xf>
    <xf numFmtId="9" fontId="19" fillId="2" borderId="2" xfId="6" applyNumberFormat="1" applyFont="1" applyFill="1" applyBorder="1" applyAlignment="1" applyProtection="1">
      <alignment horizontal="center" vertical="center" wrapText="1"/>
      <protection hidden="1"/>
    </xf>
    <xf numFmtId="0" fontId="19" fillId="0" borderId="2" xfId="6" applyFont="1" applyBorder="1" applyAlignment="1" applyProtection="1">
      <alignment horizontal="center" vertical="top" wrapText="1"/>
      <protection locked="0"/>
    </xf>
    <xf numFmtId="0" fontId="20" fillId="0" borderId="14" xfId="6" applyFont="1" applyBorder="1" applyAlignment="1" applyProtection="1">
      <alignment horizontal="center" vertical="top" wrapText="1"/>
      <protection locked="0"/>
    </xf>
    <xf numFmtId="0" fontId="20" fillId="0" borderId="15" xfId="6" applyFont="1" applyBorder="1" applyAlignment="1" applyProtection="1">
      <alignment horizontal="center" vertical="top" wrapText="1"/>
      <protection locked="0"/>
    </xf>
    <xf numFmtId="0" fontId="20" fillId="0" borderId="16" xfId="6" applyFont="1" applyBorder="1" applyAlignment="1" applyProtection="1">
      <alignment horizontal="left" vertical="top" wrapText="1"/>
      <protection locked="0"/>
    </xf>
    <xf numFmtId="0" fontId="20" fillId="0" borderId="17" xfId="6" applyFont="1" applyBorder="1" applyAlignment="1" applyProtection="1">
      <alignment horizontal="left" vertical="top" wrapText="1"/>
      <protection locked="0"/>
    </xf>
    <xf numFmtId="0" fontId="20" fillId="0" borderId="18" xfId="6" applyFont="1" applyBorder="1" applyAlignment="1" applyProtection="1">
      <alignment horizontal="left" vertical="top" wrapText="1"/>
      <protection locked="0"/>
    </xf>
    <xf numFmtId="0" fontId="19" fillId="0" borderId="1" xfId="6" applyFont="1" applyBorder="1" applyAlignment="1" applyProtection="1">
      <alignment horizontal="center" vertical="top"/>
      <protection locked="0"/>
    </xf>
    <xf numFmtId="0" fontId="19" fillId="0" borderId="6" xfId="6" applyFont="1" applyBorder="1" applyAlignment="1" applyProtection="1">
      <alignment horizontal="center" vertical="top"/>
      <protection locked="0"/>
    </xf>
    <xf numFmtId="0" fontId="19" fillId="0" borderId="22" xfId="6" applyFont="1" applyBorder="1" applyAlignment="1" applyProtection="1">
      <alignment horizontal="center" vertical="top"/>
      <protection locked="0"/>
    </xf>
    <xf numFmtId="0" fontId="20" fillId="0" borderId="21" xfId="6" applyFont="1" applyBorder="1" applyAlignment="1" applyProtection="1">
      <alignment horizontal="left" vertical="top"/>
      <protection locked="0"/>
    </xf>
    <xf numFmtId="0" fontId="20" fillId="0" borderId="2" xfId="6" applyFont="1" applyBorder="1" applyAlignment="1" applyProtection="1">
      <alignment horizontal="left" vertical="top"/>
      <protection locked="0"/>
    </xf>
    <xf numFmtId="0" fontId="20" fillId="0" borderId="1" xfId="6" applyFont="1" applyBorder="1" applyAlignment="1" applyProtection="1">
      <alignment horizontal="left" vertical="top" wrapText="1"/>
      <protection locked="0"/>
    </xf>
    <xf numFmtId="0" fontId="20" fillId="0" borderId="4" xfId="6" applyFont="1" applyBorder="1" applyAlignment="1" applyProtection="1">
      <alignment horizontal="left" vertical="top" wrapText="1"/>
      <protection locked="0"/>
    </xf>
    <xf numFmtId="0" fontId="20" fillId="0" borderId="22" xfId="6" applyFont="1" applyBorder="1" applyAlignment="1" applyProtection="1">
      <alignment horizontal="left" vertical="top" wrapText="1"/>
      <protection locked="0"/>
    </xf>
    <xf numFmtId="0" fontId="19" fillId="0" borderId="24" xfId="6" applyFont="1" applyBorder="1" applyAlignment="1" applyProtection="1">
      <alignment horizontal="center" vertical="top"/>
      <protection locked="0"/>
    </xf>
    <xf numFmtId="0" fontId="19" fillId="0" borderId="25" xfId="6" applyFont="1" applyBorder="1" applyAlignment="1" applyProtection="1">
      <alignment horizontal="center" vertical="top" wrapText="1"/>
      <protection locked="0"/>
    </xf>
    <xf numFmtId="0" fontId="20" fillId="0" borderId="2" xfId="6" applyFont="1" applyBorder="1" applyAlignment="1" applyProtection="1">
      <alignment horizontal="center" vertical="top" wrapText="1"/>
      <protection locked="0"/>
    </xf>
    <xf numFmtId="0" fontId="20" fillId="0" borderId="2" xfId="6" applyFont="1" applyBorder="1" applyAlignment="1" applyProtection="1">
      <alignment horizontal="left" vertical="top" wrapText="1"/>
      <protection locked="0"/>
    </xf>
    <xf numFmtId="1" fontId="10" fillId="0" borderId="1" xfId="0" applyNumberFormat="1" applyFont="1" applyBorder="1" applyAlignment="1">
      <alignment horizontal="center" vertical="top" wrapText="1"/>
    </xf>
    <xf numFmtId="1" fontId="10" fillId="0" borderId="6" xfId="0" applyNumberFormat="1" applyFont="1" applyBorder="1" applyAlignment="1">
      <alignment horizontal="center" vertical="top" wrapText="1"/>
    </xf>
    <xf numFmtId="1" fontId="18" fillId="0" borderId="1" xfId="0" applyNumberFormat="1" applyFont="1" applyBorder="1" applyAlignment="1">
      <alignment horizontal="center" vertical="top" wrapText="1"/>
    </xf>
    <xf numFmtId="1" fontId="18" fillId="0" borderId="4" xfId="0" applyNumberFormat="1" applyFont="1" applyBorder="1" applyAlignment="1">
      <alignment horizontal="center" vertical="top" wrapText="1"/>
    </xf>
    <xf numFmtId="1" fontId="18" fillId="0" borderId="6" xfId="0" applyNumberFormat="1" applyFont="1" applyBorder="1" applyAlignment="1">
      <alignment horizontal="center" vertical="top" wrapText="1"/>
    </xf>
    <xf numFmtId="1" fontId="18" fillId="0" borderId="1" xfId="0" applyNumberFormat="1" applyFont="1" applyBorder="1" applyAlignment="1">
      <alignment horizontal="center" vertical="top"/>
    </xf>
    <xf numFmtId="1" fontId="18" fillId="0" borderId="4" xfId="0" applyNumberFormat="1" applyFont="1" applyBorder="1" applyAlignment="1">
      <alignment horizontal="center" vertical="top"/>
    </xf>
    <xf numFmtId="1" fontId="18" fillId="0" borderId="6" xfId="0" applyNumberFormat="1" applyFont="1" applyBorder="1" applyAlignment="1">
      <alignment horizontal="center" vertical="top"/>
    </xf>
    <xf numFmtId="1" fontId="6" fillId="0" borderId="1" xfId="0" applyNumberFormat="1" applyFont="1" applyBorder="1" applyAlignment="1">
      <alignment horizontal="center" vertical="center" wrapText="1"/>
    </xf>
    <xf numFmtId="1" fontId="6" fillId="0" borderId="4" xfId="0" applyNumberFormat="1" applyFont="1" applyBorder="1" applyAlignment="1">
      <alignment horizontal="center" vertical="center" wrapText="1"/>
    </xf>
    <xf numFmtId="1" fontId="6" fillId="0" borderId="6" xfId="0" applyNumberFormat="1" applyFont="1" applyBorder="1" applyAlignment="1">
      <alignment horizontal="center" vertical="center" wrapText="1"/>
    </xf>
    <xf numFmtId="1" fontId="6" fillId="0" borderId="1" xfId="0" applyNumberFormat="1" applyFont="1" applyBorder="1" applyAlignment="1">
      <alignment horizontal="center" vertical="top" wrapText="1"/>
    </xf>
    <xf numFmtId="1" fontId="6" fillId="0" borderId="6" xfId="0" applyNumberFormat="1" applyFont="1" applyBorder="1" applyAlignment="1">
      <alignment horizontal="center" vertical="top" wrapText="1"/>
    </xf>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22" fillId="0" borderId="6" xfId="0" applyFont="1" applyBorder="1" applyAlignment="1">
      <alignment horizontal="center" vertical="top" wrapText="1"/>
    </xf>
    <xf numFmtId="1" fontId="6" fillId="0" borderId="4" xfId="0" applyNumberFormat="1" applyFont="1" applyBorder="1" applyAlignment="1">
      <alignment horizontal="center" vertical="top" wrapText="1"/>
    </xf>
    <xf numFmtId="3" fontId="4" fillId="2" borderId="1" xfId="0" applyNumberFormat="1" applyFont="1" applyFill="1" applyBorder="1" applyAlignment="1">
      <alignment horizontal="left" vertical="top"/>
    </xf>
    <xf numFmtId="0" fontId="4" fillId="2" borderId="4" xfId="0" applyFont="1" applyFill="1" applyBorder="1" applyAlignment="1">
      <alignment horizontal="left" vertical="top"/>
    </xf>
    <xf numFmtId="0" fontId="4" fillId="2" borderId="6" xfId="0" applyFont="1" applyFill="1" applyBorder="1" applyAlignment="1">
      <alignment horizontal="left" vertical="top"/>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6" xfId="0" applyFont="1" applyBorder="1" applyAlignment="1">
      <alignment horizontal="left" vertical="top"/>
    </xf>
    <xf numFmtId="0" fontId="3" fillId="0" borderId="1" xfId="0" applyFont="1" applyBorder="1" applyAlignment="1">
      <alignment horizontal="left" vertical="top"/>
    </xf>
    <xf numFmtId="0" fontId="7" fillId="0" borderId="4" xfId="0" applyFont="1" applyBorder="1" applyAlignment="1">
      <alignment horizontal="left" vertical="top"/>
    </xf>
    <xf numFmtId="0" fontId="7" fillId="0" borderId="6" xfId="0" applyFont="1" applyBorder="1" applyAlignment="1">
      <alignment horizontal="left" vertical="top"/>
    </xf>
    <xf numFmtId="0" fontId="4" fillId="2" borderId="1" xfId="0" applyFont="1" applyFill="1" applyBorder="1" applyAlignment="1">
      <alignment horizontal="left" vertical="top"/>
    </xf>
    <xf numFmtId="0" fontId="4" fillId="2" borderId="1"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5" fillId="0" borderId="4" xfId="0" applyFont="1" applyBorder="1" applyAlignment="1">
      <alignment horizontal="left" vertical="top"/>
    </xf>
    <xf numFmtId="0" fontId="5" fillId="0" borderId="6" xfId="0" applyFont="1" applyBorder="1" applyAlignment="1">
      <alignment horizontal="left" vertical="top"/>
    </xf>
    <xf numFmtId="1" fontId="10" fillId="0" borderId="2" xfId="0" applyNumberFormat="1" applyFont="1" applyBorder="1" applyAlignment="1">
      <alignment horizontal="center" vertical="center" wrapText="1"/>
    </xf>
    <xf numFmtId="1" fontId="6" fillId="0" borderId="2" xfId="0" applyNumberFormat="1" applyFont="1" applyBorder="1" applyAlignment="1">
      <alignment horizontal="center" vertical="center" wrapText="1"/>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top"/>
    </xf>
    <xf numFmtId="1" fontId="10" fillId="0" borderId="7" xfId="0" applyNumberFormat="1" applyFont="1" applyBorder="1" applyAlignment="1">
      <alignment horizontal="center" vertical="top" wrapText="1"/>
    </xf>
    <xf numFmtId="1" fontId="10" fillId="0" borderId="8" xfId="0" applyNumberFormat="1" applyFont="1" applyBorder="1" applyAlignment="1">
      <alignment horizontal="center" vertical="top" wrapText="1"/>
    </xf>
    <xf numFmtId="1" fontId="18" fillId="0" borderId="7" xfId="0" applyNumberFormat="1" applyFont="1" applyBorder="1" applyAlignment="1">
      <alignment horizontal="center" vertical="top" wrapText="1"/>
    </xf>
    <xf numFmtId="1" fontId="18" fillId="0" borderId="11" xfId="0" applyNumberFormat="1" applyFont="1" applyBorder="1" applyAlignment="1">
      <alignment horizontal="center" vertical="top" wrapText="1"/>
    </xf>
    <xf numFmtId="1" fontId="18" fillId="0" borderId="8" xfId="0" applyNumberFormat="1" applyFont="1" applyBorder="1" applyAlignment="1">
      <alignment horizontal="center" vertical="top" wrapText="1"/>
    </xf>
    <xf numFmtId="1" fontId="6" fillId="0" borderId="41" xfId="0" applyNumberFormat="1" applyFont="1" applyBorder="1" applyAlignment="1">
      <alignment horizontal="center" vertical="top" wrapText="1"/>
    </xf>
    <xf numFmtId="1" fontId="6" fillId="0" borderId="42" xfId="0" applyNumberFormat="1" applyFont="1" applyBorder="1" applyAlignment="1">
      <alignment horizontal="center" vertical="top" wrapText="1"/>
    </xf>
    <xf numFmtId="1" fontId="6" fillId="0" borderId="43" xfId="0" applyNumberFormat="1" applyFont="1" applyBorder="1" applyAlignment="1">
      <alignment horizontal="center" vertical="top" wrapText="1"/>
    </xf>
    <xf numFmtId="1" fontId="22" fillId="0" borderId="41" xfId="0" applyNumberFormat="1" applyFont="1" applyBorder="1" applyAlignment="1">
      <alignment horizontal="center" vertical="top" wrapText="1"/>
    </xf>
    <xf numFmtId="1" fontId="22" fillId="0" borderId="42" xfId="0" applyNumberFormat="1" applyFont="1" applyBorder="1" applyAlignment="1">
      <alignment horizontal="center" vertical="top" wrapText="1"/>
    </xf>
    <xf numFmtId="1" fontId="22" fillId="0" borderId="39" xfId="0" applyNumberFormat="1" applyFont="1" applyBorder="1" applyAlignment="1">
      <alignment horizontal="center" vertical="top" wrapText="1"/>
    </xf>
    <xf numFmtId="1" fontId="6" fillId="0" borderId="2" xfId="0" applyNumberFormat="1" applyFont="1" applyBorder="1" applyAlignment="1">
      <alignment horizontal="center" vertical="top" wrapText="1"/>
    </xf>
    <xf numFmtId="14" fontId="3" fillId="0" borderId="1" xfId="0" applyNumberFormat="1" applyFont="1" applyBorder="1" applyAlignment="1">
      <alignment horizontal="left" vertical="top"/>
    </xf>
    <xf numFmtId="14" fontId="3" fillId="0" borderId="4" xfId="0" applyNumberFormat="1" applyFont="1" applyBorder="1" applyAlignment="1">
      <alignment horizontal="left" vertical="top"/>
    </xf>
    <xf numFmtId="14" fontId="3" fillId="0" borderId="6" xfId="0" applyNumberFormat="1" applyFont="1" applyBorder="1" applyAlignment="1">
      <alignment horizontal="left" vertical="top"/>
    </xf>
    <xf numFmtId="0" fontId="19" fillId="0" borderId="21" xfId="6" applyFont="1" applyBorder="1" applyAlignment="1" applyProtection="1">
      <alignment horizontal="center" vertical="top" wrapText="1"/>
      <protection locked="0"/>
    </xf>
    <xf numFmtId="1" fontId="6" fillId="0" borderId="38" xfId="0" applyNumberFormat="1" applyFont="1" applyBorder="1" applyAlignment="1">
      <alignment horizontal="center" vertical="center" wrapText="1"/>
    </xf>
    <xf numFmtId="1" fontId="6" fillId="0" borderId="39" xfId="0" applyNumberFormat="1" applyFont="1" applyBorder="1" applyAlignment="1">
      <alignment horizontal="center" vertical="center" wrapText="1"/>
    </xf>
    <xf numFmtId="0" fontId="19" fillId="0" borderId="21" xfId="6" applyFont="1" applyBorder="1" applyAlignment="1" applyProtection="1">
      <alignment horizontal="center" vertical="top"/>
      <protection locked="0"/>
    </xf>
    <xf numFmtId="9" fontId="19" fillId="2" borderId="1" xfId="6" applyNumberFormat="1" applyFont="1" applyFill="1" applyBorder="1" applyAlignment="1" applyProtection="1">
      <alignment horizontal="center" vertical="center" wrapText="1"/>
      <protection hidden="1"/>
    </xf>
    <xf numFmtId="9" fontId="19" fillId="2" borderId="6" xfId="6" applyNumberFormat="1" applyFont="1" applyFill="1" applyBorder="1" applyAlignment="1" applyProtection="1">
      <alignment horizontal="center" vertical="center" wrapText="1"/>
      <protection hidden="1"/>
    </xf>
    <xf numFmtId="0" fontId="0" fillId="0" borderId="0" xfId="0" applyAlignment="1">
      <alignment horizont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4" fillId="0" borderId="6" xfId="0" applyFont="1" applyBorder="1" applyAlignment="1">
      <alignment horizontal="left" vertical="top" wrapText="1"/>
    </xf>
    <xf numFmtId="0" fontId="3" fillId="0" borderId="2" xfId="0" applyFont="1" applyBorder="1" applyAlignment="1">
      <alignment horizontal="center" vertical="center" wrapText="1"/>
    </xf>
    <xf numFmtId="0" fontId="9" fillId="0" borderId="1" xfId="0" applyFont="1" applyBorder="1" applyAlignment="1">
      <alignment horizontal="left" vertical="top" wrapText="1"/>
    </xf>
    <xf numFmtId="0" fontId="9" fillId="0" borderId="4" xfId="0" applyFont="1" applyBorder="1" applyAlignment="1">
      <alignment horizontal="left" vertical="top" wrapText="1"/>
    </xf>
    <xf numFmtId="0" fontId="9" fillId="0" borderId="6" xfId="0" applyFont="1" applyBorder="1" applyAlignment="1">
      <alignment horizontal="left" vertical="top" wrapText="1"/>
    </xf>
    <xf numFmtId="0" fontId="5" fillId="0" borderId="1" xfId="0" applyFont="1" applyBorder="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0" fontId="3" fillId="0" borderId="6" xfId="0" applyFont="1" applyBorder="1" applyAlignment="1">
      <alignment vertical="top"/>
    </xf>
    <xf numFmtId="0" fontId="3" fillId="0" borderId="2" xfId="0" applyFont="1" applyBorder="1" applyAlignment="1">
      <alignment horizontal="left" vertical="top"/>
    </xf>
    <xf numFmtId="0" fontId="3" fillId="0" borderId="1" xfId="0" applyFont="1" applyBorder="1" applyAlignment="1">
      <alignment horizontal="left" vertical="top" wrapText="1"/>
    </xf>
    <xf numFmtId="0" fontId="3" fillId="0" borderId="6" xfId="0" applyFont="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6"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4" fillId="2" borderId="2" xfId="0" applyFont="1" applyFill="1" applyBorder="1" applyAlignment="1">
      <alignment horizontal="left" vertical="top" wrapText="1"/>
    </xf>
    <xf numFmtId="0" fontId="4" fillId="0" borderId="2" xfId="0" applyFont="1" applyBorder="1" applyAlignment="1">
      <alignment horizontal="left" vertical="top" wrapText="1"/>
    </xf>
    <xf numFmtId="14" fontId="4" fillId="2" borderId="2" xfId="0" applyNumberFormat="1" applyFont="1" applyFill="1" applyBorder="1" applyAlignment="1">
      <alignment horizontal="left" vertical="top"/>
    </xf>
    <xf numFmtId="0" fontId="4" fillId="2" borderId="2" xfId="0" applyFont="1" applyFill="1" applyBorder="1" applyAlignment="1">
      <alignment horizontal="left" vertical="top"/>
    </xf>
    <xf numFmtId="0" fontId="4" fillId="0" borderId="7" xfId="0" applyFont="1" applyBorder="1" applyAlignment="1">
      <alignment horizontal="left" vertical="top" wrapText="1"/>
    </xf>
    <xf numFmtId="0" fontId="4" fillId="0" borderId="11"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14" fontId="4" fillId="0" borderId="1" xfId="0" applyNumberFormat="1" applyFont="1" applyBorder="1" applyAlignment="1">
      <alignment horizontal="left" vertical="top"/>
    </xf>
    <xf numFmtId="14" fontId="4" fillId="0" borderId="4" xfId="0" applyNumberFormat="1" applyFont="1" applyBorder="1" applyAlignment="1">
      <alignment horizontal="left" vertical="top"/>
    </xf>
    <xf numFmtId="14" fontId="4" fillId="0" borderId="6" xfId="0" applyNumberFormat="1" applyFont="1" applyBorder="1" applyAlignment="1">
      <alignment horizontal="left" vertical="top"/>
    </xf>
    <xf numFmtId="0" fontId="4" fillId="0" borderId="1" xfId="0" applyFont="1" applyBorder="1" applyAlignment="1">
      <alignment vertical="top" wrapText="1"/>
    </xf>
    <xf numFmtId="0" fontId="4" fillId="0" borderId="4" xfId="0" applyFont="1" applyBorder="1" applyAlignment="1">
      <alignment vertical="top" wrapText="1"/>
    </xf>
    <xf numFmtId="0" fontId="4" fillId="0" borderId="6" xfId="0" applyFont="1" applyBorder="1" applyAlignment="1">
      <alignment vertical="top" wrapText="1"/>
    </xf>
    <xf numFmtId="0" fontId="3" fillId="0" borderId="4" xfId="0" applyFont="1" applyBorder="1" applyAlignment="1">
      <alignment horizontal="left" vertical="top"/>
    </xf>
    <xf numFmtId="0" fontId="3" fillId="0" borderId="6" xfId="0" applyFont="1" applyBorder="1" applyAlignment="1">
      <alignment horizontal="left" vertical="top"/>
    </xf>
    <xf numFmtId="0" fontId="4" fillId="2" borderId="2" xfId="0" applyFont="1" applyFill="1" applyBorder="1" applyAlignment="1">
      <alignment vertical="top"/>
    </xf>
    <xf numFmtId="0" fontId="4" fillId="0" borderId="1" xfId="0" applyFont="1" applyBorder="1" applyAlignment="1">
      <alignment vertical="top"/>
    </xf>
    <xf numFmtId="0" fontId="4" fillId="0" borderId="4" xfId="0" applyFont="1" applyBorder="1" applyAlignment="1">
      <alignment vertical="top"/>
    </xf>
    <xf numFmtId="0" fontId="4" fillId="0" borderId="6" xfId="0" applyFont="1" applyBorder="1" applyAlignment="1">
      <alignment vertical="top"/>
    </xf>
    <xf numFmtId="0" fontId="4" fillId="0" borderId="2" xfId="0" applyFont="1" applyBorder="1" applyAlignment="1">
      <alignment vertical="top"/>
    </xf>
    <xf numFmtId="0" fontId="23" fillId="0" borderId="1" xfId="10" applyBorder="1" applyAlignment="1">
      <alignment horizontal="left" vertical="top"/>
    </xf>
    <xf numFmtId="0" fontId="3" fillId="0" borderId="1" xfId="0" applyFont="1" applyBorder="1" applyAlignment="1">
      <alignment horizontal="center" vertical="top"/>
    </xf>
    <xf numFmtId="0" fontId="3" fillId="0" borderId="4" xfId="0" applyFont="1" applyBorder="1" applyAlignment="1">
      <alignment horizontal="center" vertical="top"/>
    </xf>
    <xf numFmtId="0" fontId="3" fillId="0" borderId="6" xfId="0" applyFont="1" applyBorder="1" applyAlignment="1">
      <alignment horizontal="center" vertical="top"/>
    </xf>
    <xf numFmtId="0" fontId="4" fillId="0" borderId="1" xfId="0" applyFont="1" applyBorder="1" applyAlignment="1">
      <alignment horizontal="center" vertical="top"/>
    </xf>
    <xf numFmtId="0" fontId="4" fillId="0" borderId="6" xfId="0" applyFont="1" applyBorder="1" applyAlignment="1">
      <alignment horizontal="center" vertical="top"/>
    </xf>
    <xf numFmtId="0" fontId="4" fillId="0" borderId="2" xfId="0" applyFont="1" applyBorder="1" applyAlignment="1">
      <alignment horizontal="left" vertical="top"/>
    </xf>
    <xf numFmtId="0" fontId="4" fillId="0" borderId="2" xfId="0" applyFont="1" applyBorder="1" applyAlignment="1">
      <alignment vertical="top" wrapText="1"/>
    </xf>
    <xf numFmtId="0" fontId="5" fillId="0" borderId="4" xfId="0" applyFont="1" applyBorder="1" applyAlignment="1">
      <alignment vertical="top"/>
    </xf>
    <xf numFmtId="0" fontId="5" fillId="0" borderId="6" xfId="0" applyFont="1" applyBorder="1" applyAlignment="1">
      <alignment vertical="top"/>
    </xf>
    <xf numFmtId="0" fontId="5" fillId="0" borderId="7" xfId="0" applyFont="1" applyBorder="1" applyAlignment="1">
      <alignment horizontal="left" vertical="top" wrapText="1"/>
    </xf>
    <xf numFmtId="0" fontId="5" fillId="0" borderId="11" xfId="0" applyFont="1" applyBorder="1" applyAlignment="1">
      <alignment horizontal="left" vertical="top" wrapText="1"/>
    </xf>
    <xf numFmtId="0" fontId="5" fillId="0" borderId="8" xfId="0" applyFont="1" applyBorder="1" applyAlignment="1">
      <alignment horizontal="left" vertical="top" wrapText="1"/>
    </xf>
    <xf numFmtId="0" fontId="5" fillId="0" borderId="1" xfId="0" applyFont="1" applyBorder="1" applyAlignment="1">
      <alignment vertical="top"/>
    </xf>
    <xf numFmtId="0" fontId="3" fillId="0" borderId="7" xfId="2" applyFont="1" applyBorder="1" applyAlignment="1">
      <alignment horizontal="left" vertical="top" wrapText="1"/>
    </xf>
    <xf numFmtId="0" fontId="3" fillId="0" borderId="11" xfId="2" applyFont="1" applyBorder="1" applyAlignment="1">
      <alignment horizontal="left" vertical="top" wrapText="1"/>
    </xf>
    <xf numFmtId="0" fontId="3" fillId="0" borderId="8" xfId="2" applyFont="1" applyBorder="1" applyAlignment="1">
      <alignment horizontal="left" vertical="top" wrapText="1"/>
    </xf>
    <xf numFmtId="0" fontId="3" fillId="0" borderId="1" xfId="0" applyFont="1" applyBorder="1" applyAlignment="1">
      <alignment horizontal="center" vertical="top" wrapText="1"/>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4" fillId="0" borderId="9" xfId="0" applyFont="1" applyBorder="1" applyAlignment="1">
      <alignment horizontal="left" vertical="top"/>
    </xf>
    <xf numFmtId="0" fontId="4" fillId="0" borderId="3" xfId="0" applyFont="1" applyBorder="1" applyAlignment="1">
      <alignment horizontal="left" vertical="top"/>
    </xf>
    <xf numFmtId="0" fontId="4" fillId="0" borderId="10" xfId="0" applyFont="1" applyBorder="1" applyAlignment="1">
      <alignment horizontal="left" vertical="top"/>
    </xf>
    <xf numFmtId="0" fontId="8" fillId="0" borderId="7" xfId="0" applyFont="1" applyBorder="1" applyAlignment="1">
      <alignment vertical="top" wrapText="1"/>
    </xf>
    <xf numFmtId="0" fontId="8" fillId="0" borderId="11" xfId="0" applyFont="1" applyBorder="1" applyAlignment="1">
      <alignment vertical="top" wrapText="1"/>
    </xf>
    <xf numFmtId="0" fontId="8" fillId="0" borderId="8" xfId="0" applyFont="1" applyBorder="1" applyAlignment="1">
      <alignment vertical="top" wrapText="1"/>
    </xf>
    <xf numFmtId="0" fontId="8" fillId="0" borderId="12" xfId="0" applyFont="1" applyBorder="1" applyAlignment="1">
      <alignment vertical="top" wrapText="1"/>
    </xf>
    <xf numFmtId="0" fontId="8" fillId="0" borderId="0" xfId="0" applyFont="1" applyAlignment="1">
      <alignment vertical="top" wrapText="1"/>
    </xf>
    <xf numFmtId="0" fontId="8" fillId="0" borderId="13" xfId="0" applyFont="1" applyBorder="1" applyAlignment="1">
      <alignment vertical="top" wrapText="1"/>
    </xf>
    <xf numFmtId="0" fontId="7" fillId="0" borderId="1" xfId="0" applyFont="1" applyBorder="1" applyAlignment="1">
      <alignment horizontal="left" vertical="top"/>
    </xf>
    <xf numFmtId="0" fontId="3" fillId="2" borderId="1" xfId="0" applyFont="1" applyFill="1" applyBorder="1" applyAlignment="1">
      <alignment horizontal="left" vertical="top"/>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19" fillId="0" borderId="27" xfId="6" applyFont="1" applyBorder="1" applyAlignment="1" applyProtection="1">
      <alignment horizontal="center" vertical="top"/>
      <protection locked="0"/>
    </xf>
    <xf numFmtId="0" fontId="19" fillId="0" borderId="28" xfId="6" applyFont="1" applyBorder="1" applyAlignment="1" applyProtection="1">
      <alignment horizontal="center" vertical="top"/>
      <protection locked="0"/>
    </xf>
    <xf numFmtId="9" fontId="19" fillId="2" borderId="29" xfId="6" applyNumberFormat="1" applyFont="1" applyFill="1" applyBorder="1" applyAlignment="1" applyProtection="1">
      <alignment horizontal="center" vertical="center" wrapText="1"/>
      <protection hidden="1"/>
    </xf>
    <xf numFmtId="9" fontId="19" fillId="2" borderId="30" xfId="6" applyNumberFormat="1" applyFont="1" applyFill="1" applyBorder="1" applyAlignment="1" applyProtection="1">
      <alignment horizontal="center" vertical="center" wrapText="1"/>
      <protection hidden="1"/>
    </xf>
    <xf numFmtId="0" fontId="19" fillId="0" borderId="34" xfId="6" applyFont="1" applyBorder="1" applyAlignment="1" applyProtection="1">
      <alignment horizontal="center" vertical="top"/>
      <protection locked="0"/>
    </xf>
    <xf numFmtId="0" fontId="19" fillId="0" borderId="10" xfId="6" applyFont="1" applyBorder="1" applyAlignment="1" applyProtection="1">
      <alignment horizontal="center" vertical="top"/>
      <protection locked="0"/>
    </xf>
    <xf numFmtId="9" fontId="20" fillId="0" borderId="2" xfId="6" applyNumberFormat="1" applyFont="1" applyFill="1" applyBorder="1" applyAlignment="1" applyProtection="1">
      <alignment horizontal="center" vertical="center"/>
      <protection locked="0"/>
    </xf>
    <xf numFmtId="0" fontId="20" fillId="0" borderId="2" xfId="6" applyFont="1" applyFill="1" applyBorder="1" applyAlignment="1" applyProtection="1">
      <alignment horizontal="center" vertical="center"/>
      <protection locked="0"/>
    </xf>
    <xf numFmtId="0" fontId="20" fillId="0" borderId="28" xfId="6" applyFont="1" applyFill="1" applyBorder="1" applyAlignment="1" applyProtection="1">
      <alignment horizontal="center" vertical="center"/>
      <protection locked="0"/>
    </xf>
    <xf numFmtId="0" fontId="20" fillId="0" borderId="25" xfId="6" applyFont="1" applyFill="1" applyBorder="1" applyAlignment="1" applyProtection="1">
      <alignment horizontal="center" vertical="center"/>
      <protection locked="0"/>
    </xf>
    <xf numFmtId="0" fontId="20" fillId="0" borderId="37" xfId="6" applyFont="1" applyFill="1" applyBorder="1" applyAlignment="1" applyProtection="1">
      <alignment horizontal="center" vertical="center"/>
      <protection locked="0"/>
    </xf>
    <xf numFmtId="0" fontId="20" fillId="0" borderId="2" xfId="6" applyFont="1" applyBorder="1" applyAlignment="1" applyProtection="1">
      <alignment horizontal="center" vertical="center"/>
      <protection locked="0"/>
    </xf>
    <xf numFmtId="0" fontId="20" fillId="0" borderId="28" xfId="6" applyFont="1" applyBorder="1" applyAlignment="1" applyProtection="1">
      <alignment horizontal="center" vertical="center"/>
      <protection locked="0"/>
    </xf>
    <xf numFmtId="0" fontId="19" fillId="0" borderId="35" xfId="6" applyFont="1" applyBorder="1" applyAlignment="1" applyProtection="1">
      <alignment horizontal="center" vertical="top" wrapText="1"/>
      <protection locked="0"/>
    </xf>
    <xf numFmtId="0" fontId="19" fillId="0" borderId="36" xfId="6" applyFont="1" applyBorder="1" applyAlignment="1" applyProtection="1">
      <alignment horizontal="center" vertical="top" wrapText="1"/>
      <protection locked="0"/>
    </xf>
    <xf numFmtId="9" fontId="19" fillId="2" borderId="28" xfId="6" applyNumberFormat="1" applyFont="1" applyFill="1" applyBorder="1" applyAlignment="1" applyProtection="1">
      <alignment horizontal="center" vertical="center" wrapText="1"/>
      <protection hidden="1"/>
    </xf>
    <xf numFmtId="9" fontId="19" fillId="2" borderId="7" xfId="6" applyNumberFormat="1" applyFont="1" applyFill="1" applyBorder="1" applyAlignment="1" applyProtection="1">
      <alignment horizontal="center" vertical="center" wrapText="1"/>
      <protection hidden="1"/>
    </xf>
    <xf numFmtId="9" fontId="19" fillId="2" borderId="11" xfId="6" applyNumberFormat="1" applyFont="1" applyFill="1" applyBorder="1" applyAlignment="1" applyProtection="1">
      <alignment horizontal="center" vertical="center" wrapText="1"/>
      <protection hidden="1"/>
    </xf>
    <xf numFmtId="9" fontId="19" fillId="2" borderId="26" xfId="6" applyNumberFormat="1" applyFont="1" applyFill="1" applyBorder="1" applyAlignment="1" applyProtection="1">
      <alignment horizontal="center" vertical="center" wrapText="1"/>
      <protection hidden="1"/>
    </xf>
    <xf numFmtId="9" fontId="19" fillId="2" borderId="12" xfId="6" applyNumberFormat="1" applyFont="1" applyFill="1" applyBorder="1" applyAlignment="1" applyProtection="1">
      <alignment horizontal="center" vertical="center" wrapText="1"/>
      <protection hidden="1"/>
    </xf>
    <xf numFmtId="9" fontId="19" fillId="2" borderId="0" xfId="6" applyNumberFormat="1" applyFont="1" applyFill="1" applyAlignment="1" applyProtection="1">
      <alignment horizontal="center" vertical="center" wrapText="1"/>
      <protection hidden="1"/>
    </xf>
    <xf numFmtId="9" fontId="19" fillId="2" borderId="23" xfId="6" applyNumberFormat="1" applyFont="1" applyFill="1" applyBorder="1" applyAlignment="1" applyProtection="1">
      <alignment horizontal="center" vertical="center" wrapText="1"/>
      <protection hidden="1"/>
    </xf>
    <xf numFmtId="9" fontId="19" fillId="2" borderId="31" xfId="6" applyNumberFormat="1" applyFont="1" applyFill="1" applyBorder="1" applyAlignment="1" applyProtection="1">
      <alignment horizontal="center" vertical="center" wrapText="1"/>
      <protection hidden="1"/>
    </xf>
    <xf numFmtId="9" fontId="19" fillId="2" borderId="32" xfId="6" applyNumberFormat="1" applyFont="1" applyFill="1" applyBorder="1" applyAlignment="1" applyProtection="1">
      <alignment horizontal="center" vertical="center" wrapText="1"/>
      <protection hidden="1"/>
    </xf>
    <xf numFmtId="9" fontId="19" fillId="2" borderId="33" xfId="6" applyNumberFormat="1" applyFont="1" applyFill="1" applyBorder="1" applyAlignment="1" applyProtection="1">
      <alignment horizontal="center" vertical="center" wrapText="1"/>
      <protection hidden="1"/>
    </xf>
    <xf numFmtId="0" fontId="5" fillId="0" borderId="2" xfId="0" applyFont="1" applyBorder="1" applyAlignment="1">
      <alignment vertical="top"/>
    </xf>
    <xf numFmtId="14" fontId="4" fillId="0" borderId="2" xfId="0" applyNumberFormat="1" applyFont="1" applyBorder="1" applyAlignment="1">
      <alignment horizontal="left" vertical="top" wrapText="1"/>
    </xf>
    <xf numFmtId="0" fontId="4" fillId="0" borderId="7" xfId="0" applyFont="1" applyBorder="1" applyAlignment="1">
      <alignment horizontal="left" vertical="top"/>
    </xf>
    <xf numFmtId="0" fontId="4" fillId="0" borderId="11" xfId="0" applyFont="1" applyBorder="1" applyAlignment="1">
      <alignment horizontal="left" vertical="top"/>
    </xf>
    <xf numFmtId="0" fontId="4" fillId="0" borderId="8" xfId="0" applyFont="1" applyBorder="1" applyAlignment="1">
      <alignment horizontal="left" vertical="top"/>
    </xf>
    <xf numFmtId="0" fontId="20" fillId="0" borderId="21" xfId="6" applyFont="1" applyBorder="1" applyAlignment="1" applyProtection="1">
      <alignment horizontal="center" vertical="center"/>
      <protection locked="0"/>
    </xf>
    <xf numFmtId="0" fontId="20" fillId="0" borderId="27" xfId="6" applyFont="1" applyBorder="1" applyAlignment="1" applyProtection="1">
      <alignment horizontal="center" vertical="center"/>
      <protection locked="0"/>
    </xf>
    <xf numFmtId="0" fontId="0" fillId="3" borderId="2" xfId="0" applyFill="1" applyBorder="1" applyAlignment="1">
      <alignment horizontal="center" wrapText="1"/>
    </xf>
    <xf numFmtId="0" fontId="14" fillId="0" borderId="2" xfId="0" applyFont="1" applyBorder="1" applyAlignment="1">
      <alignment horizontal="center"/>
    </xf>
    <xf numFmtId="0" fontId="14" fillId="0" borderId="2" xfId="8" applyFont="1" applyBorder="1" applyAlignment="1">
      <alignment horizontal="left"/>
    </xf>
  </cellXfs>
  <cellStyles count="11">
    <cellStyle name="Comma 2" xfId="1"/>
    <cellStyle name="Excel Built-in Normal" xfId="2"/>
    <cellStyle name="Excel Built-in Normal 2" xfId="3"/>
    <cellStyle name="Excel Built-in Normal 3" xfId="4"/>
    <cellStyle name="Hyperlink" xfId="10" builtinId="8"/>
    <cellStyle name="Normal" xfId="0" builtinId="0"/>
    <cellStyle name="Normal 2" xfId="5"/>
    <cellStyle name="Normal 3" xfId="6"/>
    <cellStyle name="Normal 3 3" xfId="7"/>
    <cellStyle name="Normal 4" xfId="8"/>
    <cellStyle name="Normal 5"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9.jpeg"/><Relationship Id="rId1" Type="http://schemas.openxmlformats.org/officeDocument/2006/relationships/image" Target="../media/image1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425078</xdr:colOff>
      <xdr:row>417</xdr:row>
      <xdr:rowOff>5789</xdr:rowOff>
    </xdr:from>
    <xdr:to>
      <xdr:col>7</xdr:col>
      <xdr:colOff>489699</xdr:colOff>
      <xdr:row>432</xdr:row>
      <xdr:rowOff>28290</xdr:rowOff>
    </xdr:to>
    <xdr:pic>
      <xdr:nvPicPr>
        <xdr:cNvPr id="7792" name="Picture 7">
          <a:extLst>
            <a:ext uri="{FF2B5EF4-FFF2-40B4-BE49-F238E27FC236}">
              <a16:creationId xmlns:a16="http://schemas.microsoft.com/office/drawing/2014/main" id="{00000000-0008-0000-0000-0000701E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196603" y="77863139"/>
          <a:ext cx="4322296" cy="2880001"/>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458694</xdr:colOff>
      <xdr:row>433</xdr:row>
      <xdr:rowOff>14754</xdr:rowOff>
    </xdr:from>
    <xdr:to>
      <xdr:col>7</xdr:col>
      <xdr:colOff>468891</xdr:colOff>
      <xdr:row>448</xdr:row>
      <xdr:rowOff>37254</xdr:rowOff>
    </xdr:to>
    <xdr:pic>
      <xdr:nvPicPr>
        <xdr:cNvPr id="7793" name="Picture 8">
          <a:extLst>
            <a:ext uri="{FF2B5EF4-FFF2-40B4-BE49-F238E27FC236}">
              <a16:creationId xmlns:a16="http://schemas.microsoft.com/office/drawing/2014/main" id="{00000000-0008-0000-0000-0000711E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230219" y="80920104"/>
          <a:ext cx="4267872" cy="28800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496163</xdr:colOff>
      <xdr:row>369</xdr:row>
      <xdr:rowOff>129886</xdr:rowOff>
    </xdr:from>
    <xdr:ext cx="516167" cy="264560"/>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6765345" y="70008750"/>
          <a:ext cx="516167" cy="264560"/>
        </a:xfrm>
        <a:prstGeom prst="rect">
          <a:avLst/>
        </a:prstGeom>
        <a:solidFill>
          <a:schemeClr val="accent6">
            <a:lumMod val="40000"/>
            <a:lumOff val="6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1"/>
            <a:t>5</a:t>
          </a:r>
          <a:r>
            <a:rPr lang="en-IN" sz="1100" b="1" baseline="0"/>
            <a:t> to 7</a:t>
          </a:r>
          <a:endParaRPr lang="en-IN" sz="1100" b="1"/>
        </a:p>
      </xdr:txBody>
    </xdr:sp>
    <xdr:clientData/>
  </xdr:oneCellAnchor>
  <xdr:oneCellAnchor>
    <xdr:from>
      <xdr:col>10</xdr:col>
      <xdr:colOff>891209</xdr:colOff>
      <xdr:row>376</xdr:row>
      <xdr:rowOff>66027</xdr:rowOff>
    </xdr:from>
    <xdr:ext cx="256160" cy="271675"/>
    <xdr:sp macro="" textlink="">
      <xdr:nvSpPr>
        <xdr:cNvPr id="40" name="TextBox 39">
          <a:extLst>
            <a:ext uri="{FF2B5EF4-FFF2-40B4-BE49-F238E27FC236}">
              <a16:creationId xmlns:a16="http://schemas.microsoft.com/office/drawing/2014/main" id="{00000000-0008-0000-0000-000028000000}"/>
            </a:ext>
          </a:extLst>
        </xdr:cNvPr>
        <xdr:cNvSpPr txBox="1"/>
      </xdr:nvSpPr>
      <xdr:spPr>
        <a:xfrm>
          <a:off x="7160391" y="71018618"/>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5</a:t>
          </a:r>
        </a:p>
      </xdr:txBody>
    </xdr:sp>
    <xdr:clientData/>
  </xdr:oneCellAnchor>
  <xdr:oneCellAnchor>
    <xdr:from>
      <xdr:col>13</xdr:col>
      <xdr:colOff>19011</xdr:colOff>
      <xdr:row>376</xdr:row>
      <xdr:rowOff>66028</xdr:rowOff>
    </xdr:from>
    <xdr:ext cx="256160" cy="271675"/>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8634806" y="71018619"/>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6</a:t>
          </a:r>
        </a:p>
      </xdr:txBody>
    </xdr:sp>
    <xdr:clientData/>
  </xdr:oneCellAnchor>
  <xdr:oneCellAnchor>
    <xdr:from>
      <xdr:col>15</xdr:col>
      <xdr:colOff>281153</xdr:colOff>
      <xdr:row>376</xdr:row>
      <xdr:rowOff>100665</xdr:rowOff>
    </xdr:from>
    <xdr:ext cx="256160" cy="271675"/>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0109221" y="71053256"/>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8</a:t>
          </a:r>
        </a:p>
      </xdr:txBody>
    </xdr:sp>
    <xdr:clientData/>
  </xdr:oneCellAnchor>
  <xdr:oneCellAnchor>
    <xdr:from>
      <xdr:col>10</xdr:col>
      <xdr:colOff>207818</xdr:colOff>
      <xdr:row>366</xdr:row>
      <xdr:rowOff>115124</xdr:rowOff>
    </xdr:from>
    <xdr:ext cx="256160" cy="271675"/>
    <xdr:sp macro="" textlink="">
      <xdr:nvSpPr>
        <xdr:cNvPr id="43" name="TextBox 42">
          <a:extLst>
            <a:ext uri="{FF2B5EF4-FFF2-40B4-BE49-F238E27FC236}">
              <a16:creationId xmlns:a16="http://schemas.microsoft.com/office/drawing/2014/main" id="{00000000-0008-0000-0000-00002B000000}"/>
            </a:ext>
          </a:extLst>
        </xdr:cNvPr>
        <xdr:cNvSpPr txBox="1"/>
      </xdr:nvSpPr>
      <xdr:spPr>
        <a:xfrm>
          <a:off x="6477000" y="69171374"/>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a:t>
          </a:r>
        </a:p>
      </xdr:txBody>
    </xdr:sp>
    <xdr:clientData/>
  </xdr:oneCellAnchor>
  <xdr:oneCellAnchor>
    <xdr:from>
      <xdr:col>11</xdr:col>
      <xdr:colOff>503232</xdr:colOff>
      <xdr:row>366</xdr:row>
      <xdr:rowOff>115124</xdr:rowOff>
    </xdr:from>
    <xdr:ext cx="256160" cy="271675"/>
    <xdr:sp macro="" textlink="">
      <xdr:nvSpPr>
        <xdr:cNvPr id="44" name="TextBox 43">
          <a:extLst>
            <a:ext uri="{FF2B5EF4-FFF2-40B4-BE49-F238E27FC236}">
              <a16:creationId xmlns:a16="http://schemas.microsoft.com/office/drawing/2014/main" id="{00000000-0008-0000-0000-00002C000000}"/>
            </a:ext>
          </a:extLst>
        </xdr:cNvPr>
        <xdr:cNvSpPr txBox="1"/>
      </xdr:nvSpPr>
      <xdr:spPr>
        <a:xfrm>
          <a:off x="7906755" y="69171374"/>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2</a:t>
          </a:r>
        </a:p>
      </xdr:txBody>
    </xdr:sp>
    <xdr:clientData/>
  </xdr:oneCellAnchor>
  <xdr:oneCellAnchor>
    <xdr:from>
      <xdr:col>14</xdr:col>
      <xdr:colOff>114578</xdr:colOff>
      <xdr:row>366</xdr:row>
      <xdr:rowOff>112568</xdr:rowOff>
    </xdr:from>
    <xdr:ext cx="256160" cy="271675"/>
    <xdr:sp macro="" textlink="">
      <xdr:nvSpPr>
        <xdr:cNvPr id="45" name="TextBox 44">
          <a:extLst>
            <a:ext uri="{FF2B5EF4-FFF2-40B4-BE49-F238E27FC236}">
              <a16:creationId xmlns:a16="http://schemas.microsoft.com/office/drawing/2014/main" id="{00000000-0008-0000-0000-00002D000000}"/>
            </a:ext>
          </a:extLst>
        </xdr:cNvPr>
        <xdr:cNvSpPr txBox="1"/>
      </xdr:nvSpPr>
      <xdr:spPr>
        <a:xfrm>
          <a:off x="9336510" y="69168818"/>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3</a:t>
          </a:r>
        </a:p>
      </xdr:txBody>
    </xdr:sp>
    <xdr:clientData/>
  </xdr:oneCellAnchor>
  <xdr:oneCellAnchor>
    <xdr:from>
      <xdr:col>16</xdr:col>
      <xdr:colOff>349313</xdr:colOff>
      <xdr:row>366</xdr:row>
      <xdr:rowOff>112568</xdr:rowOff>
    </xdr:from>
    <xdr:ext cx="256160" cy="271675"/>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10783518" y="69168818"/>
          <a:ext cx="25616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4</a:t>
          </a:r>
        </a:p>
      </xdr:txBody>
    </xdr:sp>
    <xdr:clientData/>
  </xdr:oneCellAnchor>
  <xdr:oneCellAnchor>
    <xdr:from>
      <xdr:col>10</xdr:col>
      <xdr:colOff>207817</xdr:colOff>
      <xdr:row>386</xdr:row>
      <xdr:rowOff>42910</xdr:rowOff>
    </xdr:from>
    <xdr:ext cx="311727" cy="271675"/>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6476999" y="72900501"/>
          <a:ext cx="311727"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10</a:t>
          </a:r>
        </a:p>
      </xdr:txBody>
    </xdr:sp>
    <xdr:clientData/>
  </xdr:oneCellAnchor>
  <xdr:oneCellAnchor>
    <xdr:from>
      <xdr:col>11</xdr:col>
      <xdr:colOff>503231</xdr:colOff>
      <xdr:row>386</xdr:row>
      <xdr:rowOff>77547</xdr:rowOff>
    </xdr:from>
    <xdr:ext cx="284745" cy="271675"/>
    <xdr:sp macro="" textlink="">
      <xdr:nvSpPr>
        <xdr:cNvPr id="48" name="TextBox 47">
          <a:extLst>
            <a:ext uri="{FF2B5EF4-FFF2-40B4-BE49-F238E27FC236}">
              <a16:creationId xmlns:a16="http://schemas.microsoft.com/office/drawing/2014/main" id="{00000000-0008-0000-0000-000030000000}"/>
            </a:ext>
          </a:extLst>
        </xdr:cNvPr>
        <xdr:cNvSpPr txBox="1"/>
      </xdr:nvSpPr>
      <xdr:spPr>
        <a:xfrm>
          <a:off x="7906754" y="72935138"/>
          <a:ext cx="284745"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11</a:t>
          </a:r>
        </a:p>
      </xdr:txBody>
    </xdr:sp>
    <xdr:clientData/>
  </xdr:oneCellAnchor>
  <xdr:oneCellAnchor>
    <xdr:from>
      <xdr:col>14</xdr:col>
      <xdr:colOff>114578</xdr:colOff>
      <xdr:row>386</xdr:row>
      <xdr:rowOff>77547</xdr:rowOff>
    </xdr:from>
    <xdr:ext cx="301058" cy="271675"/>
    <xdr:sp macro="" textlink="">
      <xdr:nvSpPr>
        <xdr:cNvPr id="49" name="TextBox 48">
          <a:extLst>
            <a:ext uri="{FF2B5EF4-FFF2-40B4-BE49-F238E27FC236}">
              <a16:creationId xmlns:a16="http://schemas.microsoft.com/office/drawing/2014/main" id="{00000000-0008-0000-0000-000031000000}"/>
            </a:ext>
          </a:extLst>
        </xdr:cNvPr>
        <xdr:cNvSpPr txBox="1"/>
      </xdr:nvSpPr>
      <xdr:spPr>
        <a:xfrm>
          <a:off x="9336510" y="72935138"/>
          <a:ext cx="301058"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12</a:t>
          </a:r>
        </a:p>
      </xdr:txBody>
    </xdr:sp>
    <xdr:clientData/>
  </xdr:oneCellAnchor>
  <xdr:oneCellAnchor>
    <xdr:from>
      <xdr:col>16</xdr:col>
      <xdr:colOff>349313</xdr:colOff>
      <xdr:row>386</xdr:row>
      <xdr:rowOff>77547</xdr:rowOff>
    </xdr:from>
    <xdr:ext cx="282800" cy="271675"/>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0783518" y="72935138"/>
          <a:ext cx="282800"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13</a:t>
          </a:r>
        </a:p>
      </xdr:txBody>
    </xdr:sp>
    <xdr:clientData/>
  </xdr:oneCellAnchor>
  <xdr:oneCellAnchor>
    <xdr:from>
      <xdr:col>11</xdr:col>
      <xdr:colOff>282286</xdr:colOff>
      <xdr:row>370</xdr:row>
      <xdr:rowOff>57629</xdr:rowOff>
    </xdr:from>
    <xdr:ext cx="311727" cy="271675"/>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8292811" y="74981279"/>
          <a:ext cx="311727"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10</a:t>
          </a:r>
        </a:p>
      </xdr:txBody>
    </xdr:sp>
    <xdr:clientData/>
  </xdr:oneCellAnchor>
  <xdr:oneCellAnchor>
    <xdr:from>
      <xdr:col>10</xdr:col>
      <xdr:colOff>113572</xdr:colOff>
      <xdr:row>390</xdr:row>
      <xdr:rowOff>146820</xdr:rowOff>
    </xdr:from>
    <xdr:ext cx="284745" cy="271675"/>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6391413" y="76364138"/>
          <a:ext cx="284745"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11</a:t>
          </a:r>
        </a:p>
      </xdr:txBody>
    </xdr:sp>
    <xdr:clientData/>
  </xdr:oneCellAnchor>
  <xdr:oneCellAnchor>
    <xdr:from>
      <xdr:col>14</xdr:col>
      <xdr:colOff>105919</xdr:colOff>
      <xdr:row>386</xdr:row>
      <xdr:rowOff>77547</xdr:rowOff>
    </xdr:from>
    <xdr:ext cx="284745" cy="271675"/>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9336510" y="72935138"/>
          <a:ext cx="284745"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11</a:t>
          </a:r>
        </a:p>
      </xdr:txBody>
    </xdr:sp>
    <xdr:clientData/>
  </xdr:oneCellAnchor>
  <xdr:oneCellAnchor>
    <xdr:from>
      <xdr:col>14</xdr:col>
      <xdr:colOff>197704</xdr:colOff>
      <xdr:row>390</xdr:row>
      <xdr:rowOff>117378</xdr:rowOff>
    </xdr:from>
    <xdr:ext cx="284745" cy="271675"/>
    <xdr:sp macro="" textlink="">
      <xdr:nvSpPr>
        <xdr:cNvPr id="80" name="TextBox 79">
          <a:extLst>
            <a:ext uri="{FF2B5EF4-FFF2-40B4-BE49-F238E27FC236}">
              <a16:creationId xmlns:a16="http://schemas.microsoft.com/office/drawing/2014/main" id="{00000000-0008-0000-0000-000050000000}"/>
            </a:ext>
          </a:extLst>
        </xdr:cNvPr>
        <xdr:cNvSpPr txBox="1"/>
      </xdr:nvSpPr>
      <xdr:spPr>
        <a:xfrm>
          <a:off x="9428295" y="76334696"/>
          <a:ext cx="284745"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12</a:t>
          </a:r>
        </a:p>
      </xdr:txBody>
    </xdr:sp>
    <xdr:clientData/>
  </xdr:oneCellAnchor>
  <xdr:oneCellAnchor>
    <xdr:from>
      <xdr:col>15</xdr:col>
      <xdr:colOff>60613</xdr:colOff>
      <xdr:row>390</xdr:row>
      <xdr:rowOff>155864</xdr:rowOff>
    </xdr:from>
    <xdr:ext cx="284745" cy="271675"/>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9897340" y="76373182"/>
          <a:ext cx="284745"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13</a:t>
          </a:r>
        </a:p>
      </xdr:txBody>
    </xdr:sp>
    <xdr:clientData/>
  </xdr:oneCellAnchor>
  <xdr:oneCellAnchor>
    <xdr:from>
      <xdr:col>14</xdr:col>
      <xdr:colOff>114578</xdr:colOff>
      <xdr:row>414</xdr:row>
      <xdr:rowOff>0</xdr:rowOff>
    </xdr:from>
    <xdr:ext cx="301058" cy="271675"/>
    <xdr:sp macro="" textlink="">
      <xdr:nvSpPr>
        <xdr:cNvPr id="84" name="TextBox 83">
          <a:extLst>
            <a:ext uri="{FF2B5EF4-FFF2-40B4-BE49-F238E27FC236}">
              <a16:creationId xmlns:a16="http://schemas.microsoft.com/office/drawing/2014/main" id="{00000000-0008-0000-0000-000031000000}"/>
            </a:ext>
          </a:extLst>
        </xdr:cNvPr>
        <xdr:cNvSpPr txBox="1"/>
      </xdr:nvSpPr>
      <xdr:spPr>
        <a:xfrm>
          <a:off x="10331728" y="73280347"/>
          <a:ext cx="301058" cy="27167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1"/>
            <a:t>12</a:t>
          </a:r>
        </a:p>
      </xdr:txBody>
    </xdr:sp>
    <xdr:clientData/>
  </xdr:oneCellAnchor>
  <xdr:oneCellAnchor>
    <xdr:from>
      <xdr:col>13</xdr:col>
      <xdr:colOff>0</xdr:colOff>
      <xdr:row>364</xdr:row>
      <xdr:rowOff>44450</xdr:rowOff>
    </xdr:from>
    <xdr:ext cx="810222" cy="264560"/>
    <xdr:sp macro="" textlink="">
      <xdr:nvSpPr>
        <xdr:cNvPr id="2" name="TextBox 1"/>
        <xdr:cNvSpPr txBox="1"/>
      </xdr:nvSpPr>
      <xdr:spPr>
        <a:xfrm>
          <a:off x="9607550" y="6896735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No.13</a:t>
          </a:r>
        </a:p>
      </xdr:txBody>
    </xdr:sp>
    <xdr:clientData/>
  </xdr:oneCellAnchor>
  <xdr:twoCellAnchor>
    <xdr:from>
      <xdr:col>0</xdr:col>
      <xdr:colOff>228600</xdr:colOff>
      <xdr:row>366</xdr:row>
      <xdr:rowOff>82550</xdr:rowOff>
    </xdr:from>
    <xdr:to>
      <xdr:col>9</xdr:col>
      <xdr:colOff>549028</xdr:colOff>
      <xdr:row>409</xdr:row>
      <xdr:rowOff>125908</xdr:rowOff>
    </xdr:to>
    <xdr:grpSp>
      <xdr:nvGrpSpPr>
        <xdr:cNvPr id="3" name="Group 2"/>
        <xdr:cNvGrpSpPr/>
      </xdr:nvGrpSpPr>
      <xdr:grpSpPr>
        <a:xfrm>
          <a:off x="228600" y="69557900"/>
          <a:ext cx="6600578" cy="7955458"/>
          <a:chOff x="228600" y="69373750"/>
          <a:chExt cx="6600578" cy="7955458"/>
        </a:xfrm>
      </xdr:grpSpPr>
      <xdr:pic>
        <xdr:nvPicPr>
          <xdr:cNvPr id="60" name="Picture 59"/>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397183" y="75673208"/>
            <a:ext cx="1240706" cy="1656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3575454" y="71649920"/>
            <a:ext cx="287733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568568" y="73913564"/>
            <a:ext cx="1240706" cy="1656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731406" y="75673208"/>
            <a:ext cx="2205953" cy="1656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228600" y="73913564"/>
            <a:ext cx="1240706" cy="1656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908536" y="73913564"/>
            <a:ext cx="1240706" cy="1656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248504" y="73913564"/>
            <a:ext cx="1240706" cy="1656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91438" y="75673208"/>
            <a:ext cx="1240706" cy="1656000"/>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5588472" y="73913564"/>
            <a:ext cx="1240706" cy="1656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3575454" y="69373750"/>
            <a:ext cx="2877333"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553106" y="69373750"/>
            <a:ext cx="2877333" cy="2160000"/>
          </a:xfrm>
          <a:prstGeom prst="rect">
            <a:avLst/>
          </a:prstGeom>
          <a:ln>
            <a:solidFill>
              <a:schemeClr val="tx1"/>
            </a:solidFill>
          </a:ln>
        </xdr:spPr>
      </xdr:pic>
      <xdr:pic>
        <xdr:nvPicPr>
          <xdr:cNvPr id="71" name="Picture 7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046918" y="75673208"/>
            <a:ext cx="1240706" cy="1656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53105" y="71649920"/>
            <a:ext cx="2877333" cy="2160000"/>
          </a:xfrm>
          <a:prstGeom prst="rect">
            <a:avLst/>
          </a:prstGeom>
          <a:ln>
            <a:solidFill>
              <a:schemeClr val="tx1"/>
            </a:solidFill>
          </a:ln>
        </xdr:spPr>
      </xdr:pic>
      <xdr:sp macro="" textlink="">
        <xdr:nvSpPr>
          <xdr:cNvPr id="76" name="TextBox 75"/>
          <xdr:cNvSpPr txBox="1"/>
        </xdr:nvSpPr>
        <xdr:spPr>
          <a:xfrm>
            <a:off x="1715156" y="6996430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chemeClr val="tx1"/>
                </a:solidFill>
                <a:effectLst>
                  <a:outerShdw blurRad="38100" dist="25400" dir="5400000" algn="ctr" rotWithShape="0">
                    <a:srgbClr val="6E747A">
                      <a:alpha val="43000"/>
                    </a:srgbClr>
                  </a:outerShdw>
                </a:effectLst>
              </a:rPr>
              <a:t>Bldg No.13</a:t>
            </a:r>
          </a:p>
        </xdr:txBody>
      </xdr:sp>
      <xdr:sp macro="" textlink="">
        <xdr:nvSpPr>
          <xdr:cNvPr id="82" name="TextBox 81"/>
          <xdr:cNvSpPr txBox="1"/>
        </xdr:nvSpPr>
        <xdr:spPr>
          <a:xfrm>
            <a:off x="4420004" y="7083425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No.13</a:t>
            </a:r>
          </a:p>
        </xdr:txBody>
      </xdr:sp>
      <xdr:sp macro="" textlink="">
        <xdr:nvSpPr>
          <xdr:cNvPr id="83" name="TextBox 82"/>
          <xdr:cNvSpPr txBox="1"/>
        </xdr:nvSpPr>
        <xdr:spPr>
          <a:xfrm>
            <a:off x="1518305" y="7290087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No.13</a:t>
            </a:r>
          </a:p>
        </xdr:txBody>
      </xdr:sp>
      <xdr:sp macro="" textlink="">
        <xdr:nvSpPr>
          <xdr:cNvPr id="85" name="TextBox 84"/>
          <xdr:cNvSpPr txBox="1"/>
        </xdr:nvSpPr>
        <xdr:spPr>
          <a:xfrm>
            <a:off x="4572404" y="7319932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No.13</a:t>
            </a:r>
          </a:p>
        </xdr:txBody>
      </xdr:sp>
      <xdr:sp macro="" textlink="">
        <xdr:nvSpPr>
          <xdr:cNvPr id="86" name="TextBox 85"/>
          <xdr:cNvSpPr txBox="1"/>
        </xdr:nvSpPr>
        <xdr:spPr>
          <a:xfrm>
            <a:off x="4502504" y="74777164"/>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No.10</a:t>
            </a:r>
          </a:p>
        </xdr:txBody>
      </xdr:sp>
      <xdr:sp macro="" textlink="">
        <xdr:nvSpPr>
          <xdr:cNvPr id="87" name="TextBox 86"/>
          <xdr:cNvSpPr txBox="1"/>
        </xdr:nvSpPr>
        <xdr:spPr>
          <a:xfrm>
            <a:off x="5734522" y="74923214"/>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No.12</a:t>
            </a:r>
          </a:p>
        </xdr:txBody>
      </xdr:sp>
      <xdr:sp macro="" textlink="">
        <xdr:nvSpPr>
          <xdr:cNvPr id="88" name="TextBox 87"/>
          <xdr:cNvSpPr txBox="1"/>
        </xdr:nvSpPr>
        <xdr:spPr>
          <a:xfrm>
            <a:off x="594638" y="76752708"/>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Bldg No.11</a:t>
            </a:r>
          </a:p>
        </xdr:txBody>
      </xdr:sp>
    </xdr:grpSp>
    <xdr:clientData/>
  </xdr:twoCellAnchor>
  <xdr:twoCellAnchor>
    <xdr:from>
      <xdr:col>2</xdr:col>
      <xdr:colOff>215900</xdr:colOff>
      <xdr:row>397</xdr:row>
      <xdr:rowOff>101600</xdr:rowOff>
    </xdr:from>
    <xdr:to>
      <xdr:col>3</xdr:col>
      <xdr:colOff>86322</xdr:colOff>
      <xdr:row>398</xdr:row>
      <xdr:rowOff>182010</xdr:rowOff>
    </xdr:to>
    <xdr:sp macro="" textlink="">
      <xdr:nvSpPr>
        <xdr:cNvPr id="89" name="TextBox 88"/>
        <xdr:cNvSpPr txBox="1"/>
      </xdr:nvSpPr>
      <xdr:spPr>
        <a:xfrm>
          <a:off x="1860550" y="7509510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Bldg No.10</a:t>
          </a:r>
        </a:p>
      </xdr:txBody>
    </xdr:sp>
    <xdr:clientData/>
  </xdr:twoCellAnchor>
  <xdr:twoCellAnchor>
    <xdr:from>
      <xdr:col>0</xdr:col>
      <xdr:colOff>463550</xdr:colOff>
      <xdr:row>398</xdr:row>
      <xdr:rowOff>38100</xdr:rowOff>
    </xdr:from>
    <xdr:to>
      <xdr:col>1</xdr:col>
      <xdr:colOff>524472</xdr:colOff>
      <xdr:row>399</xdr:row>
      <xdr:rowOff>118510</xdr:rowOff>
    </xdr:to>
    <xdr:sp macro="" textlink="">
      <xdr:nvSpPr>
        <xdr:cNvPr id="90" name="TextBox 89"/>
        <xdr:cNvSpPr txBox="1"/>
      </xdr:nvSpPr>
      <xdr:spPr>
        <a:xfrm>
          <a:off x="463550" y="7521575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Bldg No.11</a:t>
          </a:r>
        </a:p>
      </xdr:txBody>
    </xdr:sp>
    <xdr:clientData/>
  </xdr:twoCellAnchor>
  <xdr:twoCellAnchor>
    <xdr:from>
      <xdr:col>4</xdr:col>
      <xdr:colOff>12700</xdr:colOff>
      <xdr:row>398</xdr:row>
      <xdr:rowOff>127000</xdr:rowOff>
    </xdr:from>
    <xdr:to>
      <xdr:col>5</xdr:col>
      <xdr:colOff>346672</xdr:colOff>
      <xdr:row>400</xdr:row>
      <xdr:rowOff>23260</xdr:rowOff>
    </xdr:to>
    <xdr:sp macro="" textlink="">
      <xdr:nvSpPr>
        <xdr:cNvPr id="91" name="TextBox 90"/>
        <xdr:cNvSpPr txBox="1"/>
      </xdr:nvSpPr>
      <xdr:spPr>
        <a:xfrm>
          <a:off x="3105150" y="75304650"/>
          <a:ext cx="81022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Bldg No.12</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21</xdr:row>
      <xdr:rowOff>0</xdr:rowOff>
    </xdr:from>
    <xdr:to>
      <xdr:col>7</xdr:col>
      <xdr:colOff>0</xdr:colOff>
      <xdr:row>32</xdr:row>
      <xdr:rowOff>63500</xdr:rowOff>
    </xdr:to>
    <xdr:pic>
      <xdr:nvPicPr>
        <xdr:cNvPr id="8245" name="Picture 1">
          <a:extLst>
            <a:ext uri="{FF2B5EF4-FFF2-40B4-BE49-F238E27FC236}">
              <a16:creationId xmlns:a16="http://schemas.microsoft.com/office/drawing/2014/main" id="{00000000-0008-0000-0100-000035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81450" y="4267200"/>
          <a:ext cx="128270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184150</xdr:colOff>
      <xdr:row>21</xdr:row>
      <xdr:rowOff>0</xdr:rowOff>
    </xdr:from>
    <xdr:to>
      <xdr:col>12</xdr:col>
      <xdr:colOff>330200</xdr:colOff>
      <xdr:row>32</xdr:row>
      <xdr:rowOff>63500</xdr:rowOff>
    </xdr:to>
    <xdr:pic>
      <xdr:nvPicPr>
        <xdr:cNvPr id="8246" name="Picture 2">
          <a:extLst>
            <a:ext uri="{FF2B5EF4-FFF2-40B4-BE49-F238E27FC236}">
              <a16:creationId xmlns:a16="http://schemas.microsoft.com/office/drawing/2014/main" id="{00000000-0008-0000-0100-000036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48300" y="4267200"/>
          <a:ext cx="3924300" cy="2089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11</xdr:row>
      <xdr:rowOff>6350</xdr:rowOff>
    </xdr:from>
    <xdr:to>
      <xdr:col>6</xdr:col>
      <xdr:colOff>361950</xdr:colOff>
      <xdr:row>29</xdr:row>
      <xdr:rowOff>177800</xdr:rowOff>
    </xdr:to>
    <xdr:pic>
      <xdr:nvPicPr>
        <xdr:cNvPr id="6289" name="Picture 1">
          <a:extLst>
            <a:ext uri="{FF2B5EF4-FFF2-40B4-BE49-F238E27FC236}">
              <a16:creationId xmlns:a16="http://schemas.microsoft.com/office/drawing/2014/main" id="{00000000-0008-0000-0800-0000911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2216150"/>
          <a:ext cx="6013450" cy="34861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63500</xdr:rowOff>
    </xdr:from>
    <xdr:to>
      <xdr:col>6</xdr:col>
      <xdr:colOff>355600</xdr:colOff>
      <xdr:row>49</xdr:row>
      <xdr:rowOff>44450</xdr:rowOff>
    </xdr:to>
    <xdr:pic>
      <xdr:nvPicPr>
        <xdr:cNvPr id="6290" name="Picture 2">
          <a:extLst>
            <a:ext uri="{FF2B5EF4-FFF2-40B4-BE49-F238E27FC236}">
              <a16:creationId xmlns:a16="http://schemas.microsoft.com/office/drawing/2014/main" id="{00000000-0008-0000-0800-00009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9600" y="5772150"/>
          <a:ext cx="600710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527050</xdr:colOff>
      <xdr:row>11</xdr:row>
      <xdr:rowOff>0</xdr:rowOff>
    </xdr:from>
    <xdr:to>
      <xdr:col>16</xdr:col>
      <xdr:colOff>190500</xdr:colOff>
      <xdr:row>29</xdr:row>
      <xdr:rowOff>165100</xdr:rowOff>
    </xdr:to>
    <xdr:pic>
      <xdr:nvPicPr>
        <xdr:cNvPr id="6291" name="Picture 3">
          <a:extLst>
            <a:ext uri="{FF2B5EF4-FFF2-40B4-BE49-F238E27FC236}">
              <a16:creationId xmlns:a16="http://schemas.microsoft.com/office/drawing/2014/main" id="{00000000-0008-0000-0800-00009318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788150" y="2209800"/>
          <a:ext cx="6788150" cy="34798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DX8xafdHR5KMtMmg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5"/>
  <sheetViews>
    <sheetView tabSelected="1" view="pageBreakPreview" zoomScaleNormal="100" zoomScaleSheetLayoutView="100" workbookViewId="0">
      <selection activeCell="F11" sqref="F11:J11"/>
    </sheetView>
  </sheetViews>
  <sheetFormatPr defaultRowHeight="14.5" x14ac:dyDescent="0.35"/>
  <cols>
    <col min="1" max="1" width="10.7265625" customWidth="1"/>
    <col min="2" max="2" width="12.81640625" customWidth="1"/>
    <col min="3" max="3" width="13.453125" customWidth="1"/>
    <col min="4" max="4" width="7.26953125" customWidth="1"/>
    <col min="5" max="5" width="6.81640625" customWidth="1"/>
    <col min="6" max="6" width="9" customWidth="1"/>
    <col min="7" max="8" width="9.81640625" customWidth="1"/>
    <col min="9" max="9" width="10.1796875" customWidth="1"/>
    <col min="10" max="10" width="13.1796875" customWidth="1"/>
    <col min="11" max="11" width="17" customWidth="1"/>
  </cols>
  <sheetData>
    <row r="1" spans="1:10" ht="43.9" customHeight="1" x14ac:dyDescent="0.35">
      <c r="A1" s="203" t="s">
        <v>257</v>
      </c>
      <c r="B1" s="204"/>
      <c r="C1" s="204"/>
      <c r="D1" s="204"/>
      <c r="E1" s="204"/>
      <c r="F1" s="204"/>
      <c r="G1" s="204"/>
      <c r="H1" s="204"/>
      <c r="I1" s="204"/>
      <c r="J1" s="205"/>
    </row>
    <row r="2" spans="1:10" x14ac:dyDescent="0.35">
      <c r="A2" s="187" t="s">
        <v>48</v>
      </c>
      <c r="B2" s="188"/>
      <c r="C2" s="188"/>
      <c r="D2" s="188"/>
      <c r="E2" s="188"/>
      <c r="F2" s="188"/>
      <c r="G2" s="188"/>
      <c r="H2" s="188"/>
      <c r="I2" s="188"/>
      <c r="J2" s="189"/>
    </row>
    <row r="3" spans="1:10" x14ac:dyDescent="0.35">
      <c r="A3" s="151" t="s">
        <v>0</v>
      </c>
      <c r="B3" s="114"/>
      <c r="C3" s="114"/>
      <c r="D3" s="114"/>
      <c r="E3" s="115"/>
      <c r="F3" s="173" t="str">
        <f ca="1">TEXT(TODAY(),"DD/MM/YYYY")</f>
        <v>20/09/2025</v>
      </c>
      <c r="G3" s="174"/>
      <c r="H3" s="174"/>
      <c r="I3" s="174"/>
      <c r="J3" s="175"/>
    </row>
    <row r="4" spans="1:10" x14ac:dyDescent="0.35">
      <c r="A4" s="151" t="s">
        <v>1</v>
      </c>
      <c r="B4" s="114"/>
      <c r="C4" s="114"/>
      <c r="D4" s="114"/>
      <c r="E4" s="115"/>
      <c r="F4" s="104" t="s">
        <v>112</v>
      </c>
      <c r="G4" s="105"/>
      <c r="H4" s="105"/>
      <c r="I4" s="105"/>
      <c r="J4" s="106"/>
    </row>
    <row r="5" spans="1:10" x14ac:dyDescent="0.35">
      <c r="A5" s="151" t="s">
        <v>2</v>
      </c>
      <c r="B5" s="114"/>
      <c r="C5" s="114"/>
      <c r="D5" s="114"/>
      <c r="E5" s="115"/>
      <c r="F5" s="173">
        <v>45919</v>
      </c>
      <c r="G5" s="174"/>
      <c r="H5" s="174"/>
      <c r="I5" s="174"/>
      <c r="J5" s="175"/>
    </row>
    <row r="6" spans="1:10" ht="16.5" customHeight="1" x14ac:dyDescent="0.35">
      <c r="A6" s="151" t="s">
        <v>3</v>
      </c>
      <c r="B6" s="114"/>
      <c r="C6" s="114"/>
      <c r="D6" s="114"/>
      <c r="E6" s="115"/>
      <c r="F6" s="144" t="s">
        <v>113</v>
      </c>
      <c r="G6" s="145"/>
      <c r="H6" s="145"/>
      <c r="I6" s="145"/>
      <c r="J6" s="146"/>
    </row>
    <row r="7" spans="1:10" ht="15" customHeight="1" x14ac:dyDescent="0.35">
      <c r="A7" s="151" t="s">
        <v>4</v>
      </c>
      <c r="B7" s="114"/>
      <c r="C7" s="114"/>
      <c r="D7" s="114"/>
      <c r="E7" s="115"/>
      <c r="F7" s="144" t="s">
        <v>113</v>
      </c>
      <c r="G7" s="145"/>
      <c r="H7" s="145"/>
      <c r="I7" s="145"/>
      <c r="J7" s="146"/>
    </row>
    <row r="8" spans="1:10" x14ac:dyDescent="0.35">
      <c r="A8" s="151" t="s">
        <v>5</v>
      </c>
      <c r="B8" s="114"/>
      <c r="C8" s="114"/>
      <c r="D8" s="114"/>
      <c r="E8" s="115"/>
      <c r="F8" s="107" t="s">
        <v>154</v>
      </c>
      <c r="G8" s="179"/>
      <c r="H8" s="179"/>
      <c r="I8" s="179"/>
      <c r="J8" s="180"/>
    </row>
    <row r="9" spans="1:10" x14ac:dyDescent="0.35">
      <c r="A9" s="104" t="s">
        <v>258</v>
      </c>
      <c r="B9" s="114"/>
      <c r="C9" s="114"/>
      <c r="D9" s="114"/>
      <c r="E9" s="115"/>
      <c r="F9" s="104">
        <v>9967919523</v>
      </c>
      <c r="G9" s="105"/>
      <c r="H9" s="105"/>
      <c r="I9" s="105"/>
      <c r="J9" s="106"/>
    </row>
    <row r="10" spans="1:10" x14ac:dyDescent="0.35">
      <c r="A10" s="104" t="s">
        <v>261</v>
      </c>
      <c r="B10" s="114"/>
      <c r="C10" s="114"/>
      <c r="D10" s="114"/>
      <c r="E10" s="115"/>
      <c r="F10" s="104" t="s">
        <v>287</v>
      </c>
      <c r="G10" s="105"/>
      <c r="H10" s="105"/>
      <c r="I10" s="105"/>
      <c r="J10" s="106"/>
    </row>
    <row r="11" spans="1:10" x14ac:dyDescent="0.35">
      <c r="A11" s="104" t="s">
        <v>156</v>
      </c>
      <c r="B11" s="114"/>
      <c r="C11" s="114"/>
      <c r="D11" s="114"/>
      <c r="E11" s="115"/>
      <c r="F11" s="104" t="s">
        <v>217</v>
      </c>
      <c r="G11" s="105"/>
      <c r="H11" s="105"/>
      <c r="I11" s="105"/>
      <c r="J11" s="106"/>
    </row>
    <row r="12" spans="1:10" x14ac:dyDescent="0.35">
      <c r="A12" s="151" t="s">
        <v>6</v>
      </c>
      <c r="B12" s="114"/>
      <c r="C12" s="114"/>
      <c r="D12" s="114"/>
      <c r="E12" s="115"/>
      <c r="F12" s="104" t="s">
        <v>111</v>
      </c>
      <c r="G12" s="105"/>
      <c r="H12" s="105"/>
      <c r="I12" s="105"/>
      <c r="J12" s="106"/>
    </row>
    <row r="13" spans="1:10" ht="45" customHeight="1" x14ac:dyDescent="0.35">
      <c r="A13" s="104" t="s">
        <v>158</v>
      </c>
      <c r="B13" s="114"/>
      <c r="C13" s="114"/>
      <c r="D13" s="114"/>
      <c r="E13" s="115"/>
      <c r="F13" s="144" t="s">
        <v>218</v>
      </c>
      <c r="G13" s="105"/>
      <c r="H13" s="105"/>
      <c r="I13" s="105"/>
      <c r="J13" s="106"/>
    </row>
    <row r="14" spans="1:10" ht="15" hidden="1" customHeight="1" x14ac:dyDescent="0.35">
      <c r="A14" s="192" t="s">
        <v>64</v>
      </c>
      <c r="B14" s="192"/>
      <c r="C14" s="144" t="s">
        <v>166</v>
      </c>
      <c r="D14" s="145"/>
      <c r="E14" s="145"/>
      <c r="F14" s="145"/>
      <c r="G14" s="146"/>
      <c r="H14" s="2" t="s">
        <v>65</v>
      </c>
      <c r="I14" s="104" t="s">
        <v>114</v>
      </c>
      <c r="J14" s="106"/>
    </row>
    <row r="15" spans="1:10" ht="32.25" customHeight="1" x14ac:dyDescent="0.35">
      <c r="A15" s="192" t="s">
        <v>66</v>
      </c>
      <c r="B15" s="192"/>
      <c r="C15" s="144" t="s">
        <v>268</v>
      </c>
      <c r="D15" s="145"/>
      <c r="E15" s="145"/>
      <c r="F15" s="145"/>
      <c r="G15" s="145"/>
      <c r="H15" s="145"/>
      <c r="I15" s="145"/>
      <c r="J15" s="146"/>
    </row>
    <row r="16" spans="1:10" x14ac:dyDescent="0.35">
      <c r="A16" s="185" t="s">
        <v>67</v>
      </c>
      <c r="B16" s="185"/>
      <c r="C16" s="185" t="s">
        <v>115</v>
      </c>
      <c r="D16" s="185"/>
      <c r="E16" s="185"/>
      <c r="F16" s="176" t="s">
        <v>68</v>
      </c>
      <c r="G16" s="178"/>
      <c r="H16" s="176" t="s">
        <v>116</v>
      </c>
      <c r="I16" s="177"/>
      <c r="J16" s="178"/>
    </row>
    <row r="17" spans="1:10" x14ac:dyDescent="0.35">
      <c r="A17" s="244" t="s">
        <v>7</v>
      </c>
      <c r="B17" s="244"/>
      <c r="C17" s="185" t="s">
        <v>266</v>
      </c>
      <c r="D17" s="185"/>
      <c r="E17" s="185"/>
      <c r="F17" s="182" t="s">
        <v>69</v>
      </c>
      <c r="G17" s="183"/>
      <c r="H17" s="176" t="s">
        <v>117</v>
      </c>
      <c r="I17" s="177"/>
      <c r="J17" s="178"/>
    </row>
    <row r="18" spans="1:10" x14ac:dyDescent="0.35">
      <c r="A18" s="244" t="s">
        <v>8</v>
      </c>
      <c r="B18" s="244"/>
      <c r="C18" s="185" t="s">
        <v>267</v>
      </c>
      <c r="D18" s="185"/>
      <c r="E18" s="185"/>
      <c r="F18" s="182" t="s">
        <v>70</v>
      </c>
      <c r="G18" s="183"/>
      <c r="H18" s="144">
        <v>421503</v>
      </c>
      <c r="I18" s="145"/>
      <c r="J18" s="146"/>
    </row>
    <row r="19" spans="1:10" ht="32.25" customHeight="1" x14ac:dyDescent="0.35">
      <c r="A19" s="185" t="s">
        <v>71</v>
      </c>
      <c r="B19" s="185"/>
      <c r="C19" s="181" t="s">
        <v>123</v>
      </c>
      <c r="D19" s="181"/>
      <c r="E19" s="181"/>
      <c r="F19" s="193" t="s">
        <v>57</v>
      </c>
      <c r="G19" s="193"/>
      <c r="H19" s="177" t="s">
        <v>250</v>
      </c>
      <c r="I19" s="177"/>
      <c r="J19" s="178"/>
    </row>
    <row r="20" spans="1:10" ht="15" customHeight="1" x14ac:dyDescent="0.35">
      <c r="A20" s="167" t="s">
        <v>59</v>
      </c>
      <c r="B20" s="168"/>
      <c r="C20" s="168"/>
      <c r="D20" s="168"/>
      <c r="E20" s="169"/>
      <c r="F20" s="246" t="s">
        <v>63</v>
      </c>
      <c r="G20" s="247"/>
      <c r="H20" s="247"/>
      <c r="I20" s="247"/>
      <c r="J20" s="248"/>
    </row>
    <row r="21" spans="1:10" x14ac:dyDescent="0.35">
      <c r="A21" s="170"/>
      <c r="B21" s="171"/>
      <c r="C21" s="171"/>
      <c r="D21" s="171"/>
      <c r="E21" s="172"/>
      <c r="F21" s="206"/>
      <c r="G21" s="207"/>
      <c r="H21" s="207"/>
      <c r="I21" s="207"/>
      <c r="J21" s="208"/>
    </row>
    <row r="22" spans="1:10" ht="15" customHeight="1" x14ac:dyDescent="0.35">
      <c r="A22" s="196" t="s">
        <v>9</v>
      </c>
      <c r="B22" s="197"/>
      <c r="C22" s="197"/>
      <c r="D22" s="197"/>
      <c r="E22" s="198"/>
      <c r="F22" s="167" t="s">
        <v>50</v>
      </c>
      <c r="G22" s="168"/>
      <c r="H22" s="168"/>
      <c r="I22" s="168"/>
      <c r="J22" s="169"/>
    </row>
    <row r="23" spans="1:10" x14ac:dyDescent="0.35">
      <c r="A23" s="151" t="s">
        <v>10</v>
      </c>
      <c r="B23" s="114"/>
      <c r="C23" s="114"/>
      <c r="D23" s="114"/>
      <c r="E23" s="115"/>
      <c r="F23" s="182" t="s">
        <v>109</v>
      </c>
      <c r="G23" s="183"/>
      <c r="H23" s="183"/>
      <c r="I23" s="183"/>
      <c r="J23" s="184"/>
    </row>
    <row r="24" spans="1:10" x14ac:dyDescent="0.35">
      <c r="A24" s="151" t="s">
        <v>11</v>
      </c>
      <c r="B24" s="114"/>
      <c r="C24" s="114"/>
      <c r="D24" s="114"/>
      <c r="E24" s="115"/>
      <c r="F24" s="182" t="s">
        <v>58</v>
      </c>
      <c r="G24" s="183"/>
      <c r="H24" s="183"/>
      <c r="I24" s="183"/>
      <c r="J24" s="184"/>
    </row>
    <row r="25" spans="1:10" x14ac:dyDescent="0.35">
      <c r="A25" s="151" t="s">
        <v>12</v>
      </c>
      <c r="B25" s="114"/>
      <c r="C25" s="114"/>
      <c r="D25" s="114"/>
      <c r="E25" s="115"/>
      <c r="F25" s="182" t="s">
        <v>51</v>
      </c>
      <c r="G25" s="183"/>
      <c r="H25" s="183"/>
      <c r="I25" s="183"/>
      <c r="J25" s="184"/>
    </row>
    <row r="26" spans="1:10" x14ac:dyDescent="0.35">
      <c r="A26" s="151" t="s">
        <v>30</v>
      </c>
      <c r="B26" s="114"/>
      <c r="C26" s="114"/>
      <c r="D26" s="114"/>
      <c r="E26" s="115"/>
      <c r="F26" s="182" t="s">
        <v>72</v>
      </c>
      <c r="G26" s="194"/>
      <c r="H26" s="194"/>
      <c r="I26" s="194"/>
      <c r="J26" s="195"/>
    </row>
    <row r="27" spans="1:10" x14ac:dyDescent="0.35">
      <c r="A27" s="187" t="s">
        <v>13</v>
      </c>
      <c r="B27" s="189"/>
      <c r="C27" s="187" t="s">
        <v>14</v>
      </c>
      <c r="D27" s="189"/>
      <c r="E27" s="187" t="s">
        <v>15</v>
      </c>
      <c r="F27" s="189"/>
      <c r="G27" s="187" t="s">
        <v>56</v>
      </c>
      <c r="H27" s="189"/>
      <c r="I27" s="187" t="s">
        <v>16</v>
      </c>
      <c r="J27" s="189"/>
    </row>
    <row r="28" spans="1:10" x14ac:dyDescent="0.35">
      <c r="A28" s="187" t="s">
        <v>17</v>
      </c>
      <c r="B28" s="189"/>
      <c r="C28" s="190" t="s">
        <v>55</v>
      </c>
      <c r="D28" s="191"/>
      <c r="E28" s="190" t="s">
        <v>55</v>
      </c>
      <c r="F28" s="191"/>
      <c r="G28" s="190" t="s">
        <v>55</v>
      </c>
      <c r="H28" s="191"/>
      <c r="I28" s="190" t="s">
        <v>55</v>
      </c>
      <c r="J28" s="191"/>
    </row>
    <row r="29" spans="1:10" x14ac:dyDescent="0.35">
      <c r="A29" s="187" t="s">
        <v>18</v>
      </c>
      <c r="B29" s="189"/>
      <c r="C29" s="190" t="s">
        <v>122</v>
      </c>
      <c r="D29" s="191"/>
      <c r="E29" s="190" t="s">
        <v>7</v>
      </c>
      <c r="F29" s="191"/>
      <c r="G29" s="190" t="s">
        <v>122</v>
      </c>
      <c r="H29" s="191"/>
      <c r="I29" s="190" t="s">
        <v>122</v>
      </c>
      <c r="J29" s="191"/>
    </row>
    <row r="30" spans="1:10" x14ac:dyDescent="0.35">
      <c r="A30" s="104" t="s">
        <v>61</v>
      </c>
      <c r="B30" s="105"/>
      <c r="C30" s="105"/>
      <c r="D30" s="105"/>
      <c r="E30" s="105"/>
      <c r="F30" s="105"/>
      <c r="G30" s="105"/>
      <c r="H30" s="105"/>
      <c r="I30" s="105"/>
      <c r="J30" s="106"/>
    </row>
    <row r="31" spans="1:10" x14ac:dyDescent="0.35">
      <c r="A31" s="104" t="s">
        <v>52</v>
      </c>
      <c r="B31" s="105"/>
      <c r="C31" s="105"/>
      <c r="D31" s="105"/>
      <c r="E31" s="105"/>
      <c r="F31" s="105"/>
      <c r="G31" s="105"/>
      <c r="H31" s="105"/>
      <c r="I31" s="105"/>
      <c r="J31" s="106"/>
    </row>
    <row r="32" spans="1:10" x14ac:dyDescent="0.35">
      <c r="A32" s="104" t="s">
        <v>45</v>
      </c>
      <c r="B32" s="106"/>
      <c r="C32" s="107" t="s">
        <v>265</v>
      </c>
      <c r="D32" s="179"/>
      <c r="E32" s="179"/>
      <c r="F32" s="179"/>
      <c r="G32" s="179"/>
      <c r="H32" s="179"/>
      <c r="I32" s="179"/>
      <c r="J32" s="180"/>
    </row>
    <row r="33" spans="1:10" x14ac:dyDescent="0.35">
      <c r="A33" s="104" t="s">
        <v>259</v>
      </c>
      <c r="B33" s="106"/>
      <c r="C33" s="186" t="s">
        <v>260</v>
      </c>
      <c r="D33" s="105"/>
      <c r="E33" s="105"/>
      <c r="F33" s="105"/>
      <c r="G33" s="105"/>
      <c r="H33" s="105"/>
      <c r="I33" s="105"/>
      <c r="J33" s="106"/>
    </row>
    <row r="34" spans="1:10" x14ac:dyDescent="0.35">
      <c r="A34" s="107" t="s">
        <v>19</v>
      </c>
      <c r="B34" s="179"/>
      <c r="C34" s="179"/>
      <c r="D34" s="179"/>
      <c r="E34" s="179"/>
      <c r="F34" s="179"/>
      <c r="G34" s="179"/>
      <c r="H34" s="179"/>
      <c r="I34" s="179"/>
      <c r="J34" s="180"/>
    </row>
    <row r="35" spans="1:10" ht="15" customHeight="1" x14ac:dyDescent="0.35">
      <c r="A35" s="167" t="s">
        <v>231</v>
      </c>
      <c r="B35" s="168"/>
      <c r="C35" s="168"/>
      <c r="D35" s="168"/>
      <c r="E35" s="168"/>
      <c r="F35" s="168"/>
      <c r="G35" s="168"/>
      <c r="H35" s="168"/>
      <c r="I35" s="168"/>
      <c r="J35" s="169"/>
    </row>
    <row r="36" spans="1:10" x14ac:dyDescent="0.35">
      <c r="A36" s="170"/>
      <c r="B36" s="171"/>
      <c r="C36" s="171"/>
      <c r="D36" s="171"/>
      <c r="E36" s="171"/>
      <c r="F36" s="171"/>
      <c r="G36" s="171"/>
      <c r="H36" s="171"/>
      <c r="I36" s="171"/>
      <c r="J36" s="172"/>
    </row>
    <row r="37" spans="1:10" ht="16.5" customHeight="1" x14ac:dyDescent="0.35">
      <c r="A37" s="104" t="s">
        <v>73</v>
      </c>
      <c r="B37" s="114"/>
      <c r="C37" s="114"/>
      <c r="D37" s="114"/>
      <c r="E37" s="115"/>
      <c r="F37" s="144" t="s">
        <v>118</v>
      </c>
      <c r="G37" s="145"/>
      <c r="H37" s="145"/>
      <c r="I37" s="145"/>
      <c r="J37" s="146"/>
    </row>
    <row r="38" spans="1:10" ht="17.25" customHeight="1" x14ac:dyDescent="0.35">
      <c r="A38" s="144" t="s">
        <v>125</v>
      </c>
      <c r="B38" s="161"/>
      <c r="C38" s="161"/>
      <c r="D38" s="161"/>
      <c r="E38" s="162"/>
      <c r="F38" s="144" t="s">
        <v>124</v>
      </c>
      <c r="G38" s="145"/>
      <c r="H38" s="145"/>
      <c r="I38" s="145"/>
      <c r="J38" s="146"/>
    </row>
    <row r="39" spans="1:10" x14ac:dyDescent="0.35">
      <c r="A39" s="151" t="s">
        <v>20</v>
      </c>
      <c r="B39" s="114"/>
      <c r="C39" s="114"/>
      <c r="D39" s="114"/>
      <c r="E39" s="115"/>
      <c r="F39" s="104">
        <v>1.1000000000000001</v>
      </c>
      <c r="G39" s="105"/>
      <c r="H39" s="105"/>
      <c r="I39" s="105"/>
      <c r="J39" s="106"/>
    </row>
    <row r="40" spans="1:10" x14ac:dyDescent="0.35">
      <c r="A40" s="151" t="s">
        <v>21</v>
      </c>
      <c r="B40" s="114"/>
      <c r="C40" s="114"/>
      <c r="D40" s="114"/>
      <c r="E40" s="115"/>
      <c r="F40" s="104">
        <v>0</v>
      </c>
      <c r="G40" s="105"/>
      <c r="H40" s="105"/>
      <c r="I40" s="105"/>
      <c r="J40" s="106"/>
    </row>
    <row r="41" spans="1:10" x14ac:dyDescent="0.35">
      <c r="A41" s="151" t="s">
        <v>22</v>
      </c>
      <c r="B41" s="114"/>
      <c r="C41" s="114"/>
      <c r="D41" s="114"/>
      <c r="E41" s="115"/>
      <c r="F41" s="104">
        <v>1.1000000000000001</v>
      </c>
      <c r="G41" s="105"/>
      <c r="H41" s="105"/>
      <c r="I41" s="105"/>
      <c r="J41" s="106"/>
    </row>
    <row r="42" spans="1:10" x14ac:dyDescent="0.35">
      <c r="A42" s="104" t="s">
        <v>74</v>
      </c>
      <c r="B42" s="114"/>
      <c r="C42" s="114"/>
      <c r="D42" s="114"/>
      <c r="E42" s="115"/>
      <c r="F42" s="104" t="s">
        <v>126</v>
      </c>
      <c r="G42" s="105"/>
      <c r="H42" s="105"/>
      <c r="I42" s="105"/>
      <c r="J42" s="106"/>
    </row>
    <row r="43" spans="1:10" x14ac:dyDescent="0.35">
      <c r="A43" s="151" t="s">
        <v>23</v>
      </c>
      <c r="B43" s="114"/>
      <c r="C43" s="114"/>
      <c r="D43" s="114"/>
      <c r="E43" s="115"/>
      <c r="F43" s="104" t="s">
        <v>246</v>
      </c>
      <c r="G43" s="105"/>
      <c r="H43" s="105"/>
      <c r="I43" s="105"/>
      <c r="J43" s="106"/>
    </row>
    <row r="44" spans="1:10" x14ac:dyDescent="0.35">
      <c r="A44" s="155" t="s">
        <v>75</v>
      </c>
      <c r="B44" s="155"/>
      <c r="C44" s="155"/>
      <c r="D44" s="155"/>
      <c r="E44" s="155"/>
      <c r="F44" s="155"/>
      <c r="G44" s="155"/>
      <c r="H44" s="155"/>
      <c r="I44" s="155"/>
      <c r="J44" s="155"/>
    </row>
    <row r="45" spans="1:10" ht="32.25" customHeight="1" x14ac:dyDescent="0.35">
      <c r="A45" s="164" t="s">
        <v>271</v>
      </c>
      <c r="B45" s="164"/>
      <c r="C45" s="163" t="s">
        <v>269</v>
      </c>
      <c r="D45" s="163"/>
      <c r="E45" s="163"/>
      <c r="F45" s="163"/>
      <c r="G45" s="62" t="s">
        <v>65</v>
      </c>
      <c r="H45" s="165">
        <v>42794</v>
      </c>
      <c r="I45" s="166"/>
      <c r="J45" s="166"/>
    </row>
    <row r="46" spans="1:10" ht="33.75" customHeight="1" x14ac:dyDescent="0.35">
      <c r="A46" s="164" t="s">
        <v>270</v>
      </c>
      <c r="B46" s="164"/>
      <c r="C46" s="163" t="s">
        <v>269</v>
      </c>
      <c r="D46" s="163"/>
      <c r="E46" s="163"/>
      <c r="F46" s="163"/>
      <c r="G46" s="62" t="s">
        <v>65</v>
      </c>
      <c r="H46" s="165">
        <v>42794</v>
      </c>
      <c r="I46" s="166"/>
      <c r="J46" s="166"/>
    </row>
    <row r="47" spans="1:10" ht="45.5" customHeight="1" x14ac:dyDescent="0.35">
      <c r="A47" s="164" t="s">
        <v>273</v>
      </c>
      <c r="B47" s="164"/>
      <c r="C47" s="163" t="s">
        <v>166</v>
      </c>
      <c r="D47" s="163"/>
      <c r="E47" s="163"/>
      <c r="F47" s="163"/>
      <c r="G47" s="62" t="s">
        <v>65</v>
      </c>
      <c r="H47" s="165">
        <v>42661</v>
      </c>
      <c r="I47" s="166" t="s">
        <v>53</v>
      </c>
      <c r="J47" s="166"/>
    </row>
    <row r="48" spans="1:10" ht="31.5" customHeight="1" x14ac:dyDescent="0.35">
      <c r="A48" s="164" t="s">
        <v>272</v>
      </c>
      <c r="B48" s="164"/>
      <c r="C48" s="163" t="s">
        <v>269</v>
      </c>
      <c r="D48" s="163"/>
      <c r="E48" s="163"/>
      <c r="F48" s="163"/>
      <c r="G48" s="62" t="s">
        <v>65</v>
      </c>
      <c r="H48" s="165">
        <v>42794</v>
      </c>
      <c r="I48" s="166"/>
      <c r="J48" s="166"/>
    </row>
    <row r="49" spans="1:12" ht="18" customHeight="1" x14ac:dyDescent="0.35">
      <c r="A49" s="164" t="s">
        <v>280</v>
      </c>
      <c r="B49" s="164"/>
      <c r="C49" s="163" t="s">
        <v>249</v>
      </c>
      <c r="D49" s="163"/>
      <c r="E49" s="163"/>
      <c r="F49" s="163"/>
      <c r="G49" s="62" t="s">
        <v>65</v>
      </c>
      <c r="H49" s="165">
        <v>42794</v>
      </c>
      <c r="I49" s="166"/>
      <c r="J49" s="166"/>
    </row>
    <row r="50" spans="1:12" x14ac:dyDescent="0.35">
      <c r="A50" s="164"/>
      <c r="B50" s="164"/>
      <c r="C50" s="163" t="s">
        <v>248</v>
      </c>
      <c r="D50" s="163"/>
      <c r="E50" s="163"/>
      <c r="F50" s="163"/>
      <c r="G50" s="163"/>
      <c r="H50" s="163"/>
      <c r="I50" s="163"/>
      <c r="J50" s="163"/>
    </row>
    <row r="51" spans="1:12" ht="61.5" customHeight="1" x14ac:dyDescent="0.35">
      <c r="A51" s="156" t="s">
        <v>279</v>
      </c>
      <c r="B51" s="157"/>
      <c r="C51" s="158" t="s">
        <v>263</v>
      </c>
      <c r="D51" s="159"/>
      <c r="E51" s="159"/>
      <c r="F51" s="160"/>
      <c r="G51" s="55" t="str">
        <f>G48</f>
        <v>Dated</v>
      </c>
      <c r="H51" s="134">
        <v>44169</v>
      </c>
      <c r="I51" s="135"/>
      <c r="J51" s="136"/>
    </row>
    <row r="52" spans="1:12" ht="61.5" customHeight="1" x14ac:dyDescent="0.35">
      <c r="A52" s="156" t="s">
        <v>281</v>
      </c>
      <c r="B52" s="157"/>
      <c r="C52" s="158" t="s">
        <v>262</v>
      </c>
      <c r="D52" s="159"/>
      <c r="E52" s="159"/>
      <c r="F52" s="160"/>
      <c r="G52" s="55" t="str">
        <f>G47</f>
        <v>Dated</v>
      </c>
      <c r="H52" s="134">
        <v>44650</v>
      </c>
      <c r="I52" s="135"/>
      <c r="J52" s="136"/>
    </row>
    <row r="53" spans="1:12" ht="33" customHeight="1" x14ac:dyDescent="0.35">
      <c r="A53" s="164" t="s">
        <v>81</v>
      </c>
      <c r="B53" s="164"/>
      <c r="C53" s="245">
        <v>42794</v>
      </c>
      <c r="D53" s="245"/>
      <c r="E53" s="164" t="s">
        <v>76</v>
      </c>
      <c r="F53" s="164"/>
      <c r="G53" s="164" t="s">
        <v>285</v>
      </c>
      <c r="H53" s="164"/>
      <c r="I53" s="164"/>
      <c r="J53" s="164"/>
    </row>
    <row r="54" spans="1:12" x14ac:dyDescent="0.35">
      <c r="A54" s="152" t="s">
        <v>24</v>
      </c>
      <c r="B54" s="153"/>
      <c r="C54" s="153"/>
      <c r="D54" s="153"/>
      <c r="E54" s="153"/>
      <c r="F54" s="153"/>
      <c r="G54" s="153"/>
      <c r="H54" s="153"/>
      <c r="I54" s="153"/>
      <c r="J54" s="154"/>
    </row>
    <row r="55" spans="1:12" x14ac:dyDescent="0.35">
      <c r="A55" s="104" t="s">
        <v>108</v>
      </c>
      <c r="B55" s="105"/>
      <c r="C55" s="106"/>
      <c r="D55" s="104" t="str">
        <f>F42</f>
        <v>11681.01 Sq. Mt.</v>
      </c>
      <c r="E55" s="105"/>
      <c r="F55" s="105"/>
      <c r="G55" s="105"/>
      <c r="H55" s="105"/>
      <c r="I55" s="105"/>
      <c r="J55" s="106"/>
      <c r="K55">
        <f>358-120</f>
        <v>238</v>
      </c>
    </row>
    <row r="56" spans="1:12" x14ac:dyDescent="0.35">
      <c r="A56" s="104" t="s">
        <v>77</v>
      </c>
      <c r="B56" s="105"/>
      <c r="C56" s="106"/>
      <c r="D56" s="104" t="s">
        <v>247</v>
      </c>
      <c r="E56" s="105"/>
      <c r="F56" s="105"/>
      <c r="G56" s="105"/>
      <c r="H56" s="105"/>
      <c r="I56" s="105"/>
      <c r="J56" s="106"/>
      <c r="K56">
        <f>358-120</f>
        <v>238</v>
      </c>
    </row>
    <row r="57" spans="1:12" x14ac:dyDescent="0.35">
      <c r="A57" s="104" t="s">
        <v>78</v>
      </c>
      <c r="B57" s="105"/>
      <c r="C57" s="106"/>
      <c r="D57" s="104" t="s">
        <v>214</v>
      </c>
      <c r="E57" s="105"/>
      <c r="F57" s="105"/>
      <c r="G57" s="105"/>
      <c r="H57" s="105"/>
      <c r="I57" s="105"/>
      <c r="J57" s="106"/>
    </row>
    <row r="58" spans="1:12" x14ac:dyDescent="0.35">
      <c r="A58" s="104" t="s">
        <v>274</v>
      </c>
      <c r="B58" s="105"/>
      <c r="C58" s="106"/>
      <c r="D58" s="104" t="s">
        <v>214</v>
      </c>
      <c r="E58" s="105"/>
      <c r="F58" s="105"/>
      <c r="G58" s="105"/>
      <c r="H58" s="105"/>
      <c r="I58" s="105"/>
      <c r="J58" s="106"/>
    </row>
    <row r="59" spans="1:12" x14ac:dyDescent="0.35">
      <c r="A59" s="182" t="s">
        <v>264</v>
      </c>
      <c r="B59" s="183"/>
      <c r="C59" s="183"/>
      <c r="D59" s="182" t="s">
        <v>72</v>
      </c>
      <c r="E59" s="183"/>
      <c r="F59" s="183"/>
      <c r="G59" s="183"/>
      <c r="H59" s="183"/>
      <c r="I59" s="183"/>
      <c r="J59" s="184"/>
    </row>
    <row r="60" spans="1:12" ht="15" customHeight="1" x14ac:dyDescent="0.35">
      <c r="A60" s="176" t="s">
        <v>275</v>
      </c>
      <c r="B60" s="177"/>
      <c r="C60" s="177"/>
      <c r="D60" s="182" t="s">
        <v>276</v>
      </c>
      <c r="E60" s="183"/>
      <c r="F60" s="183"/>
      <c r="G60" s="183"/>
      <c r="H60" s="183"/>
      <c r="I60" s="183"/>
      <c r="J60" s="184"/>
    </row>
    <row r="61" spans="1:12" ht="15" thickBot="1" x14ac:dyDescent="0.4">
      <c r="A61" s="176" t="s">
        <v>277</v>
      </c>
      <c r="B61" s="177"/>
      <c r="C61" s="177"/>
      <c r="D61" s="182" t="s">
        <v>278</v>
      </c>
      <c r="E61" s="183"/>
      <c r="F61" s="183"/>
      <c r="G61" s="183"/>
      <c r="H61" s="183"/>
      <c r="I61" s="183"/>
      <c r="J61" s="184"/>
    </row>
    <row r="62" spans="1:12" ht="15.75" customHeight="1" x14ac:dyDescent="0.35">
      <c r="A62" s="67" t="s">
        <v>181</v>
      </c>
      <c r="B62" s="68"/>
      <c r="C62" s="69" t="s">
        <v>252</v>
      </c>
      <c r="D62" s="70"/>
      <c r="E62" s="70"/>
      <c r="F62" s="70"/>
      <c r="G62" s="70"/>
      <c r="H62" s="70"/>
      <c r="I62" s="70"/>
      <c r="J62" s="71"/>
      <c r="K62" s="29" t="str">
        <f ca="1">(IF(F124&gt;99%,"All work completed. Please provide OC.",IF(F124&gt;89.8%,"Plinth, RCC, Brick, Plaster, Flooring, Painting work Completed. Finishing work is in process.",IF(F124&lt;94%,(IF(C124=0,"Work not yet Started.",IF(D124=25%,"Piling work in process",IF(D124=50%,"Excavation work in process",IF(D124=100%,"Excavation work Completed. ","0")))&amp;(IF(C125=0%,"",IF(C125=L126,"Footing work is process",IF(C125=L127,"Footing work Completed",IF(C125=L128,"1st Basement Completed",IF(C125=L129,"1st &amp; 2nd Basement Completed",IF(C125=L130,"1st to 3rd Basement Completed",IF(C125=L131,"1st to 4th Basement Completed",IF(C125=L132,"Plinth work is process",IF(C125=L133,"Plinth work completed","0")))))))))))&amp;(IF(C126=(D63+G63+I63),", RCC Slab",IF(C126&gt;0,", RCC upto "&amp;C126&amp;" Slab",""))&amp;(IF(C127=I63,", Brickwork",IF(C127&gt;0,", Brickwork upto "&amp;C127&amp;" Floor",""))&amp;(IF(C128=I63,", Internal Plaster",IF(C128&gt;0,", Internal Plaster upto "&amp;C128&amp;" Floor",""))&amp;(IF(C129=I63,", External Plaster",IF(C129&gt;0,", External Plaster upto "&amp;C129&amp;" Floor",""))&amp;(IF(C130=I63,", Flooring",IF(C130&gt;0,", Flooring upto "&amp;C130&amp;" Floor",""))&amp;(IF(C131=I63,", Painting",IF(C131&gt;0,", Painting upto "&amp;C131&amp;" Floor",""))&amp;(IF(C132&gt;0,", Finishing upto "&amp;C132&amp;" Floor","")&amp;(IF(C126&gt;0.5," Completed",""))))))))))))))</f>
        <v>All work completed. Please provide OC.</v>
      </c>
      <c r="L62" s="30"/>
    </row>
    <row r="63" spans="1:12" ht="15.5" x14ac:dyDescent="0.35">
      <c r="A63" s="31" t="s">
        <v>182</v>
      </c>
      <c r="B63" s="32">
        <v>0</v>
      </c>
      <c r="C63" s="32" t="s">
        <v>183</v>
      </c>
      <c r="D63" s="32">
        <v>1</v>
      </c>
      <c r="E63" s="72" t="s">
        <v>184</v>
      </c>
      <c r="F63" s="73"/>
      <c r="G63" s="32">
        <v>0</v>
      </c>
      <c r="H63" s="32" t="s">
        <v>185</v>
      </c>
      <c r="I63" s="72">
        <f ca="1">--TRIM(RIGHT(SUBSTITUTE(LEFT(C62,_xlfn.AGGREGATE(16,6,FIND({0,1,2,3,4,5,6,7,8,9},C62,ROW(INDIRECT("1:"&amp;LEN(C62)))),1))," ",REPT(" ",LEN(C62))),LEN(C62)))</f>
        <v>4</v>
      </c>
      <c r="J63" s="74"/>
      <c r="K63" s="33"/>
      <c r="L63" s="34"/>
    </row>
    <row r="64" spans="1:12" ht="15.75" customHeight="1" x14ac:dyDescent="0.35">
      <c r="A64" s="75" t="s">
        <v>186</v>
      </c>
      <c r="B64" s="76"/>
      <c r="C64" s="77" t="str">
        <f>K64</f>
        <v>All work Completed. OC Received.</v>
      </c>
      <c r="D64" s="78"/>
      <c r="E64" s="78"/>
      <c r="F64" s="78"/>
      <c r="G64" s="78"/>
      <c r="H64" s="78"/>
      <c r="I64" s="78"/>
      <c r="J64" s="79"/>
      <c r="K64" s="33" t="s">
        <v>187</v>
      </c>
      <c r="L64" s="34"/>
    </row>
    <row r="65" spans="1:12" ht="15" customHeight="1" x14ac:dyDescent="0.35">
      <c r="A65" s="249" t="s">
        <v>190</v>
      </c>
      <c r="B65" s="230"/>
      <c r="C65" s="225">
        <v>1</v>
      </c>
      <c r="D65" s="226"/>
      <c r="E65" s="230" t="s">
        <v>191</v>
      </c>
      <c r="F65" s="230"/>
      <c r="G65" s="230"/>
      <c r="H65" s="225">
        <v>1</v>
      </c>
      <c r="I65" s="226"/>
      <c r="J65" s="228"/>
    </row>
    <row r="66" spans="1:12" ht="15" customHeight="1" thickBot="1" x14ac:dyDescent="0.4">
      <c r="A66" s="250"/>
      <c r="B66" s="231"/>
      <c r="C66" s="227"/>
      <c r="D66" s="227"/>
      <c r="E66" s="231"/>
      <c r="F66" s="231"/>
      <c r="G66" s="231"/>
      <c r="H66" s="227"/>
      <c r="I66" s="227"/>
      <c r="J66" s="229"/>
    </row>
    <row r="67" spans="1:12" ht="15.75" customHeight="1" x14ac:dyDescent="0.35">
      <c r="A67" s="67" t="s">
        <v>181</v>
      </c>
      <c r="B67" s="68"/>
      <c r="C67" s="69" t="s">
        <v>284</v>
      </c>
      <c r="D67" s="70"/>
      <c r="E67" s="70"/>
      <c r="F67" s="70"/>
      <c r="G67" s="70"/>
      <c r="H67" s="70"/>
      <c r="I67" s="70"/>
      <c r="J67" s="71"/>
      <c r="K67" s="29" t="str">
        <f ca="1">(IF(F71&gt;99%,"All work completed. Please provide OC.",IF(F71&gt;89.8%,"Plinth, RCC, Brick, Plaster, Flooring, Painting work Completed. Finishing work is in process.",IF(F71&lt;94%,(IF(C71=0,"Work not yet Started.",IF(D71=25%,"Piling work in process",IF(D71=50%,"Excavation work in process",IF(D71=100%,"Excavation work Completed. ","0")))&amp;(IF(C72=0%,"",IF(C72=L73,"Footing work is process",IF(C72=L74,"Footing work Completed",IF(C72=L75,"1st Basement Completed",IF(C72=L76,"1st &amp; 2nd Basement Completed",IF(C72=L77,"1st to 3rd Basement Completed",IF(C72=L78,"1st to 4th Basement Completed",IF(C72=L79,"Plinth work is process",IF(C72=L80,"Plinth work completed","0")))))))))))&amp;(IF(C73=(D68+G68+I68),", RCC Slab",IF(C73&gt;0,", RCC upto "&amp;C73&amp;" Slab",""))&amp;(IF(C74=I68,", Brickwork",IF(C74&gt;0,", Brickwork upto "&amp;C74&amp;" Floor",""))&amp;(IF(C75=I68,", Internal Plaster",IF(C75&gt;0,", Internal Plaster upto "&amp;C75&amp;" Floor",""))&amp;(IF(C76=I68,", External Plaster",IF(C76&gt;0,", External Plaster upto "&amp;C76&amp;" Floor",""))&amp;(IF(C77=I68,", Flooring",IF(C77&gt;0,", Flooring upto "&amp;C77&amp;" Floor",""))&amp;(IF(C78=I68,", Painting",IF(C78&gt;0,", Painting upto "&amp;C78&amp;" Floor",""))&amp;(IF(C79&gt;0,", Finishing upto "&amp;C79&amp;" Floor","")&amp;(IF(C73&gt;0.5," Completed",""))))))))))))))</f>
        <v>All work completed. Please provide OC.</v>
      </c>
      <c r="L67" s="30"/>
    </row>
    <row r="68" spans="1:12" ht="15.5" x14ac:dyDescent="0.35">
      <c r="A68" s="57" t="s">
        <v>182</v>
      </c>
      <c r="B68" s="58">
        <v>0</v>
      </c>
      <c r="C68" s="58" t="s">
        <v>183</v>
      </c>
      <c r="D68" s="58">
        <v>1</v>
      </c>
      <c r="E68" s="72" t="s">
        <v>184</v>
      </c>
      <c r="F68" s="73"/>
      <c r="G68" s="58">
        <v>0</v>
      </c>
      <c r="H68" s="58" t="s">
        <v>185</v>
      </c>
      <c r="I68" s="72">
        <f ca="1">--TRIM(RIGHT(SUBSTITUTE(LEFT(C67,_xlfn.AGGREGATE(16,6,FIND({0,1,2,3,4,5,6,7,8,9},C67,ROW(INDIRECT("1:"&amp;LEN(C67)))),1))," ",REPT(" ",LEN(C67))),LEN(C67)))</f>
        <v>4</v>
      </c>
      <c r="J68" s="74"/>
      <c r="K68" s="33"/>
      <c r="L68" s="34"/>
    </row>
    <row r="69" spans="1:12" ht="15.5" x14ac:dyDescent="0.35">
      <c r="A69" s="75" t="s">
        <v>186</v>
      </c>
      <c r="B69" s="76"/>
      <c r="C69" s="77" t="str">
        <f ca="1">K67</f>
        <v>All work completed. Please provide OC.</v>
      </c>
      <c r="D69" s="78"/>
      <c r="E69" s="78"/>
      <c r="F69" s="78"/>
      <c r="G69" s="78"/>
      <c r="H69" s="78"/>
      <c r="I69" s="78"/>
      <c r="J69" s="79"/>
      <c r="K69" s="33" t="s">
        <v>187</v>
      </c>
      <c r="L69" s="34"/>
    </row>
    <row r="70" spans="1:12" ht="15.75" customHeight="1" x14ac:dyDescent="0.35">
      <c r="A70" s="80" t="s">
        <v>36</v>
      </c>
      <c r="B70" s="73"/>
      <c r="C70" s="59" t="s">
        <v>188</v>
      </c>
      <c r="D70" s="66" t="s">
        <v>189</v>
      </c>
      <c r="E70" s="66"/>
      <c r="F70" s="66" t="s">
        <v>190</v>
      </c>
      <c r="G70" s="66"/>
      <c r="H70" s="66" t="s">
        <v>191</v>
      </c>
      <c r="I70" s="66"/>
      <c r="J70" s="81"/>
      <c r="K70" s="35" t="s">
        <v>192</v>
      </c>
      <c r="L70" s="36">
        <f ca="1">I68*25%</f>
        <v>1</v>
      </c>
    </row>
    <row r="71" spans="1:12" ht="15.75" customHeight="1" x14ac:dyDescent="0.35">
      <c r="A71" s="64" t="s">
        <v>193</v>
      </c>
      <c r="B71" s="64"/>
      <c r="C71" s="42">
        <f ca="1">L72</f>
        <v>4</v>
      </c>
      <c r="D71" s="65">
        <f ca="1">((100/I68)*C71)/100</f>
        <v>1</v>
      </c>
      <c r="E71" s="65"/>
      <c r="F71" s="65">
        <f ca="1">(((C72/I68*10)+(40/(D68+G68+I68)*C73)+(7.5/(I68)*C74)+(7.5/(I68)*C75)+(10/I68*C76)+(10/I68*C77)+(5/I68*C78)+(5/I68*C79)+(5/I68*C80))/100)</f>
        <v>1</v>
      </c>
      <c r="G71" s="65"/>
      <c r="H71" s="65">
        <f ca="1">((((C71/I68)*20)+((C72/I68)*25)+(30/(I68+G68+D68)*C73)+(5/I68*C74)+(5/I68*C75)+(5/I68*C76)+(5/I68*C77)+(0/I68*C78)+(0/I68*C79)+(5/I68*C80))/100)</f>
        <v>1</v>
      </c>
      <c r="I71" s="65"/>
      <c r="J71" s="65"/>
      <c r="K71" s="35" t="s">
        <v>194</v>
      </c>
      <c r="L71" s="37">
        <f ca="1">I68*50%</f>
        <v>2</v>
      </c>
    </row>
    <row r="72" spans="1:12" ht="15.5" x14ac:dyDescent="0.35">
      <c r="A72" s="64" t="s">
        <v>37</v>
      </c>
      <c r="B72" s="64"/>
      <c r="C72" s="43">
        <f ca="1">L80</f>
        <v>4</v>
      </c>
      <c r="D72" s="65">
        <f ca="1">((100/I68)*C72)/100</f>
        <v>1</v>
      </c>
      <c r="E72" s="65"/>
      <c r="F72" s="65"/>
      <c r="G72" s="65"/>
      <c r="H72" s="65"/>
      <c r="I72" s="65"/>
      <c r="J72" s="65"/>
      <c r="K72" s="35" t="s">
        <v>195</v>
      </c>
      <c r="L72" s="37">
        <f ca="1">I68</f>
        <v>4</v>
      </c>
    </row>
    <row r="73" spans="1:12" ht="15.75" customHeight="1" x14ac:dyDescent="0.35">
      <c r="A73" s="64" t="s">
        <v>196</v>
      </c>
      <c r="B73" s="64"/>
      <c r="C73" s="43">
        <v>5</v>
      </c>
      <c r="D73" s="65">
        <f ca="1">((100/(D68+G68+I68))*C73)/100</f>
        <v>1</v>
      </c>
      <c r="E73" s="65"/>
      <c r="F73" s="65"/>
      <c r="G73" s="65"/>
      <c r="H73" s="65"/>
      <c r="I73" s="65"/>
      <c r="J73" s="65"/>
      <c r="K73" s="35" t="s">
        <v>197</v>
      </c>
      <c r="L73" s="38">
        <f ca="1">(IF(B68&gt;1,(I68/(B68+2)),I68/4))</f>
        <v>1</v>
      </c>
    </row>
    <row r="74" spans="1:12" ht="15.75" customHeight="1" x14ac:dyDescent="0.35">
      <c r="A74" s="64" t="s">
        <v>198</v>
      </c>
      <c r="B74" s="64" t="s">
        <v>199</v>
      </c>
      <c r="C74" s="42">
        <v>4</v>
      </c>
      <c r="D74" s="65">
        <f ca="1">((100/I68)*C74)/100</f>
        <v>1</v>
      </c>
      <c r="E74" s="65"/>
      <c r="F74" s="65"/>
      <c r="G74" s="65"/>
      <c r="H74" s="65"/>
      <c r="I74" s="65"/>
      <c r="J74" s="65"/>
      <c r="K74" s="35" t="s">
        <v>200</v>
      </c>
      <c r="L74" s="38">
        <f ca="1">(IF(B68&gt;1,(I68/(B68+2)+L73),I68/4+L73))</f>
        <v>2</v>
      </c>
    </row>
    <row r="75" spans="1:12" ht="15.75" customHeight="1" x14ac:dyDescent="0.35">
      <c r="A75" s="64" t="s">
        <v>201</v>
      </c>
      <c r="B75" s="64" t="s">
        <v>199</v>
      </c>
      <c r="C75" s="42">
        <v>4</v>
      </c>
      <c r="D75" s="65">
        <f ca="1">((100/I68)*C75)/100</f>
        <v>1</v>
      </c>
      <c r="E75" s="65"/>
      <c r="F75" s="65"/>
      <c r="G75" s="65"/>
      <c r="H75" s="65"/>
      <c r="I75" s="65"/>
      <c r="J75" s="65"/>
      <c r="K75" s="35" t="s">
        <v>202</v>
      </c>
      <c r="L75" s="38">
        <f>(IF(B68&gt;1,(I68/(B68+2)+L74),0))</f>
        <v>0</v>
      </c>
    </row>
    <row r="76" spans="1:12" ht="15.75" customHeight="1" x14ac:dyDescent="0.35">
      <c r="A76" s="64" t="s">
        <v>203</v>
      </c>
      <c r="B76" s="64" t="s">
        <v>204</v>
      </c>
      <c r="C76" s="42">
        <v>4</v>
      </c>
      <c r="D76" s="65">
        <f ca="1">((100/(I68))*C76)/100</f>
        <v>1</v>
      </c>
      <c r="E76" s="65"/>
      <c r="F76" s="65"/>
      <c r="G76" s="65"/>
      <c r="H76" s="65"/>
      <c r="I76" s="65"/>
      <c r="J76" s="65"/>
      <c r="K76" s="35" t="s">
        <v>205</v>
      </c>
      <c r="L76" s="38">
        <f>(IF(B68&gt;2,(I68/(B68+2)+L75),0))</f>
        <v>0</v>
      </c>
    </row>
    <row r="77" spans="1:12" ht="15.75" customHeight="1" x14ac:dyDescent="0.35">
      <c r="A77" s="64" t="s">
        <v>206</v>
      </c>
      <c r="B77" s="64" t="s">
        <v>206</v>
      </c>
      <c r="C77" s="42">
        <v>4</v>
      </c>
      <c r="D77" s="65">
        <f ca="1">((100/I68)*C77)/100</f>
        <v>1</v>
      </c>
      <c r="E77" s="65"/>
      <c r="F77" s="65"/>
      <c r="G77" s="65"/>
      <c r="H77" s="65"/>
      <c r="I77" s="65"/>
      <c r="J77" s="65"/>
      <c r="K77" s="35" t="s">
        <v>207</v>
      </c>
      <c r="L77" s="39">
        <f>(IF(B68&gt;3,(I68/(B68+2)+L76),0))</f>
        <v>0</v>
      </c>
    </row>
    <row r="78" spans="1:12" ht="15.75" customHeight="1" x14ac:dyDescent="0.35">
      <c r="A78" s="64" t="s">
        <v>208</v>
      </c>
      <c r="B78" s="64"/>
      <c r="C78" s="42">
        <v>4</v>
      </c>
      <c r="D78" s="65">
        <f ca="1">((100/I68)*C78)/100</f>
        <v>1</v>
      </c>
      <c r="E78" s="65"/>
      <c r="F78" s="65"/>
      <c r="G78" s="65"/>
      <c r="H78" s="65"/>
      <c r="I78" s="65"/>
      <c r="J78" s="65"/>
      <c r="K78" s="35" t="s">
        <v>209</v>
      </c>
      <c r="L78" s="38">
        <f>(IF(B68&gt;4,(I68/(B68+2)+L77),0))</f>
        <v>0</v>
      </c>
    </row>
    <row r="79" spans="1:12" ht="15.75" customHeight="1" x14ac:dyDescent="0.35">
      <c r="A79" s="66" t="s">
        <v>210</v>
      </c>
      <c r="B79" s="66" t="s">
        <v>210</v>
      </c>
      <c r="C79" s="42">
        <v>4</v>
      </c>
      <c r="D79" s="65">
        <f ca="1">((100/(I68))*C79)/100</f>
        <v>1</v>
      </c>
      <c r="E79" s="65"/>
      <c r="F79" s="65"/>
      <c r="G79" s="65"/>
      <c r="H79" s="65"/>
      <c r="I79" s="65"/>
      <c r="J79" s="65"/>
      <c r="K79" s="35" t="s">
        <v>211</v>
      </c>
      <c r="L79" s="38">
        <f ca="1">(IF(B68=1,(I68/(B68+3)+L74),IF(B68=0,(I68/4+L74),IF(B68&gt;1,0))))</f>
        <v>3</v>
      </c>
    </row>
    <row r="80" spans="1:12" ht="16.5" customHeight="1" thickBot="1" x14ac:dyDescent="0.4">
      <c r="A80" s="64" t="s">
        <v>212</v>
      </c>
      <c r="B80" s="64"/>
      <c r="C80" s="42">
        <v>4</v>
      </c>
      <c r="D80" s="65">
        <f ca="1">((100/(I68))*C80)/100</f>
        <v>1</v>
      </c>
      <c r="E80" s="65"/>
      <c r="F80" s="65"/>
      <c r="G80" s="65"/>
      <c r="H80" s="65"/>
      <c r="I80" s="65"/>
      <c r="J80" s="65"/>
      <c r="K80" s="40" t="s">
        <v>213</v>
      </c>
      <c r="L80" s="41">
        <f ca="1">(IF(B68&gt;1.5,(I68/(B68+2)+L74+MAX(0,L75-L74)+MAX(0,L76-L75)+MAX(0,L77-L76)+MAX(0,L78-L77)+MAX(0,L79-L78)),IF(B68=1,(I68/(B68+3)+L79),IF(B68=0,I68/4+L79))))</f>
        <v>4</v>
      </c>
    </row>
    <row r="81" spans="1:12" ht="15.75" hidden="1" customHeight="1" x14ac:dyDescent="0.4">
      <c r="A81" s="82" t="s">
        <v>181</v>
      </c>
      <c r="B81" s="82"/>
      <c r="C81" s="83" t="s">
        <v>283</v>
      </c>
      <c r="D81" s="83"/>
      <c r="E81" s="83"/>
      <c r="F81" s="83"/>
      <c r="G81" s="83"/>
      <c r="H81" s="83"/>
      <c r="I81" s="83"/>
      <c r="J81" s="83"/>
      <c r="K81" s="29" t="str">
        <f ca="1">(IF(F85&gt;99%,"All work completed. Please provide OC.",IF(F85&gt;89.8%,"Plinth, RCC, Brick, Plaster, Flooring, Painting work Completed. Finishing work is in process.",IF(F85&lt;94%,(IF(C85=0,"Work not yet Started.",IF(D85=25%,"Piling work in process",IF(D85=50%,"Excavation work in process",IF(D85=100%,"Excavation work Completed. ","0")))&amp;(IF(C86=0%,"",IF(C86=L87,"Footing work is process",IF(C86=L88,"Footing work Completed",IF(C86=L89,"1st Basement Completed",IF(C86=L90,"1st &amp; 2nd Basement Completed",IF(C86=L91,"1st to 3rd Basement Completed",IF(C86=L92,"1st to 4th Basement Completed",IF(C86=L93,"Plinth work is process",IF(C86=L94,"Plinth work completed","0")))))))))))&amp;(IF(C87=(D82+G82+I82),", RCC Slab",IF(C87&gt;0,", RCC upto "&amp;C87&amp;" Slab",""))&amp;(IF(C88=I82,", Brickwork",IF(C88&gt;0,", Brickwork upto "&amp;C88&amp;" Floor",""))&amp;(IF(C89=I82,", Internal Plaster",IF(C89&gt;0,", Internal Plaster upto "&amp;C89&amp;" Floor",""))&amp;(IF(C90=I82,", External Plaster",IF(C90&gt;0,", External Plaster upto "&amp;C90&amp;" Floor",""))&amp;(IF(C91=I82,", Flooring",IF(C91&gt;0,", Flooring upto "&amp;C91&amp;" Floor",""))&amp;(IF(C92=I82,", Painting",IF(C92&gt;0,", Painting upto "&amp;C92&amp;" Floor",""))&amp;(IF(C93&gt;0,", Finishing upto "&amp;C93&amp;" Floor","")&amp;(IF(C87&gt;0.5," Completed",""))))))))))))))</f>
        <v>Excavation work Completed. Plinth work completed, RCC Slab, Brickwork, Internal Plaster, External Plaster, Flooring upto 3 Floor, Painting upto 3 Floor Completed</v>
      </c>
      <c r="L81" s="30"/>
    </row>
    <row r="82" spans="1:12" ht="16" hidden="1" thickBot="1" x14ac:dyDescent="0.4">
      <c r="A82" s="61" t="s">
        <v>182</v>
      </c>
      <c r="B82" s="61">
        <v>0</v>
      </c>
      <c r="C82" s="61" t="s">
        <v>183</v>
      </c>
      <c r="D82" s="61">
        <v>1</v>
      </c>
      <c r="E82" s="64" t="s">
        <v>184</v>
      </c>
      <c r="F82" s="64"/>
      <c r="G82" s="61">
        <v>0</v>
      </c>
      <c r="H82" s="61" t="s">
        <v>185</v>
      </c>
      <c r="I82" s="64">
        <f ca="1">--TRIM(RIGHT(SUBSTITUTE(LEFT(C81,_xlfn.AGGREGATE(16,6,FIND({0,1,2,3,4,5,6,7,8,9},C81,ROW(INDIRECT("1:"&amp;LEN(C81)))),1))," ",REPT(" ",LEN(C81))),LEN(C81)))</f>
        <v>4</v>
      </c>
      <c r="J82" s="64"/>
      <c r="K82" s="33"/>
      <c r="L82" s="34"/>
    </row>
    <row r="83" spans="1:12" ht="35.5" hidden="1" customHeight="1" x14ac:dyDescent="0.4">
      <c r="A83" s="76" t="s">
        <v>186</v>
      </c>
      <c r="B83" s="76"/>
      <c r="C83" s="83" t="str">
        <f ca="1">K81</f>
        <v>Excavation work Completed. Plinth work completed, RCC Slab, Brickwork, Internal Plaster, External Plaster, Flooring upto 3 Floor, Painting upto 3 Floor Completed</v>
      </c>
      <c r="D83" s="83"/>
      <c r="E83" s="83"/>
      <c r="F83" s="83"/>
      <c r="G83" s="83"/>
      <c r="H83" s="83"/>
      <c r="I83" s="83"/>
      <c r="J83" s="83"/>
      <c r="K83" s="33" t="s">
        <v>187</v>
      </c>
      <c r="L83" s="34"/>
    </row>
    <row r="84" spans="1:12" ht="15.75" hidden="1" customHeight="1" x14ac:dyDescent="0.4">
      <c r="A84" s="64" t="s">
        <v>36</v>
      </c>
      <c r="B84" s="64"/>
      <c r="C84" s="63" t="s">
        <v>188</v>
      </c>
      <c r="D84" s="66" t="s">
        <v>189</v>
      </c>
      <c r="E84" s="66"/>
      <c r="F84" s="66" t="s">
        <v>190</v>
      </c>
      <c r="G84" s="66"/>
      <c r="H84" s="66" t="s">
        <v>191</v>
      </c>
      <c r="I84" s="66"/>
      <c r="J84" s="66"/>
      <c r="K84" s="35" t="s">
        <v>192</v>
      </c>
      <c r="L84" s="36">
        <f ca="1">I82*25%</f>
        <v>1</v>
      </c>
    </row>
    <row r="85" spans="1:12" ht="15.75" hidden="1" customHeight="1" x14ac:dyDescent="0.4">
      <c r="A85" s="64" t="s">
        <v>193</v>
      </c>
      <c r="B85" s="64"/>
      <c r="C85" s="42">
        <f ca="1">L86</f>
        <v>4</v>
      </c>
      <c r="D85" s="65">
        <f ca="1">((100/I82)*C85)/100</f>
        <v>1</v>
      </c>
      <c r="E85" s="65"/>
      <c r="F85" s="65">
        <f ca="1">(((C86/I82*10)+(40/(D82+G82+I82)*C87)+(7.5/(I82)*C88)+(7.5/(I82)*C89)+(10/I82*C90)+(10/I82*C91)+(5/I82*C92)+(5/I82*C93)+(5/I82*C94))/100)</f>
        <v>0.86250000000000004</v>
      </c>
      <c r="G85" s="65"/>
      <c r="H85" s="65">
        <f ca="1">((((C85/I82)*20)+((C86/I82)*25)+(30/(I82+G82+D82)*C87)+(5/I82*C88)+(5/I82*C89)+(5/I82*C90)+(5/I82*C91)+(0/I82*C92)+(0/I82*C93)+(5/I82*C94))/100)</f>
        <v>0.9375</v>
      </c>
      <c r="I85" s="65"/>
      <c r="J85" s="65"/>
      <c r="K85" s="35" t="s">
        <v>194</v>
      </c>
      <c r="L85" s="37">
        <f ca="1">I82*50%</f>
        <v>2</v>
      </c>
    </row>
    <row r="86" spans="1:12" ht="16" hidden="1" thickBot="1" x14ac:dyDescent="0.4">
      <c r="A86" s="64" t="s">
        <v>37</v>
      </c>
      <c r="B86" s="64"/>
      <c r="C86" s="43">
        <f ca="1">L94</f>
        <v>4</v>
      </c>
      <c r="D86" s="65">
        <f ca="1">((100/I82)*C86)/100</f>
        <v>1</v>
      </c>
      <c r="E86" s="65"/>
      <c r="F86" s="65"/>
      <c r="G86" s="65"/>
      <c r="H86" s="65"/>
      <c r="I86" s="65"/>
      <c r="J86" s="65"/>
      <c r="K86" s="35" t="s">
        <v>195</v>
      </c>
      <c r="L86" s="37">
        <f ca="1">I82</f>
        <v>4</v>
      </c>
    </row>
    <row r="87" spans="1:12" ht="15.75" hidden="1" customHeight="1" x14ac:dyDescent="0.4">
      <c r="A87" s="64" t="s">
        <v>196</v>
      </c>
      <c r="B87" s="64"/>
      <c r="C87" s="43">
        <v>5</v>
      </c>
      <c r="D87" s="65">
        <f ca="1">((100/(D82+G82+I82))*C87)/100</f>
        <v>1</v>
      </c>
      <c r="E87" s="65"/>
      <c r="F87" s="65"/>
      <c r="G87" s="65"/>
      <c r="H87" s="65"/>
      <c r="I87" s="65"/>
      <c r="J87" s="65"/>
      <c r="K87" s="35" t="s">
        <v>197</v>
      </c>
      <c r="L87" s="38">
        <f ca="1">(IF(B82&gt;1,(I82/(B82+2)),I82/4))</f>
        <v>1</v>
      </c>
    </row>
    <row r="88" spans="1:12" ht="15.75" hidden="1" customHeight="1" x14ac:dyDescent="0.4">
      <c r="A88" s="64" t="s">
        <v>198</v>
      </c>
      <c r="B88" s="64" t="s">
        <v>199</v>
      </c>
      <c r="C88" s="42">
        <v>4</v>
      </c>
      <c r="D88" s="65">
        <f ca="1">((100/I82)*C88)/100</f>
        <v>1</v>
      </c>
      <c r="E88" s="65"/>
      <c r="F88" s="65"/>
      <c r="G88" s="65"/>
      <c r="H88" s="65"/>
      <c r="I88" s="65"/>
      <c r="J88" s="65"/>
      <c r="K88" s="35" t="s">
        <v>200</v>
      </c>
      <c r="L88" s="38">
        <f ca="1">(IF(B82&gt;1,(I82/(B82+2)+L87),I82/4+L87))</f>
        <v>2</v>
      </c>
    </row>
    <row r="89" spans="1:12" ht="15.75" hidden="1" customHeight="1" x14ac:dyDescent="0.4">
      <c r="A89" s="64" t="s">
        <v>201</v>
      </c>
      <c r="B89" s="64" t="s">
        <v>199</v>
      </c>
      <c r="C89" s="42">
        <v>4</v>
      </c>
      <c r="D89" s="65">
        <f ca="1">((100/I82)*C89)/100</f>
        <v>1</v>
      </c>
      <c r="E89" s="65"/>
      <c r="F89" s="65"/>
      <c r="G89" s="65"/>
      <c r="H89" s="65"/>
      <c r="I89" s="65"/>
      <c r="J89" s="65"/>
      <c r="K89" s="35" t="s">
        <v>202</v>
      </c>
      <c r="L89" s="38">
        <f>(IF(B82&gt;1,(I82/(B82+2)+L88),0))</f>
        <v>0</v>
      </c>
    </row>
    <row r="90" spans="1:12" ht="15.75" hidden="1" customHeight="1" x14ac:dyDescent="0.4">
      <c r="A90" s="64" t="s">
        <v>203</v>
      </c>
      <c r="B90" s="64" t="s">
        <v>204</v>
      </c>
      <c r="C90" s="42">
        <v>4</v>
      </c>
      <c r="D90" s="65">
        <f ca="1">((100/(I82))*C90)/100</f>
        <v>1</v>
      </c>
      <c r="E90" s="65"/>
      <c r="F90" s="65"/>
      <c r="G90" s="65"/>
      <c r="H90" s="65"/>
      <c r="I90" s="65"/>
      <c r="J90" s="65"/>
      <c r="K90" s="35" t="s">
        <v>205</v>
      </c>
      <c r="L90" s="38">
        <f>(IF(B82&gt;2,(I82/(B82+2)+L89),0))</f>
        <v>0</v>
      </c>
    </row>
    <row r="91" spans="1:12" ht="15.75" hidden="1" customHeight="1" x14ac:dyDescent="0.4">
      <c r="A91" s="64" t="s">
        <v>206</v>
      </c>
      <c r="B91" s="64" t="s">
        <v>206</v>
      </c>
      <c r="C91" s="42">
        <v>3</v>
      </c>
      <c r="D91" s="65">
        <f ca="1">((100/I82)*C91)/100</f>
        <v>0.75</v>
      </c>
      <c r="E91" s="65"/>
      <c r="F91" s="65"/>
      <c r="G91" s="65"/>
      <c r="H91" s="65"/>
      <c r="I91" s="65"/>
      <c r="J91" s="65"/>
      <c r="K91" s="35" t="s">
        <v>207</v>
      </c>
      <c r="L91" s="39">
        <f>(IF(B82&gt;3,(I82/(B82+2)+L90),0))</f>
        <v>0</v>
      </c>
    </row>
    <row r="92" spans="1:12" ht="15.75" hidden="1" customHeight="1" x14ac:dyDescent="0.4">
      <c r="A92" s="64" t="s">
        <v>208</v>
      </c>
      <c r="B92" s="64"/>
      <c r="C92" s="42">
        <v>3</v>
      </c>
      <c r="D92" s="65">
        <f ca="1">((100/I82)*C92)/100</f>
        <v>0.75</v>
      </c>
      <c r="E92" s="65"/>
      <c r="F92" s="65"/>
      <c r="G92" s="65"/>
      <c r="H92" s="65"/>
      <c r="I92" s="65"/>
      <c r="J92" s="65"/>
      <c r="K92" s="35" t="s">
        <v>209</v>
      </c>
      <c r="L92" s="38">
        <f>(IF(B82&gt;4,(I82/(B82+2)+L91),0))</f>
        <v>0</v>
      </c>
    </row>
    <row r="93" spans="1:12" ht="15.75" hidden="1" customHeight="1" x14ac:dyDescent="0.4">
      <c r="A93" s="66" t="s">
        <v>210</v>
      </c>
      <c r="B93" s="66" t="s">
        <v>210</v>
      </c>
      <c r="C93" s="42">
        <v>0</v>
      </c>
      <c r="D93" s="65">
        <f ca="1">((100/(I82))*C93)/100</f>
        <v>0</v>
      </c>
      <c r="E93" s="65"/>
      <c r="F93" s="65"/>
      <c r="G93" s="65"/>
      <c r="H93" s="65"/>
      <c r="I93" s="65"/>
      <c r="J93" s="65"/>
      <c r="K93" s="35" t="s">
        <v>211</v>
      </c>
      <c r="L93" s="38">
        <f ca="1">(IF(B82=1,(I82/(B82+3)+L88),IF(B82=0,(I82/4+L88),IF(B82&gt;1,0))))</f>
        <v>3</v>
      </c>
    </row>
    <row r="94" spans="1:12" ht="16.5" hidden="1" customHeight="1" thickBot="1" x14ac:dyDescent="0.4">
      <c r="A94" s="64" t="s">
        <v>212</v>
      </c>
      <c r="B94" s="64"/>
      <c r="C94" s="42">
        <v>0</v>
      </c>
      <c r="D94" s="65">
        <f ca="1">((100/(I82))*C94)/100</f>
        <v>0</v>
      </c>
      <c r="E94" s="65"/>
      <c r="F94" s="65"/>
      <c r="G94" s="65"/>
      <c r="H94" s="65"/>
      <c r="I94" s="65"/>
      <c r="J94" s="65"/>
      <c r="K94" s="40" t="s">
        <v>213</v>
      </c>
      <c r="L94" s="41">
        <f ca="1">(IF(B82&gt;1.5,(I82/(B82+2)+L88+MAX(0,L89-L88)+MAX(0,L90-L89)+MAX(0,L91-L90)+MAX(0,L92-L91)+MAX(0,L93-L92)),IF(B82=1,(I82/(B82+3)+L93),IF(B82=0,I82/4+L93))))</f>
        <v>4</v>
      </c>
    </row>
    <row r="95" spans="1:12" ht="15.75" hidden="1" customHeight="1" x14ac:dyDescent="0.4">
      <c r="A95" s="82" t="s">
        <v>181</v>
      </c>
      <c r="B95" s="82"/>
      <c r="C95" s="83" t="s">
        <v>282</v>
      </c>
      <c r="D95" s="83"/>
      <c r="E95" s="83"/>
      <c r="F95" s="83"/>
      <c r="G95" s="83"/>
      <c r="H95" s="83"/>
      <c r="I95" s="83"/>
      <c r="J95" s="83"/>
      <c r="K95" s="29" t="str">
        <f ca="1">(IF(F99&gt;99%,"All work completed. Please provide OC.",IF(F99&gt;89.8%,"Plinth, RCC, Brick, Plaster, Flooring, Painting work Completed. Finishing work is in process.",IF(F99&lt;94%,(IF(C99=0,"Work not yet Started.",IF(D99=25%,"Piling work in process",IF(D99=50%,"Excavation work in process",IF(D99=100%,"Excavation work Completed. ","0")))&amp;(IF(C100=0%,"",IF(C100=L101,"Footing work is process",IF(C100=L102,"Footing work Completed",IF(C100=L103,"1st Basement Completed",IF(C100=L104,"1st &amp; 2nd Basement Completed",IF(C100=L105,"1st to 3rd Basement Completed",IF(C100=L106,"1st to 4th Basement Completed",IF(C100=L107,"Plinth work is process",IF(C100=L108,"Plinth work completed","0")))))))))))&amp;(IF(C101=(D96+G96+I96),", RCC Slab",IF(C101&gt;0,", RCC upto "&amp;C101&amp;" Slab",""))&amp;(IF(C102=I96,", Brickwork",IF(C102&gt;0,", Brickwork upto "&amp;C102&amp;" Floor",""))&amp;(IF(C103=I96,", Internal Plaster",IF(C103&gt;0,", Internal Plaster upto "&amp;C103&amp;" Floor",""))&amp;(IF(C104=I96,", External Plaster",IF(C104&gt;0,", External Plaster upto "&amp;C104&amp;" Floor",""))&amp;(IF(C105=I96,", Flooring",IF(C105&gt;0,", Flooring upto "&amp;C105&amp;" Floor",""))&amp;(IF(C106=I96,", Painting",IF(C106&gt;0,", Painting upto "&amp;C106&amp;" Floor",""))&amp;(IF(C107&gt;0,", Finishing upto "&amp;C107&amp;" Floor","")&amp;(IF(C101&gt;0.5," Completed",""))))))))))))))</f>
        <v>Excavation work Completed. Plinth work completed, RCC Slab, Brickwork, Internal Plaster, External Plaster, Flooring, Painting upto 2 Floor Completed</v>
      </c>
      <c r="L95" s="30"/>
    </row>
    <row r="96" spans="1:12" ht="16" hidden="1" thickBot="1" x14ac:dyDescent="0.4">
      <c r="A96" s="61" t="s">
        <v>182</v>
      </c>
      <c r="B96" s="61">
        <v>0</v>
      </c>
      <c r="C96" s="61" t="s">
        <v>183</v>
      </c>
      <c r="D96" s="61">
        <v>1</v>
      </c>
      <c r="E96" s="64" t="s">
        <v>184</v>
      </c>
      <c r="F96" s="64"/>
      <c r="G96" s="61">
        <v>0</v>
      </c>
      <c r="H96" s="61" t="s">
        <v>185</v>
      </c>
      <c r="I96" s="64">
        <f ca="1">--TRIM(RIGHT(SUBSTITUTE(LEFT(C95,_xlfn.AGGREGATE(16,6,FIND({0,1,2,3,4,5,6,7,8,9},C95,ROW(INDIRECT("1:"&amp;LEN(C95)))),1))," ",REPT(" ",LEN(C95))),LEN(C95)))</f>
        <v>4</v>
      </c>
      <c r="J96" s="64"/>
      <c r="K96" s="33"/>
      <c r="L96" s="34"/>
    </row>
    <row r="97" spans="1:12" ht="33.75" hidden="1" customHeight="1" x14ac:dyDescent="0.4">
      <c r="A97" s="76" t="s">
        <v>186</v>
      </c>
      <c r="B97" s="76"/>
      <c r="C97" s="83" t="str">
        <f ca="1">K95</f>
        <v>Excavation work Completed. Plinth work completed, RCC Slab, Brickwork, Internal Plaster, External Plaster, Flooring, Painting upto 2 Floor Completed</v>
      </c>
      <c r="D97" s="83"/>
      <c r="E97" s="83"/>
      <c r="F97" s="83"/>
      <c r="G97" s="83"/>
      <c r="H97" s="83"/>
      <c r="I97" s="83"/>
      <c r="J97" s="83"/>
      <c r="K97" s="33" t="s">
        <v>187</v>
      </c>
      <c r="L97" s="34"/>
    </row>
    <row r="98" spans="1:12" ht="15.75" hidden="1" customHeight="1" x14ac:dyDescent="0.4">
      <c r="A98" s="64" t="s">
        <v>36</v>
      </c>
      <c r="B98" s="64"/>
      <c r="C98" s="63" t="s">
        <v>188</v>
      </c>
      <c r="D98" s="66" t="s">
        <v>189</v>
      </c>
      <c r="E98" s="66"/>
      <c r="F98" s="66" t="s">
        <v>190</v>
      </c>
      <c r="G98" s="66"/>
      <c r="H98" s="66" t="s">
        <v>191</v>
      </c>
      <c r="I98" s="66"/>
      <c r="J98" s="66"/>
      <c r="K98" s="35" t="s">
        <v>192</v>
      </c>
      <c r="L98" s="36">
        <f ca="1">I96*25%</f>
        <v>1</v>
      </c>
    </row>
    <row r="99" spans="1:12" ht="15.75" hidden="1" customHeight="1" x14ac:dyDescent="0.4">
      <c r="A99" s="64" t="s">
        <v>193</v>
      </c>
      <c r="B99" s="64"/>
      <c r="C99" s="42">
        <f ca="1">L100</f>
        <v>4</v>
      </c>
      <c r="D99" s="65">
        <f ca="1">((100/I96)*C99)/100</f>
        <v>1</v>
      </c>
      <c r="E99" s="65"/>
      <c r="F99" s="65">
        <f ca="1">(((C100/I96*10)+(40/(D96+G96+I96)*C101)+(7.5/(I96)*C102)+(7.5/(I96)*C103)+(10/I96*C104)+(10/I96*C105)+(5/I96*C106)+(5/I96*C107)+(5/I96*C108))/100)</f>
        <v>0.875</v>
      </c>
      <c r="G99" s="65"/>
      <c r="H99" s="65">
        <f ca="1">((((C99/I96)*20)+((C100/I96)*25)+(30/(I96+G96+D96)*C101)+(5/I96*C102)+(5/I96*C103)+(5/I96*C104)+(5/I96*C105)+(0/I96*C106)+(0/I96*C107)+(5/I96*C108))/100)</f>
        <v>0.95</v>
      </c>
      <c r="I99" s="65"/>
      <c r="J99" s="65"/>
      <c r="K99" s="35" t="s">
        <v>194</v>
      </c>
      <c r="L99" s="37">
        <f ca="1">I96*50%</f>
        <v>2</v>
      </c>
    </row>
    <row r="100" spans="1:12" ht="16" hidden="1" thickBot="1" x14ac:dyDescent="0.4">
      <c r="A100" s="64" t="s">
        <v>37</v>
      </c>
      <c r="B100" s="64"/>
      <c r="C100" s="43">
        <f ca="1">L108</f>
        <v>4</v>
      </c>
      <c r="D100" s="65">
        <f ca="1">((100/I96)*C100)/100</f>
        <v>1</v>
      </c>
      <c r="E100" s="65"/>
      <c r="F100" s="65"/>
      <c r="G100" s="65"/>
      <c r="H100" s="65"/>
      <c r="I100" s="65"/>
      <c r="J100" s="65"/>
      <c r="K100" s="35" t="s">
        <v>195</v>
      </c>
      <c r="L100" s="37">
        <f ca="1">I96</f>
        <v>4</v>
      </c>
    </row>
    <row r="101" spans="1:12" ht="15.75" hidden="1" customHeight="1" x14ac:dyDescent="0.4">
      <c r="A101" s="64" t="s">
        <v>196</v>
      </c>
      <c r="B101" s="64"/>
      <c r="C101" s="43">
        <v>5</v>
      </c>
      <c r="D101" s="65">
        <f ca="1">((100/(D96+G96+I96))*C101)/100</f>
        <v>1</v>
      </c>
      <c r="E101" s="65"/>
      <c r="F101" s="65"/>
      <c r="G101" s="65"/>
      <c r="H101" s="65"/>
      <c r="I101" s="65"/>
      <c r="J101" s="65"/>
      <c r="K101" s="35" t="s">
        <v>197</v>
      </c>
      <c r="L101" s="38">
        <f ca="1">(IF(B96&gt;1,(I96/(B96+2)),I96/4))</f>
        <v>1</v>
      </c>
    </row>
    <row r="102" spans="1:12" ht="15.75" hidden="1" customHeight="1" x14ac:dyDescent="0.4">
      <c r="A102" s="64" t="s">
        <v>198</v>
      </c>
      <c r="B102" s="64" t="s">
        <v>199</v>
      </c>
      <c r="C102" s="42">
        <v>4</v>
      </c>
      <c r="D102" s="65">
        <f ca="1">((100/I96)*C102)/100</f>
        <v>1</v>
      </c>
      <c r="E102" s="65"/>
      <c r="F102" s="65"/>
      <c r="G102" s="65"/>
      <c r="H102" s="65"/>
      <c r="I102" s="65"/>
      <c r="J102" s="65"/>
      <c r="K102" s="35" t="s">
        <v>200</v>
      </c>
      <c r="L102" s="38">
        <f ca="1">(IF(B96&gt;1,(I96/(B96+2)+L101),I96/4+L101))</f>
        <v>2</v>
      </c>
    </row>
    <row r="103" spans="1:12" ht="15.75" hidden="1" customHeight="1" x14ac:dyDescent="0.4">
      <c r="A103" s="64" t="s">
        <v>201</v>
      </c>
      <c r="B103" s="64" t="s">
        <v>199</v>
      </c>
      <c r="C103" s="42">
        <v>4</v>
      </c>
      <c r="D103" s="65">
        <f ca="1">((100/I96)*C103)/100</f>
        <v>1</v>
      </c>
      <c r="E103" s="65"/>
      <c r="F103" s="65"/>
      <c r="G103" s="65"/>
      <c r="H103" s="65"/>
      <c r="I103" s="65"/>
      <c r="J103" s="65"/>
      <c r="K103" s="35" t="s">
        <v>202</v>
      </c>
      <c r="L103" s="38">
        <f>(IF(B96&gt;1,(I96/(B96+2)+L102),0))</f>
        <v>0</v>
      </c>
    </row>
    <row r="104" spans="1:12" ht="15.75" hidden="1" customHeight="1" x14ac:dyDescent="0.4">
      <c r="A104" s="64" t="s">
        <v>203</v>
      </c>
      <c r="B104" s="64" t="s">
        <v>204</v>
      </c>
      <c r="C104" s="42">
        <v>4</v>
      </c>
      <c r="D104" s="65">
        <f ca="1">((100/(I96))*C104)/100</f>
        <v>1</v>
      </c>
      <c r="E104" s="65"/>
      <c r="F104" s="65"/>
      <c r="G104" s="65"/>
      <c r="H104" s="65"/>
      <c r="I104" s="65"/>
      <c r="J104" s="65"/>
      <c r="K104" s="35" t="s">
        <v>205</v>
      </c>
      <c r="L104" s="38">
        <f>(IF(B96&gt;2,(I96/(B96+2)+L103),0))</f>
        <v>0</v>
      </c>
    </row>
    <row r="105" spans="1:12" ht="15.75" hidden="1" customHeight="1" x14ac:dyDescent="0.4">
      <c r="A105" s="64" t="s">
        <v>206</v>
      </c>
      <c r="B105" s="64" t="s">
        <v>206</v>
      </c>
      <c r="C105" s="42">
        <v>4</v>
      </c>
      <c r="D105" s="65">
        <f ca="1">((100/I96)*C105)/100</f>
        <v>1</v>
      </c>
      <c r="E105" s="65"/>
      <c r="F105" s="65"/>
      <c r="G105" s="65"/>
      <c r="H105" s="65"/>
      <c r="I105" s="65"/>
      <c r="J105" s="65"/>
      <c r="K105" s="35" t="s">
        <v>207</v>
      </c>
      <c r="L105" s="39">
        <f>(IF(B96&gt;3,(I96/(B96+2)+L104),0))</f>
        <v>0</v>
      </c>
    </row>
    <row r="106" spans="1:12" ht="15.75" hidden="1" customHeight="1" x14ac:dyDescent="0.4">
      <c r="A106" s="64" t="s">
        <v>208</v>
      </c>
      <c r="B106" s="64"/>
      <c r="C106" s="42">
        <v>2</v>
      </c>
      <c r="D106" s="65">
        <f ca="1">((100/I96)*C106)/100</f>
        <v>0.5</v>
      </c>
      <c r="E106" s="65"/>
      <c r="F106" s="65"/>
      <c r="G106" s="65"/>
      <c r="H106" s="65"/>
      <c r="I106" s="65"/>
      <c r="J106" s="65"/>
      <c r="K106" s="35" t="s">
        <v>209</v>
      </c>
      <c r="L106" s="38">
        <f>(IF(B96&gt;4,(I96/(B96+2)+L105),0))</f>
        <v>0</v>
      </c>
    </row>
    <row r="107" spans="1:12" ht="15.75" hidden="1" customHeight="1" x14ac:dyDescent="0.4">
      <c r="A107" s="66" t="s">
        <v>210</v>
      </c>
      <c r="B107" s="66" t="s">
        <v>210</v>
      </c>
      <c r="C107" s="42">
        <v>0</v>
      </c>
      <c r="D107" s="65">
        <f ca="1">((100/(I96))*C107)/100</f>
        <v>0</v>
      </c>
      <c r="E107" s="65"/>
      <c r="F107" s="65"/>
      <c r="G107" s="65"/>
      <c r="H107" s="65"/>
      <c r="I107" s="65"/>
      <c r="J107" s="65"/>
      <c r="K107" s="35" t="s">
        <v>211</v>
      </c>
      <c r="L107" s="38">
        <f ca="1">(IF(B96=1,(I96/(B96+3)+L102),IF(B96=0,(I96/4+L102),IF(B96&gt;1,0))))</f>
        <v>3</v>
      </c>
    </row>
    <row r="108" spans="1:12" ht="16.5" hidden="1" customHeight="1" thickBot="1" x14ac:dyDescent="0.4">
      <c r="A108" s="64" t="s">
        <v>212</v>
      </c>
      <c r="B108" s="64"/>
      <c r="C108" s="42">
        <v>0</v>
      </c>
      <c r="D108" s="65">
        <f ca="1">((100/(I96))*C108)/100</f>
        <v>0</v>
      </c>
      <c r="E108" s="65"/>
      <c r="F108" s="65"/>
      <c r="G108" s="65"/>
      <c r="H108" s="65"/>
      <c r="I108" s="65"/>
      <c r="J108" s="65"/>
      <c r="K108" s="40" t="s">
        <v>213</v>
      </c>
      <c r="L108" s="41">
        <f ca="1">(IF(B96&gt;1.5,(I96/(B96+2)+L102+MAX(0,L103-L102)+MAX(0,L104-L103)+MAX(0,L105-L104)+MAX(0,L106-L105)+MAX(0,L107-L106)),IF(B96=1,(I96/(B96+3)+L107),IF(B96=0,I96/4+L107))))</f>
        <v>4</v>
      </c>
    </row>
    <row r="109" spans="1:12" ht="15.75" customHeight="1" x14ac:dyDescent="0.35">
      <c r="A109" s="82" t="s">
        <v>181</v>
      </c>
      <c r="B109" s="82"/>
      <c r="C109" s="83" t="s">
        <v>251</v>
      </c>
      <c r="D109" s="83"/>
      <c r="E109" s="83"/>
      <c r="F109" s="83"/>
      <c r="G109" s="83"/>
      <c r="H109" s="83"/>
      <c r="I109" s="83"/>
      <c r="J109" s="83"/>
      <c r="K109" s="29" t="str">
        <f ca="1">(IF(F113&gt;99%,"All work completed. Please provide OC.",IF(F113&gt;89.8%,"Plinth, RCC, Brick, Plaster, Flooring, Painting work Completed. Finishing work is in process.",IF(F113&lt;94%,(IF(C113=0,"Work not yet Started.",IF(D113=25%,"Piling work in process",IF(D113=50%,"Excavation work in process",IF(D113=100%,"Excavation work Completed. ","0")))&amp;(IF(C114=0%,"",IF(C114=L115,"Footing work is process",IF(C114=L116,"Footing work Completed",IF(C114=L117,"1st Basement Completed",IF(C114=L118,"1st &amp; 2nd Basement Completed",IF(C114=L119,"1st to 3rd Basement Completed",IF(C114=L120,"1st to 4th Basement Completed",IF(C114=L121,"Plinth work is process",IF(C114=L122,"Plinth work completed","0")))))))))))&amp;(IF(C115=(D110+G110+I110),", RCC Slab",IF(C115&gt;0,", RCC upto "&amp;C115&amp;" Slab",""))&amp;(IF(C116=I110,", Brickwork",IF(C116&gt;0,", Brickwork upto "&amp;C116&amp;" Floor",""))&amp;(IF(C117=I110,", Internal Plaster",IF(C117&gt;0,", Internal Plaster upto "&amp;C117&amp;" Floor",""))&amp;(IF(C118=I110,", External Plaster",IF(C118&gt;0,", External Plaster upto "&amp;C118&amp;" Floor",""))&amp;(IF(C119=I110,", Flooring",IF(C119&gt;0,", Flooring upto "&amp;C119&amp;" Floor",""))&amp;(IF(C120=I110,", Painting",IF(C120&gt;0,", Painting upto "&amp;C120&amp;" Floor",""))&amp;(IF(C121&gt;0,", Finishing upto "&amp;C121&amp;" Floor","")&amp;(IF(C115&gt;0.5," Completed",""))))))))))))))</f>
        <v>Excavation work Completed. Plinth work completed, RCC upto 2 Slab Completed</v>
      </c>
      <c r="L109" s="30"/>
    </row>
    <row r="110" spans="1:12" ht="15.5" x14ac:dyDescent="0.35">
      <c r="A110" s="61" t="s">
        <v>182</v>
      </c>
      <c r="B110" s="61">
        <v>0</v>
      </c>
      <c r="C110" s="61" t="s">
        <v>183</v>
      </c>
      <c r="D110" s="61">
        <v>1</v>
      </c>
      <c r="E110" s="64" t="s">
        <v>184</v>
      </c>
      <c r="F110" s="64"/>
      <c r="G110" s="61">
        <v>0</v>
      </c>
      <c r="H110" s="61" t="s">
        <v>185</v>
      </c>
      <c r="I110" s="64">
        <f ca="1">--TRIM(RIGHT(SUBSTITUTE(LEFT(C109,_xlfn.AGGREGATE(16,6,FIND({0,1,2,3,4,5,6,7,8,9},C109,ROW(INDIRECT("1:"&amp;LEN(C109)))),1))," ",REPT(" ",LEN(C109))),LEN(C109)))</f>
        <v>4</v>
      </c>
      <c r="J110" s="64"/>
      <c r="K110" s="33"/>
      <c r="L110" s="34"/>
    </row>
    <row r="111" spans="1:12" ht="15.5" x14ac:dyDescent="0.35">
      <c r="A111" s="76" t="s">
        <v>186</v>
      </c>
      <c r="B111" s="76"/>
      <c r="C111" s="83" t="str">
        <f ca="1">K109</f>
        <v>Excavation work Completed. Plinth work completed, RCC upto 2 Slab Completed</v>
      </c>
      <c r="D111" s="83"/>
      <c r="E111" s="83"/>
      <c r="F111" s="83"/>
      <c r="G111" s="83"/>
      <c r="H111" s="83"/>
      <c r="I111" s="83"/>
      <c r="J111" s="83"/>
      <c r="K111" s="33" t="s">
        <v>187</v>
      </c>
      <c r="L111" s="34"/>
    </row>
    <row r="112" spans="1:12" ht="15.75" customHeight="1" x14ac:dyDescent="0.35">
      <c r="A112" s="64" t="s">
        <v>36</v>
      </c>
      <c r="B112" s="64"/>
      <c r="C112" s="63" t="s">
        <v>188</v>
      </c>
      <c r="D112" s="66" t="s">
        <v>189</v>
      </c>
      <c r="E112" s="66"/>
      <c r="F112" s="66" t="s">
        <v>190</v>
      </c>
      <c r="G112" s="66"/>
      <c r="H112" s="66" t="s">
        <v>191</v>
      </c>
      <c r="I112" s="66"/>
      <c r="J112" s="66"/>
      <c r="K112" s="35" t="s">
        <v>192</v>
      </c>
      <c r="L112" s="36">
        <f ca="1">I110*25%</f>
        <v>1</v>
      </c>
    </row>
    <row r="113" spans="1:12" ht="15.75" customHeight="1" x14ac:dyDescent="0.35">
      <c r="A113" s="64" t="s">
        <v>193</v>
      </c>
      <c r="B113" s="64"/>
      <c r="C113" s="42">
        <f ca="1">L114</f>
        <v>4</v>
      </c>
      <c r="D113" s="65">
        <f ca="1">((100/I110)*C113)/100</f>
        <v>1</v>
      </c>
      <c r="E113" s="65"/>
      <c r="F113" s="65">
        <f ca="1">(((C114/I110*10)+(40/(D110+G110+I110)*C115)+(7.5/(I110)*C116)+(7.5/(I110)*C117)+(10/I110*C118)+(10/I110*C119)+(5/I110*C120)+(5/I110*C121)+(5/I110*C122))/100)</f>
        <v>0.26</v>
      </c>
      <c r="G113" s="65"/>
      <c r="H113" s="65">
        <f ca="1">((((C113/I110)*20)+((C114/I110)*25)+(30/(I110+G110+D110)*C115)+(5/I110*C116)+(5/I110*C117)+(5/I110*C118)+(5/I110*C119)+(0/I110*C120)+(0/I110*C121)+(5/I110*C122))/100)</f>
        <v>0.56999999999999995</v>
      </c>
      <c r="I113" s="65"/>
      <c r="J113" s="65"/>
      <c r="K113" s="35" t="s">
        <v>194</v>
      </c>
      <c r="L113" s="37">
        <f ca="1">I110*50%</f>
        <v>2</v>
      </c>
    </row>
    <row r="114" spans="1:12" ht="15.5" x14ac:dyDescent="0.35">
      <c r="A114" s="64" t="s">
        <v>37</v>
      </c>
      <c r="B114" s="64"/>
      <c r="C114" s="43">
        <f ca="1">L122</f>
        <v>4</v>
      </c>
      <c r="D114" s="65">
        <f ca="1">((100/I110)*C114)/100</f>
        <v>1</v>
      </c>
      <c r="E114" s="65"/>
      <c r="F114" s="65"/>
      <c r="G114" s="65"/>
      <c r="H114" s="65"/>
      <c r="I114" s="65"/>
      <c r="J114" s="65"/>
      <c r="K114" s="35" t="s">
        <v>195</v>
      </c>
      <c r="L114" s="37">
        <f ca="1">I110</f>
        <v>4</v>
      </c>
    </row>
    <row r="115" spans="1:12" ht="15.75" customHeight="1" x14ac:dyDescent="0.35">
      <c r="A115" s="64" t="s">
        <v>196</v>
      </c>
      <c r="B115" s="64"/>
      <c r="C115" s="43">
        <v>2</v>
      </c>
      <c r="D115" s="65">
        <f ca="1">((100/(D110+G110+I110))*C115)/100</f>
        <v>0.4</v>
      </c>
      <c r="E115" s="65"/>
      <c r="F115" s="65"/>
      <c r="G115" s="65"/>
      <c r="H115" s="65"/>
      <c r="I115" s="65"/>
      <c r="J115" s="65"/>
      <c r="K115" s="35" t="s">
        <v>197</v>
      </c>
      <c r="L115" s="38">
        <f ca="1">(IF(B110&gt;1,(I110/(B110+2)),I110/4))</f>
        <v>1</v>
      </c>
    </row>
    <row r="116" spans="1:12" ht="15.75" customHeight="1" x14ac:dyDescent="0.35">
      <c r="A116" s="64" t="s">
        <v>198</v>
      </c>
      <c r="B116" s="64" t="s">
        <v>199</v>
      </c>
      <c r="C116" s="42">
        <v>0</v>
      </c>
      <c r="D116" s="65">
        <f ca="1">((100/I110)*C116)/100</f>
        <v>0</v>
      </c>
      <c r="E116" s="65"/>
      <c r="F116" s="65"/>
      <c r="G116" s="65"/>
      <c r="H116" s="65"/>
      <c r="I116" s="65"/>
      <c r="J116" s="65"/>
      <c r="K116" s="35" t="s">
        <v>200</v>
      </c>
      <c r="L116" s="38">
        <f ca="1">(IF(B110&gt;1,(I110/(B110+2)+L115),I110/4+L115))</f>
        <v>2</v>
      </c>
    </row>
    <row r="117" spans="1:12" ht="15.75" customHeight="1" x14ac:dyDescent="0.35">
      <c r="A117" s="64" t="s">
        <v>201</v>
      </c>
      <c r="B117" s="64" t="s">
        <v>199</v>
      </c>
      <c r="C117" s="42">
        <v>0</v>
      </c>
      <c r="D117" s="65">
        <f ca="1">((100/I110)*C117)/100</f>
        <v>0</v>
      </c>
      <c r="E117" s="65"/>
      <c r="F117" s="65"/>
      <c r="G117" s="65"/>
      <c r="H117" s="65"/>
      <c r="I117" s="65"/>
      <c r="J117" s="65"/>
      <c r="K117" s="35" t="s">
        <v>202</v>
      </c>
      <c r="L117" s="38">
        <f>(IF(B110&gt;1,(I110/(B110+2)+L116),0))</f>
        <v>0</v>
      </c>
    </row>
    <row r="118" spans="1:12" ht="15.75" customHeight="1" x14ac:dyDescent="0.35">
      <c r="A118" s="64" t="s">
        <v>203</v>
      </c>
      <c r="B118" s="64" t="s">
        <v>204</v>
      </c>
      <c r="C118" s="42">
        <v>0</v>
      </c>
      <c r="D118" s="65">
        <f ca="1">((100/(I110))*C118)/100</f>
        <v>0</v>
      </c>
      <c r="E118" s="65"/>
      <c r="F118" s="65"/>
      <c r="G118" s="65"/>
      <c r="H118" s="65"/>
      <c r="I118" s="65"/>
      <c r="J118" s="65"/>
      <c r="K118" s="35" t="s">
        <v>205</v>
      </c>
      <c r="L118" s="38">
        <f>(IF(B110&gt;2,(I110/(B110+2)+L117),0))</f>
        <v>0</v>
      </c>
    </row>
    <row r="119" spans="1:12" ht="15.75" customHeight="1" x14ac:dyDescent="0.35">
      <c r="A119" s="64" t="s">
        <v>206</v>
      </c>
      <c r="B119" s="64" t="s">
        <v>206</v>
      </c>
      <c r="C119" s="42">
        <v>0</v>
      </c>
      <c r="D119" s="65">
        <f ca="1">((100/I110)*C119)/100</f>
        <v>0</v>
      </c>
      <c r="E119" s="65"/>
      <c r="F119" s="65"/>
      <c r="G119" s="65"/>
      <c r="H119" s="65"/>
      <c r="I119" s="65"/>
      <c r="J119" s="65"/>
      <c r="K119" s="35" t="s">
        <v>207</v>
      </c>
      <c r="L119" s="39">
        <f>(IF(B110&gt;3,(I110/(B110+2)+L118),0))</f>
        <v>0</v>
      </c>
    </row>
    <row r="120" spans="1:12" ht="15.75" customHeight="1" x14ac:dyDescent="0.35">
      <c r="A120" s="64" t="s">
        <v>208</v>
      </c>
      <c r="B120" s="64"/>
      <c r="C120" s="42">
        <v>0</v>
      </c>
      <c r="D120" s="65">
        <f ca="1">((100/I110)*C120)/100</f>
        <v>0</v>
      </c>
      <c r="E120" s="65"/>
      <c r="F120" s="65"/>
      <c r="G120" s="65"/>
      <c r="H120" s="65"/>
      <c r="I120" s="65"/>
      <c r="J120" s="65"/>
      <c r="K120" s="35" t="s">
        <v>209</v>
      </c>
      <c r="L120" s="38">
        <f>(IF(B110&gt;4,(I110/(B110+2)+L119),0))</f>
        <v>0</v>
      </c>
    </row>
    <row r="121" spans="1:12" ht="15.75" customHeight="1" x14ac:dyDescent="0.35">
      <c r="A121" s="66" t="s">
        <v>210</v>
      </c>
      <c r="B121" s="66" t="s">
        <v>210</v>
      </c>
      <c r="C121" s="42">
        <v>0</v>
      </c>
      <c r="D121" s="65">
        <f ca="1">((100/(I110))*C121)/100</f>
        <v>0</v>
      </c>
      <c r="E121" s="65"/>
      <c r="F121" s="65"/>
      <c r="G121" s="65"/>
      <c r="H121" s="65"/>
      <c r="I121" s="65"/>
      <c r="J121" s="65"/>
      <c r="K121" s="35" t="s">
        <v>211</v>
      </c>
      <c r="L121" s="38">
        <f ca="1">(IF(B110=1,(I110/(B110+3)+L116),IF(B110=0,(I110/4+L116),IF(B110&gt;1,0))))</f>
        <v>3</v>
      </c>
    </row>
    <row r="122" spans="1:12" ht="16.5" customHeight="1" thickBot="1" x14ac:dyDescent="0.4">
      <c r="A122" s="64" t="s">
        <v>212</v>
      </c>
      <c r="B122" s="64"/>
      <c r="C122" s="42">
        <v>0</v>
      </c>
      <c r="D122" s="65">
        <f ca="1">((100/(I110))*C122)/100</f>
        <v>0</v>
      </c>
      <c r="E122" s="65"/>
      <c r="F122" s="65"/>
      <c r="G122" s="65"/>
      <c r="H122" s="65"/>
      <c r="I122" s="65"/>
      <c r="J122" s="65"/>
      <c r="K122" s="40" t="s">
        <v>213</v>
      </c>
      <c r="L122" s="41">
        <f ca="1">(IF(B110&gt;1.5,(I110/(B110+2)+L116+MAX(0,L117-L116)+MAX(0,L118-L117)+MAX(0,L119-L118)+MAX(0,L120-L119)+MAX(0,L121-L120)),IF(B110=1,(I110/(B110+3)+L121),IF(B110=0,I110/4+L121))))</f>
        <v>4</v>
      </c>
    </row>
    <row r="123" spans="1:12" ht="15.75" hidden="1" customHeight="1" x14ac:dyDescent="0.35">
      <c r="A123" s="223" t="s">
        <v>36</v>
      </c>
      <c r="B123" s="224"/>
      <c r="C123" s="46" t="s">
        <v>188</v>
      </c>
      <c r="D123" s="232" t="s">
        <v>189</v>
      </c>
      <c r="E123" s="232"/>
      <c r="F123" s="232" t="s">
        <v>190</v>
      </c>
      <c r="G123" s="232"/>
      <c r="H123" s="232" t="s">
        <v>191</v>
      </c>
      <c r="I123" s="232"/>
      <c r="J123" s="233"/>
      <c r="K123" s="35" t="s">
        <v>192</v>
      </c>
      <c r="L123" s="36">
        <f ca="1">I63*25%</f>
        <v>1</v>
      </c>
    </row>
    <row r="124" spans="1:12" ht="15.75" hidden="1" customHeight="1" x14ac:dyDescent="0.35">
      <c r="A124" s="140" t="s">
        <v>193</v>
      </c>
      <c r="B124" s="64"/>
      <c r="C124" s="42">
        <f ca="1">L125</f>
        <v>4</v>
      </c>
      <c r="D124" s="141">
        <f ca="1">((100/I63)*C124)/100</f>
        <v>1</v>
      </c>
      <c r="E124" s="142"/>
      <c r="F124" s="65">
        <f ca="1">(((C125/I63*10)+(40/(D63+G63+I63)*C126)+(7.5/(I63)*C127)+(7.5/(I63)*C128)+(10/I63*C129)+(10/I63*C130)+(5/I63*C131)+(5/I63*C132)+(5/I63*C133))/100)</f>
        <v>1</v>
      </c>
      <c r="G124" s="65"/>
      <c r="H124" s="235">
        <f ca="1">((((C124/I63)*20)+((C125/I63)*25)+(30/(I63+G63+D63)*C126)+(5/I63*C127)+(5/I63*C128)+(5/I63*C129)+(5/I63*C130)+(0/I63*C131)+(0/I63*C132)+(5/I63*C133))/100)</f>
        <v>1</v>
      </c>
      <c r="I124" s="236"/>
      <c r="J124" s="237"/>
      <c r="K124" s="35" t="s">
        <v>194</v>
      </c>
      <c r="L124" s="37">
        <f ca="1">I63*50%</f>
        <v>2</v>
      </c>
    </row>
    <row r="125" spans="1:12" ht="15.5" hidden="1" x14ac:dyDescent="0.35">
      <c r="A125" s="140" t="s">
        <v>37</v>
      </c>
      <c r="B125" s="64"/>
      <c r="C125" s="43">
        <f ca="1">L133</f>
        <v>4</v>
      </c>
      <c r="D125" s="141">
        <f ca="1">((100/I63)*C125)/100</f>
        <v>1</v>
      </c>
      <c r="E125" s="142"/>
      <c r="F125" s="65"/>
      <c r="G125" s="65"/>
      <c r="H125" s="238"/>
      <c r="I125" s="239"/>
      <c r="J125" s="240"/>
      <c r="K125" s="35" t="s">
        <v>195</v>
      </c>
      <c r="L125" s="37">
        <f ca="1">I63</f>
        <v>4</v>
      </c>
    </row>
    <row r="126" spans="1:12" ht="15.75" hidden="1" customHeight="1" x14ac:dyDescent="0.35">
      <c r="A126" s="140" t="s">
        <v>196</v>
      </c>
      <c r="B126" s="64"/>
      <c r="C126" s="43">
        <f ca="1">D63+I63</f>
        <v>5</v>
      </c>
      <c r="D126" s="141">
        <f ca="1">((100/(D63+G63+I63))*C126)/100</f>
        <v>1</v>
      </c>
      <c r="E126" s="142"/>
      <c r="F126" s="65"/>
      <c r="G126" s="65"/>
      <c r="H126" s="238"/>
      <c r="I126" s="239"/>
      <c r="J126" s="240"/>
      <c r="K126" s="35" t="s">
        <v>197</v>
      </c>
      <c r="L126" s="38">
        <f ca="1">(IF(B63&gt;1,(I63/(B63+2)),I63/4))</f>
        <v>1</v>
      </c>
    </row>
    <row r="127" spans="1:12" ht="15.75" hidden="1" customHeight="1" x14ac:dyDescent="0.35">
      <c r="A127" s="140" t="s">
        <v>198</v>
      </c>
      <c r="B127" s="64" t="s">
        <v>199</v>
      </c>
      <c r="C127" s="42">
        <v>4</v>
      </c>
      <c r="D127" s="141">
        <f ca="1">((100/I63)*C127)/100</f>
        <v>1</v>
      </c>
      <c r="E127" s="142"/>
      <c r="F127" s="65"/>
      <c r="G127" s="65"/>
      <c r="H127" s="238"/>
      <c r="I127" s="239"/>
      <c r="J127" s="240"/>
      <c r="K127" s="35" t="s">
        <v>200</v>
      </c>
      <c r="L127" s="38">
        <f ca="1">(IF(B63&gt;1,(I63/(B63+2)+L126),I63/4+L126))</f>
        <v>2</v>
      </c>
    </row>
    <row r="128" spans="1:12" ht="15.75" hidden="1" customHeight="1" x14ac:dyDescent="0.35">
      <c r="A128" s="140" t="s">
        <v>201</v>
      </c>
      <c r="B128" s="64" t="s">
        <v>199</v>
      </c>
      <c r="C128" s="42">
        <v>4</v>
      </c>
      <c r="D128" s="141">
        <f ca="1">((100/I63)*C128)/100</f>
        <v>1</v>
      </c>
      <c r="E128" s="142"/>
      <c r="F128" s="65"/>
      <c r="G128" s="65"/>
      <c r="H128" s="238"/>
      <c r="I128" s="239"/>
      <c r="J128" s="240"/>
      <c r="K128" s="35" t="s">
        <v>202</v>
      </c>
      <c r="L128" s="38">
        <f>(IF(B63&gt;1,(I63/(B63+2)+L127),0))</f>
        <v>0</v>
      </c>
    </row>
    <row r="129" spans="1:12" ht="15.75" hidden="1" customHeight="1" x14ac:dyDescent="0.35">
      <c r="A129" s="140" t="s">
        <v>203</v>
      </c>
      <c r="B129" s="64" t="s">
        <v>204</v>
      </c>
      <c r="C129" s="42">
        <v>4</v>
      </c>
      <c r="D129" s="141">
        <f ca="1">((100/(I63))*C129)/100</f>
        <v>1</v>
      </c>
      <c r="E129" s="142"/>
      <c r="F129" s="65"/>
      <c r="G129" s="65"/>
      <c r="H129" s="238"/>
      <c r="I129" s="239"/>
      <c r="J129" s="240"/>
      <c r="K129" s="35" t="s">
        <v>205</v>
      </c>
      <c r="L129" s="38">
        <f>(IF(B63&gt;2,(I63/(B63+2)+L128),0))</f>
        <v>0</v>
      </c>
    </row>
    <row r="130" spans="1:12" ht="15.75" hidden="1" customHeight="1" x14ac:dyDescent="0.35">
      <c r="A130" s="140" t="s">
        <v>206</v>
      </c>
      <c r="B130" s="64" t="s">
        <v>206</v>
      </c>
      <c r="C130" s="42">
        <v>4</v>
      </c>
      <c r="D130" s="141">
        <f ca="1">((100/I63)*C130)/100</f>
        <v>1</v>
      </c>
      <c r="E130" s="142"/>
      <c r="F130" s="65"/>
      <c r="G130" s="65"/>
      <c r="H130" s="238"/>
      <c r="I130" s="239"/>
      <c r="J130" s="240"/>
      <c r="K130" s="35" t="s">
        <v>207</v>
      </c>
      <c r="L130" s="39">
        <f>(IF(B63&gt;3,(I63/(B63+2)+L129),0))</f>
        <v>0</v>
      </c>
    </row>
    <row r="131" spans="1:12" ht="15.75" hidden="1" customHeight="1" x14ac:dyDescent="0.35">
      <c r="A131" s="140" t="s">
        <v>208</v>
      </c>
      <c r="B131" s="64"/>
      <c r="C131" s="42">
        <v>4</v>
      </c>
      <c r="D131" s="141">
        <f ca="1">((100/I63)*C131)/100</f>
        <v>1</v>
      </c>
      <c r="E131" s="142"/>
      <c r="F131" s="65"/>
      <c r="G131" s="65"/>
      <c r="H131" s="238"/>
      <c r="I131" s="239"/>
      <c r="J131" s="240"/>
      <c r="K131" s="35" t="s">
        <v>209</v>
      </c>
      <c r="L131" s="38">
        <f>(IF(B63&gt;4,(I63/(B63+2)+L130),0))</f>
        <v>0</v>
      </c>
    </row>
    <row r="132" spans="1:12" ht="15.75" hidden="1" customHeight="1" x14ac:dyDescent="0.35">
      <c r="A132" s="137" t="s">
        <v>210</v>
      </c>
      <c r="B132" s="66" t="s">
        <v>210</v>
      </c>
      <c r="C132" s="42">
        <v>4</v>
      </c>
      <c r="D132" s="141">
        <f ca="1">((100/(I63))*C132)/100</f>
        <v>1</v>
      </c>
      <c r="E132" s="142"/>
      <c r="F132" s="65"/>
      <c r="G132" s="65"/>
      <c r="H132" s="238"/>
      <c r="I132" s="239"/>
      <c r="J132" s="240"/>
      <c r="K132" s="35" t="s">
        <v>211</v>
      </c>
      <c r="L132" s="38">
        <f ca="1">(IF(B63=1,(I63/(B63+3)+L127),IF(B63=0,(I63/4+L127),IF(B63&gt;1,0))))</f>
        <v>3</v>
      </c>
    </row>
    <row r="133" spans="1:12" ht="16.5" hidden="1" customHeight="1" thickBot="1" x14ac:dyDescent="0.4">
      <c r="A133" s="219" t="s">
        <v>212</v>
      </c>
      <c r="B133" s="220"/>
      <c r="C133" s="44">
        <v>4</v>
      </c>
      <c r="D133" s="221">
        <f ca="1">((100/(I63))*C133)/100</f>
        <v>1</v>
      </c>
      <c r="E133" s="222"/>
      <c r="F133" s="234"/>
      <c r="G133" s="234"/>
      <c r="H133" s="241"/>
      <c r="I133" s="242"/>
      <c r="J133" s="243"/>
      <c r="K133" s="40" t="s">
        <v>213</v>
      </c>
      <c r="L133" s="41">
        <f ca="1">(IF(B63&gt;1.5,(I63/(B63+2)+L127+MAX(0,L128-L127)+MAX(0,L129-L128)+MAX(0,L130-L129)+MAX(0,L131-L130)+MAX(0,L132-L131)),IF(B63=1,(I63/(B63+3)+L132),IF(B63=0,I63/4+L132))))</f>
        <v>4</v>
      </c>
    </row>
    <row r="134" spans="1:12" ht="15" customHeight="1" x14ac:dyDescent="0.35">
      <c r="A134" s="206" t="s">
        <v>54</v>
      </c>
      <c r="B134" s="207"/>
      <c r="C134" s="207"/>
      <c r="D134" s="207"/>
      <c r="E134" s="207"/>
      <c r="F134" s="207"/>
      <c r="G134" s="207"/>
      <c r="H134" s="207"/>
      <c r="I134" s="207"/>
      <c r="J134" s="208"/>
    </row>
    <row r="135" spans="1:12" ht="15" customHeight="1" x14ac:dyDescent="0.35">
      <c r="A135" s="209" t="s">
        <v>80</v>
      </c>
      <c r="B135" s="210"/>
      <c r="C135" s="210"/>
      <c r="D135" s="210"/>
      <c r="E135" s="210"/>
      <c r="F135" s="210"/>
      <c r="G135" s="210"/>
      <c r="H135" s="210"/>
      <c r="I135" s="210"/>
      <c r="J135" s="211"/>
    </row>
    <row r="136" spans="1:12" x14ac:dyDescent="0.35">
      <c r="A136" s="212"/>
      <c r="B136" s="213"/>
      <c r="C136" s="213"/>
      <c r="D136" s="213"/>
      <c r="E136" s="213"/>
      <c r="F136" s="213"/>
      <c r="G136" s="213"/>
      <c r="H136" s="213"/>
      <c r="I136" s="213"/>
      <c r="J136" s="214"/>
    </row>
    <row r="137" spans="1:12" x14ac:dyDescent="0.35">
      <c r="A137" s="215" t="s">
        <v>25</v>
      </c>
      <c r="B137" s="108"/>
      <c r="C137" s="108"/>
      <c r="D137" s="108"/>
      <c r="E137" s="108"/>
      <c r="F137" s="108"/>
      <c r="G137" s="108"/>
      <c r="H137" s="108"/>
      <c r="I137" s="108"/>
      <c r="J137" s="109"/>
    </row>
    <row r="138" spans="1:12" x14ac:dyDescent="0.35">
      <c r="A138" s="104" t="s">
        <v>110</v>
      </c>
      <c r="B138" s="114"/>
      <c r="C138" s="114"/>
      <c r="D138" s="114"/>
      <c r="E138" s="114"/>
      <c r="F138" s="115"/>
      <c r="G138" s="216">
        <v>2900</v>
      </c>
      <c r="H138" s="217"/>
      <c r="I138" s="217"/>
      <c r="J138" s="218"/>
    </row>
    <row r="139" spans="1:12" x14ac:dyDescent="0.35">
      <c r="A139" s="104" t="s">
        <v>232</v>
      </c>
      <c r="B139" s="114"/>
      <c r="C139" s="114"/>
      <c r="D139" s="114"/>
      <c r="E139" s="114"/>
      <c r="F139" s="115"/>
      <c r="G139" s="101">
        <v>6000</v>
      </c>
      <c r="H139" s="102"/>
      <c r="I139" s="102"/>
      <c r="J139" s="103"/>
    </row>
    <row r="140" spans="1:12" ht="15" customHeight="1" x14ac:dyDescent="0.35">
      <c r="A140" s="104" t="s">
        <v>254</v>
      </c>
      <c r="B140" s="105"/>
      <c r="C140" s="105"/>
      <c r="D140" s="105"/>
      <c r="E140" s="105"/>
      <c r="F140" s="106"/>
      <c r="G140" s="111" t="s">
        <v>216</v>
      </c>
      <c r="H140" s="112"/>
      <c r="I140" s="112"/>
      <c r="J140" s="113"/>
    </row>
    <row r="141" spans="1:12" x14ac:dyDescent="0.35">
      <c r="A141" s="104" t="s">
        <v>104</v>
      </c>
      <c r="B141" s="114"/>
      <c r="C141" s="114"/>
      <c r="D141" s="114"/>
      <c r="E141" s="114"/>
      <c r="F141" s="115"/>
      <c r="G141" s="111" t="s">
        <v>216</v>
      </c>
      <c r="H141" s="112"/>
      <c r="I141" s="112"/>
      <c r="J141" s="113"/>
    </row>
    <row r="142" spans="1:12" ht="15" customHeight="1" x14ac:dyDescent="0.35">
      <c r="A142" s="104" t="s">
        <v>215</v>
      </c>
      <c r="B142" s="105"/>
      <c r="C142" s="105"/>
      <c r="D142" s="105"/>
      <c r="E142" s="105"/>
      <c r="F142" s="106"/>
      <c r="G142" s="111" t="s">
        <v>253</v>
      </c>
      <c r="H142" s="112"/>
      <c r="I142" s="112"/>
      <c r="J142" s="113"/>
    </row>
    <row r="143" spans="1:12" ht="15" customHeight="1" x14ac:dyDescent="0.35">
      <c r="A143" s="104" t="s">
        <v>255</v>
      </c>
      <c r="B143" s="105"/>
      <c r="C143" s="105"/>
      <c r="D143" s="105"/>
      <c r="E143" s="105"/>
      <c r="F143" s="106"/>
      <c r="G143" s="111" t="s">
        <v>256</v>
      </c>
      <c r="H143" s="112"/>
      <c r="I143" s="112"/>
      <c r="J143" s="113"/>
    </row>
    <row r="144" spans="1:12" s="1" customFormat="1" ht="14.5" customHeight="1" x14ac:dyDescent="0.35">
      <c r="A144" s="107" t="s">
        <v>79</v>
      </c>
      <c r="B144" s="108"/>
      <c r="C144" s="108"/>
      <c r="D144" s="108"/>
      <c r="E144" s="108"/>
      <c r="F144" s="109"/>
      <c r="G144" s="110">
        <f>G138*0.8</f>
        <v>2320</v>
      </c>
      <c r="H144" s="102"/>
      <c r="I144" s="102"/>
      <c r="J144" s="103"/>
    </row>
    <row r="145" spans="1:11" s="47" customFormat="1" ht="15.5" x14ac:dyDescent="0.35">
      <c r="A145" s="92" t="s">
        <v>226</v>
      </c>
      <c r="B145" s="93"/>
      <c r="C145" s="93"/>
      <c r="D145" s="93"/>
      <c r="E145" s="93"/>
      <c r="F145" s="93"/>
      <c r="G145" s="93"/>
      <c r="H145" s="93"/>
      <c r="I145" s="93"/>
      <c r="J145" s="94"/>
    </row>
    <row r="146" spans="1:11" s="47" customFormat="1" ht="15.5" x14ac:dyDescent="0.35">
      <c r="A146" s="95" t="s">
        <v>227</v>
      </c>
      <c r="B146" s="96"/>
      <c r="C146" s="48" t="s">
        <v>228</v>
      </c>
      <c r="D146" s="97" t="s">
        <v>229</v>
      </c>
      <c r="E146" s="98"/>
      <c r="F146" s="99"/>
      <c r="G146" s="95" t="s">
        <v>230</v>
      </c>
      <c r="H146" s="100"/>
      <c r="I146" s="100"/>
      <c r="J146" s="96"/>
    </row>
    <row r="147" spans="1:11" s="51" customFormat="1" ht="15.75" customHeight="1" x14ac:dyDescent="0.35">
      <c r="A147" s="84" t="s">
        <v>245</v>
      </c>
      <c r="B147" s="85"/>
      <c r="C147" s="52">
        <f>COUNT(D313:D327)</f>
        <v>15</v>
      </c>
      <c r="D147" s="86">
        <f>SUM(D313:D327)</f>
        <v>2254.5198</v>
      </c>
      <c r="E147" s="87"/>
      <c r="F147" s="88"/>
      <c r="G147" s="86">
        <f>SUM(H313:H327)</f>
        <v>4202</v>
      </c>
      <c r="H147" s="87"/>
      <c r="I147" s="87"/>
      <c r="J147" s="88"/>
    </row>
    <row r="148" spans="1:11" s="47" customFormat="1" ht="15.5" x14ac:dyDescent="0.35">
      <c r="A148" s="92" t="s">
        <v>226</v>
      </c>
      <c r="B148" s="93"/>
      <c r="C148" s="93"/>
      <c r="D148" s="93"/>
      <c r="E148" s="93"/>
      <c r="F148" s="93"/>
      <c r="G148" s="93"/>
      <c r="H148" s="93"/>
      <c r="I148" s="93"/>
      <c r="J148" s="94"/>
    </row>
    <row r="149" spans="1:11" s="47" customFormat="1" ht="15.5" x14ac:dyDescent="0.35">
      <c r="A149" s="95" t="s">
        <v>227</v>
      </c>
      <c r="B149" s="96"/>
      <c r="C149" s="48" t="s">
        <v>228</v>
      </c>
      <c r="D149" s="97" t="s">
        <v>229</v>
      </c>
      <c r="E149" s="98"/>
      <c r="F149" s="99"/>
      <c r="G149" s="95" t="s">
        <v>230</v>
      </c>
      <c r="H149" s="100"/>
      <c r="I149" s="100"/>
      <c r="J149" s="96"/>
    </row>
    <row r="150" spans="1:11" s="51" customFormat="1" ht="15.75" customHeight="1" x14ac:dyDescent="0.35">
      <c r="A150" s="84" t="s">
        <v>233</v>
      </c>
      <c r="B150" s="85"/>
      <c r="C150" s="50">
        <f>COUNT(D169:D170)+COUNT(D172:D175)*4</f>
        <v>18</v>
      </c>
      <c r="D150" s="86">
        <f>SUM(D169:D170)+SUM(D172:D175)*4</f>
        <v>5264.1342000000004</v>
      </c>
      <c r="E150" s="87"/>
      <c r="F150" s="88"/>
      <c r="G150" s="86">
        <f>SUM(H169:H170)+SUM(H172:H175)*4</f>
        <v>7632.9945900000002</v>
      </c>
      <c r="H150" s="87"/>
      <c r="I150" s="87"/>
      <c r="J150" s="88"/>
    </row>
    <row r="151" spans="1:11" s="51" customFormat="1" ht="15.75" customHeight="1" x14ac:dyDescent="0.35">
      <c r="A151" s="84" t="s">
        <v>234</v>
      </c>
      <c r="B151" s="85"/>
      <c r="C151" s="52">
        <f>COUNT(D178:D179)+COUNT(D181:D184)*4</f>
        <v>18</v>
      </c>
      <c r="D151" s="86">
        <f>SUM(D178:D179)+SUM(D181:D184)*4</f>
        <v>5025.8192399999998</v>
      </c>
      <c r="E151" s="87"/>
      <c r="F151" s="88"/>
      <c r="G151" s="89">
        <f>SUM(H178:H179)+SUM(H181:H184)*4</f>
        <v>7632.9945900000002</v>
      </c>
      <c r="H151" s="90"/>
      <c r="I151" s="90"/>
      <c r="J151" s="91"/>
    </row>
    <row r="152" spans="1:11" s="51" customFormat="1" ht="15.75" customHeight="1" x14ac:dyDescent="0.35">
      <c r="A152" s="84" t="s">
        <v>235</v>
      </c>
      <c r="B152" s="85"/>
      <c r="C152" s="50">
        <f>COUNT(D187:D190)+COUNT(D192:D197)*4</f>
        <v>28</v>
      </c>
      <c r="D152" s="86">
        <f>SUM(D187:D190)+SUM(D192:D197)*4</f>
        <v>11030.228164799999</v>
      </c>
      <c r="E152" s="87"/>
      <c r="F152" s="88"/>
      <c r="G152" s="86">
        <f>SUM(H187:H190)+SUM(H192:H197)*4</f>
        <v>16400</v>
      </c>
      <c r="H152" s="87"/>
      <c r="I152" s="87"/>
      <c r="J152" s="88"/>
    </row>
    <row r="153" spans="1:11" s="51" customFormat="1" ht="15.75" customHeight="1" x14ac:dyDescent="0.35">
      <c r="A153" s="84" t="s">
        <v>236</v>
      </c>
      <c r="B153" s="85"/>
      <c r="C153" s="50">
        <f>COUNT(D200:D204)+COUNT(D206:D213)*4</f>
        <v>37</v>
      </c>
      <c r="D153" s="86">
        <f>SUM(D200:D204)+SUM(D206:D213)*4</f>
        <v>10607.49144</v>
      </c>
      <c r="E153" s="87"/>
      <c r="F153" s="88"/>
      <c r="G153" s="86">
        <f>SUM(H200:H204)+SUM(H206:H213)*4</f>
        <v>15645</v>
      </c>
      <c r="H153" s="87"/>
      <c r="I153" s="87"/>
      <c r="J153" s="88"/>
    </row>
    <row r="154" spans="1:11" s="51" customFormat="1" ht="15.75" customHeight="1" x14ac:dyDescent="0.35">
      <c r="A154" s="84" t="s">
        <v>237</v>
      </c>
      <c r="B154" s="85"/>
      <c r="C154" s="52">
        <f>COUNT(D216:D219)+COUNT(D221:D226)*4</f>
        <v>28</v>
      </c>
      <c r="D154" s="86">
        <f t="shared" ref="D154" si="0">SUM(D216:D219)+SUM(D221:D226)*4</f>
        <v>11560</v>
      </c>
      <c r="E154" s="87"/>
      <c r="F154" s="88"/>
      <c r="G154" s="89">
        <f>SUM(H216:H219)+SUM(H221:H226)*4</f>
        <v>16540</v>
      </c>
      <c r="H154" s="90"/>
      <c r="I154" s="90"/>
      <c r="J154" s="91"/>
    </row>
    <row r="155" spans="1:11" s="51" customFormat="1" ht="15.75" customHeight="1" x14ac:dyDescent="0.35">
      <c r="A155" s="84" t="s">
        <v>238</v>
      </c>
      <c r="B155" s="85"/>
      <c r="C155" s="50">
        <f>COUNT(D229:D230)+COUNT(D232:D235)*4</f>
        <v>18</v>
      </c>
      <c r="D155" s="86">
        <f t="shared" ref="D155" si="1">SUM(D229:D230)+SUM(D232:D235)*4</f>
        <v>6328</v>
      </c>
      <c r="E155" s="87"/>
      <c r="F155" s="88"/>
      <c r="G155" s="86">
        <f>SUM(H229:H230)+SUM(H232:H235)*4</f>
        <v>9002</v>
      </c>
      <c r="H155" s="87"/>
      <c r="I155" s="87"/>
      <c r="J155" s="88"/>
    </row>
    <row r="156" spans="1:11" s="51" customFormat="1" ht="15.75" customHeight="1" x14ac:dyDescent="0.35">
      <c r="A156" s="84" t="s">
        <v>239</v>
      </c>
      <c r="B156" s="85"/>
      <c r="C156" s="50">
        <f>COUNT(D238:D239)+COUNT(D241:D244)*4</f>
        <v>18</v>
      </c>
      <c r="D156" s="86">
        <f>SUM(D238:D239)+SUM(D241:D244)*4</f>
        <v>6200</v>
      </c>
      <c r="E156" s="87"/>
      <c r="F156" s="88"/>
      <c r="G156" s="86">
        <f>SUM(H238:H239)+SUM(H241:H244)*4</f>
        <v>8824</v>
      </c>
      <c r="H156" s="87"/>
      <c r="I156" s="87"/>
      <c r="J156" s="88"/>
    </row>
    <row r="157" spans="1:11" s="51" customFormat="1" ht="15.75" customHeight="1" x14ac:dyDescent="0.35">
      <c r="A157" s="84" t="s">
        <v>240</v>
      </c>
      <c r="B157" s="85"/>
      <c r="C157" s="52">
        <f>COUNT(D247:D251)+COUNT(D253:D260)*4</f>
        <v>37</v>
      </c>
      <c r="D157" s="86">
        <f>SUM(D247:D251)+SUM(D253:D260)*4</f>
        <v>13567</v>
      </c>
      <c r="E157" s="87"/>
      <c r="F157" s="88"/>
      <c r="G157" s="89">
        <f>SUM(H247:H251)+SUM(H253:H260)*4</f>
        <v>19321</v>
      </c>
      <c r="H157" s="90"/>
      <c r="I157" s="90"/>
      <c r="J157" s="91"/>
    </row>
    <row r="158" spans="1:11" s="51" customFormat="1" ht="15.75" customHeight="1" x14ac:dyDescent="0.35">
      <c r="A158" s="84" t="s">
        <v>241</v>
      </c>
      <c r="B158" s="85"/>
      <c r="C158" s="50">
        <f>COUNT(D263:D266)+COUNT(D268:D275)*4</f>
        <v>36</v>
      </c>
      <c r="D158" s="86">
        <f>SUM(D263:D266)+SUM(D268:D275)*4</f>
        <v>13051</v>
      </c>
      <c r="E158" s="87"/>
      <c r="F158" s="88"/>
      <c r="G158" s="86">
        <f>SUM(H263:H266)+SUM(H268:H275)*4</f>
        <v>18554</v>
      </c>
      <c r="H158" s="87"/>
      <c r="I158" s="87"/>
      <c r="J158" s="88"/>
    </row>
    <row r="159" spans="1:11" s="51" customFormat="1" ht="15.75" customHeight="1" x14ac:dyDescent="0.35">
      <c r="A159" s="84" t="s">
        <v>242</v>
      </c>
      <c r="B159" s="85"/>
      <c r="C159" s="50">
        <f>COUNT(D278:D279)+COUNT(D281:D284)*4</f>
        <v>18</v>
      </c>
      <c r="D159" s="86">
        <f>SUM(D278:D279)+SUM(D281:D284)*4</f>
        <v>6938.0438399999994</v>
      </c>
      <c r="E159" s="87"/>
      <c r="F159" s="88"/>
      <c r="G159" s="86">
        <f>SUM(H278:H279)+SUM(H281:H284)*4</f>
        <v>10320</v>
      </c>
      <c r="H159" s="87"/>
      <c r="I159" s="87"/>
      <c r="J159" s="88"/>
      <c r="K159" s="51">
        <f>18+38+18+46</f>
        <v>120</v>
      </c>
    </row>
    <row r="160" spans="1:11" s="51" customFormat="1" ht="15.75" customHeight="1" x14ac:dyDescent="0.35">
      <c r="A160" s="84" t="s">
        <v>243</v>
      </c>
      <c r="B160" s="85"/>
      <c r="C160" s="52">
        <f>COUNT(D287:D292)+COUNT(D294:D301)*4</f>
        <v>38</v>
      </c>
      <c r="D160" s="86">
        <f>SUM(D287:D292)+SUM(D294:D301)*4</f>
        <v>11437.180559999999</v>
      </c>
      <c r="E160" s="87"/>
      <c r="F160" s="88"/>
      <c r="G160" s="89">
        <f>SUM(H287:H292)+SUM(H294:H301)*4</f>
        <v>16780</v>
      </c>
      <c r="H160" s="90"/>
      <c r="I160" s="90"/>
      <c r="J160" s="91"/>
    </row>
    <row r="161" spans="1:13" s="51" customFormat="1" ht="15.75" customHeight="1" x14ac:dyDescent="0.35">
      <c r="A161" s="84" t="s">
        <v>244</v>
      </c>
      <c r="B161" s="85"/>
      <c r="C161" s="50">
        <f>COUNT(D304:D305)+COUNT(D307:D310)*4</f>
        <v>18</v>
      </c>
      <c r="D161" s="86">
        <f>SUM(D304:D305)+SUM(D307:D310)*4</f>
        <v>6943.2105599999995</v>
      </c>
      <c r="E161" s="87"/>
      <c r="F161" s="88"/>
      <c r="G161" s="86">
        <f>SUM(H304:H305)+SUM(H307:H310)*4</f>
        <v>10320</v>
      </c>
      <c r="H161" s="87"/>
      <c r="I161" s="87"/>
      <c r="J161" s="88"/>
    </row>
    <row r="162" spans="1:13" s="51" customFormat="1" ht="15.75" customHeight="1" thickBot="1" x14ac:dyDescent="0.4">
      <c r="A162" s="122" t="s">
        <v>245</v>
      </c>
      <c r="B162" s="123"/>
      <c r="C162" s="53">
        <f>COUNT(D328:D329)+COUNT(D331:D341)+COUNT(D343:D353)*3</f>
        <v>46</v>
      </c>
      <c r="D162" s="124">
        <f>SUM(D328:D329)+SUM(D331:D341)+SUM(D343:D353)*3</f>
        <v>17746.176239999997</v>
      </c>
      <c r="E162" s="125"/>
      <c r="F162" s="126"/>
      <c r="G162" s="124">
        <f>SUM(H328:H329)+SUM(H331:H341)+SUM(H343:H353)*3</f>
        <v>25995</v>
      </c>
      <c r="H162" s="125"/>
      <c r="I162" s="125"/>
      <c r="J162" s="126"/>
    </row>
    <row r="163" spans="1:13" s="49" customFormat="1" ht="15.5" thickBot="1" x14ac:dyDescent="0.4">
      <c r="A163" s="138" t="s">
        <v>101</v>
      </c>
      <c r="B163" s="139"/>
      <c r="C163" s="54">
        <f>SUM(C150:C162)</f>
        <v>358</v>
      </c>
      <c r="D163" s="130">
        <f>SUM(D150:F162)</f>
        <v>125698.28424479999</v>
      </c>
      <c r="E163" s="131"/>
      <c r="F163" s="132"/>
      <c r="G163" s="127">
        <f>SUM(G150:J162)</f>
        <v>182966.98918</v>
      </c>
      <c r="H163" s="128"/>
      <c r="I163" s="128"/>
      <c r="J163" s="129"/>
    </row>
    <row r="164" spans="1:13" s="1" customFormat="1" x14ac:dyDescent="0.35">
      <c r="A164" s="118" t="s">
        <v>26</v>
      </c>
      <c r="B164" s="119"/>
      <c r="C164" s="119"/>
      <c r="D164" s="119"/>
      <c r="E164" s="119"/>
      <c r="F164" s="119"/>
      <c r="G164" s="119"/>
      <c r="H164" s="119"/>
      <c r="I164" s="119"/>
      <c r="J164" s="120"/>
    </row>
    <row r="165" spans="1:13" x14ac:dyDescent="0.35">
      <c r="A165" s="121" t="s">
        <v>49</v>
      </c>
      <c r="B165" s="121"/>
      <c r="C165" s="121"/>
      <c r="D165" s="121"/>
      <c r="E165" s="121"/>
      <c r="F165" s="121"/>
      <c r="G165" s="121"/>
      <c r="H165" s="121"/>
      <c r="I165" s="121"/>
      <c r="J165" s="121"/>
    </row>
    <row r="166" spans="1:13" ht="45" x14ac:dyDescent="0.35">
      <c r="A166" s="3" t="s">
        <v>31</v>
      </c>
      <c r="B166" s="3" t="s">
        <v>34</v>
      </c>
      <c r="C166" s="3" t="s">
        <v>32</v>
      </c>
      <c r="D166" s="4" t="s">
        <v>82</v>
      </c>
      <c r="E166" s="3" t="s">
        <v>62</v>
      </c>
      <c r="F166" s="3" t="s">
        <v>44</v>
      </c>
      <c r="G166" s="4" t="s">
        <v>33</v>
      </c>
      <c r="H166" s="3" t="s">
        <v>165</v>
      </c>
      <c r="I166" s="133" t="s">
        <v>167</v>
      </c>
      <c r="J166" s="133"/>
    </row>
    <row r="167" spans="1:13" ht="15" x14ac:dyDescent="0.35">
      <c r="A167" s="117" t="s">
        <v>157</v>
      </c>
      <c r="B167" s="117"/>
      <c r="C167" s="117"/>
      <c r="D167" s="117"/>
      <c r="E167" s="117"/>
      <c r="F167" s="117"/>
      <c r="G167" s="117"/>
      <c r="H167" s="117"/>
      <c r="I167" s="117"/>
      <c r="J167" s="117"/>
    </row>
    <row r="168" spans="1:13" ht="15" x14ac:dyDescent="0.35">
      <c r="A168" s="117" t="s">
        <v>159</v>
      </c>
      <c r="B168" s="117"/>
      <c r="C168" s="117"/>
      <c r="D168" s="117"/>
      <c r="E168" s="117"/>
      <c r="F168" s="117"/>
      <c r="G168" s="117"/>
      <c r="H168" s="117"/>
      <c r="I168" s="117"/>
      <c r="J168" s="117"/>
    </row>
    <row r="169" spans="1:13" ht="15.5" x14ac:dyDescent="0.35">
      <c r="A169" s="60">
        <v>1</v>
      </c>
      <c r="B169" s="60">
        <v>1</v>
      </c>
      <c r="C169" s="60" t="s">
        <v>121</v>
      </c>
      <c r="D169" s="60">
        <f>18.65*10.764</f>
        <v>200.74859999999998</v>
      </c>
      <c r="E169" s="60">
        <v>0</v>
      </c>
      <c r="F169" s="60">
        <f>18.65*10.764</f>
        <v>200.74859999999998</v>
      </c>
      <c r="G169" s="60">
        <v>0</v>
      </c>
      <c r="H169" s="60">
        <f>F169*1.45+G169</f>
        <v>291.08546999999999</v>
      </c>
      <c r="I169" s="116" t="s">
        <v>119</v>
      </c>
      <c r="J169" s="116"/>
      <c r="L169">
        <f>300*H169</f>
        <v>87325.641000000003</v>
      </c>
      <c r="M169">
        <f>275*H169</f>
        <v>80048.504249999998</v>
      </c>
    </row>
    <row r="170" spans="1:13" ht="15.5" x14ac:dyDescent="0.35">
      <c r="A170" s="60">
        <v>2</v>
      </c>
      <c r="B170" s="60">
        <v>2</v>
      </c>
      <c r="C170" s="60" t="s">
        <v>121</v>
      </c>
      <c r="D170" s="60">
        <f>18.65*10.764</f>
        <v>200.74859999999998</v>
      </c>
      <c r="E170" s="60">
        <v>0</v>
      </c>
      <c r="F170" s="60">
        <f>18.65*10.764</f>
        <v>200.74859999999998</v>
      </c>
      <c r="G170" s="60">
        <v>0</v>
      </c>
      <c r="H170" s="60">
        <f>F170*1.45+G170</f>
        <v>291.08546999999999</v>
      </c>
      <c r="I170" s="116"/>
      <c r="J170" s="116"/>
      <c r="L170">
        <f t="shared" ref="L170:L221" si="2">300*H170</f>
        <v>87325.641000000003</v>
      </c>
      <c r="M170">
        <f t="shared" ref="M170:M233" si="3">275*H170</f>
        <v>80048.504249999998</v>
      </c>
    </row>
    <row r="171" spans="1:13" ht="15" x14ac:dyDescent="0.35">
      <c r="A171" s="117" t="s">
        <v>160</v>
      </c>
      <c r="B171" s="117"/>
      <c r="C171" s="117"/>
      <c r="D171" s="117"/>
      <c r="E171" s="117"/>
      <c r="F171" s="117"/>
      <c r="G171" s="117"/>
      <c r="H171" s="117"/>
      <c r="I171" s="117"/>
      <c r="J171" s="117"/>
      <c r="L171">
        <f t="shared" si="2"/>
        <v>0</v>
      </c>
      <c r="M171">
        <f t="shared" si="3"/>
        <v>0</v>
      </c>
    </row>
    <row r="172" spans="1:13" ht="15.5" x14ac:dyDescent="0.35">
      <c r="A172" s="60">
        <v>1</v>
      </c>
      <c r="B172" s="60">
        <v>1</v>
      </c>
      <c r="C172" s="60" t="s">
        <v>121</v>
      </c>
      <c r="D172" s="60">
        <f>(20.48+2.74*0.75+2.2*0.75)*10.764</f>
        <v>260.32733999999999</v>
      </c>
      <c r="E172" s="60">
        <v>0</v>
      </c>
      <c r="F172" s="60">
        <f>(20.48+2.74*0.75+2.2*0.75)*10.764</f>
        <v>260.32733999999999</v>
      </c>
      <c r="G172" s="60">
        <v>0</v>
      </c>
      <c r="H172" s="60">
        <f>F172*1.45+G172</f>
        <v>377.47464299999996</v>
      </c>
      <c r="I172" s="116" t="str">
        <f>A171</f>
        <v>1st To 4th Floor</v>
      </c>
      <c r="J172" s="116"/>
      <c r="L172">
        <f t="shared" si="2"/>
        <v>113242.39289999999</v>
      </c>
      <c r="M172">
        <f t="shared" si="3"/>
        <v>103805.52682499999</v>
      </c>
    </row>
    <row r="173" spans="1:13" ht="15.5" x14ac:dyDescent="0.35">
      <c r="A173" s="60">
        <v>2</v>
      </c>
      <c r="B173" s="60">
        <v>2</v>
      </c>
      <c r="C173" s="60" t="s">
        <v>120</v>
      </c>
      <c r="D173" s="60">
        <f>(31.32+2.3*0.75+2.74*0.75+2.31*0.75)*10.764</f>
        <v>396.46503000000001</v>
      </c>
      <c r="E173" s="60">
        <v>0</v>
      </c>
      <c r="F173" s="60">
        <f>(31.32+2.3*0.75+2.74*0.75+2.31*0.75)*10.764</f>
        <v>396.46503000000001</v>
      </c>
      <c r="G173" s="60">
        <v>0</v>
      </c>
      <c r="H173" s="60">
        <f>F173*1.45+G173</f>
        <v>574.87429350000002</v>
      </c>
      <c r="I173" s="116"/>
      <c r="J173" s="116"/>
      <c r="L173">
        <f t="shared" si="2"/>
        <v>172462.28805</v>
      </c>
      <c r="M173">
        <f t="shared" si="3"/>
        <v>158090.43071250001</v>
      </c>
    </row>
    <row r="174" spans="1:13" ht="15.5" x14ac:dyDescent="0.35">
      <c r="A174" s="60">
        <v>3</v>
      </c>
      <c r="B174" s="60">
        <v>3</v>
      </c>
      <c r="C174" s="60" t="s">
        <v>121</v>
      </c>
      <c r="D174" s="60">
        <f>(22.18+2.74*0.75+2.3*0.75)*10.764</f>
        <v>279.43344000000002</v>
      </c>
      <c r="E174" s="60">
        <v>0</v>
      </c>
      <c r="F174" s="60">
        <f>(22.18+2.74*0.75+2.3*0.75)*10.764</f>
        <v>279.43344000000002</v>
      </c>
      <c r="G174" s="60">
        <v>0</v>
      </c>
      <c r="H174" s="60">
        <f>F174*1.45+G174</f>
        <v>405.17848800000002</v>
      </c>
      <c r="I174" s="116"/>
      <c r="J174" s="116"/>
      <c r="L174">
        <f t="shared" si="2"/>
        <v>121553.54640000001</v>
      </c>
      <c r="M174">
        <f t="shared" si="3"/>
        <v>111424.0842</v>
      </c>
    </row>
    <row r="175" spans="1:13" ht="15.5" x14ac:dyDescent="0.35">
      <c r="A175" s="60">
        <v>4</v>
      </c>
      <c r="B175" s="60">
        <v>4</v>
      </c>
      <c r="C175" s="60" t="s">
        <v>121</v>
      </c>
      <c r="D175" s="60">
        <f>(22.18+2.74*0.75+2.3*0.75)*10.764</f>
        <v>279.43344000000002</v>
      </c>
      <c r="E175" s="60">
        <v>0</v>
      </c>
      <c r="F175" s="60">
        <f>(22.18+2.74*0.75+2.3*0.75)*10.764</f>
        <v>279.43344000000002</v>
      </c>
      <c r="G175" s="60">
        <v>0</v>
      </c>
      <c r="H175" s="60">
        <f>F175*1.45+G175</f>
        <v>405.17848800000002</v>
      </c>
      <c r="I175" s="116"/>
      <c r="J175" s="116"/>
      <c r="L175">
        <f t="shared" si="2"/>
        <v>121553.54640000001</v>
      </c>
      <c r="M175">
        <f t="shared" si="3"/>
        <v>111424.0842</v>
      </c>
    </row>
    <row r="176" spans="1:13" ht="15" x14ac:dyDescent="0.35">
      <c r="A176" s="117" t="s">
        <v>161</v>
      </c>
      <c r="B176" s="117"/>
      <c r="C176" s="117"/>
      <c r="D176" s="117"/>
      <c r="E176" s="117"/>
      <c r="F176" s="117"/>
      <c r="G176" s="117"/>
      <c r="H176" s="117"/>
      <c r="I176" s="117"/>
      <c r="J176" s="117"/>
      <c r="L176">
        <f t="shared" si="2"/>
        <v>0</v>
      </c>
      <c r="M176">
        <f t="shared" si="3"/>
        <v>0</v>
      </c>
    </row>
    <row r="177" spans="1:13" ht="15" x14ac:dyDescent="0.35">
      <c r="A177" s="117" t="s">
        <v>159</v>
      </c>
      <c r="B177" s="117"/>
      <c r="C177" s="117"/>
      <c r="D177" s="117"/>
      <c r="E177" s="117"/>
      <c r="F177" s="117"/>
      <c r="G177" s="117"/>
      <c r="H177" s="117"/>
      <c r="I177" s="117"/>
      <c r="J177" s="117"/>
      <c r="L177">
        <f t="shared" si="2"/>
        <v>0</v>
      </c>
      <c r="M177">
        <f t="shared" si="3"/>
        <v>0</v>
      </c>
    </row>
    <row r="178" spans="1:13" ht="15.5" x14ac:dyDescent="0.35">
      <c r="A178" s="10">
        <v>1</v>
      </c>
      <c r="B178" s="10">
        <v>1</v>
      </c>
      <c r="C178" s="10" t="s">
        <v>121</v>
      </c>
      <c r="D178" s="10">
        <f>18.65*10.764</f>
        <v>200.74859999999998</v>
      </c>
      <c r="E178" s="10">
        <v>0</v>
      </c>
      <c r="F178" s="10">
        <f>18.65*10.764</f>
        <v>200.74859999999998</v>
      </c>
      <c r="G178" s="10">
        <v>0</v>
      </c>
      <c r="H178" s="10">
        <f>F178*1.45+G178</f>
        <v>291.08546999999999</v>
      </c>
      <c r="I178" s="116" t="s">
        <v>119</v>
      </c>
      <c r="J178" s="116"/>
      <c r="L178">
        <f t="shared" si="2"/>
        <v>87325.641000000003</v>
      </c>
      <c r="M178">
        <f t="shared" si="3"/>
        <v>80048.504249999998</v>
      </c>
    </row>
    <row r="179" spans="1:13" ht="15.5" x14ac:dyDescent="0.35">
      <c r="A179" s="10">
        <v>2</v>
      </c>
      <c r="B179" s="10">
        <v>2</v>
      </c>
      <c r="C179" s="10" t="s">
        <v>121</v>
      </c>
      <c r="D179" s="10">
        <f>18.65*10.764</f>
        <v>200.74859999999998</v>
      </c>
      <c r="E179" s="10">
        <v>0</v>
      </c>
      <c r="F179" s="10">
        <f>18.65*10.764</f>
        <v>200.74859999999998</v>
      </c>
      <c r="G179" s="10">
        <v>0</v>
      </c>
      <c r="H179" s="10">
        <f>F179*1.45+G179</f>
        <v>291.08546999999999</v>
      </c>
      <c r="I179" s="116"/>
      <c r="J179" s="116"/>
      <c r="L179">
        <f t="shared" si="2"/>
        <v>87325.641000000003</v>
      </c>
      <c r="M179">
        <f t="shared" si="3"/>
        <v>80048.504249999998</v>
      </c>
    </row>
    <row r="180" spans="1:13" ht="15" x14ac:dyDescent="0.35">
      <c r="A180" s="117" t="s">
        <v>160</v>
      </c>
      <c r="B180" s="117"/>
      <c r="C180" s="117"/>
      <c r="D180" s="117"/>
      <c r="E180" s="117"/>
      <c r="F180" s="117"/>
      <c r="G180" s="117"/>
      <c r="H180" s="117"/>
      <c r="I180" s="117"/>
      <c r="J180" s="117"/>
      <c r="L180">
        <f t="shared" si="2"/>
        <v>0</v>
      </c>
      <c r="M180">
        <f t="shared" si="3"/>
        <v>0</v>
      </c>
    </row>
    <row r="181" spans="1:13" ht="15.5" x14ac:dyDescent="0.35">
      <c r="A181" s="10">
        <v>1</v>
      </c>
      <c r="B181" s="10">
        <v>1</v>
      </c>
      <c r="C181" s="10" t="s">
        <v>121</v>
      </c>
      <c r="D181" s="10">
        <f>18.65*10.764</f>
        <v>200.74859999999998</v>
      </c>
      <c r="E181" s="10">
        <v>0</v>
      </c>
      <c r="F181" s="10">
        <f>(20.48+2.74*0.75+2.2*0.75)*10.764</f>
        <v>260.32733999999999</v>
      </c>
      <c r="G181" s="10">
        <v>0</v>
      </c>
      <c r="H181" s="10">
        <f>F181*1.45+G181</f>
        <v>377.47464299999996</v>
      </c>
      <c r="I181" s="116" t="str">
        <f>A180</f>
        <v>1st To 4th Floor</v>
      </c>
      <c r="J181" s="116"/>
      <c r="L181">
        <f t="shared" si="2"/>
        <v>113242.39289999999</v>
      </c>
      <c r="M181">
        <f t="shared" si="3"/>
        <v>103805.52682499999</v>
      </c>
    </row>
    <row r="182" spans="1:13" ht="15.5" x14ac:dyDescent="0.35">
      <c r="A182" s="10">
        <v>2</v>
      </c>
      <c r="B182" s="10">
        <v>2</v>
      </c>
      <c r="C182" s="10" t="s">
        <v>120</v>
      </c>
      <c r="D182" s="10">
        <f>(31.32+2.3*0.75+2.74*0.75+2.31*0.75)*10.764</f>
        <v>396.46503000000001</v>
      </c>
      <c r="E182" s="10">
        <v>0</v>
      </c>
      <c r="F182" s="10">
        <f>(31.32+2.3*0.75+2.74*0.75+2.31*0.75)*10.764</f>
        <v>396.46503000000001</v>
      </c>
      <c r="G182" s="10">
        <v>0</v>
      </c>
      <c r="H182" s="10">
        <f>F182*1.45+G182</f>
        <v>574.87429350000002</v>
      </c>
      <c r="I182" s="116"/>
      <c r="J182" s="116"/>
      <c r="L182">
        <f t="shared" si="2"/>
        <v>172462.28805</v>
      </c>
      <c r="M182">
        <f t="shared" si="3"/>
        <v>158090.43071250001</v>
      </c>
    </row>
    <row r="183" spans="1:13" ht="15.5" x14ac:dyDescent="0.35">
      <c r="A183" s="10">
        <v>3</v>
      </c>
      <c r="B183" s="10">
        <v>3</v>
      </c>
      <c r="C183" s="10" t="s">
        <v>121</v>
      </c>
      <c r="D183" s="10">
        <f>(22.18+2.74*0.75+2.3*0.75)*10.764</f>
        <v>279.43344000000002</v>
      </c>
      <c r="E183" s="10">
        <v>0</v>
      </c>
      <c r="F183" s="10">
        <f>(22.18+2.74*0.75+2.3*0.75)*10.764</f>
        <v>279.43344000000002</v>
      </c>
      <c r="G183" s="10">
        <v>0</v>
      </c>
      <c r="H183" s="10">
        <f>F183*1.45+G183</f>
        <v>405.17848800000002</v>
      </c>
      <c r="I183" s="116"/>
      <c r="J183" s="116"/>
      <c r="L183">
        <f t="shared" si="2"/>
        <v>121553.54640000001</v>
      </c>
      <c r="M183">
        <f t="shared" si="3"/>
        <v>111424.0842</v>
      </c>
    </row>
    <row r="184" spans="1:13" ht="15.5" x14ac:dyDescent="0.35">
      <c r="A184" s="10">
        <v>4</v>
      </c>
      <c r="B184" s="10">
        <v>4</v>
      </c>
      <c r="C184" s="10" t="s">
        <v>121</v>
      </c>
      <c r="D184" s="10">
        <f>(22.18+2.74*0.75+2.3*0.75)*10.764</f>
        <v>279.43344000000002</v>
      </c>
      <c r="E184" s="10">
        <v>0</v>
      </c>
      <c r="F184" s="10">
        <f>(22.18+2.74*0.75+2.3*0.75)*10.764</f>
        <v>279.43344000000002</v>
      </c>
      <c r="G184" s="10">
        <v>0</v>
      </c>
      <c r="H184" s="10">
        <f>F184*1.45+G184</f>
        <v>405.17848800000002</v>
      </c>
      <c r="I184" s="116"/>
      <c r="J184" s="116"/>
      <c r="L184">
        <f t="shared" si="2"/>
        <v>121553.54640000001</v>
      </c>
      <c r="M184">
        <f t="shared" si="3"/>
        <v>111424.0842</v>
      </c>
    </row>
    <row r="185" spans="1:13" ht="15" x14ac:dyDescent="0.35">
      <c r="A185" s="117" t="s">
        <v>162</v>
      </c>
      <c r="B185" s="117"/>
      <c r="C185" s="117"/>
      <c r="D185" s="117"/>
      <c r="E185" s="117"/>
      <c r="F185" s="117"/>
      <c r="G185" s="117"/>
      <c r="H185" s="117"/>
      <c r="I185" s="117"/>
      <c r="J185" s="117"/>
      <c r="L185">
        <f t="shared" si="2"/>
        <v>0</v>
      </c>
      <c r="M185">
        <f t="shared" si="3"/>
        <v>0</v>
      </c>
    </row>
    <row r="186" spans="1:13" ht="15" x14ac:dyDescent="0.35">
      <c r="A186" s="117" t="s">
        <v>159</v>
      </c>
      <c r="B186" s="117"/>
      <c r="C186" s="117"/>
      <c r="D186" s="117"/>
      <c r="E186" s="117"/>
      <c r="F186" s="117"/>
      <c r="G186" s="117"/>
      <c r="H186" s="117"/>
      <c r="I186" s="117"/>
      <c r="J186" s="117"/>
      <c r="L186">
        <f t="shared" si="2"/>
        <v>0</v>
      </c>
      <c r="M186">
        <f t="shared" si="3"/>
        <v>0</v>
      </c>
    </row>
    <row r="187" spans="1:13" ht="15.5" x14ac:dyDescent="0.35">
      <c r="A187" s="10">
        <v>1</v>
      </c>
      <c r="B187" s="10">
        <v>1</v>
      </c>
      <c r="C187" s="10" t="s">
        <v>120</v>
      </c>
      <c r="D187" s="10">
        <f>31.98*10.764</f>
        <v>344.23271999999997</v>
      </c>
      <c r="E187" s="10">
        <v>0</v>
      </c>
      <c r="F187" s="10">
        <f>31.98*10.764</f>
        <v>344.23271999999997</v>
      </c>
      <c r="G187" s="10">
        <v>0</v>
      </c>
      <c r="H187" s="10">
        <v>535</v>
      </c>
      <c r="I187" s="116" t="s">
        <v>119</v>
      </c>
      <c r="J187" s="116"/>
      <c r="L187">
        <f t="shared" si="2"/>
        <v>160500</v>
      </c>
      <c r="M187">
        <f t="shared" si="3"/>
        <v>147125</v>
      </c>
    </row>
    <row r="188" spans="1:13" ht="15.5" x14ac:dyDescent="0.35">
      <c r="A188" s="10">
        <v>2</v>
      </c>
      <c r="B188" s="10">
        <v>2</v>
      </c>
      <c r="C188" s="10" t="s">
        <v>163</v>
      </c>
      <c r="D188" s="10">
        <f>49*10.764</f>
        <v>527.43599999999992</v>
      </c>
      <c r="E188" s="10">
        <v>0</v>
      </c>
      <c r="F188" s="10">
        <f>49*10.764</f>
        <v>527.43599999999992</v>
      </c>
      <c r="G188" s="10">
        <v>0</v>
      </c>
      <c r="H188" s="10">
        <v>780</v>
      </c>
      <c r="I188" s="116"/>
      <c r="J188" s="116"/>
      <c r="L188">
        <f t="shared" si="2"/>
        <v>234000</v>
      </c>
      <c r="M188">
        <f t="shared" si="3"/>
        <v>214500</v>
      </c>
    </row>
    <row r="189" spans="1:13" ht="15.75" customHeight="1" x14ac:dyDescent="0.35">
      <c r="A189" s="10">
        <v>3</v>
      </c>
      <c r="B189" s="10">
        <v>3</v>
      </c>
      <c r="C189" s="10" t="s">
        <v>120</v>
      </c>
      <c r="D189" s="10">
        <f>26.97*10.764</f>
        <v>290.30507999999998</v>
      </c>
      <c r="E189" s="10">
        <v>0</v>
      </c>
      <c r="F189" s="10">
        <f>26.97*10.764</f>
        <v>290.30507999999998</v>
      </c>
      <c r="G189" s="10">
        <v>0</v>
      </c>
      <c r="H189" s="10">
        <v>525</v>
      </c>
      <c r="I189" s="116"/>
      <c r="J189" s="116"/>
      <c r="L189">
        <f t="shared" si="2"/>
        <v>157500</v>
      </c>
      <c r="M189">
        <f t="shared" si="3"/>
        <v>144375</v>
      </c>
    </row>
    <row r="190" spans="1:13" ht="15.5" x14ac:dyDescent="0.35">
      <c r="A190" s="10">
        <v>4</v>
      </c>
      <c r="B190" s="10">
        <v>4</v>
      </c>
      <c r="C190" s="10" t="s">
        <v>121</v>
      </c>
      <c r="D190" s="10">
        <f>19.33*10.764</f>
        <v>208.06811999999996</v>
      </c>
      <c r="E190" s="10">
        <v>0</v>
      </c>
      <c r="F190" s="10">
        <f>19.33*10.764</f>
        <v>208.06811999999996</v>
      </c>
      <c r="G190" s="10">
        <v>0</v>
      </c>
      <c r="H190" s="10">
        <v>340</v>
      </c>
      <c r="I190" s="116"/>
      <c r="J190" s="116"/>
      <c r="L190">
        <f t="shared" si="2"/>
        <v>102000</v>
      </c>
      <c r="M190">
        <f t="shared" si="3"/>
        <v>93500</v>
      </c>
    </row>
    <row r="191" spans="1:13" ht="15" x14ac:dyDescent="0.35">
      <c r="A191" s="117" t="s">
        <v>160</v>
      </c>
      <c r="B191" s="117"/>
      <c r="C191" s="117"/>
      <c r="D191" s="117"/>
      <c r="E191" s="117"/>
      <c r="F191" s="117"/>
      <c r="G191" s="117"/>
      <c r="H191" s="117"/>
      <c r="I191" s="117"/>
      <c r="J191" s="117"/>
      <c r="L191">
        <f t="shared" si="2"/>
        <v>0</v>
      </c>
      <c r="M191">
        <f t="shared" si="3"/>
        <v>0</v>
      </c>
    </row>
    <row r="192" spans="1:13" ht="15.75" customHeight="1" x14ac:dyDescent="0.35">
      <c r="A192" s="10">
        <v>1</v>
      </c>
      <c r="B192" s="10">
        <v>1</v>
      </c>
      <c r="C192" s="10" t="s">
        <v>120</v>
      </c>
      <c r="D192" s="10">
        <f>(2.74*3.41+2.2*1.73+2.73*3.2+0.9*1.2+1.2*1.5+2.74*1+2.74*0.75+2.2*1+2.2*0.75+2.73*0.75+2.4*0.45+1*2.5)*10.764</f>
        <v>420.20395559999997</v>
      </c>
      <c r="E192" s="10">
        <v>0</v>
      </c>
      <c r="F192" s="10">
        <f>(2.74*3.41+2.2*1.73+2.73*3.2+0.9*1.2+1.2*1.5+2.74*1+2.74*0.75+2.2*1+2.2*0.75+2.73*0.75+2.4*0.45+1*2.5)*10.764</f>
        <v>420.20395559999997</v>
      </c>
      <c r="G192" s="10">
        <v>0</v>
      </c>
      <c r="H192" s="10">
        <v>600</v>
      </c>
      <c r="I192" s="116" t="str">
        <f>A191</f>
        <v>1st To 4th Floor</v>
      </c>
      <c r="J192" s="116"/>
      <c r="L192">
        <f t="shared" si="2"/>
        <v>180000</v>
      </c>
      <c r="M192">
        <f t="shared" si="3"/>
        <v>165000</v>
      </c>
    </row>
    <row r="193" spans="1:13" ht="15.5" x14ac:dyDescent="0.35">
      <c r="A193" s="10">
        <v>2</v>
      </c>
      <c r="B193" s="10">
        <v>2</v>
      </c>
      <c r="C193" s="10" t="s">
        <v>120</v>
      </c>
      <c r="D193" s="10">
        <f>(2.74*3.41+2.2*1.73+2.73*3.2+0.9*1.2+1.2*1.5+2.74*1+2.74*0.75+2.2*1+2.2*0.75+2.73*0.75+2.4*0.45+1*2.5)*10.764</f>
        <v>420.20395559999997</v>
      </c>
      <c r="E193" s="10">
        <v>0</v>
      </c>
      <c r="F193" s="10">
        <f>(2.74*3.41+2.2*1.73+2.73*3.2+0.9*1.2+1.2*1.5+2.74*1+2.74*0.75+2.2*1+2.2*0.75+2.73*0.75+2.4*0.45+1*2.5)*10.764</f>
        <v>420.20395559999997</v>
      </c>
      <c r="G193" s="10">
        <v>0</v>
      </c>
      <c r="H193" s="10">
        <v>605</v>
      </c>
      <c r="I193" s="116"/>
      <c r="J193" s="116"/>
      <c r="L193">
        <f t="shared" si="2"/>
        <v>181500</v>
      </c>
      <c r="M193">
        <f t="shared" si="3"/>
        <v>166375</v>
      </c>
    </row>
    <row r="194" spans="1:13" ht="15.5" x14ac:dyDescent="0.35">
      <c r="A194" s="10">
        <v>3</v>
      </c>
      <c r="B194" s="10">
        <v>3</v>
      </c>
      <c r="C194" s="10" t="s">
        <v>163</v>
      </c>
      <c r="D194" s="10">
        <f>(49+2.73*0.75+2.6*0.75+2.75*0.75+2.56*0.75+2.72*0.75)*10.764</f>
        <v>635.29128000000003</v>
      </c>
      <c r="E194" s="10">
        <v>0</v>
      </c>
      <c r="F194" s="10">
        <f>(49+2.73*0.75+2.6*0.75+2.75*0.75+2.56*0.75+2.72*0.75)*10.764</f>
        <v>635.29128000000003</v>
      </c>
      <c r="G194" s="10">
        <v>0</v>
      </c>
      <c r="H194" s="10">
        <v>950</v>
      </c>
      <c r="I194" s="116"/>
      <c r="J194" s="116"/>
      <c r="L194">
        <f t="shared" si="2"/>
        <v>285000</v>
      </c>
      <c r="M194">
        <f t="shared" si="3"/>
        <v>261250</v>
      </c>
    </row>
    <row r="195" spans="1:13" ht="15.5" x14ac:dyDescent="0.35">
      <c r="A195" s="10">
        <v>4</v>
      </c>
      <c r="B195" s="10">
        <v>4</v>
      </c>
      <c r="C195" s="10" t="s">
        <v>120</v>
      </c>
      <c r="D195" s="10">
        <f>(32.68+3.2*0.75+2.73*0.75)*10.764</f>
        <v>399.64040999999997</v>
      </c>
      <c r="E195" s="10">
        <v>0</v>
      </c>
      <c r="F195" s="10">
        <f>(32.68+3.2*0.75+2.73*0.75)*10.764</f>
        <v>399.64040999999997</v>
      </c>
      <c r="G195" s="10">
        <v>0</v>
      </c>
      <c r="H195" s="10">
        <v>595</v>
      </c>
      <c r="I195" s="116"/>
      <c r="J195" s="116"/>
      <c r="L195">
        <f t="shared" si="2"/>
        <v>178500</v>
      </c>
      <c r="M195">
        <f t="shared" si="3"/>
        <v>163625</v>
      </c>
    </row>
    <row r="196" spans="1:13" ht="15.5" x14ac:dyDescent="0.35">
      <c r="A196" s="10">
        <v>5</v>
      </c>
      <c r="B196" s="10">
        <v>5</v>
      </c>
      <c r="C196" s="10" t="s">
        <v>121</v>
      </c>
      <c r="D196" s="10">
        <f>(21.29+2.74*0.75+2.3*0.75)*10.764</f>
        <v>269.85347999999999</v>
      </c>
      <c r="E196" s="10">
        <v>0</v>
      </c>
      <c r="F196" s="10">
        <f>(21.29+2.74*0.75+2.3*0.75)*10.764</f>
        <v>269.85347999999999</v>
      </c>
      <c r="G196" s="10">
        <v>0</v>
      </c>
      <c r="H196" s="10">
        <v>405</v>
      </c>
      <c r="I196" s="116"/>
      <c r="J196" s="116"/>
      <c r="L196">
        <f t="shared" si="2"/>
        <v>121500</v>
      </c>
      <c r="M196">
        <f t="shared" si="3"/>
        <v>111375</v>
      </c>
    </row>
    <row r="197" spans="1:13" ht="15.5" x14ac:dyDescent="0.35">
      <c r="A197" s="10">
        <v>6</v>
      </c>
      <c r="B197" s="10">
        <v>6</v>
      </c>
      <c r="C197" s="10" t="s">
        <v>121</v>
      </c>
      <c r="D197" s="10">
        <f>(21.29+2.74*0.75+2.3*0.75)*10.764</f>
        <v>269.85347999999999</v>
      </c>
      <c r="E197" s="10">
        <v>0</v>
      </c>
      <c r="F197" s="10">
        <f>(21.29+2.74*0.75+2.3*0.75)*10.764</f>
        <v>269.85347999999999</v>
      </c>
      <c r="G197" s="10">
        <v>0</v>
      </c>
      <c r="H197" s="10">
        <v>400</v>
      </c>
      <c r="I197" s="116"/>
      <c r="J197" s="116"/>
      <c r="L197">
        <f t="shared" si="2"/>
        <v>120000</v>
      </c>
      <c r="M197">
        <f t="shared" si="3"/>
        <v>110000</v>
      </c>
    </row>
    <row r="198" spans="1:13" ht="15" x14ac:dyDescent="0.35">
      <c r="A198" s="117" t="s">
        <v>164</v>
      </c>
      <c r="B198" s="117"/>
      <c r="C198" s="117"/>
      <c r="D198" s="117"/>
      <c r="E198" s="117"/>
      <c r="F198" s="117"/>
      <c r="G198" s="117"/>
      <c r="H198" s="117"/>
      <c r="I198" s="117"/>
      <c r="J198" s="117"/>
      <c r="L198">
        <f t="shared" si="2"/>
        <v>0</v>
      </c>
      <c r="M198">
        <f t="shared" si="3"/>
        <v>0</v>
      </c>
    </row>
    <row r="199" spans="1:13" ht="15" x14ac:dyDescent="0.35">
      <c r="A199" s="117" t="s">
        <v>159</v>
      </c>
      <c r="B199" s="117"/>
      <c r="C199" s="117"/>
      <c r="D199" s="117"/>
      <c r="E199" s="117"/>
      <c r="F199" s="117"/>
      <c r="G199" s="117"/>
      <c r="H199" s="117"/>
      <c r="I199" s="117"/>
      <c r="J199" s="117"/>
      <c r="L199">
        <f t="shared" si="2"/>
        <v>0</v>
      </c>
      <c r="M199">
        <f t="shared" si="3"/>
        <v>0</v>
      </c>
    </row>
    <row r="200" spans="1:13" ht="15.75" customHeight="1" x14ac:dyDescent="0.35">
      <c r="A200" s="10">
        <v>1</v>
      </c>
      <c r="B200" s="10">
        <v>1</v>
      </c>
      <c r="C200" s="10" t="s">
        <v>121</v>
      </c>
      <c r="D200" s="10">
        <f>19.3*10.764</f>
        <v>207.74519999999998</v>
      </c>
      <c r="E200" s="10">
        <v>0</v>
      </c>
      <c r="F200" s="10">
        <f>19.3*10.764</f>
        <v>207.74519999999998</v>
      </c>
      <c r="G200" s="10">
        <v>0</v>
      </c>
      <c r="H200" s="10">
        <v>340</v>
      </c>
      <c r="I200" s="116" t="s">
        <v>119</v>
      </c>
      <c r="J200" s="116"/>
      <c r="L200">
        <f t="shared" si="2"/>
        <v>102000</v>
      </c>
      <c r="M200">
        <f t="shared" si="3"/>
        <v>93500</v>
      </c>
    </row>
    <row r="201" spans="1:13" ht="15.5" x14ac:dyDescent="0.35">
      <c r="A201" s="10">
        <v>2</v>
      </c>
      <c r="B201" s="10">
        <v>2</v>
      </c>
      <c r="C201" s="10" t="s">
        <v>121</v>
      </c>
      <c r="D201" s="10">
        <f>20.07*10.764</f>
        <v>216.03348</v>
      </c>
      <c r="E201" s="10">
        <v>0</v>
      </c>
      <c r="F201" s="10">
        <f>20.07*10.764</f>
        <v>216.03348</v>
      </c>
      <c r="G201" s="10">
        <v>0</v>
      </c>
      <c r="H201" s="10">
        <v>360</v>
      </c>
      <c r="I201" s="116"/>
      <c r="J201" s="116"/>
      <c r="L201">
        <f t="shared" si="2"/>
        <v>108000</v>
      </c>
      <c r="M201">
        <f t="shared" si="3"/>
        <v>99000</v>
      </c>
    </row>
    <row r="202" spans="1:13" ht="15.75" customHeight="1" x14ac:dyDescent="0.35">
      <c r="A202" s="10">
        <v>3</v>
      </c>
      <c r="B202" s="10">
        <v>3</v>
      </c>
      <c r="C202" s="10" t="s">
        <v>121</v>
      </c>
      <c r="D202" s="10">
        <f>21.75*10.764</f>
        <v>234.11699999999999</v>
      </c>
      <c r="E202" s="10">
        <v>0</v>
      </c>
      <c r="F202" s="10">
        <f>21.75*10.764</f>
        <v>234.11699999999999</v>
      </c>
      <c r="G202" s="10">
        <v>0</v>
      </c>
      <c r="H202" s="10">
        <v>345</v>
      </c>
      <c r="I202" s="116"/>
      <c r="J202" s="116"/>
      <c r="L202">
        <f t="shared" si="2"/>
        <v>103500</v>
      </c>
      <c r="M202">
        <f t="shared" si="3"/>
        <v>94875</v>
      </c>
    </row>
    <row r="203" spans="1:13" ht="15.5" x14ac:dyDescent="0.35">
      <c r="A203" s="10">
        <v>4</v>
      </c>
      <c r="B203" s="10">
        <v>4</v>
      </c>
      <c r="C203" s="10" t="s">
        <v>121</v>
      </c>
      <c r="D203" s="10">
        <f>20.68*10.764</f>
        <v>222.59951999999998</v>
      </c>
      <c r="E203" s="10">
        <v>0</v>
      </c>
      <c r="F203" s="10">
        <f>20.68*10.764</f>
        <v>222.59951999999998</v>
      </c>
      <c r="G203" s="10">
        <v>0</v>
      </c>
      <c r="H203" s="10">
        <v>335</v>
      </c>
      <c r="I203" s="116"/>
      <c r="J203" s="116"/>
      <c r="L203">
        <f t="shared" si="2"/>
        <v>100500</v>
      </c>
      <c r="M203">
        <f t="shared" si="3"/>
        <v>92125</v>
      </c>
    </row>
    <row r="204" spans="1:13" ht="15.5" x14ac:dyDescent="0.35">
      <c r="A204" s="10">
        <v>5</v>
      </c>
      <c r="B204" s="10">
        <v>5</v>
      </c>
      <c r="C204" s="10" t="s">
        <v>120</v>
      </c>
      <c r="D204" s="10">
        <f>31.98*10.764</f>
        <v>344.23271999999997</v>
      </c>
      <c r="E204" s="10">
        <v>0</v>
      </c>
      <c r="F204" s="10">
        <f>31.98*10.764</f>
        <v>344.23271999999997</v>
      </c>
      <c r="G204" s="10">
        <v>0</v>
      </c>
      <c r="H204" s="10">
        <v>525</v>
      </c>
      <c r="I204" s="116"/>
      <c r="J204" s="116"/>
      <c r="L204">
        <f t="shared" si="2"/>
        <v>157500</v>
      </c>
      <c r="M204">
        <f t="shared" si="3"/>
        <v>144375</v>
      </c>
    </row>
    <row r="205" spans="1:13" ht="15" x14ac:dyDescent="0.35">
      <c r="A205" s="117" t="s">
        <v>160</v>
      </c>
      <c r="B205" s="117"/>
      <c r="C205" s="117"/>
      <c r="D205" s="117"/>
      <c r="E205" s="117"/>
      <c r="F205" s="117"/>
      <c r="G205" s="117"/>
      <c r="H205" s="117"/>
      <c r="I205" s="117"/>
      <c r="J205" s="117"/>
      <c r="L205">
        <f t="shared" si="2"/>
        <v>0</v>
      </c>
      <c r="M205">
        <f t="shared" si="3"/>
        <v>0</v>
      </c>
    </row>
    <row r="206" spans="1:13" ht="15.75" customHeight="1" x14ac:dyDescent="0.35">
      <c r="A206" s="10">
        <v>1</v>
      </c>
      <c r="B206" s="10">
        <v>1</v>
      </c>
      <c r="C206" s="10" t="s">
        <v>121</v>
      </c>
      <c r="D206" s="10">
        <f>(21.27+2.74*0.75)*10.764</f>
        <v>251.07029999999997</v>
      </c>
      <c r="E206" s="10">
        <v>0</v>
      </c>
      <c r="F206" s="10">
        <f>(21.27+2.74*0.75)*10.764</f>
        <v>251.07029999999997</v>
      </c>
      <c r="G206" s="10">
        <v>0</v>
      </c>
      <c r="H206" s="10">
        <v>375</v>
      </c>
      <c r="I206" s="116" t="str">
        <f>A205</f>
        <v>1st To 4th Floor</v>
      </c>
      <c r="J206" s="116"/>
      <c r="L206">
        <f t="shared" si="2"/>
        <v>112500</v>
      </c>
      <c r="M206">
        <f t="shared" si="3"/>
        <v>103125</v>
      </c>
    </row>
    <row r="207" spans="1:13" ht="15.5" x14ac:dyDescent="0.35">
      <c r="A207" s="10">
        <v>2</v>
      </c>
      <c r="B207" s="10">
        <v>2</v>
      </c>
      <c r="C207" s="10" t="s">
        <v>121</v>
      </c>
      <c r="D207" s="10">
        <f>(21.27+2.74*0.75)*10.764</f>
        <v>251.07029999999997</v>
      </c>
      <c r="E207" s="10">
        <v>0</v>
      </c>
      <c r="F207" s="10">
        <f>(21.27+2.74*0.75)*10.764</f>
        <v>251.07029999999997</v>
      </c>
      <c r="G207" s="10">
        <v>0</v>
      </c>
      <c r="H207" s="10">
        <v>375</v>
      </c>
      <c r="I207" s="116"/>
      <c r="J207" s="116"/>
      <c r="L207">
        <f t="shared" si="2"/>
        <v>112500</v>
      </c>
      <c r="M207">
        <f t="shared" si="3"/>
        <v>103125</v>
      </c>
    </row>
    <row r="208" spans="1:13" ht="15.5" x14ac:dyDescent="0.35">
      <c r="A208" s="10">
        <v>3</v>
      </c>
      <c r="B208" s="10">
        <v>3</v>
      </c>
      <c r="C208" s="10" t="s">
        <v>121</v>
      </c>
      <c r="D208" s="10">
        <f>(22.32+2.73*0.75+2.95)*10.764</f>
        <v>294.04557</v>
      </c>
      <c r="E208" s="10">
        <v>0</v>
      </c>
      <c r="F208" s="10">
        <f>(22.32+2.73*0.75+2.95)*10.764</f>
        <v>294.04557</v>
      </c>
      <c r="G208" s="10">
        <v>0</v>
      </c>
      <c r="H208" s="10">
        <v>400</v>
      </c>
      <c r="I208" s="116"/>
      <c r="J208" s="116"/>
      <c r="L208">
        <f t="shared" si="2"/>
        <v>120000</v>
      </c>
      <c r="M208">
        <f t="shared" si="3"/>
        <v>110000</v>
      </c>
    </row>
    <row r="209" spans="1:13" ht="15.5" x14ac:dyDescent="0.35">
      <c r="A209" s="10">
        <v>4</v>
      </c>
      <c r="B209" s="10">
        <v>4</v>
      </c>
      <c r="C209" s="10" t="s">
        <v>121</v>
      </c>
      <c r="D209" s="10">
        <f>(21.4+2.73*0.75+2.95)*10.764</f>
        <v>284.14268999999996</v>
      </c>
      <c r="E209" s="10">
        <v>0</v>
      </c>
      <c r="F209" s="10">
        <f>(21.4+2.73*0.75+2.95)*10.764</f>
        <v>284.14268999999996</v>
      </c>
      <c r="G209" s="10">
        <v>0</v>
      </c>
      <c r="H209" s="10">
        <v>380</v>
      </c>
      <c r="I209" s="116"/>
      <c r="J209" s="116"/>
      <c r="L209">
        <f t="shared" si="2"/>
        <v>114000</v>
      </c>
      <c r="M209">
        <f t="shared" si="3"/>
        <v>104500</v>
      </c>
    </row>
    <row r="210" spans="1:13" ht="15.5" x14ac:dyDescent="0.35">
      <c r="A210" s="10">
        <v>5</v>
      </c>
      <c r="B210" s="10">
        <v>5</v>
      </c>
      <c r="C210" s="10" t="s">
        <v>121</v>
      </c>
      <c r="D210" s="10">
        <f>(20.68+2.74*0.75)*10.764</f>
        <v>244.71953999999997</v>
      </c>
      <c r="E210" s="10">
        <v>0</v>
      </c>
      <c r="F210" s="10">
        <f>(20.68+2.74*0.75)*10.764</f>
        <v>244.71953999999997</v>
      </c>
      <c r="G210" s="10">
        <v>0</v>
      </c>
      <c r="H210" s="10">
        <v>370</v>
      </c>
      <c r="I210" s="116"/>
      <c r="J210" s="116"/>
      <c r="L210">
        <f t="shared" si="2"/>
        <v>111000</v>
      </c>
      <c r="M210">
        <f t="shared" si="3"/>
        <v>101750</v>
      </c>
    </row>
    <row r="211" spans="1:13" ht="15.5" x14ac:dyDescent="0.35">
      <c r="A211" s="10">
        <v>6</v>
      </c>
      <c r="B211" s="10">
        <v>6</v>
      </c>
      <c r="C211" s="10" t="s">
        <v>120</v>
      </c>
      <c r="D211" s="10">
        <f>(31.94+2.74*0.75+2.73*0.75)*10.764</f>
        <v>387.96147000000002</v>
      </c>
      <c r="E211" s="10">
        <v>0</v>
      </c>
      <c r="F211" s="10">
        <f>(31.94+2.74*0.75+2.73*0.75)*10.764</f>
        <v>387.96147000000002</v>
      </c>
      <c r="G211" s="10">
        <v>0</v>
      </c>
      <c r="H211" s="10">
        <v>585</v>
      </c>
      <c r="I211" s="116"/>
      <c r="J211" s="116"/>
      <c r="L211">
        <f t="shared" si="2"/>
        <v>175500</v>
      </c>
      <c r="M211">
        <f t="shared" si="3"/>
        <v>160875</v>
      </c>
    </row>
    <row r="212" spans="1:13" ht="15.5" x14ac:dyDescent="0.35">
      <c r="A212" s="10">
        <v>7</v>
      </c>
      <c r="B212" s="10">
        <v>7</v>
      </c>
      <c r="C212" s="10" t="s">
        <v>120</v>
      </c>
      <c r="D212" s="10">
        <f>(31.94+2.74*0.75+2.73*0.75)*10.764</f>
        <v>387.96147000000002</v>
      </c>
      <c r="E212" s="10">
        <v>0</v>
      </c>
      <c r="F212" s="10">
        <f>(31.94+2.74*0.75+2.73*0.75)*10.764</f>
        <v>387.96147000000002</v>
      </c>
      <c r="G212" s="10">
        <v>0</v>
      </c>
      <c r="H212" s="10">
        <v>585</v>
      </c>
      <c r="I212" s="116"/>
      <c r="J212" s="116"/>
      <c r="L212">
        <f t="shared" si="2"/>
        <v>175500</v>
      </c>
      <c r="M212">
        <f t="shared" si="3"/>
        <v>160875</v>
      </c>
    </row>
    <row r="213" spans="1:13" ht="15.5" x14ac:dyDescent="0.35">
      <c r="A213" s="10">
        <v>8</v>
      </c>
      <c r="B213" s="10">
        <v>8</v>
      </c>
      <c r="C213" s="10" t="s">
        <v>121</v>
      </c>
      <c r="D213" s="10">
        <f>(20.68+2.74*0.75)*10.764</f>
        <v>244.71953999999997</v>
      </c>
      <c r="E213" s="10">
        <v>0</v>
      </c>
      <c r="F213" s="10">
        <f>(20.68+2.74*0.75)*10.764</f>
        <v>244.71953999999997</v>
      </c>
      <c r="G213" s="10">
        <v>0</v>
      </c>
      <c r="H213" s="10">
        <v>365</v>
      </c>
      <c r="I213" s="116"/>
      <c r="J213" s="116"/>
      <c r="L213">
        <f t="shared" si="2"/>
        <v>109500</v>
      </c>
      <c r="M213">
        <f t="shared" si="3"/>
        <v>100375</v>
      </c>
    </row>
    <row r="214" spans="1:13" ht="15" x14ac:dyDescent="0.35">
      <c r="A214" s="117" t="s">
        <v>128</v>
      </c>
      <c r="B214" s="117"/>
      <c r="C214" s="117"/>
      <c r="D214" s="117"/>
      <c r="E214" s="117"/>
      <c r="F214" s="117"/>
      <c r="G214" s="117"/>
      <c r="H214" s="117"/>
      <c r="I214" s="117"/>
      <c r="J214" s="117"/>
      <c r="L214">
        <f t="shared" si="2"/>
        <v>0</v>
      </c>
      <c r="M214">
        <f t="shared" si="3"/>
        <v>0</v>
      </c>
    </row>
    <row r="215" spans="1:13" ht="15" x14ac:dyDescent="0.35">
      <c r="A215" s="117" t="s">
        <v>119</v>
      </c>
      <c r="B215" s="117"/>
      <c r="C215" s="117"/>
      <c r="D215" s="117"/>
      <c r="E215" s="117"/>
      <c r="F215" s="117"/>
      <c r="G215" s="117"/>
      <c r="H215" s="117"/>
      <c r="I215" s="117"/>
      <c r="J215" s="117"/>
      <c r="L215">
        <f t="shared" si="2"/>
        <v>0</v>
      </c>
      <c r="M215">
        <f t="shared" si="3"/>
        <v>0</v>
      </c>
    </row>
    <row r="216" spans="1:13" ht="15.5" x14ac:dyDescent="0.35">
      <c r="A216" s="60">
        <v>1</v>
      </c>
      <c r="B216" s="60">
        <v>1</v>
      </c>
      <c r="C216" s="60" t="s">
        <v>120</v>
      </c>
      <c r="D216" s="60">
        <v>484</v>
      </c>
      <c r="E216" s="60">
        <v>0</v>
      </c>
      <c r="F216" s="60">
        <f>D216+E216</f>
        <v>484</v>
      </c>
      <c r="G216" s="60">
        <v>0</v>
      </c>
      <c r="H216" s="60">
        <v>690</v>
      </c>
      <c r="I216" s="116" t="str">
        <f>A215</f>
        <v>Ground Floor</v>
      </c>
      <c r="J216" s="116"/>
      <c r="L216">
        <f t="shared" si="2"/>
        <v>207000</v>
      </c>
      <c r="M216">
        <f t="shared" si="3"/>
        <v>189750</v>
      </c>
    </row>
    <row r="217" spans="1:13" ht="15.5" x14ac:dyDescent="0.35">
      <c r="A217" s="60">
        <v>2</v>
      </c>
      <c r="B217" s="60">
        <v>2</v>
      </c>
      <c r="C217" s="60" t="s">
        <v>120</v>
      </c>
      <c r="D217" s="60">
        <v>476</v>
      </c>
      <c r="E217" s="60">
        <v>0</v>
      </c>
      <c r="F217" s="60">
        <f>D217+E217</f>
        <v>476</v>
      </c>
      <c r="G217" s="60">
        <v>0</v>
      </c>
      <c r="H217" s="60">
        <v>680</v>
      </c>
      <c r="I217" s="116"/>
      <c r="J217" s="116"/>
      <c r="L217">
        <f t="shared" si="2"/>
        <v>204000</v>
      </c>
      <c r="M217">
        <f t="shared" si="3"/>
        <v>187000</v>
      </c>
    </row>
    <row r="218" spans="1:13" ht="15.5" x14ac:dyDescent="0.35">
      <c r="A218" s="60">
        <v>3</v>
      </c>
      <c r="B218" s="60">
        <v>3</v>
      </c>
      <c r="C218" s="60" t="s">
        <v>120</v>
      </c>
      <c r="D218" s="60">
        <v>443</v>
      </c>
      <c r="E218" s="60">
        <v>0</v>
      </c>
      <c r="F218" s="60">
        <f>D218+E218</f>
        <v>443</v>
      </c>
      <c r="G218" s="60">
        <v>0</v>
      </c>
      <c r="H218" s="60">
        <v>630</v>
      </c>
      <c r="I218" s="116"/>
      <c r="J218" s="116"/>
      <c r="L218">
        <f t="shared" si="2"/>
        <v>189000</v>
      </c>
      <c r="M218">
        <f t="shared" si="3"/>
        <v>173250</v>
      </c>
    </row>
    <row r="219" spans="1:13" ht="15.5" x14ac:dyDescent="0.35">
      <c r="A219" s="60">
        <v>4</v>
      </c>
      <c r="B219" s="60">
        <v>4</v>
      </c>
      <c r="C219" s="60" t="s">
        <v>121</v>
      </c>
      <c r="D219" s="60">
        <v>293</v>
      </c>
      <c r="E219" s="60">
        <v>0</v>
      </c>
      <c r="F219" s="60">
        <f>D219+E219</f>
        <v>293</v>
      </c>
      <c r="G219" s="60">
        <v>0</v>
      </c>
      <c r="H219" s="60">
        <v>420</v>
      </c>
      <c r="I219" s="116"/>
      <c r="J219" s="116"/>
      <c r="L219">
        <f t="shared" si="2"/>
        <v>126000</v>
      </c>
      <c r="M219">
        <f t="shared" si="3"/>
        <v>115500</v>
      </c>
    </row>
    <row r="220" spans="1:13" ht="15" x14ac:dyDescent="0.35">
      <c r="A220" s="117" t="s">
        <v>160</v>
      </c>
      <c r="B220" s="117"/>
      <c r="C220" s="117"/>
      <c r="D220" s="117"/>
      <c r="E220" s="117"/>
      <c r="F220" s="117"/>
      <c r="G220" s="117"/>
      <c r="H220" s="117"/>
      <c r="I220" s="117"/>
      <c r="J220" s="117"/>
      <c r="L220">
        <f t="shared" si="2"/>
        <v>0</v>
      </c>
      <c r="M220">
        <f t="shared" si="3"/>
        <v>0</v>
      </c>
    </row>
    <row r="221" spans="1:13" ht="15.5" x14ac:dyDescent="0.35">
      <c r="A221" s="60">
        <v>5</v>
      </c>
      <c r="B221" s="60">
        <v>1</v>
      </c>
      <c r="C221" s="60" t="s">
        <v>120</v>
      </c>
      <c r="D221" s="60">
        <v>480</v>
      </c>
      <c r="E221" s="60">
        <v>0</v>
      </c>
      <c r="F221" s="60">
        <f t="shared" ref="F221:F226" si="4">D221+E221</f>
        <v>480</v>
      </c>
      <c r="G221" s="60">
        <v>0</v>
      </c>
      <c r="H221" s="60">
        <v>690</v>
      </c>
      <c r="I221" s="116" t="str">
        <f>A220</f>
        <v>1st To 4th Floor</v>
      </c>
      <c r="J221" s="116"/>
      <c r="L221">
        <f t="shared" si="2"/>
        <v>207000</v>
      </c>
      <c r="M221">
        <f t="shared" si="3"/>
        <v>189750</v>
      </c>
    </row>
    <row r="222" spans="1:13" ht="15.5" x14ac:dyDescent="0.35">
      <c r="A222" s="60">
        <v>6</v>
      </c>
      <c r="B222" s="60">
        <v>2</v>
      </c>
      <c r="C222" s="60" t="s">
        <v>120</v>
      </c>
      <c r="D222" s="60">
        <v>484</v>
      </c>
      <c r="E222" s="60">
        <v>0</v>
      </c>
      <c r="F222" s="60">
        <f t="shared" si="4"/>
        <v>484</v>
      </c>
      <c r="G222" s="60">
        <v>0</v>
      </c>
      <c r="H222" s="60">
        <v>690</v>
      </c>
      <c r="I222" s="116"/>
      <c r="J222" s="116"/>
      <c r="M222">
        <f t="shared" si="3"/>
        <v>189750</v>
      </c>
    </row>
    <row r="223" spans="1:13" ht="15.5" x14ac:dyDescent="0.35">
      <c r="A223" s="60">
        <v>7</v>
      </c>
      <c r="B223" s="60">
        <v>3</v>
      </c>
      <c r="C223" s="60" t="s">
        <v>120</v>
      </c>
      <c r="D223" s="60">
        <v>476</v>
      </c>
      <c r="E223" s="60">
        <v>0</v>
      </c>
      <c r="F223" s="60">
        <f t="shared" si="4"/>
        <v>476</v>
      </c>
      <c r="G223" s="60">
        <v>0</v>
      </c>
      <c r="H223" s="60">
        <v>680</v>
      </c>
      <c r="I223" s="116"/>
      <c r="J223" s="116"/>
      <c r="M223">
        <f t="shared" si="3"/>
        <v>187000</v>
      </c>
    </row>
    <row r="224" spans="1:13" ht="15.5" x14ac:dyDescent="0.35">
      <c r="A224" s="60">
        <v>8</v>
      </c>
      <c r="B224" s="60">
        <v>4</v>
      </c>
      <c r="C224" s="60" t="s">
        <v>120</v>
      </c>
      <c r="D224" s="60">
        <v>443</v>
      </c>
      <c r="E224" s="60">
        <v>0</v>
      </c>
      <c r="F224" s="60">
        <f t="shared" si="4"/>
        <v>443</v>
      </c>
      <c r="G224" s="60">
        <v>0</v>
      </c>
      <c r="H224" s="60">
        <v>630</v>
      </c>
      <c r="I224" s="116"/>
      <c r="J224" s="116"/>
      <c r="M224">
        <f t="shared" si="3"/>
        <v>173250</v>
      </c>
    </row>
    <row r="225" spans="1:13" ht="15.5" x14ac:dyDescent="0.35">
      <c r="A225" s="60">
        <v>9</v>
      </c>
      <c r="B225" s="60">
        <v>5</v>
      </c>
      <c r="C225" s="60" t="s">
        <v>121</v>
      </c>
      <c r="D225" s="60">
        <v>293</v>
      </c>
      <c r="E225" s="60">
        <v>0</v>
      </c>
      <c r="F225" s="60">
        <f t="shared" si="4"/>
        <v>293</v>
      </c>
      <c r="G225" s="60">
        <v>0</v>
      </c>
      <c r="H225" s="60">
        <v>420</v>
      </c>
      <c r="I225" s="116"/>
      <c r="J225" s="116"/>
      <c r="M225">
        <f t="shared" si="3"/>
        <v>115500</v>
      </c>
    </row>
    <row r="226" spans="1:13" ht="15.5" x14ac:dyDescent="0.35">
      <c r="A226" s="60">
        <v>10</v>
      </c>
      <c r="B226" s="60">
        <v>6</v>
      </c>
      <c r="C226" s="60" t="s">
        <v>121</v>
      </c>
      <c r="D226" s="60">
        <v>290</v>
      </c>
      <c r="E226" s="60">
        <v>0</v>
      </c>
      <c r="F226" s="60">
        <f t="shared" si="4"/>
        <v>290</v>
      </c>
      <c r="G226" s="60">
        <v>0</v>
      </c>
      <c r="H226" s="60">
        <v>420</v>
      </c>
      <c r="I226" s="116"/>
      <c r="J226" s="116"/>
      <c r="M226">
        <f t="shared" si="3"/>
        <v>115500</v>
      </c>
    </row>
    <row r="227" spans="1:13" ht="15" x14ac:dyDescent="0.35">
      <c r="A227" s="117" t="s">
        <v>127</v>
      </c>
      <c r="B227" s="117"/>
      <c r="C227" s="117"/>
      <c r="D227" s="117"/>
      <c r="E227" s="117"/>
      <c r="F227" s="117"/>
      <c r="G227" s="117"/>
      <c r="H227" s="117"/>
      <c r="I227" s="117"/>
      <c r="J227" s="117"/>
      <c r="M227">
        <f t="shared" si="3"/>
        <v>0</v>
      </c>
    </row>
    <row r="228" spans="1:13" ht="15" x14ac:dyDescent="0.35">
      <c r="A228" s="117" t="s">
        <v>119</v>
      </c>
      <c r="B228" s="117"/>
      <c r="C228" s="117"/>
      <c r="D228" s="117"/>
      <c r="E228" s="117"/>
      <c r="F228" s="117"/>
      <c r="G228" s="117"/>
      <c r="H228" s="117"/>
      <c r="I228" s="117"/>
      <c r="J228" s="117"/>
      <c r="M228">
        <f t="shared" si="3"/>
        <v>0</v>
      </c>
    </row>
    <row r="229" spans="1:13" ht="15.5" x14ac:dyDescent="0.35">
      <c r="A229" s="10">
        <v>11</v>
      </c>
      <c r="B229" s="10">
        <v>1</v>
      </c>
      <c r="C229" s="10" t="s">
        <v>121</v>
      </c>
      <c r="D229" s="10">
        <v>227</v>
      </c>
      <c r="E229" s="10">
        <v>0</v>
      </c>
      <c r="F229" s="10">
        <f t="shared" ref="F229:F235" si="5">D229+E229</f>
        <v>227</v>
      </c>
      <c r="G229" s="10">
        <v>0</v>
      </c>
      <c r="H229" s="10">
        <v>330</v>
      </c>
      <c r="I229" s="116" t="str">
        <f>A228</f>
        <v>Ground Floor</v>
      </c>
      <c r="J229" s="116"/>
      <c r="M229">
        <f t="shared" si="3"/>
        <v>90750</v>
      </c>
    </row>
    <row r="230" spans="1:13" ht="15.5" x14ac:dyDescent="0.35">
      <c r="A230" s="10">
        <v>12</v>
      </c>
      <c r="B230" s="10">
        <v>2</v>
      </c>
      <c r="C230" s="10" t="s">
        <v>120</v>
      </c>
      <c r="D230" s="10">
        <v>365</v>
      </c>
      <c r="E230" s="10">
        <v>0</v>
      </c>
      <c r="F230" s="10">
        <f t="shared" si="5"/>
        <v>365</v>
      </c>
      <c r="G230" s="10">
        <v>0</v>
      </c>
      <c r="H230" s="10">
        <v>520</v>
      </c>
      <c r="I230" s="116"/>
      <c r="J230" s="116"/>
      <c r="M230">
        <f t="shared" si="3"/>
        <v>143000</v>
      </c>
    </row>
    <row r="231" spans="1:13" ht="15" x14ac:dyDescent="0.35">
      <c r="A231" s="117" t="s">
        <v>160</v>
      </c>
      <c r="B231" s="117"/>
      <c r="C231" s="117"/>
      <c r="D231" s="117"/>
      <c r="E231" s="117"/>
      <c r="F231" s="117"/>
      <c r="G231" s="117"/>
      <c r="H231" s="117"/>
      <c r="I231" s="117"/>
      <c r="J231" s="117"/>
      <c r="M231">
        <f t="shared" si="3"/>
        <v>0</v>
      </c>
    </row>
    <row r="232" spans="1:13" ht="15.5" x14ac:dyDescent="0.35">
      <c r="A232" s="10">
        <v>13</v>
      </c>
      <c r="B232" s="10">
        <v>1</v>
      </c>
      <c r="C232" s="10" t="s">
        <v>120</v>
      </c>
      <c r="D232" s="10">
        <v>444</v>
      </c>
      <c r="E232" s="11">
        <v>0</v>
      </c>
      <c r="F232" s="10">
        <f t="shared" si="5"/>
        <v>444</v>
      </c>
      <c r="G232" s="10">
        <v>0</v>
      </c>
      <c r="H232" s="10">
        <v>630</v>
      </c>
      <c r="I232" s="116" t="str">
        <f>A231</f>
        <v>1st To 4th Floor</v>
      </c>
      <c r="J232" s="116"/>
      <c r="M232">
        <f t="shared" si="3"/>
        <v>173250</v>
      </c>
    </row>
    <row r="233" spans="1:13" ht="15.5" x14ac:dyDescent="0.35">
      <c r="A233" s="10">
        <v>14</v>
      </c>
      <c r="B233" s="10">
        <v>2</v>
      </c>
      <c r="C233" s="10" t="s">
        <v>120</v>
      </c>
      <c r="D233" s="10">
        <v>429</v>
      </c>
      <c r="E233" s="10">
        <v>0</v>
      </c>
      <c r="F233" s="10">
        <f t="shared" si="5"/>
        <v>429</v>
      </c>
      <c r="G233" s="10">
        <v>0</v>
      </c>
      <c r="H233" s="10">
        <v>608</v>
      </c>
      <c r="I233" s="116"/>
      <c r="J233" s="116"/>
      <c r="M233">
        <f t="shared" si="3"/>
        <v>167200</v>
      </c>
    </row>
    <row r="234" spans="1:13" ht="15.5" x14ac:dyDescent="0.35">
      <c r="A234" s="10">
        <v>15</v>
      </c>
      <c r="B234" s="10">
        <v>3</v>
      </c>
      <c r="C234" s="10" t="s">
        <v>121</v>
      </c>
      <c r="D234" s="10">
        <v>280</v>
      </c>
      <c r="E234" s="10">
        <v>0</v>
      </c>
      <c r="F234" s="10">
        <f t="shared" si="5"/>
        <v>280</v>
      </c>
      <c r="G234" s="10">
        <v>0</v>
      </c>
      <c r="H234" s="10">
        <v>400</v>
      </c>
      <c r="I234" s="116"/>
      <c r="J234" s="116"/>
      <c r="M234">
        <f t="shared" ref="M234:M275" si="6">275*H234</f>
        <v>110000</v>
      </c>
    </row>
    <row r="235" spans="1:13" ht="15.5" x14ac:dyDescent="0.35">
      <c r="A235" s="10">
        <v>16</v>
      </c>
      <c r="B235" s="10">
        <v>4</v>
      </c>
      <c r="C235" s="10" t="s">
        <v>121</v>
      </c>
      <c r="D235" s="10">
        <v>281</v>
      </c>
      <c r="E235" s="10">
        <v>0</v>
      </c>
      <c r="F235" s="10">
        <f t="shared" si="5"/>
        <v>281</v>
      </c>
      <c r="G235" s="10">
        <v>0</v>
      </c>
      <c r="H235" s="10">
        <v>400</v>
      </c>
      <c r="I235" s="116"/>
      <c r="J235" s="116"/>
      <c r="M235">
        <f t="shared" si="6"/>
        <v>110000</v>
      </c>
    </row>
    <row r="236" spans="1:13" ht="15" x14ac:dyDescent="0.35">
      <c r="A236" s="117" t="s">
        <v>129</v>
      </c>
      <c r="B236" s="117"/>
      <c r="C236" s="117"/>
      <c r="D236" s="117"/>
      <c r="E236" s="117"/>
      <c r="F236" s="117"/>
      <c r="G236" s="117"/>
      <c r="H236" s="117"/>
      <c r="I236" s="117"/>
      <c r="J236" s="117"/>
      <c r="M236">
        <f t="shared" si="6"/>
        <v>0</v>
      </c>
    </row>
    <row r="237" spans="1:13" ht="15" x14ac:dyDescent="0.35">
      <c r="A237" s="117" t="s">
        <v>119</v>
      </c>
      <c r="B237" s="117"/>
      <c r="C237" s="117"/>
      <c r="D237" s="117"/>
      <c r="E237" s="117"/>
      <c r="F237" s="117"/>
      <c r="G237" s="117"/>
      <c r="H237" s="117"/>
      <c r="I237" s="117"/>
      <c r="J237" s="117"/>
      <c r="M237">
        <f t="shared" si="6"/>
        <v>0</v>
      </c>
    </row>
    <row r="238" spans="1:13" ht="15.5" x14ac:dyDescent="0.35">
      <c r="A238" s="10">
        <v>17</v>
      </c>
      <c r="B238" s="10">
        <v>1</v>
      </c>
      <c r="C238" s="10" t="s">
        <v>121</v>
      </c>
      <c r="D238" s="10">
        <v>233</v>
      </c>
      <c r="E238" s="10">
        <v>0</v>
      </c>
      <c r="F238" s="10">
        <f t="shared" ref="F238:F244" si="7">D238+E238</f>
        <v>233</v>
      </c>
      <c r="G238" s="10">
        <v>0</v>
      </c>
      <c r="H238" s="10">
        <v>330</v>
      </c>
      <c r="I238" s="116" t="str">
        <f>A237</f>
        <v>Ground Floor</v>
      </c>
      <c r="J238" s="116"/>
      <c r="M238">
        <f t="shared" si="6"/>
        <v>90750</v>
      </c>
    </row>
    <row r="239" spans="1:13" ht="15.5" x14ac:dyDescent="0.35">
      <c r="A239" s="10">
        <v>18</v>
      </c>
      <c r="B239" s="10">
        <v>2</v>
      </c>
      <c r="C239" s="10" t="s">
        <v>121</v>
      </c>
      <c r="D239" s="10">
        <v>227</v>
      </c>
      <c r="E239" s="10">
        <v>0</v>
      </c>
      <c r="F239" s="10">
        <f t="shared" si="7"/>
        <v>227</v>
      </c>
      <c r="G239" s="10">
        <v>0</v>
      </c>
      <c r="H239" s="10">
        <v>330</v>
      </c>
      <c r="I239" s="116"/>
      <c r="J239" s="116"/>
      <c r="M239">
        <f t="shared" si="6"/>
        <v>90750</v>
      </c>
    </row>
    <row r="240" spans="1:13" ht="15" x14ac:dyDescent="0.35">
      <c r="A240" s="117" t="s">
        <v>160</v>
      </c>
      <c r="B240" s="117"/>
      <c r="C240" s="117"/>
      <c r="D240" s="117"/>
      <c r="E240" s="117"/>
      <c r="F240" s="117"/>
      <c r="G240" s="117"/>
      <c r="H240" s="117"/>
      <c r="I240" s="117"/>
      <c r="J240" s="117"/>
      <c r="M240">
        <f t="shared" si="6"/>
        <v>0</v>
      </c>
    </row>
    <row r="241" spans="1:13" ht="15.5" x14ac:dyDescent="0.35">
      <c r="A241" s="10">
        <v>19</v>
      </c>
      <c r="B241" s="10">
        <v>1</v>
      </c>
      <c r="C241" s="10" t="s">
        <v>121</v>
      </c>
      <c r="D241" s="10">
        <v>281</v>
      </c>
      <c r="E241" s="10">
        <v>0</v>
      </c>
      <c r="F241" s="10">
        <f t="shared" si="7"/>
        <v>281</v>
      </c>
      <c r="G241" s="10">
        <v>0</v>
      </c>
      <c r="H241" s="10">
        <v>400</v>
      </c>
      <c r="I241" s="116" t="str">
        <f>A240</f>
        <v>1st To 4th Floor</v>
      </c>
      <c r="J241" s="116"/>
      <c r="M241">
        <f t="shared" si="6"/>
        <v>110000</v>
      </c>
    </row>
    <row r="242" spans="1:13" ht="15.5" x14ac:dyDescent="0.35">
      <c r="A242" s="10">
        <v>20</v>
      </c>
      <c r="B242" s="10">
        <v>2</v>
      </c>
      <c r="C242" s="10" t="s">
        <v>120</v>
      </c>
      <c r="D242" s="10">
        <v>423</v>
      </c>
      <c r="E242" s="10">
        <v>0</v>
      </c>
      <c r="F242" s="10">
        <f t="shared" si="7"/>
        <v>423</v>
      </c>
      <c r="G242" s="10">
        <v>0</v>
      </c>
      <c r="H242" s="10">
        <v>601</v>
      </c>
      <c r="I242" s="116"/>
      <c r="J242" s="116"/>
      <c r="M242">
        <f t="shared" si="6"/>
        <v>165275</v>
      </c>
    </row>
    <row r="243" spans="1:13" ht="15.5" x14ac:dyDescent="0.35">
      <c r="A243" s="10">
        <v>21</v>
      </c>
      <c r="B243" s="10">
        <v>3</v>
      </c>
      <c r="C243" s="10" t="s">
        <v>120</v>
      </c>
      <c r="D243" s="10">
        <v>444</v>
      </c>
      <c r="E243" s="10">
        <v>0</v>
      </c>
      <c r="F243" s="10">
        <f t="shared" si="7"/>
        <v>444</v>
      </c>
      <c r="G243" s="10">
        <v>0</v>
      </c>
      <c r="H243" s="10">
        <v>630</v>
      </c>
      <c r="I243" s="116"/>
      <c r="J243" s="116"/>
      <c r="M243">
        <f t="shared" si="6"/>
        <v>173250</v>
      </c>
    </row>
    <row r="244" spans="1:13" ht="15.5" x14ac:dyDescent="0.35">
      <c r="A244" s="10">
        <v>22</v>
      </c>
      <c r="B244" s="10">
        <v>4</v>
      </c>
      <c r="C244" s="10" t="s">
        <v>121</v>
      </c>
      <c r="D244" s="10">
        <v>287</v>
      </c>
      <c r="E244" s="10">
        <v>0</v>
      </c>
      <c r="F244" s="10">
        <f t="shared" si="7"/>
        <v>287</v>
      </c>
      <c r="G244" s="10">
        <v>0</v>
      </c>
      <c r="H244" s="10">
        <v>410</v>
      </c>
      <c r="I244" s="116"/>
      <c r="J244" s="116"/>
      <c r="M244">
        <f t="shared" si="6"/>
        <v>112750</v>
      </c>
    </row>
    <row r="245" spans="1:13" ht="15" x14ac:dyDescent="0.35">
      <c r="A245" s="117" t="s">
        <v>130</v>
      </c>
      <c r="B245" s="117"/>
      <c r="C245" s="117"/>
      <c r="D245" s="117"/>
      <c r="E245" s="117"/>
      <c r="F245" s="117"/>
      <c r="G245" s="117"/>
      <c r="H245" s="117"/>
      <c r="I245" s="117"/>
      <c r="J245" s="117"/>
      <c r="M245">
        <f t="shared" si="6"/>
        <v>0</v>
      </c>
    </row>
    <row r="246" spans="1:13" ht="15" x14ac:dyDescent="0.35">
      <c r="A246" s="117" t="s">
        <v>119</v>
      </c>
      <c r="B246" s="117"/>
      <c r="C246" s="117"/>
      <c r="D246" s="117"/>
      <c r="E246" s="117"/>
      <c r="F246" s="117"/>
      <c r="G246" s="117"/>
      <c r="H246" s="117"/>
      <c r="I246" s="117"/>
      <c r="J246" s="117"/>
      <c r="M246">
        <f t="shared" si="6"/>
        <v>0</v>
      </c>
    </row>
    <row r="247" spans="1:13" ht="15.5" x14ac:dyDescent="0.35">
      <c r="A247" s="10">
        <v>23</v>
      </c>
      <c r="B247" s="10">
        <v>1</v>
      </c>
      <c r="C247" s="10" t="s">
        <v>120</v>
      </c>
      <c r="D247" s="10">
        <v>423</v>
      </c>
      <c r="E247" s="10">
        <v>0</v>
      </c>
      <c r="F247" s="10">
        <f t="shared" ref="F247:F260" si="8">D247+E247</f>
        <v>423</v>
      </c>
      <c r="G247" s="10">
        <v>0</v>
      </c>
      <c r="H247" s="10">
        <v>600</v>
      </c>
      <c r="I247" s="116" t="str">
        <f>A246</f>
        <v>Ground Floor</v>
      </c>
      <c r="J247" s="116"/>
      <c r="M247">
        <f t="shared" si="6"/>
        <v>165000</v>
      </c>
    </row>
    <row r="248" spans="1:13" ht="15.5" x14ac:dyDescent="0.35">
      <c r="A248" s="10">
        <v>24</v>
      </c>
      <c r="B248" s="10">
        <v>2</v>
      </c>
      <c r="C248" s="10" t="s">
        <v>120</v>
      </c>
      <c r="D248" s="10">
        <v>459</v>
      </c>
      <c r="E248" s="10">
        <v>0</v>
      </c>
      <c r="F248" s="10">
        <f t="shared" si="8"/>
        <v>459</v>
      </c>
      <c r="G248" s="10">
        <v>0</v>
      </c>
      <c r="H248" s="10">
        <v>660</v>
      </c>
      <c r="I248" s="116"/>
      <c r="J248" s="116"/>
      <c r="M248">
        <f t="shared" si="6"/>
        <v>181500</v>
      </c>
    </row>
    <row r="249" spans="1:13" ht="15.5" x14ac:dyDescent="0.35">
      <c r="A249" s="10">
        <v>25</v>
      </c>
      <c r="B249" s="10">
        <v>3</v>
      </c>
      <c r="C249" s="10" t="s">
        <v>120</v>
      </c>
      <c r="D249" s="10">
        <v>455</v>
      </c>
      <c r="E249" s="10">
        <v>0</v>
      </c>
      <c r="F249" s="10">
        <f t="shared" si="8"/>
        <v>455</v>
      </c>
      <c r="G249" s="10">
        <v>0</v>
      </c>
      <c r="H249" s="10">
        <v>650</v>
      </c>
      <c r="I249" s="116"/>
      <c r="J249" s="116"/>
      <c r="M249">
        <f t="shared" si="6"/>
        <v>178750</v>
      </c>
    </row>
    <row r="250" spans="1:13" ht="15.5" x14ac:dyDescent="0.35">
      <c r="A250" s="10">
        <v>26</v>
      </c>
      <c r="B250" s="10">
        <v>4</v>
      </c>
      <c r="C250" s="10" t="s">
        <v>121</v>
      </c>
      <c r="D250" s="10">
        <v>284</v>
      </c>
      <c r="E250" s="10">
        <v>0</v>
      </c>
      <c r="F250" s="10">
        <f t="shared" si="8"/>
        <v>284</v>
      </c>
      <c r="G250" s="10">
        <v>0</v>
      </c>
      <c r="H250" s="10">
        <v>410</v>
      </c>
      <c r="I250" s="116"/>
      <c r="J250" s="116"/>
      <c r="M250">
        <f t="shared" si="6"/>
        <v>112750</v>
      </c>
    </row>
    <row r="251" spans="1:13" ht="15.5" x14ac:dyDescent="0.35">
      <c r="A251" s="10">
        <v>27</v>
      </c>
      <c r="B251" s="10">
        <v>5</v>
      </c>
      <c r="C251" s="10" t="s">
        <v>121</v>
      </c>
      <c r="D251" s="10">
        <v>286</v>
      </c>
      <c r="E251" s="10">
        <v>0</v>
      </c>
      <c r="F251" s="10">
        <f t="shared" si="8"/>
        <v>286</v>
      </c>
      <c r="G251" s="10">
        <v>0</v>
      </c>
      <c r="H251" s="10">
        <v>405</v>
      </c>
      <c r="I251" s="116"/>
      <c r="J251" s="116"/>
      <c r="M251">
        <f t="shared" si="6"/>
        <v>111375</v>
      </c>
    </row>
    <row r="252" spans="1:13" ht="15" x14ac:dyDescent="0.35">
      <c r="A252" s="117" t="s">
        <v>160</v>
      </c>
      <c r="B252" s="117"/>
      <c r="C252" s="117"/>
      <c r="D252" s="117"/>
      <c r="E252" s="117"/>
      <c r="F252" s="117"/>
      <c r="G252" s="117"/>
      <c r="H252" s="117"/>
      <c r="I252" s="117"/>
      <c r="J252" s="117"/>
      <c r="M252">
        <f t="shared" si="6"/>
        <v>0</v>
      </c>
    </row>
    <row r="253" spans="1:13" ht="15.75" customHeight="1" x14ac:dyDescent="0.35">
      <c r="A253" s="10">
        <v>28</v>
      </c>
      <c r="B253" s="10">
        <v>1</v>
      </c>
      <c r="C253" s="10" t="s">
        <v>120</v>
      </c>
      <c r="D253" s="10">
        <v>455</v>
      </c>
      <c r="E253" s="10">
        <v>0</v>
      </c>
      <c r="F253" s="10">
        <f t="shared" si="8"/>
        <v>455</v>
      </c>
      <c r="G253" s="10">
        <v>0</v>
      </c>
      <c r="H253" s="10">
        <v>650</v>
      </c>
      <c r="I253" s="116" t="str">
        <f>A252</f>
        <v>1st To 4th Floor</v>
      </c>
      <c r="J253" s="116"/>
      <c r="M253">
        <f t="shared" si="6"/>
        <v>178750</v>
      </c>
    </row>
    <row r="254" spans="1:13" ht="15.5" x14ac:dyDescent="0.35">
      <c r="A254" s="10">
        <v>29</v>
      </c>
      <c r="B254" s="10">
        <v>2</v>
      </c>
      <c r="C254" s="10" t="s">
        <v>121</v>
      </c>
      <c r="D254" s="10">
        <v>284</v>
      </c>
      <c r="E254" s="10">
        <v>0</v>
      </c>
      <c r="F254" s="10">
        <f t="shared" si="8"/>
        <v>284</v>
      </c>
      <c r="G254" s="10">
        <v>0</v>
      </c>
      <c r="H254" s="10">
        <v>404</v>
      </c>
      <c r="I254" s="116"/>
      <c r="J254" s="116"/>
      <c r="M254">
        <f t="shared" si="6"/>
        <v>111100</v>
      </c>
    </row>
    <row r="255" spans="1:13" ht="15.5" x14ac:dyDescent="0.35">
      <c r="A255" s="10">
        <v>30</v>
      </c>
      <c r="B255" s="10">
        <v>3</v>
      </c>
      <c r="C255" s="10" t="s">
        <v>121</v>
      </c>
      <c r="D255" s="10">
        <v>286</v>
      </c>
      <c r="E255" s="10">
        <v>0</v>
      </c>
      <c r="F255" s="10">
        <f t="shared" si="8"/>
        <v>286</v>
      </c>
      <c r="G255" s="10">
        <v>0</v>
      </c>
      <c r="H255" s="10">
        <v>405</v>
      </c>
      <c r="I255" s="116"/>
      <c r="J255" s="116"/>
      <c r="M255">
        <f t="shared" si="6"/>
        <v>111375</v>
      </c>
    </row>
    <row r="256" spans="1:13" ht="15.5" x14ac:dyDescent="0.35">
      <c r="A256" s="10">
        <v>31</v>
      </c>
      <c r="B256" s="10">
        <v>4</v>
      </c>
      <c r="C256" s="10" t="s">
        <v>121</v>
      </c>
      <c r="D256" s="10">
        <v>286</v>
      </c>
      <c r="E256" s="10">
        <v>0</v>
      </c>
      <c r="F256" s="10">
        <f t="shared" si="8"/>
        <v>286</v>
      </c>
      <c r="G256" s="10">
        <v>0</v>
      </c>
      <c r="H256" s="10">
        <v>405</v>
      </c>
      <c r="I256" s="116"/>
      <c r="J256" s="116"/>
      <c r="M256">
        <f t="shared" si="6"/>
        <v>111375</v>
      </c>
    </row>
    <row r="257" spans="1:13" ht="15.5" x14ac:dyDescent="0.35">
      <c r="A257" s="10">
        <v>32</v>
      </c>
      <c r="B257" s="10">
        <v>5</v>
      </c>
      <c r="C257" s="10" t="s">
        <v>121</v>
      </c>
      <c r="D257" s="10">
        <v>286</v>
      </c>
      <c r="E257" s="10">
        <v>0</v>
      </c>
      <c r="F257" s="10">
        <f t="shared" si="8"/>
        <v>286</v>
      </c>
      <c r="G257" s="10">
        <v>0</v>
      </c>
      <c r="H257" s="10">
        <v>405</v>
      </c>
      <c r="I257" s="116"/>
      <c r="J257" s="116"/>
      <c r="M257">
        <f t="shared" si="6"/>
        <v>111375</v>
      </c>
    </row>
    <row r="258" spans="1:13" ht="15.5" x14ac:dyDescent="0.35">
      <c r="A258" s="10">
        <v>33</v>
      </c>
      <c r="B258" s="10">
        <v>6</v>
      </c>
      <c r="C258" s="10" t="s">
        <v>120</v>
      </c>
      <c r="D258" s="10">
        <v>423</v>
      </c>
      <c r="E258" s="10">
        <v>0</v>
      </c>
      <c r="F258" s="10">
        <f t="shared" si="8"/>
        <v>423</v>
      </c>
      <c r="G258" s="10">
        <v>0</v>
      </c>
      <c r="H258" s="10">
        <v>600</v>
      </c>
      <c r="I258" s="116"/>
      <c r="J258" s="116"/>
      <c r="M258">
        <f t="shared" si="6"/>
        <v>165000</v>
      </c>
    </row>
    <row r="259" spans="1:13" ht="15.5" x14ac:dyDescent="0.35">
      <c r="A259" s="10">
        <v>34</v>
      </c>
      <c r="B259" s="10">
        <v>7</v>
      </c>
      <c r="C259" s="10" t="s">
        <v>120</v>
      </c>
      <c r="D259" s="10">
        <v>436</v>
      </c>
      <c r="E259" s="10">
        <v>0</v>
      </c>
      <c r="F259" s="10">
        <f t="shared" si="8"/>
        <v>436</v>
      </c>
      <c r="G259" s="10">
        <v>0</v>
      </c>
      <c r="H259" s="10">
        <v>620</v>
      </c>
      <c r="I259" s="116"/>
      <c r="J259" s="116"/>
      <c r="M259">
        <f t="shared" si="6"/>
        <v>170500</v>
      </c>
    </row>
    <row r="260" spans="1:13" ht="15.5" x14ac:dyDescent="0.35">
      <c r="A260" s="10">
        <v>35</v>
      </c>
      <c r="B260" s="10">
        <v>8</v>
      </c>
      <c r="C260" s="10" t="s">
        <v>120</v>
      </c>
      <c r="D260" s="10">
        <v>459</v>
      </c>
      <c r="E260" s="10">
        <v>0</v>
      </c>
      <c r="F260" s="10">
        <f t="shared" si="8"/>
        <v>459</v>
      </c>
      <c r="G260" s="10">
        <v>0</v>
      </c>
      <c r="H260" s="10">
        <v>660</v>
      </c>
      <c r="I260" s="116"/>
      <c r="J260" s="116"/>
      <c r="M260">
        <f t="shared" si="6"/>
        <v>181500</v>
      </c>
    </row>
    <row r="261" spans="1:13" ht="15" x14ac:dyDescent="0.35">
      <c r="A261" s="117" t="s">
        <v>131</v>
      </c>
      <c r="B261" s="117"/>
      <c r="C261" s="117"/>
      <c r="D261" s="117"/>
      <c r="E261" s="117"/>
      <c r="F261" s="117"/>
      <c r="G261" s="117"/>
      <c r="H261" s="117"/>
      <c r="I261" s="117"/>
      <c r="J261" s="117"/>
      <c r="M261">
        <f t="shared" si="6"/>
        <v>0</v>
      </c>
    </row>
    <row r="262" spans="1:13" ht="15" x14ac:dyDescent="0.35">
      <c r="A262" s="117" t="s">
        <v>119</v>
      </c>
      <c r="B262" s="117"/>
      <c r="C262" s="117"/>
      <c r="D262" s="117"/>
      <c r="E262" s="117"/>
      <c r="F262" s="117"/>
      <c r="G262" s="117"/>
      <c r="H262" s="117"/>
      <c r="I262" s="117"/>
      <c r="J262" s="117"/>
      <c r="M262">
        <f t="shared" si="6"/>
        <v>0</v>
      </c>
    </row>
    <row r="263" spans="1:13" ht="15.5" x14ac:dyDescent="0.35">
      <c r="A263" s="10">
        <v>36</v>
      </c>
      <c r="B263" s="10">
        <v>1</v>
      </c>
      <c r="C263" s="10" t="s">
        <v>120</v>
      </c>
      <c r="D263" s="10">
        <v>461</v>
      </c>
      <c r="E263" s="10">
        <v>0</v>
      </c>
      <c r="F263" s="10">
        <f t="shared" ref="F263:F275" si="9">D263+E263</f>
        <v>461</v>
      </c>
      <c r="G263" s="10">
        <v>0</v>
      </c>
      <c r="H263" s="10">
        <v>660</v>
      </c>
      <c r="I263" s="116" t="str">
        <f>A262</f>
        <v>Ground Floor</v>
      </c>
      <c r="J263" s="116"/>
      <c r="M263">
        <f t="shared" si="6"/>
        <v>181500</v>
      </c>
    </row>
    <row r="264" spans="1:13" ht="15.5" x14ac:dyDescent="0.35">
      <c r="A264" s="10">
        <v>37</v>
      </c>
      <c r="B264" s="10">
        <v>2</v>
      </c>
      <c r="C264" s="10" t="s">
        <v>121</v>
      </c>
      <c r="D264" s="10">
        <v>284</v>
      </c>
      <c r="E264" s="10">
        <v>0</v>
      </c>
      <c r="F264" s="10">
        <f t="shared" si="9"/>
        <v>284</v>
      </c>
      <c r="G264" s="10">
        <v>0</v>
      </c>
      <c r="H264" s="10">
        <v>404</v>
      </c>
      <c r="I264" s="116"/>
      <c r="J264" s="116"/>
      <c r="M264">
        <f t="shared" si="6"/>
        <v>111100</v>
      </c>
    </row>
    <row r="265" spans="1:13" ht="15.5" x14ac:dyDescent="0.35">
      <c r="A265" s="10">
        <v>38</v>
      </c>
      <c r="B265" s="10">
        <v>3</v>
      </c>
      <c r="C265" s="10" t="s">
        <v>121</v>
      </c>
      <c r="D265" s="10">
        <v>284</v>
      </c>
      <c r="E265" s="10">
        <v>0</v>
      </c>
      <c r="F265" s="10">
        <f t="shared" si="9"/>
        <v>284</v>
      </c>
      <c r="G265" s="10">
        <v>0</v>
      </c>
      <c r="H265" s="10">
        <v>404</v>
      </c>
      <c r="I265" s="116"/>
      <c r="J265" s="116"/>
      <c r="M265">
        <f t="shared" si="6"/>
        <v>111100</v>
      </c>
    </row>
    <row r="266" spans="1:13" ht="15.5" x14ac:dyDescent="0.35">
      <c r="A266" s="10">
        <v>39</v>
      </c>
      <c r="B266" s="10">
        <v>4</v>
      </c>
      <c r="C266" s="10" t="s">
        <v>120</v>
      </c>
      <c r="D266" s="10">
        <v>430</v>
      </c>
      <c r="E266" s="10">
        <v>0</v>
      </c>
      <c r="F266" s="10">
        <f t="shared" si="9"/>
        <v>430</v>
      </c>
      <c r="G266" s="10">
        <v>0</v>
      </c>
      <c r="H266" s="10">
        <v>610</v>
      </c>
      <c r="I266" s="116"/>
      <c r="J266" s="116"/>
      <c r="M266">
        <f t="shared" si="6"/>
        <v>167750</v>
      </c>
    </row>
    <row r="267" spans="1:13" ht="15" x14ac:dyDescent="0.35">
      <c r="A267" s="117" t="s">
        <v>160</v>
      </c>
      <c r="B267" s="117"/>
      <c r="C267" s="117"/>
      <c r="D267" s="117"/>
      <c r="E267" s="117"/>
      <c r="F267" s="117"/>
      <c r="G267" s="117"/>
      <c r="H267" s="117"/>
      <c r="I267" s="117"/>
      <c r="J267" s="117"/>
      <c r="M267">
        <f t="shared" si="6"/>
        <v>0</v>
      </c>
    </row>
    <row r="268" spans="1:13" s="5" customFormat="1" ht="15.5" x14ac:dyDescent="0.35">
      <c r="A268" s="60">
        <v>40</v>
      </c>
      <c r="B268" s="60">
        <v>1</v>
      </c>
      <c r="C268" s="60" t="s">
        <v>120</v>
      </c>
      <c r="D268" s="60">
        <v>498</v>
      </c>
      <c r="E268" s="60">
        <v>0</v>
      </c>
      <c r="F268" s="60">
        <f t="shared" si="9"/>
        <v>498</v>
      </c>
      <c r="G268" s="60">
        <v>0</v>
      </c>
      <c r="H268" s="60">
        <v>710</v>
      </c>
      <c r="I268" s="116" t="str">
        <f>A267</f>
        <v>1st To 4th Floor</v>
      </c>
      <c r="J268" s="116"/>
      <c r="K268" s="56"/>
      <c r="M268">
        <f t="shared" si="6"/>
        <v>195250</v>
      </c>
    </row>
    <row r="269" spans="1:13" ht="15.5" x14ac:dyDescent="0.35">
      <c r="A269" s="60">
        <v>41</v>
      </c>
      <c r="B269" s="60">
        <v>2</v>
      </c>
      <c r="C269" s="60" t="s">
        <v>120</v>
      </c>
      <c r="D269" s="60">
        <v>404</v>
      </c>
      <c r="E269" s="60">
        <v>0</v>
      </c>
      <c r="F269" s="60">
        <f t="shared" si="9"/>
        <v>404</v>
      </c>
      <c r="G269" s="60">
        <v>0</v>
      </c>
      <c r="H269" s="60">
        <v>573</v>
      </c>
      <c r="I269" s="116"/>
      <c r="J269" s="116"/>
      <c r="M269">
        <f t="shared" si="6"/>
        <v>157575</v>
      </c>
    </row>
    <row r="270" spans="1:13" ht="15.5" x14ac:dyDescent="0.35">
      <c r="A270" s="60">
        <v>42</v>
      </c>
      <c r="B270" s="60">
        <v>3</v>
      </c>
      <c r="C270" s="60" t="s">
        <v>121</v>
      </c>
      <c r="D270" s="60">
        <v>284</v>
      </c>
      <c r="E270" s="60">
        <v>0</v>
      </c>
      <c r="F270" s="60">
        <f t="shared" si="9"/>
        <v>284</v>
      </c>
      <c r="G270" s="60">
        <v>0</v>
      </c>
      <c r="H270" s="60">
        <v>404</v>
      </c>
      <c r="I270" s="116"/>
      <c r="J270" s="116"/>
      <c r="M270">
        <f t="shared" si="6"/>
        <v>111100</v>
      </c>
    </row>
    <row r="271" spans="1:13" s="5" customFormat="1" ht="15.5" x14ac:dyDescent="0.35">
      <c r="A271" s="60">
        <v>43</v>
      </c>
      <c r="B271" s="60">
        <v>4</v>
      </c>
      <c r="C271" s="60" t="s">
        <v>121</v>
      </c>
      <c r="D271" s="60">
        <v>284</v>
      </c>
      <c r="E271" s="60">
        <v>0</v>
      </c>
      <c r="F271" s="60">
        <f t="shared" si="9"/>
        <v>284</v>
      </c>
      <c r="G271" s="60">
        <v>0</v>
      </c>
      <c r="H271" s="60">
        <v>404</v>
      </c>
      <c r="I271" s="116"/>
      <c r="J271" s="116"/>
      <c r="K271" s="56"/>
      <c r="M271">
        <f t="shared" si="6"/>
        <v>111100</v>
      </c>
    </row>
    <row r="272" spans="1:13" ht="15.5" x14ac:dyDescent="0.35">
      <c r="A272" s="60">
        <v>44</v>
      </c>
      <c r="B272" s="60">
        <v>5</v>
      </c>
      <c r="C272" s="60" t="s">
        <v>120</v>
      </c>
      <c r="D272" s="60">
        <v>430</v>
      </c>
      <c r="E272" s="60">
        <v>0</v>
      </c>
      <c r="F272" s="60">
        <f t="shared" si="9"/>
        <v>430</v>
      </c>
      <c r="G272" s="60">
        <v>0</v>
      </c>
      <c r="H272" s="60">
        <v>610</v>
      </c>
      <c r="I272" s="116"/>
      <c r="J272" s="116"/>
      <c r="M272">
        <f t="shared" si="6"/>
        <v>167750</v>
      </c>
    </row>
    <row r="273" spans="1:13" ht="15.5" x14ac:dyDescent="0.35">
      <c r="A273" s="60">
        <v>45</v>
      </c>
      <c r="B273" s="60">
        <v>6</v>
      </c>
      <c r="C273" s="60" t="s">
        <v>120</v>
      </c>
      <c r="D273" s="60">
        <v>430</v>
      </c>
      <c r="E273" s="60">
        <v>0</v>
      </c>
      <c r="F273" s="60">
        <f t="shared" si="9"/>
        <v>430</v>
      </c>
      <c r="G273" s="60">
        <v>0</v>
      </c>
      <c r="H273" s="60">
        <v>610</v>
      </c>
      <c r="I273" s="116"/>
      <c r="J273" s="116"/>
      <c r="M273">
        <f t="shared" si="6"/>
        <v>167750</v>
      </c>
    </row>
    <row r="274" spans="1:13" ht="15.5" x14ac:dyDescent="0.35">
      <c r="A274" s="60">
        <v>46</v>
      </c>
      <c r="B274" s="60">
        <v>7</v>
      </c>
      <c r="C274" s="60" t="s">
        <v>121</v>
      </c>
      <c r="D274" s="60">
        <v>284</v>
      </c>
      <c r="E274" s="60">
        <v>0</v>
      </c>
      <c r="F274" s="60">
        <f t="shared" si="9"/>
        <v>284</v>
      </c>
      <c r="G274" s="60">
        <v>0</v>
      </c>
      <c r="H274" s="60">
        <v>404</v>
      </c>
      <c r="I274" s="116"/>
      <c r="J274" s="116"/>
      <c r="M274">
        <f t="shared" si="6"/>
        <v>111100</v>
      </c>
    </row>
    <row r="275" spans="1:13" ht="15.5" x14ac:dyDescent="0.35">
      <c r="A275" s="60">
        <v>47</v>
      </c>
      <c r="B275" s="60">
        <v>8</v>
      </c>
      <c r="C275" s="60" t="s">
        <v>121</v>
      </c>
      <c r="D275" s="60">
        <v>284</v>
      </c>
      <c r="E275" s="60">
        <v>0</v>
      </c>
      <c r="F275" s="60">
        <f t="shared" si="9"/>
        <v>284</v>
      </c>
      <c r="G275" s="60">
        <v>0</v>
      </c>
      <c r="H275" s="60">
        <v>404</v>
      </c>
      <c r="I275" s="116"/>
      <c r="J275" s="116"/>
      <c r="M275">
        <f t="shared" si="6"/>
        <v>111100</v>
      </c>
    </row>
    <row r="276" spans="1:13" ht="15" x14ac:dyDescent="0.35">
      <c r="A276" s="117" t="s">
        <v>219</v>
      </c>
      <c r="B276" s="117"/>
      <c r="C276" s="117"/>
      <c r="D276" s="117"/>
      <c r="E276" s="117"/>
      <c r="F276" s="117"/>
      <c r="G276" s="117"/>
      <c r="H276" s="117"/>
      <c r="I276" s="117"/>
      <c r="J276" s="117"/>
    </row>
    <row r="277" spans="1:13" ht="15" x14ac:dyDescent="0.35">
      <c r="A277" s="117" t="s">
        <v>159</v>
      </c>
      <c r="B277" s="117"/>
      <c r="C277" s="117"/>
      <c r="D277" s="117"/>
      <c r="E277" s="117"/>
      <c r="F277" s="117"/>
      <c r="G277" s="117"/>
      <c r="H277" s="117"/>
      <c r="I277" s="117"/>
      <c r="J277" s="117"/>
    </row>
    <row r="278" spans="1:13" ht="15.5" x14ac:dyDescent="0.35">
      <c r="A278" s="60">
        <v>1</v>
      </c>
      <c r="B278" s="60">
        <v>1</v>
      </c>
      <c r="C278" s="60" t="s">
        <v>120</v>
      </c>
      <c r="D278" s="60">
        <f>27.52*10.764</f>
        <v>296.22528</v>
      </c>
      <c r="E278" s="60">
        <v>0</v>
      </c>
      <c r="F278" s="60">
        <f>D278</f>
        <v>296.22528</v>
      </c>
      <c r="G278" s="60">
        <v>0</v>
      </c>
      <c r="H278" s="60">
        <v>440</v>
      </c>
      <c r="I278" s="116" t="s">
        <v>119</v>
      </c>
      <c r="J278" s="116"/>
    </row>
    <row r="279" spans="1:13" ht="15.5" x14ac:dyDescent="0.35">
      <c r="A279" s="60">
        <v>2</v>
      </c>
      <c r="B279" s="60">
        <v>2</v>
      </c>
      <c r="C279" s="60" t="s">
        <v>120</v>
      </c>
      <c r="D279" s="60">
        <f>27.52*10.764</f>
        <v>296.22528</v>
      </c>
      <c r="E279" s="60">
        <v>0</v>
      </c>
      <c r="F279" s="60">
        <f>D279</f>
        <v>296.22528</v>
      </c>
      <c r="G279" s="60">
        <v>0</v>
      </c>
      <c r="H279" s="60">
        <v>440</v>
      </c>
      <c r="I279" s="116"/>
      <c r="J279" s="116"/>
    </row>
    <row r="280" spans="1:13" ht="15" x14ac:dyDescent="0.35">
      <c r="A280" s="117" t="s">
        <v>160</v>
      </c>
      <c r="B280" s="117"/>
      <c r="C280" s="117"/>
      <c r="D280" s="117"/>
      <c r="E280" s="117"/>
      <c r="F280" s="117"/>
      <c r="G280" s="117"/>
      <c r="H280" s="117"/>
      <c r="I280" s="117"/>
      <c r="J280" s="117"/>
    </row>
    <row r="281" spans="1:13" ht="15.5" x14ac:dyDescent="0.35">
      <c r="A281" s="60">
        <v>1</v>
      </c>
      <c r="B281" s="60">
        <v>1</v>
      </c>
      <c r="C281" s="60" t="s">
        <v>120</v>
      </c>
      <c r="D281" s="60">
        <f>(31.64+(0.75*(1.71+2.25+2.98)))*10.764</f>
        <v>396.59957999999995</v>
      </c>
      <c r="E281" s="60">
        <v>0</v>
      </c>
      <c r="F281" s="60">
        <f>D281</f>
        <v>396.59957999999995</v>
      </c>
      <c r="G281" s="60">
        <v>0</v>
      </c>
      <c r="H281" s="60">
        <v>590</v>
      </c>
      <c r="I281" s="116" t="str">
        <f>A280</f>
        <v>1st To 4th Floor</v>
      </c>
      <c r="J281" s="116"/>
      <c r="K281">
        <f>2065000/590</f>
        <v>3500</v>
      </c>
    </row>
    <row r="282" spans="1:13" ht="15.5" x14ac:dyDescent="0.35">
      <c r="A282" s="60">
        <v>2</v>
      </c>
      <c r="B282" s="60">
        <v>2</v>
      </c>
      <c r="C282" s="60" t="s">
        <v>120</v>
      </c>
      <c r="D282" s="60">
        <f t="shared" ref="D282:D284" si="10">(31.64+(0.75*(1.71+2.25+2.98)))*10.764</f>
        <v>396.59957999999995</v>
      </c>
      <c r="E282" s="60">
        <v>0</v>
      </c>
      <c r="F282" s="60">
        <f t="shared" ref="F282:F284" si="11">D282</f>
        <v>396.59957999999995</v>
      </c>
      <c r="G282" s="60">
        <v>0</v>
      </c>
      <c r="H282" s="60">
        <v>590</v>
      </c>
      <c r="I282" s="116"/>
      <c r="J282" s="116"/>
    </row>
    <row r="283" spans="1:13" ht="15.5" x14ac:dyDescent="0.35">
      <c r="A283" s="60">
        <v>3</v>
      </c>
      <c r="B283" s="60">
        <v>3</v>
      </c>
      <c r="C283" s="60" t="s">
        <v>120</v>
      </c>
      <c r="D283" s="60">
        <f t="shared" si="10"/>
        <v>396.59957999999995</v>
      </c>
      <c r="E283" s="60">
        <v>0</v>
      </c>
      <c r="F283" s="60">
        <f t="shared" si="11"/>
        <v>396.59957999999995</v>
      </c>
      <c r="G283" s="60">
        <v>0</v>
      </c>
      <c r="H283" s="60">
        <v>590</v>
      </c>
      <c r="I283" s="116"/>
      <c r="J283" s="116"/>
    </row>
    <row r="284" spans="1:13" ht="15.5" x14ac:dyDescent="0.35">
      <c r="A284" s="60">
        <v>4</v>
      </c>
      <c r="B284" s="60">
        <v>4</v>
      </c>
      <c r="C284" s="60" t="s">
        <v>120</v>
      </c>
      <c r="D284" s="60">
        <f t="shared" si="10"/>
        <v>396.59957999999995</v>
      </c>
      <c r="E284" s="60">
        <v>0</v>
      </c>
      <c r="F284" s="60">
        <f t="shared" si="11"/>
        <v>396.59957999999995</v>
      </c>
      <c r="G284" s="60">
        <v>0</v>
      </c>
      <c r="H284" s="60">
        <v>590</v>
      </c>
      <c r="I284" s="116"/>
      <c r="J284" s="116"/>
    </row>
    <row r="285" spans="1:13" ht="15" x14ac:dyDescent="0.35">
      <c r="A285" s="117" t="s">
        <v>220</v>
      </c>
      <c r="B285" s="117"/>
      <c r="C285" s="117"/>
      <c r="D285" s="117"/>
      <c r="E285" s="117"/>
      <c r="F285" s="117"/>
      <c r="G285" s="117"/>
      <c r="H285" s="117"/>
      <c r="I285" s="117"/>
      <c r="J285" s="117"/>
    </row>
    <row r="286" spans="1:13" ht="15" x14ac:dyDescent="0.35">
      <c r="A286" s="117" t="s">
        <v>159</v>
      </c>
      <c r="B286" s="117"/>
      <c r="C286" s="117"/>
      <c r="D286" s="117"/>
      <c r="E286" s="117"/>
      <c r="F286" s="117"/>
      <c r="G286" s="117"/>
      <c r="H286" s="117"/>
      <c r="I286" s="117"/>
      <c r="J286" s="117"/>
      <c r="L286">
        <f>3.95*2.88+2.73*2.65+2.1*1.88+1.05*1.2+1.5*1.2+1.05*1.2</f>
        <v>26.878500000000003</v>
      </c>
    </row>
    <row r="287" spans="1:13" ht="15.75" customHeight="1" x14ac:dyDescent="0.35">
      <c r="A287" s="10">
        <v>1</v>
      </c>
      <c r="B287" s="10">
        <v>1</v>
      </c>
      <c r="C287" s="10" t="s">
        <v>120</v>
      </c>
      <c r="D287" s="10">
        <f>27*10.764</f>
        <v>290.62799999999999</v>
      </c>
      <c r="E287" s="10">
        <v>0</v>
      </c>
      <c r="F287" s="10">
        <f t="shared" ref="F287:F292" si="12">D287</f>
        <v>290.62799999999999</v>
      </c>
      <c r="G287" s="10">
        <v>0</v>
      </c>
      <c r="H287" s="10">
        <v>430</v>
      </c>
      <c r="I287" s="116" t="s">
        <v>119</v>
      </c>
      <c r="J287" s="116"/>
      <c r="K287">
        <f>440/F287</f>
        <v>1.5139628666198715</v>
      </c>
    </row>
    <row r="288" spans="1:13" ht="15.5" x14ac:dyDescent="0.35">
      <c r="A288" s="10">
        <v>2</v>
      </c>
      <c r="B288" s="10">
        <v>2</v>
      </c>
      <c r="C288" s="10" t="s">
        <v>121</v>
      </c>
      <c r="D288" s="10">
        <f>17.5*10.764</f>
        <v>188.36999999999998</v>
      </c>
      <c r="E288" s="10">
        <v>0</v>
      </c>
      <c r="F288" s="10">
        <f t="shared" si="12"/>
        <v>188.36999999999998</v>
      </c>
      <c r="G288" s="10">
        <v>0</v>
      </c>
      <c r="H288" s="10">
        <v>280</v>
      </c>
      <c r="I288" s="116"/>
      <c r="J288" s="116"/>
    </row>
    <row r="289" spans="1:11" ht="15.75" customHeight="1" x14ac:dyDescent="0.35">
      <c r="A289" s="10">
        <v>3</v>
      </c>
      <c r="B289" s="10">
        <v>3</v>
      </c>
      <c r="C289" s="10" t="s">
        <v>121</v>
      </c>
      <c r="D289" s="10">
        <f>19.83*10.764</f>
        <v>213.45011999999997</v>
      </c>
      <c r="E289" s="10">
        <v>0</v>
      </c>
      <c r="F289" s="10">
        <f t="shared" si="12"/>
        <v>213.45011999999997</v>
      </c>
      <c r="G289" s="10">
        <v>0</v>
      </c>
      <c r="H289" s="10">
        <v>320</v>
      </c>
      <c r="I289" s="116"/>
      <c r="J289" s="116"/>
      <c r="K289">
        <f>440/F289</f>
        <v>2.0613715279241824</v>
      </c>
    </row>
    <row r="290" spans="1:11" ht="15.5" x14ac:dyDescent="0.35">
      <c r="A290" s="10">
        <v>4</v>
      </c>
      <c r="B290" s="10">
        <v>4</v>
      </c>
      <c r="C290" s="10" t="s">
        <v>121</v>
      </c>
      <c r="D290" s="10">
        <f>19.83*10.764</f>
        <v>213.45011999999997</v>
      </c>
      <c r="E290" s="10">
        <v>0</v>
      </c>
      <c r="F290" s="10">
        <f t="shared" si="12"/>
        <v>213.45011999999997</v>
      </c>
      <c r="G290" s="10">
        <v>0</v>
      </c>
      <c r="H290" s="10">
        <v>320</v>
      </c>
      <c r="I290" s="116"/>
      <c r="J290" s="116"/>
    </row>
    <row r="291" spans="1:11" ht="15.75" customHeight="1" x14ac:dyDescent="0.35">
      <c r="A291" s="10">
        <v>5</v>
      </c>
      <c r="B291" s="10">
        <v>5</v>
      </c>
      <c r="C291" s="10" t="s">
        <v>121</v>
      </c>
      <c r="D291" s="10">
        <f>17.5*10.764</f>
        <v>188.36999999999998</v>
      </c>
      <c r="E291" s="10">
        <v>0</v>
      </c>
      <c r="F291" s="10">
        <f t="shared" si="12"/>
        <v>188.36999999999998</v>
      </c>
      <c r="G291" s="10">
        <v>0</v>
      </c>
      <c r="H291" s="10">
        <v>280</v>
      </c>
      <c r="I291" s="116"/>
      <c r="J291" s="116"/>
    </row>
    <row r="292" spans="1:11" ht="15.5" x14ac:dyDescent="0.35">
      <c r="A292" s="10">
        <v>6</v>
      </c>
      <c r="B292" s="10">
        <v>6</v>
      </c>
      <c r="C292" s="10" t="s">
        <v>120</v>
      </c>
      <c r="D292" s="10">
        <f>27*10.764</f>
        <v>290.62799999999999</v>
      </c>
      <c r="E292" s="10">
        <v>0</v>
      </c>
      <c r="F292" s="10">
        <f t="shared" si="12"/>
        <v>290.62799999999999</v>
      </c>
      <c r="G292" s="10">
        <v>0</v>
      </c>
      <c r="H292" s="10">
        <v>430</v>
      </c>
      <c r="I292" s="116"/>
      <c r="J292" s="116"/>
    </row>
    <row r="293" spans="1:11" ht="15" x14ac:dyDescent="0.35">
      <c r="A293" s="117" t="s">
        <v>160</v>
      </c>
      <c r="B293" s="117"/>
      <c r="C293" s="117"/>
      <c r="D293" s="117"/>
      <c r="E293" s="117"/>
      <c r="F293" s="117"/>
      <c r="G293" s="117"/>
      <c r="H293" s="117"/>
      <c r="I293" s="117"/>
      <c r="J293" s="117"/>
    </row>
    <row r="294" spans="1:11" ht="15.75" customHeight="1" x14ac:dyDescent="0.35">
      <c r="A294" s="10">
        <v>1</v>
      </c>
      <c r="B294" s="10">
        <v>1</v>
      </c>
      <c r="C294" s="10" t="s">
        <v>120</v>
      </c>
      <c r="D294" s="10">
        <f>(31.65+(0.75*(1.17+2.88)))*10.764</f>
        <v>373.37624999999997</v>
      </c>
      <c r="E294" s="10">
        <v>0</v>
      </c>
      <c r="F294" s="10">
        <f>D294</f>
        <v>373.37624999999997</v>
      </c>
      <c r="G294" s="10">
        <v>0</v>
      </c>
      <c r="H294" s="10">
        <v>570</v>
      </c>
      <c r="I294" s="116" t="str">
        <f>A293</f>
        <v>1st To 4th Floor</v>
      </c>
      <c r="J294" s="116"/>
      <c r="K294">
        <f>440/F294</f>
        <v>1.1784359610446569</v>
      </c>
    </row>
    <row r="295" spans="1:11" ht="15.5" x14ac:dyDescent="0.35">
      <c r="A295" s="10">
        <v>2</v>
      </c>
      <c r="B295" s="10">
        <v>2</v>
      </c>
      <c r="C295" s="10" t="s">
        <v>120</v>
      </c>
      <c r="D295" s="10">
        <f>(31.65+(0.75*(1.17+2.88+2.25)))*10.764</f>
        <v>391.54049999999995</v>
      </c>
      <c r="E295" s="10">
        <v>0</v>
      </c>
      <c r="F295" s="10">
        <f t="shared" ref="F295:F299" si="13">D295</f>
        <v>391.54049999999995</v>
      </c>
      <c r="G295" s="10">
        <v>0</v>
      </c>
      <c r="H295" s="10">
        <v>590</v>
      </c>
      <c r="I295" s="116"/>
      <c r="J295" s="116"/>
      <c r="K295">
        <f>570/F295</f>
        <v>1.4557880985491924</v>
      </c>
    </row>
    <row r="296" spans="1:11" ht="15.75" customHeight="1" x14ac:dyDescent="0.35">
      <c r="A296" s="10">
        <v>3</v>
      </c>
      <c r="B296" s="10">
        <v>3</v>
      </c>
      <c r="C296" s="10" t="s">
        <v>121</v>
      </c>
      <c r="D296" s="10">
        <f>(17.5+0.75*2.73)*10.764</f>
        <v>210.40928999999997</v>
      </c>
      <c r="E296" s="10">
        <v>0</v>
      </c>
      <c r="F296" s="10">
        <f t="shared" si="13"/>
        <v>210.40928999999997</v>
      </c>
      <c r="G296" s="10">
        <v>0</v>
      </c>
      <c r="H296" s="10">
        <v>315</v>
      </c>
      <c r="I296" s="116"/>
      <c r="J296" s="116"/>
      <c r="K296">
        <f>440/F296</f>
        <v>2.091162419682135</v>
      </c>
    </row>
    <row r="297" spans="1:11" ht="15.5" x14ac:dyDescent="0.35">
      <c r="A297" s="10">
        <v>4</v>
      </c>
      <c r="B297" s="10">
        <v>4</v>
      </c>
      <c r="C297" s="10" t="s">
        <v>121</v>
      </c>
      <c r="D297" s="10">
        <f>(19.83+0.75*2.2)*10.764</f>
        <v>231.21071999999995</v>
      </c>
      <c r="E297" s="10">
        <v>0</v>
      </c>
      <c r="F297" s="10">
        <f t="shared" si="13"/>
        <v>231.21071999999995</v>
      </c>
      <c r="G297" s="10">
        <v>0</v>
      </c>
      <c r="H297" s="10">
        <v>350</v>
      </c>
      <c r="I297" s="116"/>
      <c r="J297" s="116"/>
    </row>
    <row r="298" spans="1:11" ht="15.75" customHeight="1" x14ac:dyDescent="0.35">
      <c r="A298" s="10">
        <v>5</v>
      </c>
      <c r="B298" s="10">
        <v>5</v>
      </c>
      <c r="C298" s="10" t="s">
        <v>121</v>
      </c>
      <c r="D298" s="10">
        <f>(19.83+0.75*2.2)*10.764</f>
        <v>231.21071999999995</v>
      </c>
      <c r="E298" s="10">
        <v>0</v>
      </c>
      <c r="F298" s="10">
        <f t="shared" si="13"/>
        <v>231.21071999999995</v>
      </c>
      <c r="G298" s="10">
        <v>0</v>
      </c>
      <c r="H298" s="10">
        <v>350</v>
      </c>
      <c r="I298" s="116"/>
      <c r="J298" s="116"/>
    </row>
    <row r="299" spans="1:11" ht="15.5" x14ac:dyDescent="0.35">
      <c r="A299" s="10">
        <v>6</v>
      </c>
      <c r="B299" s="10">
        <v>6</v>
      </c>
      <c r="C299" s="10" t="s">
        <v>121</v>
      </c>
      <c r="D299" s="10">
        <f>27*10.764</f>
        <v>290.62799999999999</v>
      </c>
      <c r="E299" s="10">
        <v>0</v>
      </c>
      <c r="F299" s="10">
        <f t="shared" si="13"/>
        <v>290.62799999999999</v>
      </c>
      <c r="G299" s="10">
        <v>0</v>
      </c>
      <c r="H299" s="10">
        <v>315</v>
      </c>
      <c r="I299" s="116"/>
      <c r="J299" s="116"/>
    </row>
    <row r="300" spans="1:11" ht="15.75" customHeight="1" x14ac:dyDescent="0.35">
      <c r="A300" s="10">
        <v>7</v>
      </c>
      <c r="B300" s="10">
        <v>7</v>
      </c>
      <c r="C300" s="10" t="s">
        <v>120</v>
      </c>
      <c r="D300" s="10">
        <f>(31.65+(0.75*(1.17+2.98+2.25)))*10.764</f>
        <v>392.34780000000001</v>
      </c>
      <c r="E300" s="10">
        <v>0</v>
      </c>
      <c r="F300" s="10">
        <f>D300</f>
        <v>392.34780000000001</v>
      </c>
      <c r="G300" s="10">
        <v>0</v>
      </c>
      <c r="H300" s="10">
        <v>595</v>
      </c>
      <c r="I300" s="116"/>
      <c r="J300" s="116"/>
    </row>
    <row r="301" spans="1:11" ht="15.5" x14ac:dyDescent="0.35">
      <c r="A301" s="10">
        <v>8</v>
      </c>
      <c r="B301" s="10">
        <v>8</v>
      </c>
      <c r="C301" s="10" t="s">
        <v>120</v>
      </c>
      <c r="D301" s="10">
        <f>(31.65+(0.75*(1.17+2.98+2.25)))*10.764</f>
        <v>392.34780000000001</v>
      </c>
      <c r="E301" s="10">
        <v>0</v>
      </c>
      <c r="F301" s="10">
        <f t="shared" ref="F301" si="14">D301</f>
        <v>392.34780000000001</v>
      </c>
      <c r="G301" s="10">
        <v>0</v>
      </c>
      <c r="H301" s="10">
        <v>595</v>
      </c>
      <c r="I301" s="116"/>
      <c r="J301" s="116"/>
    </row>
    <row r="302" spans="1:11" ht="15" x14ac:dyDescent="0.35">
      <c r="A302" s="117" t="s">
        <v>221</v>
      </c>
      <c r="B302" s="117"/>
      <c r="C302" s="117"/>
      <c r="D302" s="117"/>
      <c r="E302" s="117"/>
      <c r="F302" s="117"/>
      <c r="G302" s="117"/>
      <c r="H302" s="117"/>
      <c r="I302" s="117"/>
      <c r="J302" s="117"/>
    </row>
    <row r="303" spans="1:11" ht="15" x14ac:dyDescent="0.35">
      <c r="A303" s="117" t="s">
        <v>159</v>
      </c>
      <c r="B303" s="117"/>
      <c r="C303" s="117"/>
      <c r="D303" s="117"/>
      <c r="E303" s="117"/>
      <c r="F303" s="117"/>
      <c r="G303" s="117"/>
      <c r="H303" s="117"/>
      <c r="I303" s="117"/>
      <c r="J303" s="117"/>
    </row>
    <row r="304" spans="1:11" ht="15.5" x14ac:dyDescent="0.35">
      <c r="A304" s="10">
        <v>1</v>
      </c>
      <c r="B304" s="10">
        <v>1</v>
      </c>
      <c r="C304" s="10" t="s">
        <v>120</v>
      </c>
      <c r="D304" s="10">
        <f>27.52*10.764</f>
        <v>296.22528</v>
      </c>
      <c r="E304" s="10">
        <v>0</v>
      </c>
      <c r="F304" s="10">
        <f>D304</f>
        <v>296.22528</v>
      </c>
      <c r="G304" s="10">
        <v>0</v>
      </c>
      <c r="H304" s="10">
        <v>440</v>
      </c>
      <c r="I304" s="116" t="s">
        <v>119</v>
      </c>
      <c r="J304" s="116"/>
    </row>
    <row r="305" spans="1:11" ht="15.5" x14ac:dyDescent="0.35">
      <c r="A305" s="10">
        <v>2</v>
      </c>
      <c r="B305" s="10">
        <v>2</v>
      </c>
      <c r="C305" s="10" t="s">
        <v>120</v>
      </c>
      <c r="D305" s="10">
        <f>27.52*10.764</f>
        <v>296.22528</v>
      </c>
      <c r="E305" s="10">
        <v>0</v>
      </c>
      <c r="F305" s="10">
        <f>D305</f>
        <v>296.22528</v>
      </c>
      <c r="G305" s="10">
        <v>0</v>
      </c>
      <c r="H305" s="10">
        <v>440</v>
      </c>
      <c r="I305" s="116"/>
      <c r="J305" s="116"/>
    </row>
    <row r="306" spans="1:11" ht="15" x14ac:dyDescent="0.35">
      <c r="A306" s="117" t="s">
        <v>160</v>
      </c>
      <c r="B306" s="117"/>
      <c r="C306" s="117"/>
      <c r="D306" s="117"/>
      <c r="E306" s="117"/>
      <c r="F306" s="117"/>
      <c r="G306" s="117"/>
      <c r="H306" s="117"/>
      <c r="I306" s="117"/>
      <c r="J306" s="117"/>
    </row>
    <row r="307" spans="1:11" ht="15.75" customHeight="1" x14ac:dyDescent="0.35">
      <c r="A307" s="10">
        <v>1</v>
      </c>
      <c r="B307" s="10">
        <v>1</v>
      </c>
      <c r="C307" s="10" t="s">
        <v>120</v>
      </c>
      <c r="D307" s="10">
        <f>(31.64+(0.75*(1.85+2.25+2.88)))*10.764</f>
        <v>396.92249999999996</v>
      </c>
      <c r="E307" s="10">
        <v>0</v>
      </c>
      <c r="F307" s="10">
        <f>D307</f>
        <v>396.92249999999996</v>
      </c>
      <c r="G307" s="10">
        <v>0</v>
      </c>
      <c r="H307" s="10">
        <v>590</v>
      </c>
      <c r="I307" s="116" t="str">
        <f>A306</f>
        <v>1st To 4th Floor</v>
      </c>
      <c r="J307" s="116"/>
      <c r="K307">
        <f>2700*H307</f>
        <v>1593000</v>
      </c>
    </row>
    <row r="308" spans="1:11" ht="15.5" x14ac:dyDescent="0.35">
      <c r="A308" s="10">
        <v>2</v>
      </c>
      <c r="B308" s="10">
        <v>2</v>
      </c>
      <c r="C308" s="10" t="s">
        <v>120</v>
      </c>
      <c r="D308" s="10">
        <f>(31.64+(0.75*(1.85+2.25+2.88)))*10.764</f>
        <v>396.92249999999996</v>
      </c>
      <c r="E308" s="10">
        <v>0</v>
      </c>
      <c r="F308" s="10">
        <f t="shared" ref="F308:F310" si="15">D308</f>
        <v>396.92249999999996</v>
      </c>
      <c r="G308" s="10">
        <v>0</v>
      </c>
      <c r="H308" s="10">
        <v>590</v>
      </c>
      <c r="I308" s="116"/>
      <c r="J308" s="116"/>
    </row>
    <row r="309" spans="1:11" ht="15.5" x14ac:dyDescent="0.35">
      <c r="A309" s="10">
        <v>3</v>
      </c>
      <c r="B309" s="10">
        <v>3</v>
      </c>
      <c r="C309" s="10" t="s">
        <v>120</v>
      </c>
      <c r="D309" s="10">
        <f t="shared" ref="D309:D310" si="16">(31.64+(0.75*(1.85+2.25+2.88)))*10.764</f>
        <v>396.92249999999996</v>
      </c>
      <c r="E309" s="10">
        <v>0</v>
      </c>
      <c r="F309" s="10">
        <f t="shared" si="15"/>
        <v>396.92249999999996</v>
      </c>
      <c r="G309" s="10">
        <v>0</v>
      </c>
      <c r="H309" s="10">
        <v>590</v>
      </c>
      <c r="I309" s="116"/>
      <c r="J309" s="116"/>
    </row>
    <row r="310" spans="1:11" ht="15.5" x14ac:dyDescent="0.35">
      <c r="A310" s="10">
        <v>4</v>
      </c>
      <c r="B310" s="10">
        <v>4</v>
      </c>
      <c r="C310" s="10" t="s">
        <v>120</v>
      </c>
      <c r="D310" s="10">
        <f t="shared" si="16"/>
        <v>396.92249999999996</v>
      </c>
      <c r="E310" s="10">
        <v>0</v>
      </c>
      <c r="F310" s="10">
        <f t="shared" si="15"/>
        <v>396.92249999999996</v>
      </c>
      <c r="G310" s="10">
        <v>0</v>
      </c>
      <c r="H310" s="10">
        <v>590</v>
      </c>
      <c r="I310" s="116"/>
      <c r="J310" s="116"/>
    </row>
    <row r="311" spans="1:11" ht="15" x14ac:dyDescent="0.35">
      <c r="A311" s="117" t="s">
        <v>223</v>
      </c>
      <c r="B311" s="117"/>
      <c r="C311" s="117"/>
      <c r="D311" s="117"/>
      <c r="E311" s="117"/>
      <c r="F311" s="117"/>
      <c r="G311" s="117"/>
      <c r="H311" s="117"/>
      <c r="I311" s="117"/>
      <c r="J311" s="117"/>
    </row>
    <row r="312" spans="1:11" ht="15" x14ac:dyDescent="0.35">
      <c r="A312" s="117" t="s">
        <v>159</v>
      </c>
      <c r="B312" s="117"/>
      <c r="C312" s="117"/>
      <c r="D312" s="117"/>
      <c r="E312" s="117"/>
      <c r="F312" s="117"/>
      <c r="G312" s="117"/>
      <c r="H312" s="117"/>
      <c r="I312" s="117"/>
      <c r="J312" s="117"/>
    </row>
    <row r="313" spans="1:11" ht="15.75" customHeight="1" x14ac:dyDescent="0.35">
      <c r="A313" s="60">
        <v>1</v>
      </c>
      <c r="B313" s="60">
        <v>1</v>
      </c>
      <c r="C313" s="60" t="s">
        <v>222</v>
      </c>
      <c r="D313" s="60">
        <f>11.38*10.764</f>
        <v>122.49432</v>
      </c>
      <c r="E313" s="60">
        <v>0</v>
      </c>
      <c r="F313" s="60">
        <f t="shared" ref="F313:F328" si="17">D313</f>
        <v>122.49432</v>
      </c>
      <c r="G313" s="60">
        <v>0</v>
      </c>
      <c r="H313" s="60">
        <v>244</v>
      </c>
      <c r="I313" s="116" t="str">
        <f>A312</f>
        <v>Ground Floor is For Parking &amp; Residential</v>
      </c>
      <c r="J313" s="116"/>
      <c r="K313">
        <f>1100000/H313</f>
        <v>4508.1967213114758</v>
      </c>
    </row>
    <row r="314" spans="1:11" ht="15.75" customHeight="1" x14ac:dyDescent="0.35">
      <c r="A314" s="60">
        <v>2</v>
      </c>
      <c r="B314" s="60">
        <v>2</v>
      </c>
      <c r="C314" s="60" t="s">
        <v>222</v>
      </c>
      <c r="D314" s="60">
        <f>13.68*10.764</f>
        <v>147.25152</v>
      </c>
      <c r="E314" s="60">
        <v>0</v>
      </c>
      <c r="F314" s="60">
        <f t="shared" si="17"/>
        <v>147.25152</v>
      </c>
      <c r="G314" s="60">
        <v>0</v>
      </c>
      <c r="H314" s="60">
        <v>294</v>
      </c>
      <c r="I314" s="116"/>
      <c r="J314" s="116"/>
    </row>
    <row r="315" spans="1:11" ht="15.75" customHeight="1" x14ac:dyDescent="0.35">
      <c r="A315" s="60">
        <v>3</v>
      </c>
      <c r="B315" s="60">
        <v>3</v>
      </c>
      <c r="C315" s="60" t="s">
        <v>222</v>
      </c>
      <c r="D315" s="60">
        <f>12.77*10.764</f>
        <v>137.45627999999999</v>
      </c>
      <c r="E315" s="60">
        <v>0</v>
      </c>
      <c r="F315" s="60">
        <f t="shared" si="17"/>
        <v>137.45627999999999</v>
      </c>
      <c r="G315" s="60">
        <v>0</v>
      </c>
      <c r="H315" s="60">
        <v>274</v>
      </c>
      <c r="I315" s="116"/>
      <c r="J315" s="116"/>
      <c r="K315">
        <f>1600000/H315</f>
        <v>5839.4160583941602</v>
      </c>
    </row>
    <row r="316" spans="1:11" ht="15.75" customHeight="1" x14ac:dyDescent="0.35">
      <c r="A316" s="60">
        <v>4</v>
      </c>
      <c r="B316" s="60">
        <v>4</v>
      </c>
      <c r="C316" s="60" t="s">
        <v>222</v>
      </c>
      <c r="D316" s="60">
        <f>16.25*10.764</f>
        <v>174.91499999999999</v>
      </c>
      <c r="E316" s="60">
        <v>0</v>
      </c>
      <c r="F316" s="60">
        <f t="shared" si="17"/>
        <v>174.91499999999999</v>
      </c>
      <c r="G316" s="60">
        <v>0</v>
      </c>
      <c r="H316" s="60">
        <v>350</v>
      </c>
      <c r="I316" s="116"/>
      <c r="J316" s="116"/>
    </row>
    <row r="317" spans="1:11" ht="15.75" customHeight="1" x14ac:dyDescent="0.35">
      <c r="A317" s="60">
        <v>5</v>
      </c>
      <c r="B317" s="60">
        <v>5</v>
      </c>
      <c r="C317" s="60" t="s">
        <v>222</v>
      </c>
      <c r="D317" s="60">
        <f>15.3*10.764</f>
        <v>164.6892</v>
      </c>
      <c r="E317" s="60">
        <v>0</v>
      </c>
      <c r="F317" s="60">
        <f t="shared" si="17"/>
        <v>164.6892</v>
      </c>
      <c r="G317" s="60">
        <v>0</v>
      </c>
      <c r="H317" s="60">
        <v>330</v>
      </c>
      <c r="I317" s="116"/>
      <c r="J317" s="116"/>
    </row>
    <row r="318" spans="1:11" ht="15.75" customHeight="1" x14ac:dyDescent="0.35">
      <c r="A318" s="60">
        <v>6</v>
      </c>
      <c r="B318" s="60">
        <v>6</v>
      </c>
      <c r="C318" s="60" t="s">
        <v>222</v>
      </c>
      <c r="D318" s="60">
        <f>11.61*10.764</f>
        <v>124.97003999999998</v>
      </c>
      <c r="E318" s="60">
        <v>0</v>
      </c>
      <c r="F318" s="60">
        <f t="shared" si="17"/>
        <v>124.97003999999998</v>
      </c>
      <c r="G318" s="60">
        <v>0</v>
      </c>
      <c r="H318" s="60">
        <v>250</v>
      </c>
      <c r="I318" s="116"/>
      <c r="J318" s="116"/>
    </row>
    <row r="319" spans="1:11" ht="15.75" customHeight="1" x14ac:dyDescent="0.35">
      <c r="A319" s="60">
        <v>7</v>
      </c>
      <c r="B319" s="60">
        <v>7</v>
      </c>
      <c r="C319" s="60" t="s">
        <v>222</v>
      </c>
      <c r="D319" s="60">
        <f>11.61*10.764</f>
        <v>124.97003999999998</v>
      </c>
      <c r="E319" s="60">
        <v>0</v>
      </c>
      <c r="F319" s="60">
        <f t="shared" si="17"/>
        <v>124.97003999999998</v>
      </c>
      <c r="G319" s="60">
        <v>0</v>
      </c>
      <c r="H319" s="60">
        <v>250</v>
      </c>
      <c r="I319" s="116"/>
      <c r="J319" s="116"/>
    </row>
    <row r="320" spans="1:11" ht="15.75" customHeight="1" x14ac:dyDescent="0.35">
      <c r="A320" s="60">
        <v>8</v>
      </c>
      <c r="B320" s="60">
        <v>8</v>
      </c>
      <c r="C320" s="60" t="s">
        <v>222</v>
      </c>
      <c r="D320" s="60">
        <f>15.3*10.764</f>
        <v>164.6892</v>
      </c>
      <c r="E320" s="60">
        <v>0</v>
      </c>
      <c r="F320" s="60">
        <f t="shared" si="17"/>
        <v>164.6892</v>
      </c>
      <c r="G320" s="60">
        <v>0</v>
      </c>
      <c r="H320" s="60">
        <v>330</v>
      </c>
      <c r="I320" s="116"/>
      <c r="J320" s="116"/>
    </row>
    <row r="321" spans="1:10" ht="15.75" customHeight="1" x14ac:dyDescent="0.35">
      <c r="A321" s="60">
        <v>9</v>
      </c>
      <c r="B321" s="60">
        <v>9</v>
      </c>
      <c r="C321" s="60" t="s">
        <v>222</v>
      </c>
      <c r="D321" s="60">
        <f>12.6*10.764</f>
        <v>135.62639999999999</v>
      </c>
      <c r="E321" s="60">
        <v>0</v>
      </c>
      <c r="F321" s="60">
        <f t="shared" si="17"/>
        <v>135.62639999999999</v>
      </c>
      <c r="G321" s="60">
        <v>0</v>
      </c>
      <c r="H321" s="60">
        <v>275</v>
      </c>
      <c r="I321" s="116"/>
      <c r="J321" s="116"/>
    </row>
    <row r="322" spans="1:10" ht="15.75" customHeight="1" x14ac:dyDescent="0.35">
      <c r="A322" s="60">
        <v>10</v>
      </c>
      <c r="B322" s="60">
        <v>10</v>
      </c>
      <c r="C322" s="60" t="s">
        <v>222</v>
      </c>
      <c r="D322" s="60">
        <f>10.38*10.764</f>
        <v>111.73032000000001</v>
      </c>
      <c r="E322" s="60">
        <v>0</v>
      </c>
      <c r="F322" s="60">
        <f t="shared" si="17"/>
        <v>111.73032000000001</v>
      </c>
      <c r="G322" s="60">
        <v>0</v>
      </c>
      <c r="H322" s="60">
        <v>225</v>
      </c>
      <c r="I322" s="116"/>
      <c r="J322" s="116"/>
    </row>
    <row r="323" spans="1:10" ht="15.75" customHeight="1" x14ac:dyDescent="0.35">
      <c r="A323" s="60">
        <v>11</v>
      </c>
      <c r="B323" s="60">
        <v>11</v>
      </c>
      <c r="C323" s="60" t="s">
        <v>222</v>
      </c>
      <c r="D323" s="60">
        <f>15.3*10.764</f>
        <v>164.6892</v>
      </c>
      <c r="E323" s="60">
        <v>0</v>
      </c>
      <c r="F323" s="60">
        <f t="shared" si="17"/>
        <v>164.6892</v>
      </c>
      <c r="G323" s="60">
        <v>0</v>
      </c>
      <c r="H323" s="60">
        <v>330</v>
      </c>
      <c r="I323" s="116"/>
      <c r="J323" s="116"/>
    </row>
    <row r="324" spans="1:10" ht="15.75" customHeight="1" x14ac:dyDescent="0.35">
      <c r="A324" s="60">
        <v>12</v>
      </c>
      <c r="B324" s="60">
        <v>12</v>
      </c>
      <c r="C324" s="60" t="s">
        <v>222</v>
      </c>
      <c r="D324" s="60">
        <f>15.3*10.764</f>
        <v>164.6892</v>
      </c>
      <c r="E324" s="60">
        <v>0</v>
      </c>
      <c r="F324" s="60">
        <f t="shared" si="17"/>
        <v>164.6892</v>
      </c>
      <c r="G324" s="60">
        <v>0</v>
      </c>
      <c r="H324" s="60">
        <v>330</v>
      </c>
      <c r="I324" s="116"/>
      <c r="J324" s="116"/>
    </row>
    <row r="325" spans="1:10" ht="15.75" customHeight="1" x14ac:dyDescent="0.35">
      <c r="A325" s="60">
        <v>13</v>
      </c>
      <c r="B325" s="60">
        <v>13</v>
      </c>
      <c r="C325" s="60" t="s">
        <v>222</v>
      </c>
      <c r="D325" s="60">
        <f>10.24*10.764</f>
        <v>110.22336</v>
      </c>
      <c r="E325" s="60">
        <v>0</v>
      </c>
      <c r="F325" s="60">
        <f t="shared" si="17"/>
        <v>110.22336</v>
      </c>
      <c r="G325" s="60">
        <v>0</v>
      </c>
      <c r="H325" s="60">
        <v>275</v>
      </c>
      <c r="I325" s="116"/>
      <c r="J325" s="116"/>
    </row>
    <row r="326" spans="1:10" ht="15.75" customHeight="1" x14ac:dyDescent="0.35">
      <c r="A326" s="60">
        <v>14</v>
      </c>
      <c r="B326" s="60">
        <v>14</v>
      </c>
      <c r="C326" s="60" t="s">
        <v>222</v>
      </c>
      <c r="D326" s="60">
        <f>10.21*10.764</f>
        <v>109.90044</v>
      </c>
      <c r="E326" s="60">
        <v>0</v>
      </c>
      <c r="F326" s="60">
        <f t="shared" si="17"/>
        <v>109.90044</v>
      </c>
      <c r="G326" s="60">
        <v>0</v>
      </c>
      <c r="H326" s="60">
        <v>225</v>
      </c>
      <c r="I326" s="116"/>
      <c r="J326" s="116"/>
    </row>
    <row r="327" spans="1:10" ht="15.75" customHeight="1" x14ac:dyDescent="0.35">
      <c r="A327" s="60">
        <v>15</v>
      </c>
      <c r="B327" s="60">
        <v>15</v>
      </c>
      <c r="C327" s="60" t="s">
        <v>222</v>
      </c>
      <c r="D327" s="60">
        <f>27.52*10.764</f>
        <v>296.22528</v>
      </c>
      <c r="E327" s="60">
        <v>0</v>
      </c>
      <c r="F327" s="60">
        <f t="shared" si="17"/>
        <v>296.22528</v>
      </c>
      <c r="G327" s="60">
        <v>0</v>
      </c>
      <c r="H327" s="60">
        <v>220</v>
      </c>
      <c r="I327" s="116"/>
      <c r="J327" s="116"/>
    </row>
    <row r="328" spans="1:10" ht="15.75" customHeight="1" x14ac:dyDescent="0.35">
      <c r="A328" s="60">
        <v>1</v>
      </c>
      <c r="B328" s="60">
        <v>1</v>
      </c>
      <c r="C328" s="60" t="s">
        <v>120</v>
      </c>
      <c r="D328" s="60">
        <f>26.97*10.764</f>
        <v>290.30507999999998</v>
      </c>
      <c r="E328" s="60">
        <v>0</v>
      </c>
      <c r="F328" s="60">
        <f t="shared" si="17"/>
        <v>290.30507999999998</v>
      </c>
      <c r="G328" s="60">
        <v>0</v>
      </c>
      <c r="H328" s="60">
        <v>430</v>
      </c>
      <c r="I328" s="116"/>
      <c r="J328" s="116"/>
    </row>
    <row r="329" spans="1:10" ht="15.5" x14ac:dyDescent="0.35">
      <c r="A329" s="60">
        <v>2</v>
      </c>
      <c r="B329" s="60">
        <v>2</v>
      </c>
      <c r="C329" s="60" t="s">
        <v>121</v>
      </c>
      <c r="D329" s="60">
        <f>21.4*10.764</f>
        <v>230.34959999999998</v>
      </c>
      <c r="E329" s="60">
        <v>0</v>
      </c>
      <c r="F329" s="60">
        <f t="shared" ref="F329" si="18">D329</f>
        <v>230.34959999999998</v>
      </c>
      <c r="G329" s="60">
        <v>0</v>
      </c>
      <c r="H329" s="60">
        <v>340</v>
      </c>
      <c r="I329" s="116"/>
      <c r="J329" s="116"/>
    </row>
    <row r="330" spans="1:10" ht="15" x14ac:dyDescent="0.35">
      <c r="A330" s="117" t="s">
        <v>224</v>
      </c>
      <c r="B330" s="117"/>
      <c r="C330" s="117"/>
      <c r="D330" s="117"/>
      <c r="E330" s="117"/>
      <c r="F330" s="117"/>
      <c r="G330" s="117"/>
      <c r="H330" s="117"/>
      <c r="I330" s="117"/>
      <c r="J330" s="117"/>
    </row>
    <row r="331" spans="1:10" ht="15.75" customHeight="1" x14ac:dyDescent="0.35">
      <c r="A331" s="10">
        <v>1</v>
      </c>
      <c r="B331" s="10">
        <v>1</v>
      </c>
      <c r="C331" s="10" t="s">
        <v>120</v>
      </c>
      <c r="D331" s="10">
        <f>(31.64+(0.75*(1.85+2.25+2.88)))*10.764</f>
        <v>396.92249999999996</v>
      </c>
      <c r="E331" s="10">
        <v>0</v>
      </c>
      <c r="F331" s="10">
        <f>D331</f>
        <v>396.92249999999996</v>
      </c>
      <c r="G331" s="10">
        <v>0</v>
      </c>
      <c r="H331" s="10">
        <v>590</v>
      </c>
      <c r="I331" s="116" t="str">
        <f>A330</f>
        <v>1st Floor</v>
      </c>
      <c r="J331" s="116"/>
    </row>
    <row r="332" spans="1:10" ht="15.5" x14ac:dyDescent="0.35">
      <c r="A332" s="10">
        <v>2</v>
      </c>
      <c r="B332" s="10">
        <v>2</v>
      </c>
      <c r="C332" s="10" t="s">
        <v>120</v>
      </c>
      <c r="D332" s="10">
        <f>(31.64+(0.75*(1.85+2.25+2.88)))*10.764</f>
        <v>396.92249999999996</v>
      </c>
      <c r="E332" s="10">
        <v>0</v>
      </c>
      <c r="F332" s="10">
        <f t="shared" ref="F332:F334" si="19">D332</f>
        <v>396.92249999999996</v>
      </c>
      <c r="G332" s="10">
        <v>0</v>
      </c>
      <c r="H332" s="10">
        <v>590</v>
      </c>
      <c r="I332" s="116"/>
      <c r="J332" s="116"/>
    </row>
    <row r="333" spans="1:10" ht="15.5" x14ac:dyDescent="0.35">
      <c r="A333" s="10">
        <v>3</v>
      </c>
      <c r="B333" s="10">
        <v>3</v>
      </c>
      <c r="C333" s="10" t="s">
        <v>120</v>
      </c>
      <c r="D333" s="10">
        <f>(31.27+(0.75*(2.73+2.2+2.88)))*10.764</f>
        <v>399.64040999999997</v>
      </c>
      <c r="E333" s="10">
        <v>0</v>
      </c>
      <c r="F333" s="10">
        <f t="shared" si="19"/>
        <v>399.64040999999997</v>
      </c>
      <c r="G333" s="10">
        <v>0</v>
      </c>
      <c r="H333" s="10">
        <v>595</v>
      </c>
      <c r="I333" s="116"/>
      <c r="J333" s="116"/>
    </row>
    <row r="334" spans="1:10" ht="15.5" x14ac:dyDescent="0.35">
      <c r="A334" s="10">
        <v>4</v>
      </c>
      <c r="B334" s="10">
        <v>4</v>
      </c>
      <c r="C334" s="10" t="s">
        <v>120</v>
      </c>
      <c r="D334" s="10">
        <f>(31.39+(0.75*(2.75+2.25+2.88)))*10.764</f>
        <v>401.49719999999996</v>
      </c>
      <c r="E334" s="10">
        <v>0</v>
      </c>
      <c r="F334" s="10">
        <f t="shared" si="19"/>
        <v>401.49719999999996</v>
      </c>
      <c r="G334" s="10">
        <v>0</v>
      </c>
      <c r="H334" s="10">
        <v>600</v>
      </c>
      <c r="I334" s="116"/>
      <c r="J334" s="116"/>
    </row>
    <row r="335" spans="1:10" ht="15.75" customHeight="1" x14ac:dyDescent="0.35">
      <c r="A335" s="10">
        <v>5</v>
      </c>
      <c r="B335" s="10">
        <v>5</v>
      </c>
      <c r="C335" s="10" t="s">
        <v>121</v>
      </c>
      <c r="D335" s="10">
        <f>(25.1+(0.75*(1.85+2.25+2.88)))*10.764</f>
        <v>326.52593999999999</v>
      </c>
      <c r="E335" s="10">
        <v>0</v>
      </c>
      <c r="F335" s="10">
        <f>D335</f>
        <v>326.52593999999999</v>
      </c>
      <c r="G335" s="10">
        <v>0</v>
      </c>
      <c r="H335" s="10">
        <v>400</v>
      </c>
      <c r="I335" s="116"/>
      <c r="J335" s="116"/>
    </row>
    <row r="336" spans="1:10" ht="15.5" x14ac:dyDescent="0.35">
      <c r="A336" s="10">
        <v>6</v>
      </c>
      <c r="B336" s="10">
        <v>6</v>
      </c>
      <c r="C336" s="10" t="s">
        <v>120</v>
      </c>
      <c r="D336" s="10">
        <f>(38.53+(0.75*(1.85+2.25+2.88)))*10.764</f>
        <v>471.08645999999999</v>
      </c>
      <c r="E336" s="10">
        <v>0</v>
      </c>
      <c r="F336" s="10">
        <f t="shared" ref="F336:F338" si="20">D336</f>
        <v>471.08645999999999</v>
      </c>
      <c r="G336" s="10">
        <v>0</v>
      </c>
      <c r="H336" s="10">
        <v>615</v>
      </c>
      <c r="I336" s="116"/>
      <c r="J336" s="116"/>
    </row>
    <row r="337" spans="1:10" ht="15.5" x14ac:dyDescent="0.35">
      <c r="A337" s="10">
        <v>7</v>
      </c>
      <c r="B337" s="10">
        <v>7</v>
      </c>
      <c r="C337" s="10" t="s">
        <v>120</v>
      </c>
      <c r="D337" s="10">
        <f>(31.55+(0.75*(2.74+2)))*10.764</f>
        <v>377.87022000000002</v>
      </c>
      <c r="E337" s="10">
        <v>0</v>
      </c>
      <c r="F337" s="10">
        <f t="shared" si="20"/>
        <v>377.87022000000002</v>
      </c>
      <c r="G337" s="10">
        <v>0</v>
      </c>
      <c r="H337" s="10">
        <v>540</v>
      </c>
      <c r="I337" s="116"/>
      <c r="J337" s="116"/>
    </row>
    <row r="338" spans="1:10" ht="15.5" x14ac:dyDescent="0.35">
      <c r="A338" s="10">
        <v>8</v>
      </c>
      <c r="B338" s="10">
        <v>8</v>
      </c>
      <c r="C338" s="10" t="s">
        <v>120</v>
      </c>
      <c r="D338" s="10">
        <f>(36.13+(0.75*(2.57+2.15)))*10.764</f>
        <v>427.00788</v>
      </c>
      <c r="E338" s="10">
        <v>0</v>
      </c>
      <c r="F338" s="10">
        <f t="shared" si="20"/>
        <v>427.00788</v>
      </c>
      <c r="G338" s="10">
        <v>0</v>
      </c>
      <c r="H338" s="10">
        <v>640</v>
      </c>
      <c r="I338" s="116"/>
      <c r="J338" s="116"/>
    </row>
    <row r="339" spans="1:10" ht="15.5" x14ac:dyDescent="0.35">
      <c r="A339" s="10">
        <v>9</v>
      </c>
      <c r="B339" s="10">
        <v>9</v>
      </c>
      <c r="C339" s="10" t="s">
        <v>120</v>
      </c>
      <c r="D339" s="10">
        <f>(34.7+(0.75*(2.73+2.48+2.48)))*10.764</f>
        <v>435.59217000000001</v>
      </c>
      <c r="E339" s="10">
        <v>0</v>
      </c>
      <c r="F339" s="10">
        <f t="shared" ref="F339:F340" si="21">D339</f>
        <v>435.59217000000001</v>
      </c>
      <c r="G339" s="10">
        <v>0</v>
      </c>
      <c r="H339" s="10">
        <v>650</v>
      </c>
      <c r="I339" s="116"/>
      <c r="J339" s="116"/>
    </row>
    <row r="340" spans="1:10" ht="15.5" x14ac:dyDescent="0.35">
      <c r="A340" s="10">
        <v>10</v>
      </c>
      <c r="B340" s="10">
        <v>10</v>
      </c>
      <c r="C340" s="10" t="s">
        <v>121</v>
      </c>
      <c r="D340" s="10">
        <f>(23.63+(0.75*(2.58+2.67)))*10.764</f>
        <v>296.73656999999997</v>
      </c>
      <c r="E340" s="10">
        <v>0</v>
      </c>
      <c r="F340" s="10">
        <f t="shared" si="21"/>
        <v>296.73656999999997</v>
      </c>
      <c r="G340" s="10">
        <v>0</v>
      </c>
      <c r="H340" s="10">
        <v>445</v>
      </c>
      <c r="I340" s="116"/>
      <c r="J340" s="116"/>
    </row>
    <row r="341" spans="1:10" ht="15.5" x14ac:dyDescent="0.35">
      <c r="A341" s="10">
        <v>11</v>
      </c>
      <c r="B341" s="10">
        <v>11</v>
      </c>
      <c r="C341" s="10" t="s">
        <v>121</v>
      </c>
      <c r="D341" s="10">
        <f>(21.53+(0.75*(2.58+2.16)))*10.764</f>
        <v>270.01493999999997</v>
      </c>
      <c r="E341" s="10">
        <v>0</v>
      </c>
      <c r="F341" s="10">
        <f t="shared" ref="F341" si="22">D341</f>
        <v>270.01493999999997</v>
      </c>
      <c r="G341" s="10">
        <v>0</v>
      </c>
      <c r="H341" s="10">
        <v>405</v>
      </c>
      <c r="I341" s="116"/>
      <c r="J341" s="116"/>
    </row>
    <row r="342" spans="1:10" ht="15" x14ac:dyDescent="0.35">
      <c r="A342" s="117" t="s">
        <v>225</v>
      </c>
      <c r="B342" s="117"/>
      <c r="C342" s="117"/>
      <c r="D342" s="117"/>
      <c r="E342" s="117"/>
      <c r="F342" s="117"/>
      <c r="G342" s="117"/>
      <c r="H342" s="117"/>
      <c r="I342" s="117"/>
      <c r="J342" s="117"/>
    </row>
    <row r="343" spans="1:10" ht="15.75" customHeight="1" x14ac:dyDescent="0.35">
      <c r="A343" s="10">
        <v>1</v>
      </c>
      <c r="B343" s="10">
        <v>1</v>
      </c>
      <c r="C343" s="10" t="s">
        <v>120</v>
      </c>
      <c r="D343" s="10">
        <f>(31.64+(0.75*(1.71+2.25+2.88)))*10.764</f>
        <v>395.79228000000001</v>
      </c>
      <c r="E343" s="10">
        <v>0</v>
      </c>
      <c r="F343" s="10">
        <f>D343</f>
        <v>395.79228000000001</v>
      </c>
      <c r="G343" s="10">
        <v>0</v>
      </c>
      <c r="H343" s="10">
        <v>590</v>
      </c>
      <c r="I343" s="116" t="str">
        <f>A342</f>
        <v>2nd To 4th Floor</v>
      </c>
      <c r="J343" s="116"/>
    </row>
    <row r="344" spans="1:10" ht="15.5" x14ac:dyDescent="0.35">
      <c r="A344" s="10">
        <v>2</v>
      </c>
      <c r="B344" s="10">
        <v>2</v>
      </c>
      <c r="C344" s="10" t="s">
        <v>120</v>
      </c>
      <c r="D344" s="10">
        <f>(31.64+(0.75*(1.71+2.25+2.88)))*10.764</f>
        <v>395.79228000000001</v>
      </c>
      <c r="E344" s="10">
        <v>0</v>
      </c>
      <c r="F344" s="10">
        <f t="shared" ref="F344:F346" si="23">D344</f>
        <v>395.79228000000001</v>
      </c>
      <c r="G344" s="10">
        <v>0</v>
      </c>
      <c r="H344" s="10">
        <v>590</v>
      </c>
      <c r="I344" s="116"/>
      <c r="J344" s="116"/>
    </row>
    <row r="345" spans="1:10" ht="15.5" x14ac:dyDescent="0.35">
      <c r="A345" s="10">
        <v>3</v>
      </c>
      <c r="B345" s="10">
        <v>3</v>
      </c>
      <c r="C345" s="10" t="s">
        <v>120</v>
      </c>
      <c r="D345" s="10">
        <f>(31.27+(0.75*(2.73+2.2+2.88)))*10.764</f>
        <v>399.64040999999997</v>
      </c>
      <c r="E345" s="10">
        <v>0</v>
      </c>
      <c r="F345" s="10">
        <f t="shared" si="23"/>
        <v>399.64040999999997</v>
      </c>
      <c r="G345" s="10">
        <v>0</v>
      </c>
      <c r="H345" s="10">
        <v>595</v>
      </c>
      <c r="I345" s="116"/>
      <c r="J345" s="116"/>
    </row>
    <row r="346" spans="1:10" ht="15.5" x14ac:dyDescent="0.35">
      <c r="A346" s="10">
        <v>4</v>
      </c>
      <c r="B346" s="10">
        <v>4</v>
      </c>
      <c r="C346" s="10" t="s">
        <v>120</v>
      </c>
      <c r="D346" s="10">
        <f>(32+(0.75*(2.58+2.5+2.72)))*10.764</f>
        <v>407.41739999999999</v>
      </c>
      <c r="E346" s="10">
        <v>0</v>
      </c>
      <c r="F346" s="10">
        <f t="shared" si="23"/>
        <v>407.41739999999999</v>
      </c>
      <c r="G346" s="10">
        <v>0</v>
      </c>
      <c r="H346" s="10">
        <v>605</v>
      </c>
      <c r="I346" s="116"/>
      <c r="J346" s="116"/>
    </row>
    <row r="347" spans="1:10" ht="15.75" customHeight="1" x14ac:dyDescent="0.35">
      <c r="A347" s="10">
        <v>5</v>
      </c>
      <c r="B347" s="10">
        <v>5</v>
      </c>
      <c r="C347" s="10" t="s">
        <v>120</v>
      </c>
      <c r="D347" s="10">
        <f>(33.85+(0.75*(2.58+2.3+2.76)))*10.764</f>
        <v>426.03911999999997</v>
      </c>
      <c r="E347" s="10">
        <v>0</v>
      </c>
      <c r="F347" s="10">
        <f>D347</f>
        <v>426.03911999999997</v>
      </c>
      <c r="G347" s="10">
        <v>0</v>
      </c>
      <c r="H347" s="10">
        <v>635</v>
      </c>
      <c r="I347" s="116"/>
      <c r="J347" s="116"/>
    </row>
    <row r="348" spans="1:10" ht="15.5" x14ac:dyDescent="0.35">
      <c r="A348" s="10">
        <v>6</v>
      </c>
      <c r="B348" s="10">
        <v>6</v>
      </c>
      <c r="C348" s="10" t="s">
        <v>121</v>
      </c>
      <c r="D348" s="10">
        <f>(22.7+(0.75*(2.58+2.48)))*10.764</f>
        <v>285.19218000000001</v>
      </c>
      <c r="E348" s="10">
        <v>0</v>
      </c>
      <c r="F348" s="10">
        <f t="shared" ref="F348:F353" si="24">D348</f>
        <v>285.19218000000001</v>
      </c>
      <c r="G348" s="10">
        <v>0</v>
      </c>
      <c r="H348" s="10">
        <v>425</v>
      </c>
      <c r="I348" s="116"/>
      <c r="J348" s="116"/>
    </row>
    <row r="349" spans="1:10" ht="15.5" x14ac:dyDescent="0.35">
      <c r="A349" s="10">
        <v>7</v>
      </c>
      <c r="B349" s="10">
        <v>7</v>
      </c>
      <c r="C349" s="10" t="s">
        <v>120</v>
      </c>
      <c r="D349" s="10">
        <f>(31.55+(0.75*(2.74+2.58+2.62+2)))*10.764</f>
        <v>419.84982000000002</v>
      </c>
      <c r="E349" s="10">
        <v>0</v>
      </c>
      <c r="F349" s="10">
        <f t="shared" si="24"/>
        <v>419.84982000000002</v>
      </c>
      <c r="G349" s="10">
        <v>0</v>
      </c>
      <c r="H349" s="10">
        <v>600</v>
      </c>
      <c r="I349" s="116"/>
      <c r="J349" s="116"/>
    </row>
    <row r="350" spans="1:10" ht="15.5" x14ac:dyDescent="0.35">
      <c r="A350" s="10">
        <v>8</v>
      </c>
      <c r="B350" s="10">
        <v>8</v>
      </c>
      <c r="C350" s="10" t="s">
        <v>163</v>
      </c>
      <c r="D350" s="10">
        <f>(48.22+(0.75*(3.1+2.5+2.67+2.73)))*10.764</f>
        <v>607.84307999999999</v>
      </c>
      <c r="E350" s="10">
        <v>0</v>
      </c>
      <c r="F350" s="10">
        <f t="shared" si="24"/>
        <v>607.84307999999999</v>
      </c>
      <c r="G350" s="10">
        <v>0</v>
      </c>
      <c r="H350" s="10">
        <v>860</v>
      </c>
      <c r="I350" s="116"/>
      <c r="J350" s="116"/>
    </row>
    <row r="351" spans="1:10" ht="15.5" x14ac:dyDescent="0.35">
      <c r="A351" s="10">
        <v>9</v>
      </c>
      <c r="B351" s="10">
        <v>9</v>
      </c>
      <c r="C351" s="10" t="s">
        <v>121</v>
      </c>
      <c r="D351" s="10">
        <f>(22.7+(0.75*(2.88+2.62)))*10.764</f>
        <v>288.74429999999995</v>
      </c>
      <c r="E351" s="10">
        <v>0</v>
      </c>
      <c r="F351" s="10">
        <f t="shared" si="24"/>
        <v>288.74429999999995</v>
      </c>
      <c r="G351" s="10">
        <v>0</v>
      </c>
      <c r="H351" s="10">
        <v>425</v>
      </c>
      <c r="I351" s="116"/>
      <c r="J351" s="116"/>
    </row>
    <row r="352" spans="1:10" ht="15.5" x14ac:dyDescent="0.35">
      <c r="A352" s="10">
        <v>10</v>
      </c>
      <c r="B352" s="10">
        <v>10</v>
      </c>
      <c r="C352" s="10" t="s">
        <v>121</v>
      </c>
      <c r="D352" s="10">
        <f>(22.7+(0.75*(2.88+2.62)))*10.764</f>
        <v>288.74429999999995</v>
      </c>
      <c r="E352" s="10">
        <v>0</v>
      </c>
      <c r="F352" s="10">
        <f t="shared" si="24"/>
        <v>288.74429999999995</v>
      </c>
      <c r="G352" s="10">
        <v>0</v>
      </c>
      <c r="H352" s="10">
        <v>425</v>
      </c>
      <c r="I352" s="116"/>
      <c r="J352" s="116"/>
    </row>
    <row r="353" spans="1:10" ht="15.5" x14ac:dyDescent="0.35">
      <c r="A353" s="10">
        <v>11</v>
      </c>
      <c r="B353" s="10">
        <v>11</v>
      </c>
      <c r="C353" s="10" t="s">
        <v>120</v>
      </c>
      <c r="D353" s="10">
        <f>(33.85+(0.75*(2.54+2.3+2.9)))*10.764</f>
        <v>426.84641999999997</v>
      </c>
      <c r="E353" s="10">
        <v>0</v>
      </c>
      <c r="F353" s="10">
        <f t="shared" si="24"/>
        <v>426.84641999999997</v>
      </c>
      <c r="G353" s="10">
        <v>0</v>
      </c>
      <c r="H353" s="10">
        <v>635</v>
      </c>
      <c r="I353" s="116"/>
      <c r="J353" s="116"/>
    </row>
    <row r="354" spans="1:10" ht="241.5" customHeight="1" x14ac:dyDescent="0.35">
      <c r="A354" s="200" t="s">
        <v>286</v>
      </c>
      <c r="B354" s="201"/>
      <c r="C354" s="201"/>
      <c r="D354" s="201"/>
      <c r="E354" s="201"/>
      <c r="F354" s="201"/>
      <c r="G354" s="201"/>
      <c r="H354" s="201"/>
      <c r="I354" s="201"/>
      <c r="J354" s="202"/>
    </row>
    <row r="355" spans="1:10" x14ac:dyDescent="0.35">
      <c r="A355" s="199" t="s">
        <v>27</v>
      </c>
      <c r="B355" s="194"/>
      <c r="C355" s="194"/>
      <c r="D355" s="194"/>
      <c r="E355" s="194"/>
      <c r="F355" s="194"/>
      <c r="G355" s="194"/>
      <c r="H355" s="194"/>
      <c r="I355" s="194"/>
      <c r="J355" s="195"/>
    </row>
    <row r="356" spans="1:10" x14ac:dyDescent="0.35">
      <c r="A356" s="151" t="s">
        <v>35</v>
      </c>
      <c r="B356" s="114"/>
      <c r="C356" s="114"/>
      <c r="D356" s="114"/>
      <c r="E356" s="114"/>
      <c r="F356" s="114"/>
      <c r="G356" s="114"/>
      <c r="H356" s="114"/>
      <c r="I356" s="114"/>
      <c r="J356" s="115"/>
    </row>
    <row r="357" spans="1:10" x14ac:dyDescent="0.35">
      <c r="A357" s="199" t="s">
        <v>29</v>
      </c>
      <c r="B357" s="194"/>
      <c r="C357" s="194"/>
      <c r="D357" s="194"/>
      <c r="E357" s="194"/>
      <c r="F357" s="194"/>
      <c r="G357" s="194"/>
      <c r="H357" s="194"/>
      <c r="I357" s="194"/>
      <c r="J357" s="195"/>
    </row>
    <row r="358" spans="1:10" x14ac:dyDescent="0.35">
      <c r="A358" s="104" t="s">
        <v>40</v>
      </c>
      <c r="B358" s="105"/>
      <c r="C358" s="105"/>
      <c r="D358" s="105"/>
      <c r="E358" s="105"/>
      <c r="F358" s="105"/>
      <c r="G358" s="105"/>
      <c r="H358" s="105"/>
      <c r="I358" s="105"/>
      <c r="J358" s="106"/>
    </row>
    <row r="359" spans="1:10" ht="16.5" customHeight="1" x14ac:dyDescent="0.35">
      <c r="A359" s="148" t="s">
        <v>60</v>
      </c>
      <c r="B359" s="149"/>
      <c r="C359" s="149"/>
      <c r="D359" s="149"/>
      <c r="E359" s="149"/>
      <c r="F359" s="149"/>
      <c r="G359" s="149"/>
      <c r="H359" s="149"/>
      <c r="I359" s="149"/>
      <c r="J359" s="150"/>
    </row>
    <row r="360" spans="1:10" hidden="1" x14ac:dyDescent="0.35">
      <c r="A360" s="104" t="s">
        <v>41</v>
      </c>
      <c r="B360" s="105"/>
      <c r="C360" s="105"/>
      <c r="D360" s="105"/>
      <c r="E360" s="105"/>
      <c r="F360" s="105"/>
      <c r="G360" s="105"/>
      <c r="H360" s="105"/>
      <c r="I360" s="105"/>
      <c r="J360" s="106"/>
    </row>
    <row r="361" spans="1:10" hidden="1" x14ac:dyDescent="0.35">
      <c r="A361" s="104" t="s">
        <v>42</v>
      </c>
      <c r="B361" s="105"/>
      <c r="C361" s="105"/>
      <c r="D361" s="105"/>
      <c r="E361" s="105"/>
      <c r="F361" s="105"/>
      <c r="G361" s="105"/>
      <c r="H361" s="105"/>
      <c r="I361" s="105"/>
      <c r="J361" s="106"/>
    </row>
    <row r="362" spans="1:10" ht="30.75" hidden="1" customHeight="1" x14ac:dyDescent="0.35">
      <c r="A362" s="144" t="s">
        <v>43</v>
      </c>
      <c r="B362" s="145"/>
      <c r="C362" s="145"/>
      <c r="D362" s="145"/>
      <c r="E362" s="145"/>
      <c r="F362" s="145"/>
      <c r="G362" s="145"/>
      <c r="H362" s="145"/>
      <c r="I362" s="145"/>
      <c r="J362" s="146"/>
    </row>
    <row r="363" spans="1:10" ht="15" customHeight="1" x14ac:dyDescent="0.35">
      <c r="A363" s="147" t="s">
        <v>28</v>
      </c>
      <c r="B363" s="147"/>
      <c r="C363" s="147"/>
      <c r="D363" s="147"/>
      <c r="E363" s="147"/>
      <c r="F363" s="147"/>
      <c r="G363" s="147"/>
      <c r="H363" s="147"/>
      <c r="I363" s="147"/>
      <c r="J363" s="147"/>
    </row>
    <row r="364" spans="1:10" x14ac:dyDescent="0.35">
      <c r="A364" s="147"/>
      <c r="B364" s="147"/>
      <c r="C364" s="147"/>
      <c r="D364" s="147"/>
      <c r="E364" s="147"/>
      <c r="F364" s="147"/>
      <c r="G364" s="147"/>
      <c r="H364" s="147"/>
      <c r="I364" s="147"/>
      <c r="J364" s="147"/>
    </row>
    <row r="365" spans="1:10" x14ac:dyDescent="0.35">
      <c r="A365" s="147"/>
      <c r="B365" s="147"/>
      <c r="C365" s="147"/>
      <c r="D365" s="147"/>
      <c r="E365" s="147"/>
      <c r="F365" s="147"/>
      <c r="G365" s="147"/>
      <c r="H365" s="147"/>
      <c r="I365" s="147"/>
      <c r="J365" s="147"/>
    </row>
    <row r="366" spans="1:10" x14ac:dyDescent="0.35">
      <c r="A366" s="16" t="s">
        <v>155</v>
      </c>
      <c r="B366" s="16"/>
      <c r="C366" s="16"/>
      <c r="D366" s="16"/>
      <c r="E366" s="16"/>
    </row>
    <row r="370" s="16" customFormat="1" ht="14" x14ac:dyDescent="0.3"/>
    <row r="386" spans="2:8" x14ac:dyDescent="0.35">
      <c r="B386" s="143"/>
      <c r="C386" s="143"/>
      <c r="G386" s="143"/>
      <c r="H386" s="143"/>
    </row>
    <row r="401" spans="1:8" x14ac:dyDescent="0.35">
      <c r="B401" s="143"/>
      <c r="C401" s="143"/>
      <c r="G401" s="143"/>
      <c r="H401" s="143"/>
    </row>
    <row r="407" spans="1:8" x14ac:dyDescent="0.35">
      <c r="B407" s="143"/>
      <c r="C407" s="143"/>
      <c r="G407" s="143"/>
      <c r="H407" s="143"/>
    </row>
    <row r="411" spans="1:8" x14ac:dyDescent="0.35">
      <c r="B411" s="16"/>
      <c r="C411" s="16"/>
      <c r="D411" s="16"/>
      <c r="E411" s="16"/>
    </row>
    <row r="415" spans="1:8" x14ac:dyDescent="0.35">
      <c r="A415" s="45" t="s">
        <v>153</v>
      </c>
    </row>
  </sheetData>
  <mergeCells count="456">
    <mergeCell ref="B407:C407"/>
    <mergeCell ref="G407:H407"/>
    <mergeCell ref="H17:J17"/>
    <mergeCell ref="H18:J18"/>
    <mergeCell ref="A53:B53"/>
    <mergeCell ref="C53:D53"/>
    <mergeCell ref="E53:F53"/>
    <mergeCell ref="G53:J53"/>
    <mergeCell ref="A58:C58"/>
    <mergeCell ref="D58:J58"/>
    <mergeCell ref="D55:J55"/>
    <mergeCell ref="A30:J30"/>
    <mergeCell ref="G29:H29"/>
    <mergeCell ref="A34:J34"/>
    <mergeCell ref="I29:J29"/>
    <mergeCell ref="A20:E21"/>
    <mergeCell ref="F20:J21"/>
    <mergeCell ref="A23:E23"/>
    <mergeCell ref="F23:J23"/>
    <mergeCell ref="A37:E37"/>
    <mergeCell ref="F39:J39"/>
    <mergeCell ref="A42:E42"/>
    <mergeCell ref="A138:F138"/>
    <mergeCell ref="A65:B66"/>
    <mergeCell ref="A16:B16"/>
    <mergeCell ref="A17:B17"/>
    <mergeCell ref="A18:B18"/>
    <mergeCell ref="C16:E16"/>
    <mergeCell ref="C17:E17"/>
    <mergeCell ref="C18:E18"/>
    <mergeCell ref="F16:G16"/>
    <mergeCell ref="F17:G17"/>
    <mergeCell ref="F18:G18"/>
    <mergeCell ref="C65:D66"/>
    <mergeCell ref="H65:J66"/>
    <mergeCell ref="E65:G66"/>
    <mergeCell ref="D128:E128"/>
    <mergeCell ref="A129:B129"/>
    <mergeCell ref="D129:E129"/>
    <mergeCell ref="A130:B130"/>
    <mergeCell ref="D130:E130"/>
    <mergeCell ref="A40:E40"/>
    <mergeCell ref="A62:B62"/>
    <mergeCell ref="D123:E123"/>
    <mergeCell ref="F123:G123"/>
    <mergeCell ref="H123:J123"/>
    <mergeCell ref="A124:B124"/>
    <mergeCell ref="A57:C57"/>
    <mergeCell ref="C62:J62"/>
    <mergeCell ref="A61:C61"/>
    <mergeCell ref="D61:J61"/>
    <mergeCell ref="D60:J60"/>
    <mergeCell ref="D124:E124"/>
    <mergeCell ref="F124:G133"/>
    <mergeCell ref="H124:J133"/>
    <mergeCell ref="A125:B125"/>
    <mergeCell ref="D125:E125"/>
    <mergeCell ref="D132:E132"/>
    <mergeCell ref="A133:B133"/>
    <mergeCell ref="D133:E133"/>
    <mergeCell ref="D57:J57"/>
    <mergeCell ref="A48:B48"/>
    <mergeCell ref="C48:F48"/>
    <mergeCell ref="H48:J48"/>
    <mergeCell ref="C49:F49"/>
    <mergeCell ref="H49:J49"/>
    <mergeCell ref="C50:J50"/>
    <mergeCell ref="A64:B64"/>
    <mergeCell ref="C64:J64"/>
    <mergeCell ref="A123:B123"/>
    <mergeCell ref="A131:B131"/>
    <mergeCell ref="D131:E131"/>
    <mergeCell ref="A59:C59"/>
    <mergeCell ref="A60:C60"/>
    <mergeCell ref="A56:C56"/>
    <mergeCell ref="D56:J56"/>
    <mergeCell ref="A49:B50"/>
    <mergeCell ref="A51:B51"/>
    <mergeCell ref="C51:F51"/>
    <mergeCell ref="H51:J51"/>
    <mergeCell ref="D59:J59"/>
    <mergeCell ref="A1:J1"/>
    <mergeCell ref="A134:J134"/>
    <mergeCell ref="A135:J136"/>
    <mergeCell ref="A137:J137"/>
    <mergeCell ref="G140:J140"/>
    <mergeCell ref="G142:J142"/>
    <mergeCell ref="H45:J45"/>
    <mergeCell ref="H47:J47"/>
    <mergeCell ref="I14:J14"/>
    <mergeCell ref="C14:G14"/>
    <mergeCell ref="A15:B15"/>
    <mergeCell ref="C15:J15"/>
    <mergeCell ref="A45:B45"/>
    <mergeCell ref="F43:J43"/>
    <mergeCell ref="F42:J42"/>
    <mergeCell ref="F37:J37"/>
    <mergeCell ref="G138:J138"/>
    <mergeCell ref="F41:J41"/>
    <mergeCell ref="A31:J31"/>
    <mergeCell ref="A29:B29"/>
    <mergeCell ref="C29:D29"/>
    <mergeCell ref="A32:B32"/>
    <mergeCell ref="E29:F29"/>
    <mergeCell ref="E63:F63"/>
    <mergeCell ref="F26:J26"/>
    <mergeCell ref="A22:E22"/>
    <mergeCell ref="F22:J22"/>
    <mergeCell ref="A357:J357"/>
    <mergeCell ref="A354:J354"/>
    <mergeCell ref="A358:J358"/>
    <mergeCell ref="A355:J355"/>
    <mergeCell ref="I263:J266"/>
    <mergeCell ref="I268:J275"/>
    <mergeCell ref="A267:J267"/>
    <mergeCell ref="A252:J252"/>
    <mergeCell ref="I216:J219"/>
    <mergeCell ref="A262:J262"/>
    <mergeCell ref="A220:J220"/>
    <mergeCell ref="A228:J228"/>
    <mergeCell ref="A231:J231"/>
    <mergeCell ref="A236:J236"/>
    <mergeCell ref="A245:J245"/>
    <mergeCell ref="A246:J246"/>
    <mergeCell ref="A240:J240"/>
    <mergeCell ref="A237:J237"/>
    <mergeCell ref="I229:J230"/>
    <mergeCell ref="I232:J235"/>
    <mergeCell ref="I304:J305"/>
    <mergeCell ref="A2:J2"/>
    <mergeCell ref="A3:E3"/>
    <mergeCell ref="F3:J3"/>
    <mergeCell ref="A4:E4"/>
    <mergeCell ref="F4:J4"/>
    <mergeCell ref="A6:E6"/>
    <mergeCell ref="C28:D28"/>
    <mergeCell ref="E28:F28"/>
    <mergeCell ref="G28:H28"/>
    <mergeCell ref="A28:B28"/>
    <mergeCell ref="A26:E26"/>
    <mergeCell ref="F12:J12"/>
    <mergeCell ref="A14:B14"/>
    <mergeCell ref="A13:E13"/>
    <mergeCell ref="F13:J13"/>
    <mergeCell ref="F19:G19"/>
    <mergeCell ref="I28:J28"/>
    <mergeCell ref="A27:B27"/>
    <mergeCell ref="C27:D27"/>
    <mergeCell ref="E27:F27"/>
    <mergeCell ref="G27:H27"/>
    <mergeCell ref="I27:J27"/>
    <mergeCell ref="A25:E25"/>
    <mergeCell ref="F25:J25"/>
    <mergeCell ref="A35:J36"/>
    <mergeCell ref="F6:J6"/>
    <mergeCell ref="A5:E5"/>
    <mergeCell ref="F5:J5"/>
    <mergeCell ref="A7:E7"/>
    <mergeCell ref="F7:J7"/>
    <mergeCell ref="H16:J16"/>
    <mergeCell ref="F8:J8"/>
    <mergeCell ref="A8:E8"/>
    <mergeCell ref="F11:J11"/>
    <mergeCell ref="A12:E12"/>
    <mergeCell ref="A9:E9"/>
    <mergeCell ref="F9:J9"/>
    <mergeCell ref="A11:E11"/>
    <mergeCell ref="A10:E10"/>
    <mergeCell ref="F10:J10"/>
    <mergeCell ref="H19:J19"/>
    <mergeCell ref="A24:E24"/>
    <mergeCell ref="C19:E19"/>
    <mergeCell ref="F24:J24"/>
    <mergeCell ref="A19:B19"/>
    <mergeCell ref="C32:J32"/>
    <mergeCell ref="A33:B33"/>
    <mergeCell ref="C33:J33"/>
    <mergeCell ref="I331:J341"/>
    <mergeCell ref="F38:J38"/>
    <mergeCell ref="A43:E43"/>
    <mergeCell ref="A54:J54"/>
    <mergeCell ref="A41:E41"/>
    <mergeCell ref="A44:J44"/>
    <mergeCell ref="F40:J40"/>
    <mergeCell ref="A52:B52"/>
    <mergeCell ref="C52:F52"/>
    <mergeCell ref="A38:E38"/>
    <mergeCell ref="C45:F45"/>
    <mergeCell ref="C47:F47"/>
    <mergeCell ref="A39:E39"/>
    <mergeCell ref="I221:J226"/>
    <mergeCell ref="A215:J215"/>
    <mergeCell ref="A227:J227"/>
    <mergeCell ref="A46:B46"/>
    <mergeCell ref="C46:F46"/>
    <mergeCell ref="H46:J46"/>
    <mergeCell ref="I63:J63"/>
    <mergeCell ref="A306:J306"/>
    <mergeCell ref="I307:J310"/>
    <mergeCell ref="I287:J292"/>
    <mergeCell ref="A47:B47"/>
    <mergeCell ref="B401:C401"/>
    <mergeCell ref="G401:H401"/>
    <mergeCell ref="A361:J361"/>
    <mergeCell ref="A362:J362"/>
    <mergeCell ref="A360:J360"/>
    <mergeCell ref="A261:J261"/>
    <mergeCell ref="A363:J365"/>
    <mergeCell ref="I247:J251"/>
    <mergeCell ref="I253:J260"/>
    <mergeCell ref="G386:H386"/>
    <mergeCell ref="B386:C386"/>
    <mergeCell ref="A359:J359"/>
    <mergeCell ref="A356:J356"/>
    <mergeCell ref="A293:J293"/>
    <mergeCell ref="A302:J302"/>
    <mergeCell ref="A303:J303"/>
    <mergeCell ref="A286:J286"/>
    <mergeCell ref="I343:J353"/>
    <mergeCell ref="I294:J301"/>
    <mergeCell ref="A311:J311"/>
    <mergeCell ref="A312:J312"/>
    <mergeCell ref="A330:J330"/>
    <mergeCell ref="I313:J329"/>
    <mergeCell ref="A342:J342"/>
    <mergeCell ref="A126:B126"/>
    <mergeCell ref="D126:E126"/>
    <mergeCell ref="A127:B127"/>
    <mergeCell ref="D127:E127"/>
    <mergeCell ref="A128:B128"/>
    <mergeCell ref="A109:B109"/>
    <mergeCell ref="C109:J109"/>
    <mergeCell ref="E110:F110"/>
    <mergeCell ref="I110:J110"/>
    <mergeCell ref="A111:B111"/>
    <mergeCell ref="C111:J111"/>
    <mergeCell ref="A112:B112"/>
    <mergeCell ref="D112:E112"/>
    <mergeCell ref="F112:G112"/>
    <mergeCell ref="H112:J112"/>
    <mergeCell ref="D113:E113"/>
    <mergeCell ref="F113:G122"/>
    <mergeCell ref="H113:J122"/>
    <mergeCell ref="A114:B114"/>
    <mergeCell ref="D114:E114"/>
    <mergeCell ref="A115:B115"/>
    <mergeCell ref="D115:E115"/>
    <mergeCell ref="A116:B116"/>
    <mergeCell ref="D116:E116"/>
    <mergeCell ref="A55:C55"/>
    <mergeCell ref="H52:J52"/>
    <mergeCell ref="A132:B132"/>
    <mergeCell ref="A276:J276"/>
    <mergeCell ref="A277:J277"/>
    <mergeCell ref="I278:J279"/>
    <mergeCell ref="A280:J280"/>
    <mergeCell ref="I281:J284"/>
    <mergeCell ref="A285:J285"/>
    <mergeCell ref="A148:J148"/>
    <mergeCell ref="A149:B149"/>
    <mergeCell ref="D149:F149"/>
    <mergeCell ref="G149:J149"/>
    <mergeCell ref="A150:B150"/>
    <mergeCell ref="D150:F150"/>
    <mergeCell ref="G150:J150"/>
    <mergeCell ref="A151:B151"/>
    <mergeCell ref="D151:F151"/>
    <mergeCell ref="G151:J151"/>
    <mergeCell ref="A152:B152"/>
    <mergeCell ref="D152:F152"/>
    <mergeCell ref="G152:J152"/>
    <mergeCell ref="A163:B163"/>
    <mergeCell ref="A161:B161"/>
    <mergeCell ref="D161:F161"/>
    <mergeCell ref="G161:J161"/>
    <mergeCell ref="A162:B162"/>
    <mergeCell ref="D162:F162"/>
    <mergeCell ref="G162:J162"/>
    <mergeCell ref="G163:J163"/>
    <mergeCell ref="D163:F163"/>
    <mergeCell ref="I238:J239"/>
    <mergeCell ref="A214:J214"/>
    <mergeCell ref="I206:J213"/>
    <mergeCell ref="I181:J184"/>
    <mergeCell ref="A191:J191"/>
    <mergeCell ref="A168:J168"/>
    <mergeCell ref="A185:J185"/>
    <mergeCell ref="A186:J186"/>
    <mergeCell ref="I178:J179"/>
    <mergeCell ref="A176:J176"/>
    <mergeCell ref="A177:J177"/>
    <mergeCell ref="I169:J170"/>
    <mergeCell ref="A180:J180"/>
    <mergeCell ref="I172:J175"/>
    <mergeCell ref="A167:J167"/>
    <mergeCell ref="I166:J166"/>
    <mergeCell ref="I241:J244"/>
    <mergeCell ref="A205:J205"/>
    <mergeCell ref="I200:J204"/>
    <mergeCell ref="I187:J190"/>
    <mergeCell ref="I192:J197"/>
    <mergeCell ref="A198:J198"/>
    <mergeCell ref="A199:J199"/>
    <mergeCell ref="A164:J164"/>
    <mergeCell ref="A165:J165"/>
    <mergeCell ref="A171:J171"/>
    <mergeCell ref="G139:J139"/>
    <mergeCell ref="A153:B153"/>
    <mergeCell ref="D153:F153"/>
    <mergeCell ref="G153:J153"/>
    <mergeCell ref="A154:B154"/>
    <mergeCell ref="D154:F154"/>
    <mergeCell ref="G154:J154"/>
    <mergeCell ref="A155:B155"/>
    <mergeCell ref="D155:F155"/>
    <mergeCell ref="G155:J155"/>
    <mergeCell ref="A142:F142"/>
    <mergeCell ref="A144:F144"/>
    <mergeCell ref="G144:J144"/>
    <mergeCell ref="A140:F140"/>
    <mergeCell ref="G141:J141"/>
    <mergeCell ref="A141:F141"/>
    <mergeCell ref="A143:F143"/>
    <mergeCell ref="G143:J143"/>
    <mergeCell ref="A139:F139"/>
    <mergeCell ref="A156:B156"/>
    <mergeCell ref="D156:F156"/>
    <mergeCell ref="G156:J156"/>
    <mergeCell ref="A157:B157"/>
    <mergeCell ref="D157:F157"/>
    <mergeCell ref="G157:J157"/>
    <mergeCell ref="A145:J145"/>
    <mergeCell ref="A146:B146"/>
    <mergeCell ref="D146:F146"/>
    <mergeCell ref="G146:J146"/>
    <mergeCell ref="A147:B147"/>
    <mergeCell ref="D147:F147"/>
    <mergeCell ref="G147:J147"/>
    <mergeCell ref="A160:B160"/>
    <mergeCell ref="D160:F160"/>
    <mergeCell ref="G160:J160"/>
    <mergeCell ref="A158:B158"/>
    <mergeCell ref="D158:F158"/>
    <mergeCell ref="G158:J158"/>
    <mergeCell ref="A159:B159"/>
    <mergeCell ref="D159:F159"/>
    <mergeCell ref="G159:J159"/>
    <mergeCell ref="A117:B117"/>
    <mergeCell ref="D117:E117"/>
    <mergeCell ref="A118:B118"/>
    <mergeCell ref="D118:E118"/>
    <mergeCell ref="A119:B119"/>
    <mergeCell ref="D119:E119"/>
    <mergeCell ref="A120:B120"/>
    <mergeCell ref="D120:E120"/>
    <mergeCell ref="A121:B121"/>
    <mergeCell ref="D121:E121"/>
    <mergeCell ref="A122:B122"/>
    <mergeCell ref="D122:E122"/>
    <mergeCell ref="A113:B113"/>
    <mergeCell ref="A81:B81"/>
    <mergeCell ref="C81:J81"/>
    <mergeCell ref="E82:F82"/>
    <mergeCell ref="I82:J82"/>
    <mergeCell ref="A83:B83"/>
    <mergeCell ref="C83:J83"/>
    <mergeCell ref="A84:B84"/>
    <mergeCell ref="D84:E84"/>
    <mergeCell ref="F84:G84"/>
    <mergeCell ref="H84:J84"/>
    <mergeCell ref="A85:B85"/>
    <mergeCell ref="D85:E85"/>
    <mergeCell ref="F85:G94"/>
    <mergeCell ref="H85:J94"/>
    <mergeCell ref="A86:B86"/>
    <mergeCell ref="D86:E86"/>
    <mergeCell ref="A87:B87"/>
    <mergeCell ref="D87:E87"/>
    <mergeCell ref="A88:B88"/>
    <mergeCell ref="D88:E88"/>
    <mergeCell ref="A89:B89"/>
    <mergeCell ref="D89:E89"/>
    <mergeCell ref="A90:B90"/>
    <mergeCell ref="D90:E90"/>
    <mergeCell ref="A91:B91"/>
    <mergeCell ref="D91:E91"/>
    <mergeCell ref="A92:B92"/>
    <mergeCell ref="D92:E92"/>
    <mergeCell ref="A93:B93"/>
    <mergeCell ref="D93:E93"/>
    <mergeCell ref="A94:B94"/>
    <mergeCell ref="D94:E94"/>
    <mergeCell ref="A95:B95"/>
    <mergeCell ref="C95:J95"/>
    <mergeCell ref="E96:F96"/>
    <mergeCell ref="I96:J96"/>
    <mergeCell ref="A97:B97"/>
    <mergeCell ref="C97:J97"/>
    <mergeCell ref="A98:B98"/>
    <mergeCell ref="D98:E98"/>
    <mergeCell ref="F98:G98"/>
    <mergeCell ref="H98:J98"/>
    <mergeCell ref="A99:B99"/>
    <mergeCell ref="D99:E99"/>
    <mergeCell ref="F99:G108"/>
    <mergeCell ref="H99:J108"/>
    <mergeCell ref="A100:B100"/>
    <mergeCell ref="D100:E100"/>
    <mergeCell ref="A101:B101"/>
    <mergeCell ref="D101:E101"/>
    <mergeCell ref="A102:B102"/>
    <mergeCell ref="D102:E102"/>
    <mergeCell ref="A103:B103"/>
    <mergeCell ref="D103:E103"/>
    <mergeCell ref="A104:B104"/>
    <mergeCell ref="D104:E104"/>
    <mergeCell ref="A105:B105"/>
    <mergeCell ref="D105:E105"/>
    <mergeCell ref="A106:B106"/>
    <mergeCell ref="D106:E106"/>
    <mergeCell ref="A107:B107"/>
    <mergeCell ref="D107:E107"/>
    <mergeCell ref="A108:B108"/>
    <mergeCell ref="D108:E108"/>
    <mergeCell ref="A67:B67"/>
    <mergeCell ref="C67:J67"/>
    <mergeCell ref="E68:F68"/>
    <mergeCell ref="I68:J68"/>
    <mergeCell ref="A69:B69"/>
    <mergeCell ref="C69:J69"/>
    <mergeCell ref="A70:B70"/>
    <mergeCell ref="D70:E70"/>
    <mergeCell ref="F70:G70"/>
    <mergeCell ref="H70:J70"/>
    <mergeCell ref="A71:B71"/>
    <mergeCell ref="D71:E71"/>
    <mergeCell ref="F71:G80"/>
    <mergeCell ref="H71:J80"/>
    <mergeCell ref="A72:B72"/>
    <mergeCell ref="D72:E72"/>
    <mergeCell ref="A73:B73"/>
    <mergeCell ref="D73:E73"/>
    <mergeCell ref="A74:B74"/>
    <mergeCell ref="D74:E74"/>
    <mergeCell ref="A75:B75"/>
    <mergeCell ref="D75:E75"/>
    <mergeCell ref="A76:B76"/>
    <mergeCell ref="D76:E76"/>
    <mergeCell ref="A77:B77"/>
    <mergeCell ref="D77:E77"/>
    <mergeCell ref="A78:B78"/>
    <mergeCell ref="D78:E78"/>
    <mergeCell ref="A79:B79"/>
    <mergeCell ref="D79:E79"/>
    <mergeCell ref="A80:B80"/>
    <mergeCell ref="D80:E80"/>
  </mergeCells>
  <phoneticPr fontId="0" type="noConversion"/>
  <hyperlinks>
    <hyperlink ref="C33" r:id="rId1"/>
  </hyperlinks>
  <printOptions horizontalCentered="1"/>
  <pageMargins left="0.43307086614173229" right="0.43307086614173229" top="0.78740157480314965" bottom="0.78740157480314965" header="0.19685039370078741" footer="0.19685039370078741"/>
  <pageSetup paperSize="9" scale="91" fitToHeight="0" orientation="portrait" r:id="rId2"/>
  <headerFooter>
    <oddHeader>&amp;C&amp;G</oddHeader>
    <oddFooter>&amp;L&amp;"Times New Roman,Bold"Ref No: &amp;F&amp;C&amp;G&amp;R&amp;P</oddFooter>
  </headerFooter>
  <rowBreaks count="2" manualBreakCount="2">
    <brk id="365" max="16383" man="1"/>
    <brk id="414"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0" sqref="C10"/>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10</v>
      </c>
      <c r="M6" s="13">
        <f>10/B12*C12</f>
        <v>0</v>
      </c>
      <c r="N6" s="13">
        <f>5/B14*C14</f>
        <v>0</v>
      </c>
      <c r="O6" s="13">
        <f>5/B16*C16</f>
        <v>0</v>
      </c>
    </row>
    <row r="7" spans="1:15" x14ac:dyDescent="0.35">
      <c r="A7" t="s">
        <v>145</v>
      </c>
      <c r="B7" t="s">
        <v>146</v>
      </c>
      <c r="C7" t="s">
        <v>147</v>
      </c>
      <c r="E7">
        <f>(100/B10)*C10</f>
        <v>100</v>
      </c>
      <c r="F7" s="5" t="s">
        <v>148</v>
      </c>
      <c r="G7" s="5"/>
      <c r="H7" s="5"/>
      <c r="I7" s="5">
        <f>I6+20</f>
        <v>30</v>
      </c>
      <c r="J7" s="5">
        <f>30/B6*C6</f>
        <v>30</v>
      </c>
      <c r="K7" s="5">
        <f>15/B8*C8</f>
        <v>15</v>
      </c>
      <c r="L7" s="5">
        <f>10/B10*C10</f>
        <v>10</v>
      </c>
      <c r="M7" s="5">
        <f>5/B12*C12</f>
        <v>0</v>
      </c>
      <c r="N7" s="5">
        <f>5/B14*C14</f>
        <v>0</v>
      </c>
      <c r="O7" s="5">
        <f>5/B16*C16</f>
        <v>0</v>
      </c>
    </row>
    <row r="8" spans="1:15" x14ac:dyDescent="0.35">
      <c r="B8" s="5">
        <f>C2</f>
        <v>4</v>
      </c>
      <c r="C8" s="5">
        <v>4</v>
      </c>
      <c r="E8">
        <f>(100/B12)*C12</f>
        <v>0</v>
      </c>
    </row>
    <row r="9" spans="1:15" x14ac:dyDescent="0.35">
      <c r="A9" t="s">
        <v>149</v>
      </c>
      <c r="B9" t="s">
        <v>146</v>
      </c>
      <c r="C9">
        <v>0</v>
      </c>
      <c r="E9">
        <f>(100/B14)*C14</f>
        <v>0</v>
      </c>
    </row>
    <row r="10" spans="1:15" x14ac:dyDescent="0.35">
      <c r="B10" s="5">
        <f>C2</f>
        <v>4</v>
      </c>
      <c r="C10" s="5">
        <v>4</v>
      </c>
      <c r="E10">
        <f>(100/B16)*C16</f>
        <v>0</v>
      </c>
    </row>
    <row r="11" spans="1:15" x14ac:dyDescent="0.35">
      <c r="A11" t="s">
        <v>46</v>
      </c>
      <c r="B11" t="s">
        <v>146</v>
      </c>
      <c r="C11" t="s">
        <v>147</v>
      </c>
    </row>
    <row r="12" spans="1:15" x14ac:dyDescent="0.35">
      <c r="B12" s="5">
        <f>C2</f>
        <v>4</v>
      </c>
      <c r="C12" s="5">
        <v>0</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0</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0</v>
      </c>
      <c r="F16" s="5" t="s">
        <v>39</v>
      </c>
      <c r="G16" s="5">
        <f>L6</f>
        <v>10</v>
      </c>
      <c r="H16" s="5">
        <f>L7</f>
        <v>10</v>
      </c>
    </row>
    <row r="17" spans="6:8" x14ac:dyDescent="0.35">
      <c r="F17" s="5" t="s">
        <v>46</v>
      </c>
      <c r="G17" s="5">
        <f>M6</f>
        <v>0</v>
      </c>
      <c r="H17" s="5">
        <f>M7</f>
        <v>0</v>
      </c>
    </row>
    <row r="18" spans="6:8" ht="29.25" customHeight="1" x14ac:dyDescent="0.35">
      <c r="F18" s="15" t="s">
        <v>143</v>
      </c>
      <c r="G18" s="5">
        <f>N6</f>
        <v>0</v>
      </c>
      <c r="H18" s="5">
        <f>N7</f>
        <v>0</v>
      </c>
    </row>
    <row r="19" spans="6:8" x14ac:dyDescent="0.35">
      <c r="F19" s="5" t="s">
        <v>47</v>
      </c>
      <c r="G19" s="5">
        <f>O6</f>
        <v>0</v>
      </c>
      <c r="H19" s="5">
        <f>O7</f>
        <v>0</v>
      </c>
    </row>
    <row r="20" spans="6:8" x14ac:dyDescent="0.35">
      <c r="F20" s="5" t="s">
        <v>152</v>
      </c>
      <c r="G20" s="5">
        <f>G13+G14+G15+G16+G17+G18+G19</f>
        <v>75</v>
      </c>
      <c r="H20" s="5">
        <f>H13+H14+H15+H16+H17+H18+H19</f>
        <v>85</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1" sqref="C11"/>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10</v>
      </c>
      <c r="M6" s="13">
        <f>10/B12*C12</f>
        <v>0</v>
      </c>
      <c r="N6" s="13">
        <f>5/B14*C14</f>
        <v>0</v>
      </c>
      <c r="O6" s="13">
        <f>5/B16*C16</f>
        <v>0</v>
      </c>
    </row>
    <row r="7" spans="1:15" x14ac:dyDescent="0.35">
      <c r="A7" t="s">
        <v>145</v>
      </c>
      <c r="B7" t="s">
        <v>146</v>
      </c>
      <c r="C7" t="s">
        <v>147</v>
      </c>
      <c r="E7">
        <f>(100/B10)*C10</f>
        <v>100</v>
      </c>
      <c r="F7" s="5" t="s">
        <v>148</v>
      </c>
      <c r="G7" s="5"/>
      <c r="H7" s="5"/>
      <c r="I7" s="5">
        <f>I6+20</f>
        <v>30</v>
      </c>
      <c r="J7" s="5">
        <f>30/B6*C6</f>
        <v>30</v>
      </c>
      <c r="K7" s="5">
        <f>15/B8*C8</f>
        <v>15</v>
      </c>
      <c r="L7" s="5">
        <f>10/B10*C10</f>
        <v>10</v>
      </c>
      <c r="M7" s="5">
        <f>5/B12*C12</f>
        <v>0</v>
      </c>
      <c r="N7" s="5">
        <f>5/B14*C14</f>
        <v>0</v>
      </c>
      <c r="O7" s="5">
        <f>5/B16*C16</f>
        <v>0</v>
      </c>
    </row>
    <row r="8" spans="1:15" x14ac:dyDescent="0.35">
      <c r="B8" s="5">
        <f>C2</f>
        <v>4</v>
      </c>
      <c r="C8" s="5">
        <v>4</v>
      </c>
      <c r="E8">
        <f>(100/B12)*C12</f>
        <v>0</v>
      </c>
    </row>
    <row r="9" spans="1:15" x14ac:dyDescent="0.35">
      <c r="A9" t="s">
        <v>149</v>
      </c>
      <c r="B9" t="s">
        <v>146</v>
      </c>
      <c r="C9">
        <v>0</v>
      </c>
      <c r="E9">
        <f>(100/B14)*C14</f>
        <v>0</v>
      </c>
    </row>
    <row r="10" spans="1:15" x14ac:dyDescent="0.35">
      <c r="B10" s="5">
        <f>C2</f>
        <v>4</v>
      </c>
      <c r="C10" s="5">
        <v>4</v>
      </c>
      <c r="E10">
        <f>(100/B16)*C16</f>
        <v>0</v>
      </c>
    </row>
    <row r="11" spans="1:15" x14ac:dyDescent="0.35">
      <c r="A11" t="s">
        <v>46</v>
      </c>
      <c r="B11" t="s">
        <v>146</v>
      </c>
      <c r="C11" t="s">
        <v>147</v>
      </c>
    </row>
    <row r="12" spans="1:15" x14ac:dyDescent="0.35">
      <c r="B12" s="5">
        <f>C2</f>
        <v>4</v>
      </c>
      <c r="C12" s="5">
        <v>0</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0</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0</v>
      </c>
      <c r="F16" s="5" t="s">
        <v>39</v>
      </c>
      <c r="G16" s="5">
        <f>L6</f>
        <v>10</v>
      </c>
      <c r="H16" s="5">
        <f>L7</f>
        <v>10</v>
      </c>
    </row>
    <row r="17" spans="6:8" x14ac:dyDescent="0.35">
      <c r="F17" s="5" t="s">
        <v>46</v>
      </c>
      <c r="G17" s="5">
        <f>M6</f>
        <v>0</v>
      </c>
      <c r="H17" s="5">
        <f>M7</f>
        <v>0</v>
      </c>
    </row>
    <row r="18" spans="6:8" ht="29.25" customHeight="1" x14ac:dyDescent="0.35">
      <c r="F18" s="15" t="s">
        <v>143</v>
      </c>
      <c r="G18" s="5">
        <f>N6</f>
        <v>0</v>
      </c>
      <c r="H18" s="5">
        <f>N7</f>
        <v>0</v>
      </c>
    </row>
    <row r="19" spans="6:8" x14ac:dyDescent="0.35">
      <c r="F19" s="5" t="s">
        <v>47</v>
      </c>
      <c r="G19" s="5">
        <f>O6</f>
        <v>0</v>
      </c>
      <c r="H19" s="5">
        <f>O7</f>
        <v>0</v>
      </c>
    </row>
    <row r="20" spans="6:8" x14ac:dyDescent="0.35">
      <c r="F20" s="5" t="s">
        <v>152</v>
      </c>
      <c r="G20" s="5">
        <f>G13+G14+G15+G16+G17+G18+G19</f>
        <v>75</v>
      </c>
      <c r="H20" s="5">
        <f>H13+H14+H15+H16+H17+H18+H19</f>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4" workbookViewId="0">
      <selection activeCell="C10" sqref="C10"/>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7.5</v>
      </c>
      <c r="M6" s="13">
        <f>10/B12*C12</f>
        <v>0</v>
      </c>
      <c r="N6" s="13">
        <f>5/B14*C14</f>
        <v>0</v>
      </c>
      <c r="O6" s="13">
        <f>5/B16*C16</f>
        <v>0</v>
      </c>
    </row>
    <row r="7" spans="1:15" x14ac:dyDescent="0.35">
      <c r="A7" t="s">
        <v>145</v>
      </c>
      <c r="B7" t="s">
        <v>146</v>
      </c>
      <c r="C7" t="s">
        <v>147</v>
      </c>
      <c r="E7">
        <f>(100/B10)*C10</f>
        <v>75</v>
      </c>
      <c r="F7" s="5" t="s">
        <v>148</v>
      </c>
      <c r="G7" s="5"/>
      <c r="H7" s="5"/>
      <c r="I7" s="5">
        <f>I6+20</f>
        <v>30</v>
      </c>
      <c r="J7" s="5">
        <f>30/B6*C6</f>
        <v>30</v>
      </c>
      <c r="K7" s="5">
        <f>15/B8*C8</f>
        <v>15</v>
      </c>
      <c r="L7" s="5">
        <f>10/B10*C10</f>
        <v>7.5</v>
      </c>
      <c r="M7" s="5">
        <f>5/B12*C12</f>
        <v>0</v>
      </c>
      <c r="N7" s="5">
        <f>5/B14*C14</f>
        <v>0</v>
      </c>
      <c r="O7" s="5">
        <f>5/B16*C16</f>
        <v>0</v>
      </c>
    </row>
    <row r="8" spans="1:15" x14ac:dyDescent="0.35">
      <c r="B8" s="5">
        <f>C2</f>
        <v>4</v>
      </c>
      <c r="C8" s="5">
        <v>4</v>
      </c>
      <c r="E8">
        <f>(100/B12)*C12</f>
        <v>0</v>
      </c>
    </row>
    <row r="9" spans="1:15" x14ac:dyDescent="0.35">
      <c r="A9" t="s">
        <v>149</v>
      </c>
      <c r="B9" t="s">
        <v>146</v>
      </c>
      <c r="C9">
        <v>0</v>
      </c>
      <c r="E9">
        <f>(100/B14)*C14</f>
        <v>0</v>
      </c>
    </row>
    <row r="10" spans="1:15" x14ac:dyDescent="0.35">
      <c r="B10" s="5">
        <f>C2</f>
        <v>4</v>
      </c>
      <c r="C10" s="5">
        <v>3</v>
      </c>
      <c r="E10">
        <f>(100/B16)*C16</f>
        <v>0</v>
      </c>
    </row>
    <row r="11" spans="1:15" x14ac:dyDescent="0.35">
      <c r="A11" t="s">
        <v>46</v>
      </c>
      <c r="B11" t="s">
        <v>146</v>
      </c>
      <c r="C11" t="s">
        <v>147</v>
      </c>
    </row>
    <row r="12" spans="1:15" x14ac:dyDescent="0.35">
      <c r="B12" s="5">
        <f>C2</f>
        <v>4</v>
      </c>
      <c r="C12" s="5">
        <v>0</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0</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0</v>
      </c>
      <c r="F16" s="5" t="s">
        <v>39</v>
      </c>
      <c r="G16" s="5">
        <f>L6</f>
        <v>7.5</v>
      </c>
      <c r="H16" s="5">
        <f>L7</f>
        <v>7.5</v>
      </c>
    </row>
    <row r="17" spans="6:8" x14ac:dyDescent="0.35">
      <c r="F17" s="5" t="s">
        <v>46</v>
      </c>
      <c r="G17" s="5">
        <f>M6</f>
        <v>0</v>
      </c>
      <c r="H17" s="5">
        <f>M7</f>
        <v>0</v>
      </c>
    </row>
    <row r="18" spans="6:8" ht="29.25" customHeight="1" x14ac:dyDescent="0.35">
      <c r="F18" s="15" t="s">
        <v>143</v>
      </c>
      <c r="G18" s="5">
        <f>N6</f>
        <v>0</v>
      </c>
      <c r="H18" s="5">
        <f>N7</f>
        <v>0</v>
      </c>
    </row>
    <row r="19" spans="6:8" x14ac:dyDescent="0.35">
      <c r="F19" s="5" t="s">
        <v>47</v>
      </c>
      <c r="G19" s="5">
        <f>O6</f>
        <v>0</v>
      </c>
      <c r="H19" s="5">
        <f>O7</f>
        <v>0</v>
      </c>
    </row>
    <row r="20" spans="6:8" x14ac:dyDescent="0.35">
      <c r="F20" s="5" t="s">
        <v>152</v>
      </c>
      <c r="G20" s="5">
        <f>G13+G14+G15+G16+G17+G18+G19</f>
        <v>72.5</v>
      </c>
      <c r="H20" s="5">
        <f>H13+H14+H15+H16+H17+H18+H19</f>
        <v>82.5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2" workbookViewId="0">
      <selection activeCell="C10" sqref="C10"/>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5</v>
      </c>
      <c r="M6" s="13">
        <f>10/B12*C12</f>
        <v>0</v>
      </c>
      <c r="N6" s="13">
        <f>5/B14*C14</f>
        <v>0</v>
      </c>
      <c r="O6" s="13">
        <f>5/B16*C16</f>
        <v>0</v>
      </c>
    </row>
    <row r="7" spans="1:15" x14ac:dyDescent="0.35">
      <c r="A7" t="s">
        <v>145</v>
      </c>
      <c r="B7" t="s">
        <v>146</v>
      </c>
      <c r="C7" t="s">
        <v>147</v>
      </c>
      <c r="E7">
        <f>(100/B10)*C10</f>
        <v>50</v>
      </c>
      <c r="F7" s="5" t="s">
        <v>148</v>
      </c>
      <c r="G7" s="5"/>
      <c r="H7" s="5"/>
      <c r="I7" s="5">
        <f>I6+20</f>
        <v>30</v>
      </c>
      <c r="J7" s="5">
        <f>30/B6*C6</f>
        <v>30</v>
      </c>
      <c r="K7" s="5">
        <f>15/B8*C8</f>
        <v>15</v>
      </c>
      <c r="L7" s="5">
        <f>10/B10*C10</f>
        <v>5</v>
      </c>
      <c r="M7" s="5">
        <f>5/B12*C12</f>
        <v>0</v>
      </c>
      <c r="N7" s="5">
        <f>5/B14*C14</f>
        <v>0</v>
      </c>
      <c r="O7" s="5">
        <f>5/B16*C16</f>
        <v>0</v>
      </c>
    </row>
    <row r="8" spans="1:15" x14ac:dyDescent="0.35">
      <c r="B8" s="5">
        <f>C2</f>
        <v>4</v>
      </c>
      <c r="C8" s="5">
        <v>4</v>
      </c>
      <c r="E8">
        <f>(100/B12)*C12</f>
        <v>0</v>
      </c>
    </row>
    <row r="9" spans="1:15" x14ac:dyDescent="0.35">
      <c r="A9" t="s">
        <v>149</v>
      </c>
      <c r="B9" t="s">
        <v>146</v>
      </c>
      <c r="C9" t="s">
        <v>147</v>
      </c>
      <c r="E9">
        <f>(100/B14)*C14</f>
        <v>0</v>
      </c>
    </row>
    <row r="10" spans="1:15" x14ac:dyDescent="0.35">
      <c r="B10" s="5">
        <f>C2</f>
        <v>4</v>
      </c>
      <c r="C10" s="5">
        <v>2</v>
      </c>
      <c r="E10">
        <f>(100/B16)*C16</f>
        <v>0</v>
      </c>
    </row>
    <row r="11" spans="1:15" x14ac:dyDescent="0.35">
      <c r="A11" t="s">
        <v>46</v>
      </c>
      <c r="B11" t="s">
        <v>146</v>
      </c>
      <c r="C11" t="s">
        <v>147</v>
      </c>
    </row>
    <row r="12" spans="1:15" x14ac:dyDescent="0.35">
      <c r="B12" s="5">
        <f>C2</f>
        <v>4</v>
      </c>
      <c r="C12" s="5">
        <v>0</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0</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0</v>
      </c>
      <c r="F16" s="5" t="s">
        <v>39</v>
      </c>
      <c r="G16" s="5">
        <f>L6</f>
        <v>5</v>
      </c>
      <c r="H16" s="5">
        <f>L7</f>
        <v>5</v>
      </c>
    </row>
    <row r="17" spans="6:8" x14ac:dyDescent="0.35">
      <c r="F17" s="5" t="s">
        <v>46</v>
      </c>
      <c r="G17" s="5">
        <f>M6</f>
        <v>0</v>
      </c>
      <c r="H17" s="5">
        <f>M7</f>
        <v>0</v>
      </c>
    </row>
    <row r="18" spans="6:8" ht="29.25" customHeight="1" x14ac:dyDescent="0.35">
      <c r="F18" s="15" t="s">
        <v>143</v>
      </c>
      <c r="G18" s="5">
        <f>N6</f>
        <v>0</v>
      </c>
      <c r="H18" s="5">
        <f>N7</f>
        <v>0</v>
      </c>
    </row>
    <row r="19" spans="6:8" x14ac:dyDescent="0.35">
      <c r="F19" s="5" t="s">
        <v>47</v>
      </c>
      <c r="G19" s="5">
        <f>O6</f>
        <v>0</v>
      </c>
      <c r="H19" s="5">
        <f>O7</f>
        <v>0</v>
      </c>
    </row>
    <row r="20" spans="6:8" x14ac:dyDescent="0.35">
      <c r="F20" s="5" t="s">
        <v>152</v>
      </c>
      <c r="G20" s="5">
        <f>G13+G14+G15+G16+G17+G18+G19</f>
        <v>70</v>
      </c>
      <c r="H20" s="5">
        <f>H13+H14+H15+H16+H17+H18+H19</f>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topLeftCell="A4" workbookViewId="0">
      <selection activeCell="C17" sqref="C1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10</v>
      </c>
      <c r="M6" s="13">
        <f>10/B12*C12</f>
        <v>5</v>
      </c>
      <c r="N6" s="13">
        <f>5/B14*C14</f>
        <v>2.5</v>
      </c>
      <c r="O6" s="13">
        <f>5/B16*C16</f>
        <v>0</v>
      </c>
    </row>
    <row r="7" spans="1:15" x14ac:dyDescent="0.35">
      <c r="A7" t="s">
        <v>145</v>
      </c>
      <c r="B7" t="s">
        <v>146</v>
      </c>
      <c r="C7" t="s">
        <v>147</v>
      </c>
      <c r="E7">
        <f>(100/B10)*C10</f>
        <v>100</v>
      </c>
      <c r="F7" s="5" t="s">
        <v>148</v>
      </c>
      <c r="G7" s="5"/>
      <c r="H7" s="5"/>
      <c r="I7" s="5">
        <f>I6+20</f>
        <v>30</v>
      </c>
      <c r="J7" s="5">
        <f>30/B6*C6</f>
        <v>30</v>
      </c>
      <c r="K7" s="5">
        <f>15/B8*C8</f>
        <v>15</v>
      </c>
      <c r="L7" s="5">
        <f>10/B10*C10</f>
        <v>10</v>
      </c>
      <c r="M7" s="5">
        <f>5/B12*C12</f>
        <v>2.5</v>
      </c>
      <c r="N7" s="5">
        <f>5/B14*C14</f>
        <v>2.5</v>
      </c>
      <c r="O7" s="5">
        <f>5/B16*C16</f>
        <v>0</v>
      </c>
    </row>
    <row r="8" spans="1:15" x14ac:dyDescent="0.35">
      <c r="B8" s="5">
        <f>C2</f>
        <v>4</v>
      </c>
      <c r="C8" s="5">
        <v>4</v>
      </c>
      <c r="E8">
        <f>(100/B12)*C12</f>
        <v>50</v>
      </c>
    </row>
    <row r="9" spans="1:15" x14ac:dyDescent="0.35">
      <c r="A9" t="s">
        <v>149</v>
      </c>
      <c r="B9" t="s">
        <v>146</v>
      </c>
      <c r="C9">
        <v>0</v>
      </c>
      <c r="E9">
        <f>(100/B14)*C14</f>
        <v>50</v>
      </c>
    </row>
    <row r="10" spans="1:15" x14ac:dyDescent="0.35">
      <c r="B10" s="5">
        <f>C2</f>
        <v>4</v>
      </c>
      <c r="C10" s="5">
        <v>4</v>
      </c>
      <c r="E10">
        <f>(100/B16)*C16</f>
        <v>0</v>
      </c>
    </row>
    <row r="11" spans="1:15" x14ac:dyDescent="0.35">
      <c r="A11" t="s">
        <v>46</v>
      </c>
      <c r="B11" t="s">
        <v>146</v>
      </c>
      <c r="C11" t="s">
        <v>147</v>
      </c>
    </row>
    <row r="12" spans="1:15" x14ac:dyDescent="0.35">
      <c r="B12" s="5">
        <f>C2</f>
        <v>4</v>
      </c>
      <c r="C12" s="5">
        <v>2</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2</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0</v>
      </c>
      <c r="F16" s="5" t="s">
        <v>39</v>
      </c>
      <c r="G16" s="5">
        <f>L6</f>
        <v>10</v>
      </c>
      <c r="H16" s="5">
        <f>L7</f>
        <v>10</v>
      </c>
    </row>
    <row r="17" spans="6:8" x14ac:dyDescent="0.35">
      <c r="F17" s="5" t="s">
        <v>46</v>
      </c>
      <c r="G17" s="5">
        <f>M6</f>
        <v>5</v>
      </c>
      <c r="H17" s="5">
        <f>M7</f>
        <v>2.5</v>
      </c>
    </row>
    <row r="18" spans="6:8" ht="29.25" customHeight="1" x14ac:dyDescent="0.35">
      <c r="F18" s="15" t="s">
        <v>143</v>
      </c>
      <c r="G18" s="5">
        <f>N6</f>
        <v>2.5</v>
      </c>
      <c r="H18" s="5">
        <f>N7</f>
        <v>2.5</v>
      </c>
    </row>
    <row r="19" spans="6:8" x14ac:dyDescent="0.35">
      <c r="F19" s="5" t="s">
        <v>47</v>
      </c>
      <c r="G19" s="5">
        <f>O6</f>
        <v>0</v>
      </c>
      <c r="H19" s="5">
        <f>O7</f>
        <v>0</v>
      </c>
    </row>
    <row r="20" spans="6:8" x14ac:dyDescent="0.35">
      <c r="F20" s="5" t="s">
        <v>152</v>
      </c>
      <c r="G20" s="5">
        <f>G13+G14+G15+G16+G17+G18+G19</f>
        <v>82.5</v>
      </c>
      <c r="H20" s="5">
        <f>H13+H14+H15+H16+H17+H18+H19</f>
        <v>90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0"/>
  <sheetViews>
    <sheetView workbookViewId="0">
      <selection activeCell="C17" sqref="C17"/>
    </sheetView>
  </sheetViews>
  <sheetFormatPr defaultRowHeight="14.5" x14ac:dyDescent="0.35"/>
  <cols>
    <col min="1" max="1" width="11.26953125" customWidth="1"/>
    <col min="2" max="2" width="12" customWidth="1"/>
    <col min="3" max="3" width="14.54296875" customWidth="1"/>
    <col min="4" max="4" width="4" customWidth="1"/>
    <col min="5" max="5" width="15.1796875" customWidth="1"/>
    <col min="6" max="7" width="9.1796875" customWidth="1"/>
    <col min="9" max="9" width="12.7265625" customWidth="1"/>
    <col min="10" max="10" width="15.1796875" customWidth="1"/>
    <col min="13" max="13" width="16.54296875" customWidth="1"/>
  </cols>
  <sheetData>
    <row r="2" spans="1:15" x14ac:dyDescent="0.35">
      <c r="A2" t="s">
        <v>132</v>
      </c>
      <c r="B2" s="12" t="s">
        <v>133</v>
      </c>
      <c r="C2" s="12">
        <v>4</v>
      </c>
    </row>
    <row r="3" spans="1:15" x14ac:dyDescent="0.35">
      <c r="B3" t="s">
        <v>134</v>
      </c>
      <c r="C3" t="s">
        <v>135</v>
      </c>
    </row>
    <row r="4" spans="1:15" x14ac:dyDescent="0.35">
      <c r="A4" t="s">
        <v>136</v>
      </c>
      <c r="B4" s="5">
        <v>10</v>
      </c>
      <c r="C4" s="5">
        <v>10</v>
      </c>
      <c r="E4">
        <f>(100/B4)*C4</f>
        <v>100</v>
      </c>
    </row>
    <row r="5" spans="1:15" x14ac:dyDescent="0.35">
      <c r="A5" t="s">
        <v>137</v>
      </c>
      <c r="B5" t="s">
        <v>138</v>
      </c>
      <c r="C5" t="s">
        <v>139</v>
      </c>
      <c r="E5">
        <f>(100/B6)*C6</f>
        <v>100</v>
      </c>
      <c r="I5" s="5" t="s">
        <v>140</v>
      </c>
      <c r="J5" s="5" t="s">
        <v>141</v>
      </c>
      <c r="K5" s="5" t="s">
        <v>142</v>
      </c>
      <c r="L5" s="5" t="s">
        <v>39</v>
      </c>
      <c r="M5" s="5" t="s">
        <v>46</v>
      </c>
      <c r="N5" s="5" t="s">
        <v>143</v>
      </c>
      <c r="O5" s="5" t="s">
        <v>47</v>
      </c>
    </row>
    <row r="6" spans="1:15" x14ac:dyDescent="0.35">
      <c r="B6" s="5">
        <f>C2+1</f>
        <v>5</v>
      </c>
      <c r="C6" s="5">
        <v>5</v>
      </c>
      <c r="E6">
        <f>(100/B8)*C8</f>
        <v>100</v>
      </c>
      <c r="F6" s="13" t="s">
        <v>144</v>
      </c>
      <c r="I6" s="13">
        <f>C4</f>
        <v>10</v>
      </c>
      <c r="J6" s="13">
        <f>40/B6*C6</f>
        <v>40</v>
      </c>
      <c r="K6" s="13">
        <f>15/B8*C8</f>
        <v>15</v>
      </c>
      <c r="L6" s="13">
        <f>10/B10*C10</f>
        <v>10</v>
      </c>
      <c r="M6" s="13">
        <f>10/B12*C12</f>
        <v>10</v>
      </c>
      <c r="N6" s="13">
        <f>5/B14*C14</f>
        <v>5</v>
      </c>
      <c r="O6" s="13">
        <f>5/B16*C16</f>
        <v>5</v>
      </c>
    </row>
    <row r="7" spans="1:15" x14ac:dyDescent="0.35">
      <c r="A7" t="s">
        <v>145</v>
      </c>
      <c r="B7" t="s">
        <v>146</v>
      </c>
      <c r="C7" t="s">
        <v>147</v>
      </c>
      <c r="E7">
        <f>(100/B10)*C10</f>
        <v>100</v>
      </c>
      <c r="F7" s="5" t="s">
        <v>148</v>
      </c>
      <c r="G7" s="5"/>
      <c r="H7" s="5"/>
      <c r="I7" s="5">
        <f>I6+20</f>
        <v>30</v>
      </c>
      <c r="J7" s="5">
        <f>30/B6*C6</f>
        <v>30</v>
      </c>
      <c r="K7" s="5">
        <f>15/B8*C8</f>
        <v>15</v>
      </c>
      <c r="L7" s="5">
        <f>10/B10*C10</f>
        <v>10</v>
      </c>
      <c r="M7" s="5">
        <f>5/B12*C12</f>
        <v>5</v>
      </c>
      <c r="N7" s="5">
        <f>5/B14*C14</f>
        <v>5</v>
      </c>
      <c r="O7" s="5">
        <f>5/B16*C16</f>
        <v>5</v>
      </c>
    </row>
    <row r="8" spans="1:15" x14ac:dyDescent="0.35">
      <c r="B8" s="5">
        <f>C2</f>
        <v>4</v>
      </c>
      <c r="C8" s="5">
        <v>4</v>
      </c>
      <c r="E8">
        <f>(100/B12)*C12</f>
        <v>100</v>
      </c>
    </row>
    <row r="9" spans="1:15" x14ac:dyDescent="0.35">
      <c r="A9" t="s">
        <v>149</v>
      </c>
      <c r="B9" t="s">
        <v>146</v>
      </c>
      <c r="C9" t="s">
        <v>147</v>
      </c>
      <c r="E9">
        <f>(100/B14)*C14</f>
        <v>100</v>
      </c>
    </row>
    <row r="10" spans="1:15" x14ac:dyDescent="0.35">
      <c r="B10" s="5">
        <f>C2</f>
        <v>4</v>
      </c>
      <c r="C10" s="5">
        <v>4</v>
      </c>
      <c r="E10">
        <f>(100/B16)*C16</f>
        <v>100</v>
      </c>
    </row>
    <row r="11" spans="1:15" x14ac:dyDescent="0.35">
      <c r="A11" t="s">
        <v>46</v>
      </c>
      <c r="B11" t="s">
        <v>146</v>
      </c>
      <c r="C11" t="s">
        <v>147</v>
      </c>
    </row>
    <row r="12" spans="1:15" x14ac:dyDescent="0.35">
      <c r="B12" s="5">
        <f>C2</f>
        <v>4</v>
      </c>
      <c r="C12" s="5">
        <v>4</v>
      </c>
      <c r="F12" s="5"/>
      <c r="G12" s="5" t="s">
        <v>144</v>
      </c>
      <c r="H12" s="5" t="s">
        <v>150</v>
      </c>
      <c r="L12" t="s">
        <v>151</v>
      </c>
    </row>
    <row r="13" spans="1:15" ht="31.5" customHeight="1" x14ac:dyDescent="0.35">
      <c r="A13" s="14" t="s">
        <v>143</v>
      </c>
      <c r="B13" t="s">
        <v>146</v>
      </c>
      <c r="C13" t="s">
        <v>147</v>
      </c>
      <c r="F13" s="5" t="s">
        <v>37</v>
      </c>
      <c r="G13" s="5">
        <f>I6</f>
        <v>10</v>
      </c>
      <c r="H13" s="5">
        <f>I7</f>
        <v>30</v>
      </c>
      <c r="L13" t="s">
        <v>151</v>
      </c>
    </row>
    <row r="14" spans="1:15" x14ac:dyDescent="0.35">
      <c r="B14" s="5">
        <f>C2</f>
        <v>4</v>
      </c>
      <c r="C14" s="5">
        <v>4</v>
      </c>
      <c r="F14" s="5" t="s">
        <v>38</v>
      </c>
      <c r="G14" s="5">
        <f>J6</f>
        <v>40</v>
      </c>
      <c r="H14" s="5">
        <f>J7</f>
        <v>30</v>
      </c>
    </row>
    <row r="15" spans="1:15" x14ac:dyDescent="0.35">
      <c r="A15" t="s">
        <v>47</v>
      </c>
      <c r="B15" t="s">
        <v>146</v>
      </c>
      <c r="C15" t="s">
        <v>147</v>
      </c>
      <c r="F15" s="5" t="s">
        <v>142</v>
      </c>
      <c r="G15" s="5">
        <f>K6</f>
        <v>15</v>
      </c>
      <c r="H15" s="5">
        <f>K7</f>
        <v>15</v>
      </c>
    </row>
    <row r="16" spans="1:15" x14ac:dyDescent="0.35">
      <c r="B16" s="5">
        <f>C2</f>
        <v>4</v>
      </c>
      <c r="C16" s="5">
        <v>4</v>
      </c>
      <c r="F16" s="5" t="s">
        <v>39</v>
      </c>
      <c r="G16" s="5">
        <f>L6</f>
        <v>10</v>
      </c>
      <c r="H16" s="5">
        <f>L7</f>
        <v>10</v>
      </c>
    </row>
    <row r="17" spans="6:8" x14ac:dyDescent="0.35">
      <c r="F17" s="5" t="s">
        <v>46</v>
      </c>
      <c r="G17" s="5">
        <f>M6</f>
        <v>10</v>
      </c>
      <c r="H17" s="5">
        <f>M7</f>
        <v>5</v>
      </c>
    </row>
    <row r="18" spans="6:8" ht="29.25" customHeight="1" x14ac:dyDescent="0.35">
      <c r="F18" s="15" t="s">
        <v>143</v>
      </c>
      <c r="G18" s="5">
        <f>N6</f>
        <v>5</v>
      </c>
      <c r="H18" s="5">
        <f>N7</f>
        <v>5</v>
      </c>
    </row>
    <row r="19" spans="6:8" x14ac:dyDescent="0.35">
      <c r="F19" s="5" t="s">
        <v>47</v>
      </c>
      <c r="G19" s="5">
        <f>O6</f>
        <v>5</v>
      </c>
      <c r="H19" s="5">
        <f>O7</f>
        <v>5</v>
      </c>
    </row>
    <row r="20" spans="6:8" x14ac:dyDescent="0.35">
      <c r="F20" s="5" t="s">
        <v>152</v>
      </c>
      <c r="G20" s="5">
        <f>G13+G14+G15+G16+G17+G18+G19</f>
        <v>95</v>
      </c>
      <c r="H20" s="5">
        <f>H13+H14+H15+H16+H17+H18+H19</f>
        <v>100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4"/>
  <sheetViews>
    <sheetView workbookViewId="0">
      <selection activeCell="Q17" sqref="Q17"/>
    </sheetView>
  </sheetViews>
  <sheetFormatPr defaultRowHeight="14.5" x14ac:dyDescent="0.35"/>
  <sheetData>
    <row r="2" spans="2:13" x14ac:dyDescent="0.35">
      <c r="C2" s="8" t="s">
        <v>102</v>
      </c>
      <c r="D2" s="251"/>
      <c r="E2" s="251"/>
    </row>
    <row r="3" spans="2:13" x14ac:dyDescent="0.35">
      <c r="E3" s="7"/>
      <c r="F3" s="7"/>
      <c r="G3" s="7"/>
      <c r="H3" s="7"/>
      <c r="I3" s="7"/>
      <c r="J3" s="7"/>
    </row>
    <row r="4" spans="2:13" x14ac:dyDescent="0.35">
      <c r="B4" s="8" t="s">
        <v>103</v>
      </c>
      <c r="C4" s="6" t="s">
        <v>83</v>
      </c>
      <c r="D4" s="252" t="s">
        <v>84</v>
      </c>
      <c r="E4" s="252"/>
      <c r="F4" s="252"/>
      <c r="G4" s="9"/>
      <c r="H4" s="252" t="s">
        <v>85</v>
      </c>
      <c r="I4" s="252"/>
      <c r="J4" s="252"/>
      <c r="K4" s="252" t="s">
        <v>86</v>
      </c>
      <c r="L4" s="252"/>
      <c r="M4" s="252"/>
    </row>
    <row r="5" spans="2:13" x14ac:dyDescent="0.35">
      <c r="B5" s="8">
        <v>1</v>
      </c>
      <c r="C5" s="6"/>
      <c r="D5" s="6" t="s">
        <v>87</v>
      </c>
      <c r="E5" s="6" t="s">
        <v>88</v>
      </c>
      <c r="F5" s="6" t="s">
        <v>89</v>
      </c>
      <c r="G5" s="6"/>
      <c r="H5" s="6" t="s">
        <v>87</v>
      </c>
      <c r="I5" s="6" t="s">
        <v>88</v>
      </c>
      <c r="J5" s="6" t="s">
        <v>89</v>
      </c>
      <c r="K5" s="6" t="s">
        <v>87</v>
      </c>
      <c r="L5" s="6" t="s">
        <v>88</v>
      </c>
      <c r="M5" s="6" t="s">
        <v>89</v>
      </c>
    </row>
    <row r="6" spans="2:13" x14ac:dyDescent="0.35">
      <c r="C6" s="5" t="s">
        <v>90</v>
      </c>
      <c r="D6" s="5"/>
      <c r="E6" s="5"/>
      <c r="F6" s="5">
        <f>D6*E6</f>
        <v>0</v>
      </c>
      <c r="G6" s="5" t="s">
        <v>105</v>
      </c>
      <c r="H6" s="5"/>
      <c r="I6" s="5"/>
      <c r="J6" s="5">
        <f>H6*I6</f>
        <v>0</v>
      </c>
      <c r="K6" s="5"/>
      <c r="L6" s="5"/>
      <c r="M6" s="5">
        <f>K6*L6</f>
        <v>0</v>
      </c>
    </row>
    <row r="7" spans="2:13" x14ac:dyDescent="0.35">
      <c r="C7" s="5"/>
      <c r="D7" s="5"/>
      <c r="E7" s="5"/>
      <c r="F7" s="5">
        <f t="shared" ref="F7:F33" si="0">D7*E7</f>
        <v>0</v>
      </c>
      <c r="G7" s="5" t="s">
        <v>106</v>
      </c>
      <c r="H7" s="5"/>
      <c r="I7" s="5"/>
      <c r="J7" s="5">
        <f t="shared" ref="J7:J29" si="1">H7*I7</f>
        <v>0</v>
      </c>
      <c r="K7" s="5"/>
      <c r="L7" s="5"/>
      <c r="M7" s="5">
        <f t="shared" ref="M7:M29" si="2">K7*L7</f>
        <v>0</v>
      </c>
    </row>
    <row r="8" spans="2:13" x14ac:dyDescent="0.35">
      <c r="C8" s="5"/>
      <c r="D8" s="5"/>
      <c r="E8" s="5"/>
      <c r="F8" s="5">
        <f t="shared" si="0"/>
        <v>0</v>
      </c>
      <c r="G8" s="5"/>
      <c r="H8" s="5"/>
      <c r="I8" s="5"/>
      <c r="J8" s="5">
        <f t="shared" si="1"/>
        <v>0</v>
      </c>
      <c r="K8" s="5"/>
      <c r="L8" s="5"/>
      <c r="M8" s="5">
        <f t="shared" si="2"/>
        <v>0</v>
      </c>
    </row>
    <row r="9" spans="2:13" x14ac:dyDescent="0.35">
      <c r="C9" s="5" t="s">
        <v>93</v>
      </c>
      <c r="D9" s="5"/>
      <c r="E9" s="5"/>
      <c r="F9" s="5">
        <f t="shared" si="0"/>
        <v>0</v>
      </c>
      <c r="G9" s="5" t="s">
        <v>105</v>
      </c>
      <c r="H9" s="5"/>
      <c r="I9" s="5"/>
      <c r="J9" s="5">
        <f t="shared" si="1"/>
        <v>0</v>
      </c>
      <c r="K9" s="5"/>
      <c r="L9" s="5"/>
      <c r="M9" s="5">
        <f t="shared" si="2"/>
        <v>0</v>
      </c>
    </row>
    <row r="10" spans="2:13" x14ac:dyDescent="0.35">
      <c r="C10" s="5"/>
      <c r="D10" s="5"/>
      <c r="E10" s="5"/>
      <c r="F10" s="5">
        <f t="shared" si="0"/>
        <v>0</v>
      </c>
      <c r="G10" s="5" t="s">
        <v>106</v>
      </c>
      <c r="H10" s="5"/>
      <c r="I10" s="5"/>
      <c r="J10" s="5">
        <f t="shared" si="1"/>
        <v>0</v>
      </c>
      <c r="K10" s="5"/>
      <c r="L10" s="5"/>
      <c r="M10" s="5">
        <f t="shared" si="2"/>
        <v>0</v>
      </c>
    </row>
    <row r="11" spans="2:13" x14ac:dyDescent="0.35">
      <c r="C11" s="5"/>
      <c r="D11" s="5"/>
      <c r="E11" s="5"/>
      <c r="F11" s="5">
        <f t="shared" si="0"/>
        <v>0</v>
      </c>
      <c r="G11" s="5"/>
      <c r="H11" s="5"/>
      <c r="I11" s="5"/>
      <c r="J11" s="5">
        <f t="shared" si="1"/>
        <v>0</v>
      </c>
      <c r="K11" s="5"/>
      <c r="L11" s="5"/>
      <c r="M11" s="5">
        <f t="shared" si="2"/>
        <v>0</v>
      </c>
    </row>
    <row r="12" spans="2:13" x14ac:dyDescent="0.35">
      <c r="C12" s="5"/>
      <c r="D12" s="5"/>
      <c r="E12" s="5"/>
      <c r="F12" s="5">
        <f t="shared" si="0"/>
        <v>0</v>
      </c>
      <c r="G12" s="5"/>
      <c r="H12" s="5"/>
      <c r="I12" s="5"/>
      <c r="J12" s="5">
        <f t="shared" si="1"/>
        <v>0</v>
      </c>
      <c r="K12" s="5"/>
      <c r="L12" s="5"/>
      <c r="M12" s="5">
        <f t="shared" si="2"/>
        <v>0</v>
      </c>
    </row>
    <row r="13" spans="2:13" x14ac:dyDescent="0.35">
      <c r="C13" s="5" t="s">
        <v>91</v>
      </c>
      <c r="D13" s="5"/>
      <c r="E13" s="5"/>
      <c r="F13" s="5">
        <f t="shared" si="0"/>
        <v>0</v>
      </c>
      <c r="G13" s="5" t="s">
        <v>105</v>
      </c>
      <c r="H13" s="5"/>
      <c r="I13" s="5"/>
      <c r="J13" s="5">
        <f t="shared" si="1"/>
        <v>0</v>
      </c>
      <c r="K13" s="5"/>
      <c r="L13" s="5"/>
      <c r="M13" s="5">
        <f t="shared" si="2"/>
        <v>0</v>
      </c>
    </row>
    <row r="14" spans="2:13" x14ac:dyDescent="0.35">
      <c r="C14" s="5"/>
      <c r="D14" s="5"/>
      <c r="E14" s="5"/>
      <c r="F14" s="5">
        <f t="shared" si="0"/>
        <v>0</v>
      </c>
      <c r="G14" s="5" t="s">
        <v>106</v>
      </c>
      <c r="H14" s="5"/>
      <c r="I14" s="5"/>
      <c r="J14" s="5">
        <f t="shared" si="1"/>
        <v>0</v>
      </c>
      <c r="K14" s="5"/>
      <c r="L14" s="5"/>
      <c r="M14" s="5">
        <f t="shared" si="2"/>
        <v>0</v>
      </c>
    </row>
    <row r="15" spans="2:13" x14ac:dyDescent="0.35">
      <c r="C15" s="5"/>
      <c r="D15" s="5"/>
      <c r="E15" s="5"/>
      <c r="F15" s="5">
        <f t="shared" si="0"/>
        <v>0</v>
      </c>
      <c r="G15" s="5"/>
      <c r="H15" s="5"/>
      <c r="I15" s="5"/>
      <c r="J15" s="5">
        <f t="shared" si="1"/>
        <v>0</v>
      </c>
      <c r="K15" s="5"/>
      <c r="L15" s="5"/>
      <c r="M15" s="5">
        <f t="shared" si="2"/>
        <v>0</v>
      </c>
    </row>
    <row r="16" spans="2:13" x14ac:dyDescent="0.35">
      <c r="C16" s="5"/>
      <c r="D16" s="5"/>
      <c r="E16" s="5"/>
      <c r="F16" s="5">
        <f t="shared" si="0"/>
        <v>0</v>
      </c>
      <c r="G16" s="5"/>
      <c r="H16" s="5"/>
      <c r="I16" s="5"/>
      <c r="J16" s="5">
        <f t="shared" si="1"/>
        <v>0</v>
      </c>
      <c r="K16" s="5"/>
      <c r="L16" s="5"/>
      <c r="M16" s="5">
        <f t="shared" si="2"/>
        <v>0</v>
      </c>
    </row>
    <row r="17" spans="3:13" x14ac:dyDescent="0.35">
      <c r="C17" s="5" t="s">
        <v>92</v>
      </c>
      <c r="D17" s="5"/>
      <c r="E17" s="5"/>
      <c r="F17" s="5">
        <f t="shared" si="0"/>
        <v>0</v>
      </c>
      <c r="G17" s="5" t="s">
        <v>105</v>
      </c>
      <c r="H17" s="5"/>
      <c r="I17" s="5"/>
      <c r="J17" s="5">
        <f t="shared" si="1"/>
        <v>0</v>
      </c>
      <c r="K17" s="5"/>
      <c r="L17" s="5"/>
      <c r="M17" s="5">
        <f t="shared" si="2"/>
        <v>0</v>
      </c>
    </row>
    <row r="18" spans="3:13" x14ac:dyDescent="0.35">
      <c r="C18" s="5"/>
      <c r="D18" s="5"/>
      <c r="E18" s="5"/>
      <c r="F18" s="5">
        <f t="shared" si="0"/>
        <v>0</v>
      </c>
      <c r="G18" s="5" t="s">
        <v>106</v>
      </c>
      <c r="H18" s="5"/>
      <c r="I18" s="5"/>
      <c r="J18" s="5">
        <f t="shared" si="1"/>
        <v>0</v>
      </c>
      <c r="K18" s="5"/>
      <c r="L18" s="5"/>
      <c r="M18" s="5">
        <f t="shared" si="2"/>
        <v>0</v>
      </c>
    </row>
    <row r="19" spans="3:13" x14ac:dyDescent="0.35">
      <c r="C19" s="5"/>
      <c r="D19" s="5"/>
      <c r="E19" s="5"/>
      <c r="F19" s="5">
        <f t="shared" si="0"/>
        <v>0</v>
      </c>
      <c r="G19" s="5"/>
      <c r="H19" s="5"/>
      <c r="I19" s="5"/>
      <c r="J19" s="5">
        <f t="shared" si="1"/>
        <v>0</v>
      </c>
      <c r="K19" s="5"/>
      <c r="L19" s="5"/>
      <c r="M19" s="5">
        <f t="shared" si="2"/>
        <v>0</v>
      </c>
    </row>
    <row r="20" spans="3:13" x14ac:dyDescent="0.35">
      <c r="C20" s="5" t="s">
        <v>92</v>
      </c>
      <c r="D20" s="5"/>
      <c r="E20" s="5"/>
      <c r="F20" s="5">
        <f t="shared" si="0"/>
        <v>0</v>
      </c>
      <c r="G20" s="5" t="s">
        <v>105</v>
      </c>
      <c r="H20" s="5"/>
      <c r="I20" s="5"/>
      <c r="J20" s="5">
        <f t="shared" si="1"/>
        <v>0</v>
      </c>
      <c r="K20" s="5"/>
      <c r="L20" s="5"/>
      <c r="M20" s="5">
        <f t="shared" si="2"/>
        <v>0</v>
      </c>
    </row>
    <row r="21" spans="3:13" x14ac:dyDescent="0.35">
      <c r="C21" s="5"/>
      <c r="D21" s="5"/>
      <c r="E21" s="5"/>
      <c r="F21" s="5">
        <f t="shared" si="0"/>
        <v>0</v>
      </c>
      <c r="G21" s="5" t="s">
        <v>106</v>
      </c>
      <c r="H21" s="5"/>
      <c r="I21" s="5"/>
      <c r="J21" s="5">
        <f t="shared" si="1"/>
        <v>0</v>
      </c>
      <c r="K21" s="5"/>
      <c r="L21" s="5"/>
      <c r="M21" s="5">
        <f t="shared" si="2"/>
        <v>0</v>
      </c>
    </row>
    <row r="22" spans="3:13" x14ac:dyDescent="0.35">
      <c r="C22" s="5"/>
      <c r="D22" s="5"/>
      <c r="E22" s="5"/>
      <c r="F22" s="5">
        <f t="shared" si="0"/>
        <v>0</v>
      </c>
      <c r="G22" s="5"/>
      <c r="H22" s="5"/>
      <c r="I22" s="5"/>
      <c r="J22" s="5">
        <f t="shared" si="1"/>
        <v>0</v>
      </c>
      <c r="K22" s="5"/>
      <c r="L22" s="5"/>
      <c r="M22" s="5">
        <f t="shared" si="2"/>
        <v>0</v>
      </c>
    </row>
    <row r="23" spans="3:13" x14ac:dyDescent="0.35">
      <c r="C23" s="5" t="s">
        <v>98</v>
      </c>
      <c r="D23" s="5"/>
      <c r="E23" s="5"/>
      <c r="F23" s="5">
        <f t="shared" si="0"/>
        <v>0</v>
      </c>
      <c r="G23" s="5" t="s">
        <v>107</v>
      </c>
      <c r="H23" s="5"/>
      <c r="I23" s="5"/>
      <c r="J23" s="5">
        <f t="shared" si="1"/>
        <v>0</v>
      </c>
      <c r="K23" s="5"/>
      <c r="L23" s="5"/>
      <c r="M23" s="5">
        <f t="shared" si="2"/>
        <v>0</v>
      </c>
    </row>
    <row r="24" spans="3:13" x14ac:dyDescent="0.35">
      <c r="C24" s="5" t="s">
        <v>99</v>
      </c>
      <c r="D24" s="5"/>
      <c r="E24" s="5"/>
      <c r="F24" s="5">
        <f t="shared" si="0"/>
        <v>0</v>
      </c>
      <c r="G24" s="5" t="s">
        <v>107</v>
      </c>
      <c r="H24" s="5"/>
      <c r="I24" s="5"/>
      <c r="J24" s="5">
        <f t="shared" si="1"/>
        <v>0</v>
      </c>
      <c r="K24" s="5"/>
      <c r="L24" s="5"/>
      <c r="M24" s="5">
        <f t="shared" si="2"/>
        <v>0</v>
      </c>
    </row>
    <row r="25" spans="3:13" x14ac:dyDescent="0.35">
      <c r="C25" s="5" t="s">
        <v>100</v>
      </c>
      <c r="D25" s="5"/>
      <c r="E25" s="5"/>
      <c r="F25" s="5">
        <f t="shared" si="0"/>
        <v>0</v>
      </c>
      <c r="G25" s="5" t="s">
        <v>107</v>
      </c>
      <c r="H25" s="5"/>
      <c r="I25" s="5"/>
      <c r="J25" s="5">
        <f t="shared" si="1"/>
        <v>0</v>
      </c>
      <c r="K25" s="5"/>
      <c r="L25" s="5"/>
      <c r="M25" s="5">
        <f t="shared" si="2"/>
        <v>0</v>
      </c>
    </row>
    <row r="26" spans="3:13" x14ac:dyDescent="0.35">
      <c r="C26" s="5"/>
      <c r="D26" s="5"/>
      <c r="E26" s="5"/>
      <c r="F26" s="5">
        <f t="shared" si="0"/>
        <v>0</v>
      </c>
      <c r="G26" s="5"/>
      <c r="H26" s="5"/>
      <c r="I26" s="5"/>
      <c r="J26" s="5">
        <f t="shared" si="1"/>
        <v>0</v>
      </c>
      <c r="K26" s="5"/>
      <c r="L26" s="5"/>
      <c r="M26" s="5">
        <f t="shared" si="2"/>
        <v>0</v>
      </c>
    </row>
    <row r="27" spans="3:13" x14ac:dyDescent="0.35">
      <c r="C27" s="5" t="s">
        <v>94</v>
      </c>
      <c r="D27" s="5"/>
      <c r="E27" s="5"/>
      <c r="F27" s="5">
        <f t="shared" si="0"/>
        <v>0</v>
      </c>
      <c r="G27" s="5"/>
      <c r="H27" s="5"/>
      <c r="I27" s="5"/>
      <c r="J27" s="5">
        <f t="shared" si="1"/>
        <v>0</v>
      </c>
      <c r="K27" s="5"/>
      <c r="L27" s="5"/>
      <c r="M27" s="5">
        <f t="shared" si="2"/>
        <v>0</v>
      </c>
    </row>
    <row r="28" spans="3:13" x14ac:dyDescent="0.35">
      <c r="C28" s="5" t="s">
        <v>95</v>
      </c>
      <c r="D28" s="5"/>
      <c r="E28" s="5"/>
      <c r="F28" s="5">
        <f t="shared" si="0"/>
        <v>0</v>
      </c>
      <c r="G28" s="5"/>
      <c r="H28" s="5"/>
      <c r="I28" s="5"/>
      <c r="J28" s="5">
        <f t="shared" si="1"/>
        <v>0</v>
      </c>
      <c r="K28" s="5"/>
      <c r="L28" s="5"/>
      <c r="M28" s="5">
        <f t="shared" si="2"/>
        <v>0</v>
      </c>
    </row>
    <row r="29" spans="3:13" x14ac:dyDescent="0.35">
      <c r="C29" s="5" t="s">
        <v>96</v>
      </c>
      <c r="D29" s="5"/>
      <c r="E29" s="5"/>
      <c r="F29" s="5">
        <f t="shared" si="0"/>
        <v>0</v>
      </c>
      <c r="G29" s="5"/>
      <c r="H29" s="5"/>
      <c r="I29" s="5"/>
      <c r="J29" s="5">
        <f t="shared" si="1"/>
        <v>0</v>
      </c>
      <c r="K29" s="5"/>
      <c r="L29" s="5"/>
      <c r="M29" s="5">
        <f t="shared" si="2"/>
        <v>0</v>
      </c>
    </row>
    <row r="30" spans="3:13" x14ac:dyDescent="0.35">
      <c r="C30" s="5" t="s">
        <v>97</v>
      </c>
      <c r="D30" s="5"/>
      <c r="E30" s="5"/>
      <c r="F30" s="5">
        <f t="shared" si="0"/>
        <v>0</v>
      </c>
      <c r="G30" s="5"/>
      <c r="H30" s="5"/>
      <c r="I30" s="5"/>
      <c r="J30" s="5">
        <f>H30*I30</f>
        <v>0</v>
      </c>
      <c r="K30" s="5"/>
      <c r="L30" s="5"/>
      <c r="M30" s="5">
        <f>K30*L30</f>
        <v>0</v>
      </c>
    </row>
    <row r="31" spans="3:13" x14ac:dyDescent="0.35">
      <c r="C31" s="5"/>
      <c r="D31" s="5"/>
      <c r="E31" s="5"/>
      <c r="F31" s="5">
        <f t="shared" si="0"/>
        <v>0</v>
      </c>
      <c r="G31" s="5"/>
      <c r="H31" s="5"/>
      <c r="I31" s="5"/>
      <c r="J31" s="5">
        <f>H31*I31</f>
        <v>0</v>
      </c>
      <c r="K31" s="5"/>
      <c r="L31" s="5"/>
      <c r="M31" s="5">
        <f>K31*L31</f>
        <v>0</v>
      </c>
    </row>
    <row r="32" spans="3:13" x14ac:dyDescent="0.35">
      <c r="C32" s="5"/>
      <c r="D32" s="5"/>
      <c r="E32" s="5"/>
      <c r="F32" s="5">
        <f t="shared" si="0"/>
        <v>0</v>
      </c>
      <c r="G32" s="5"/>
      <c r="H32" s="5"/>
      <c r="I32" s="5"/>
      <c r="J32" s="5">
        <f>H32*I32</f>
        <v>0</v>
      </c>
      <c r="K32" s="5"/>
      <c r="L32" s="5"/>
      <c r="M32" s="5">
        <f>K32*L32</f>
        <v>0</v>
      </c>
    </row>
    <row r="33" spans="3:13" x14ac:dyDescent="0.35">
      <c r="C33" s="5"/>
      <c r="D33" s="5"/>
      <c r="E33" s="5"/>
      <c r="F33" s="5">
        <f t="shared" si="0"/>
        <v>0</v>
      </c>
      <c r="G33" s="5"/>
      <c r="H33" s="5"/>
      <c r="I33" s="5"/>
      <c r="J33" s="5">
        <f>H33*I33</f>
        <v>0</v>
      </c>
      <c r="K33" s="5"/>
      <c r="L33" s="5"/>
      <c r="M33" s="5">
        <f>K33*L33</f>
        <v>0</v>
      </c>
    </row>
    <row r="34" spans="3:13" x14ac:dyDescent="0.35">
      <c r="C34" s="5" t="s">
        <v>101</v>
      </c>
      <c r="D34" s="5"/>
      <c r="E34" s="5">
        <f>F34*10.764</f>
        <v>0</v>
      </c>
      <c r="F34" s="5">
        <f>SUM(F6:F33)</f>
        <v>0</v>
      </c>
      <c r="G34" s="5"/>
      <c r="H34" s="5"/>
      <c r="I34" s="5">
        <f>J34*10.764</f>
        <v>0</v>
      </c>
      <c r="J34" s="5">
        <f>SUM(J6:J33)</f>
        <v>0</v>
      </c>
      <c r="K34" s="5"/>
      <c r="L34" s="5">
        <f>M34*10.764</f>
        <v>0</v>
      </c>
      <c r="M34" s="5">
        <f>SUM(M6:M33)</f>
        <v>0</v>
      </c>
    </row>
  </sheetData>
  <mergeCells count="4">
    <mergeCell ref="D2:E2"/>
    <mergeCell ref="D4:F4"/>
    <mergeCell ref="H4:J4"/>
    <mergeCell ref="K4:M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I9" sqref="I9"/>
    </sheetView>
  </sheetViews>
  <sheetFormatPr defaultRowHeight="14.5" x14ac:dyDescent="0.35"/>
  <cols>
    <col min="2" max="2" width="25" customWidth="1"/>
    <col min="3" max="3" width="29.7265625" customWidth="1"/>
    <col min="8" max="8" width="23.453125" customWidth="1"/>
  </cols>
  <sheetData>
    <row r="1" spans="1:9" x14ac:dyDescent="0.35">
      <c r="A1" s="18"/>
      <c r="B1" s="18"/>
      <c r="C1" s="18"/>
      <c r="D1" s="18"/>
      <c r="E1" s="18"/>
      <c r="F1" s="18"/>
      <c r="G1" s="18"/>
      <c r="H1" s="18"/>
      <c r="I1" s="17"/>
    </row>
    <row r="2" spans="1:9" x14ac:dyDescent="0.35">
      <c r="A2" s="19"/>
      <c r="B2" s="19"/>
      <c r="C2" s="19"/>
      <c r="D2" s="19"/>
      <c r="E2" s="19"/>
      <c r="F2" s="19"/>
      <c r="G2" s="19"/>
      <c r="H2" s="19"/>
      <c r="I2" s="17"/>
    </row>
    <row r="3" spans="1:9" x14ac:dyDescent="0.35">
      <c r="A3" s="19"/>
      <c r="B3" s="253" t="s">
        <v>168</v>
      </c>
      <c r="C3" s="253"/>
      <c r="D3" s="253"/>
      <c r="E3" s="253"/>
      <c r="F3" s="253"/>
      <c r="G3" s="253"/>
      <c r="H3" s="253"/>
      <c r="I3" s="17"/>
    </row>
    <row r="4" spans="1:9" ht="29" x14ac:dyDescent="0.35">
      <c r="A4" s="19"/>
      <c r="B4" s="20" t="s">
        <v>169</v>
      </c>
      <c r="C4" s="20" t="s">
        <v>170</v>
      </c>
      <c r="D4" s="20" t="s">
        <v>103</v>
      </c>
      <c r="E4" s="20" t="s">
        <v>171</v>
      </c>
      <c r="F4" s="20" t="s">
        <v>172</v>
      </c>
      <c r="G4" s="20" t="s">
        <v>173</v>
      </c>
      <c r="H4" s="20" t="s">
        <v>174</v>
      </c>
      <c r="I4" s="17"/>
    </row>
    <row r="5" spans="1:9" x14ac:dyDescent="0.35">
      <c r="A5" s="19"/>
      <c r="B5" s="22" t="s">
        <v>175</v>
      </c>
      <c r="C5" s="28" t="s">
        <v>176</v>
      </c>
      <c r="D5" s="22" t="s">
        <v>121</v>
      </c>
      <c r="E5" s="22">
        <v>201</v>
      </c>
      <c r="F5" s="23">
        <v>291.45</v>
      </c>
      <c r="G5" s="23">
        <v>2830.6742151312405</v>
      </c>
      <c r="H5" s="24">
        <v>825000</v>
      </c>
      <c r="I5" s="17"/>
    </row>
    <row r="6" spans="1:9" x14ac:dyDescent="0.35">
      <c r="A6" s="19"/>
      <c r="B6" s="22" t="s">
        <v>175</v>
      </c>
      <c r="C6" s="28" t="s">
        <v>176</v>
      </c>
      <c r="D6" s="22" t="s">
        <v>120</v>
      </c>
      <c r="E6" s="22">
        <v>344</v>
      </c>
      <c r="F6" s="23">
        <v>498.8</v>
      </c>
      <c r="G6" s="23">
        <v>2931.0344827586205</v>
      </c>
      <c r="H6" s="24">
        <v>1462000</v>
      </c>
      <c r="I6" s="17"/>
    </row>
    <row r="7" spans="1:9" x14ac:dyDescent="0.35">
      <c r="A7" s="19"/>
      <c r="B7" s="22" t="s">
        <v>177</v>
      </c>
      <c r="C7" s="28" t="s">
        <v>176</v>
      </c>
      <c r="D7" s="22" t="s">
        <v>120</v>
      </c>
      <c r="E7" s="22">
        <v>344</v>
      </c>
      <c r="F7" s="23">
        <v>498.8</v>
      </c>
      <c r="G7" s="23">
        <v>2929.0296712109061</v>
      </c>
      <c r="H7" s="24">
        <v>1461000</v>
      </c>
      <c r="I7" s="17"/>
    </row>
    <row r="8" spans="1:9" x14ac:dyDescent="0.35">
      <c r="A8" s="19"/>
      <c r="B8" s="22" t="s">
        <v>177</v>
      </c>
      <c r="C8" s="28" t="s">
        <v>178</v>
      </c>
      <c r="D8" s="22" t="s">
        <v>121</v>
      </c>
      <c r="E8" s="23">
        <v>201</v>
      </c>
      <c r="F8" s="23">
        <v>291.45</v>
      </c>
      <c r="G8" s="23">
        <v>2827.2430948704755</v>
      </c>
      <c r="H8" s="24">
        <v>824000</v>
      </c>
      <c r="I8" s="17"/>
    </row>
    <row r="9" spans="1:9" x14ac:dyDescent="0.35">
      <c r="A9" s="19"/>
      <c r="B9" s="25" t="s">
        <v>179</v>
      </c>
      <c r="C9" s="22"/>
      <c r="D9" s="22"/>
      <c r="E9" s="22"/>
      <c r="F9" s="22"/>
      <c r="G9" s="26">
        <v>2879.4953659928105</v>
      </c>
      <c r="H9" s="22"/>
      <c r="I9" s="17"/>
    </row>
    <row r="10" spans="1:9" x14ac:dyDescent="0.35">
      <c r="A10" s="18"/>
      <c r="B10" s="25" t="s">
        <v>180</v>
      </c>
      <c r="C10" s="22"/>
      <c r="D10" s="22"/>
      <c r="E10" s="22"/>
      <c r="F10" s="27"/>
      <c r="G10" s="25">
        <v>2900</v>
      </c>
      <c r="H10" s="25"/>
      <c r="I10" s="21"/>
    </row>
    <row r="11" spans="1:9" x14ac:dyDescent="0.35">
      <c r="A11" s="17"/>
      <c r="B11" s="18"/>
      <c r="C11" s="18"/>
      <c r="D11" s="18"/>
      <c r="E11" s="18"/>
      <c r="F11" s="17"/>
      <c r="G11" s="17"/>
      <c r="H11" s="17"/>
      <c r="I11" s="17"/>
    </row>
    <row r="12" spans="1:9" x14ac:dyDescent="0.35">
      <c r="A12" s="17"/>
      <c r="B12" s="18"/>
      <c r="C12" s="18"/>
      <c r="D12" s="18"/>
      <c r="E12" s="18"/>
      <c r="F12" s="17"/>
      <c r="G12" s="17"/>
      <c r="H12" s="17"/>
      <c r="I12" s="17"/>
    </row>
    <row r="13" spans="1:9" x14ac:dyDescent="0.35">
      <c r="A13" s="17"/>
      <c r="B13" s="18"/>
      <c r="C13" s="18"/>
      <c r="D13" s="18"/>
      <c r="E13" s="18"/>
      <c r="F13" s="17"/>
      <c r="G13" s="17"/>
      <c r="H13" s="17"/>
      <c r="I13" s="17"/>
    </row>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Sheet1</vt:lpstr>
      <vt:lpstr>1 %</vt:lpstr>
      <vt:lpstr>2  %</vt:lpstr>
      <vt:lpstr>3 %</vt:lpstr>
      <vt:lpstr>4 % </vt:lpstr>
      <vt:lpstr>5</vt:lpstr>
      <vt:lpstr>8</vt:lpstr>
      <vt:lpstr>Wing A</vt:lpstr>
      <vt:lpstr>VALUATION</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Hp Elitebook 840 G6</cp:lastModifiedBy>
  <cp:lastPrinted>2025-09-20T10:07:11Z</cp:lastPrinted>
  <dcterms:created xsi:type="dcterms:W3CDTF">2013-11-23T05:32:33Z</dcterms:created>
  <dcterms:modified xsi:type="dcterms:W3CDTF">2025-09-20T10:07:47Z</dcterms:modified>
</cp:coreProperties>
</file>