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20-09-2025\"/>
    </mc:Choice>
  </mc:AlternateContent>
  <bookViews>
    <workbookView xWindow="0" yWindow="0" windowWidth="19200" windowHeight="6640" tabRatio="725"/>
  </bookViews>
  <sheets>
    <sheet name="Report" sheetId="1" r:id="rId1"/>
    <sheet name="Research" sheetId="4" r:id="rId2"/>
    <sheet name="valuation" sheetId="5" r:id="rId3"/>
  </sheets>
  <definedNames>
    <definedName name="_xlnm.Print_Area" localSheetId="0">Report!$A$1:$H$309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" i="1" l="1"/>
  <c r="J161" i="1" l="1"/>
  <c r="I143" i="1" l="1"/>
  <c r="I157" i="1"/>
  <c r="I133" i="1"/>
  <c r="I128" i="1"/>
  <c r="I127" i="1"/>
  <c r="J126" i="1"/>
  <c r="I126" i="1"/>
  <c r="K126" i="1" l="1"/>
  <c r="I142" i="1"/>
  <c r="D162" i="1"/>
  <c r="F162" i="1" s="1"/>
  <c r="J162" i="1" s="1"/>
  <c r="D161" i="1"/>
  <c r="F161" i="1" s="1"/>
  <c r="D164" i="1"/>
  <c r="F164" i="1" s="1"/>
  <c r="I161" i="1" s="1"/>
  <c r="D163" i="1"/>
  <c r="F163" i="1" s="1"/>
  <c r="I163" i="1" s="1"/>
  <c r="A161" i="1"/>
  <c r="A162" i="1" s="1"/>
  <c r="A163" i="1" s="1"/>
  <c r="A164" i="1" s="1"/>
  <c r="G160" i="1"/>
  <c r="D160" i="1"/>
  <c r="F160" i="1" s="1"/>
  <c r="D158" i="1"/>
  <c r="D157" i="1"/>
  <c r="D154" i="1"/>
  <c r="D148" i="1"/>
  <c r="F148" i="1" s="1"/>
  <c r="D147" i="1"/>
  <c r="F147" i="1" s="1"/>
  <c r="D150" i="1"/>
  <c r="F150" i="1" s="1"/>
  <c r="D149" i="1"/>
  <c r="F149" i="1" s="1"/>
  <c r="A148" i="1"/>
  <c r="A149" i="1" s="1"/>
  <c r="A150" i="1" s="1"/>
  <c r="G147" i="1"/>
  <c r="D145" i="1"/>
  <c r="D144" i="1"/>
  <c r="D143" i="1"/>
  <c r="D142" i="1"/>
  <c r="D136" i="1"/>
  <c r="F136" i="1" s="1"/>
  <c r="D135" i="1"/>
  <c r="F135" i="1" s="1"/>
  <c r="D134" i="1"/>
  <c r="F134" i="1" s="1"/>
  <c r="D133" i="1"/>
  <c r="F133" i="1" s="1"/>
  <c r="A132" i="1"/>
  <c r="A134" i="1" s="1"/>
  <c r="A135" i="1" s="1"/>
  <c r="A136" i="1" s="1"/>
  <c r="G131" i="1"/>
  <c r="D129" i="1"/>
  <c r="D128" i="1"/>
  <c r="D127" i="1"/>
  <c r="D126" i="1"/>
  <c r="E42" i="1"/>
  <c r="E117" i="1" l="1"/>
  <c r="C116" i="1"/>
  <c r="C111" i="1"/>
  <c r="C112" i="1"/>
  <c r="E112" i="1"/>
  <c r="E116" i="1"/>
  <c r="E111" i="1"/>
  <c r="C117" i="1"/>
  <c r="G112" i="1"/>
  <c r="Z12" i="1"/>
  <c r="I14" i="1"/>
  <c r="C118" i="1" l="1"/>
  <c r="E118" i="1"/>
  <c r="C113" i="1"/>
  <c r="E113" i="1"/>
  <c r="F142" i="1"/>
  <c r="J142" i="1" s="1"/>
  <c r="F126" i="1"/>
  <c r="C119" i="1" l="1"/>
  <c r="E119" i="1"/>
  <c r="E43" i="1" l="1"/>
  <c r="E44" i="1" s="1"/>
  <c r="C15" i="1" l="1"/>
  <c r="E30" i="1" l="1"/>
  <c r="F143" i="1" l="1"/>
  <c r="F144" i="1"/>
  <c r="F145" i="1"/>
  <c r="A143" i="1"/>
  <c r="A144" i="1" s="1"/>
  <c r="A145" i="1" s="1"/>
  <c r="G142" i="1"/>
  <c r="G116" i="1" l="1"/>
  <c r="F108" i="1"/>
  <c r="F127" i="1" l="1"/>
  <c r="F128" i="1"/>
  <c r="F129" i="1"/>
  <c r="G111" i="1" l="1"/>
  <c r="G113" i="1" s="1"/>
  <c r="B167" i="1"/>
  <c r="F158" i="1" l="1"/>
  <c r="F157" i="1"/>
  <c r="F154" i="1"/>
  <c r="G117" i="1" l="1"/>
  <c r="G118" i="1" s="1"/>
  <c r="G119" i="1" s="1"/>
  <c r="B16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0" i="1"/>
  <c r="G154" i="1"/>
  <c r="A155" i="1"/>
  <c r="A156" i="1" s="1"/>
  <c r="A157" i="1" s="1"/>
  <c r="A158" i="1" s="1"/>
  <c r="A127" i="1"/>
  <c r="A128" i="1" s="1"/>
  <c r="A129" i="1" s="1"/>
  <c r="G126" i="1"/>
  <c r="B68" i="1"/>
  <c r="D55" i="1"/>
  <c r="G50" i="1"/>
  <c r="C50" i="1"/>
  <c r="E27" i="1"/>
  <c r="E25" i="1"/>
  <c r="E7" i="1"/>
  <c r="E3" i="1"/>
  <c r="D61" i="1" l="1"/>
  <c r="H68" i="1"/>
  <c r="D80" i="1" l="1"/>
  <c r="D78" i="1"/>
  <c r="D77" i="1"/>
  <c r="D74" i="1"/>
  <c r="D76" i="1"/>
  <c r="J73" i="1"/>
  <c r="J74" i="1" s="1"/>
  <c r="J79" i="1" s="1"/>
  <c r="D79" i="1"/>
  <c r="J67" i="1"/>
  <c r="J69" i="1" s="1"/>
  <c r="D75" i="1"/>
  <c r="J71" i="1"/>
  <c r="J72" i="1"/>
  <c r="C71" i="1" s="1"/>
  <c r="J70" i="1"/>
  <c r="J75" i="1"/>
  <c r="J76" i="1" s="1"/>
  <c r="J77" i="1" s="1"/>
  <c r="J78" i="1" s="1"/>
  <c r="D73" i="1"/>
  <c r="B82" i="1" l="1"/>
  <c r="D71" i="1"/>
  <c r="J80" i="1"/>
  <c r="C72" i="1" s="1"/>
  <c r="H82" i="1"/>
  <c r="G71" i="1" l="1"/>
  <c r="D65" i="1" s="1"/>
  <c r="J86" i="1"/>
  <c r="D92" i="1"/>
  <c r="D91" i="1"/>
  <c r="J84" i="1"/>
  <c r="D94" i="1"/>
  <c r="D90" i="1"/>
  <c r="J85" i="1"/>
  <c r="D93" i="1"/>
  <c r="D89" i="1"/>
  <c r="D88" i="1"/>
  <c r="D87" i="1"/>
  <c r="J81" i="1"/>
  <c r="J83" i="1" s="1"/>
  <c r="J90" i="1"/>
  <c r="J91" i="1"/>
  <c r="J89" i="1"/>
  <c r="J92" i="1"/>
  <c r="J87" i="1"/>
  <c r="J68" i="1"/>
  <c r="D72" i="1"/>
  <c r="I68" i="1" s="1"/>
  <c r="I69" i="1" s="1"/>
  <c r="E71" i="1"/>
  <c r="D66" i="1" l="1"/>
  <c r="F66" i="1"/>
  <c r="C85" i="1"/>
  <c r="D85" i="1" s="1"/>
  <c r="J88" i="1"/>
  <c r="I67" i="1"/>
  <c r="C69" i="1" s="1"/>
  <c r="J93" i="1" l="1"/>
  <c r="J94" i="1" l="1"/>
  <c r="C86" i="1" l="1"/>
  <c r="G85" i="1" s="1"/>
  <c r="J82" i="1" l="1"/>
  <c r="D86" i="1"/>
  <c r="I82" i="1" s="1"/>
  <c r="I83" i="1" s="1"/>
  <c r="E85" i="1"/>
  <c r="I81" i="1" l="1"/>
  <c r="C83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<sst xmlns="http://schemas.openxmlformats.org/spreadsheetml/2006/main" count="458" uniqueCount="300">
  <si>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</si>
  <si>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</si>
  <si>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</si>
  <si>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</si>
  <si>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</si>
  <si>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</si>
  <si>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</si>
  <si>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</si>
  <si>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</si>
  <si>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</si>
  <si>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</si>
  <si>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</si>
  <si>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</si>
  <si>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</si>
  <si>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</si>
  <si>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</si>
  <si>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</si>
  <si>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</si>
  <si>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</si>
  <si>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</si>
  <si>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</si>
  <si>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</si>
  <si>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</si>
  <si>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</si>
  <si>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</si>
  <si>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</si>
  <si>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</si>
  <si>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</si>
  <si>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</si>
  <si>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</si>
  <si>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</si>
  <si>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</si>
  <si>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</si>
  <si>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</si>
  <si>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</si>
  <si>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</si>
  <si>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</si>
  <si>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</si>
  <si>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</si>
  <si>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</si>
  <si>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</si>
  <si>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</si>
  <si>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</si>
  <si>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</si>
  <si>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</si>
  <si>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</si>
  <si>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</si>
  <si>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</si>
  <si>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</si>
  <si>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</si>
  <si>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</si>
  <si>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</si>
  <si>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</si>
  <si>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</si>
  <si>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</si>
  <si>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</si>
  <si>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</si>
  <si>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</si>
  <si>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</si>
  <si>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</si>
  <si>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</si>
  <si>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</si>
  <si>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</si>
  <si>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</si>
  <si>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</si>
  <si>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</si>
  <si>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</si>
  <si>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</si>
  <si>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</si>
  <si>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</si>
  <si>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</si>
  <si>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</si>
  <si>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</si>
  <si>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</si>
  <si>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</si>
  <si>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</si>
  <si>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</si>
  <si>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</si>
  <si>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</si>
  <si>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</si>
  <si>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</si>
  <si>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</si>
  <si>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</si>
  <si>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</si>
  <si>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</si>
  <si>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</si>
  <si>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</si>
  <si>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</si>
  <si>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</si>
  <si>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</si>
  <si>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</si>
  <si>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</si>
  <si>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</si>
  <si>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</si>
  <si>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</si>
  <si>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</si>
  <si>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</si>
  <si>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</si>
  <si>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</si>
  <si>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</si>
  <si>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</si>
  <si>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</si>
  <si>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</si>
  <si>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</si>
  <si>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</si>
  <si>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</si>
  <si>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</si>
  <si>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</si>
  <si>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</si>
  <si>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</si>
  <si>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</si>
  <si>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</si>
  <si>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</si>
  <si>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</si>
  <si>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</si>
  <si>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</si>
  <si>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</si>
  <si>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</si>
  <si>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</si>
  <si>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</si>
  <si>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</si>
  <si>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</si>
  <si>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</si>
  <si>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</si>
  <si>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</si>
  <si>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</si>
  <si>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</si>
  <si>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</si>
  <si>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</si>
  <si>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</si>
  <si>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</si>
  <si>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</si>
  <si>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</si>
  <si>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</si>
  <si>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</si>
  <si>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</si>
  <si>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</si>
  <si>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</si>
  <si>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</si>
  <si>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</si>
  <si>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</si>
  <si>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</si>
  <si>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</si>
  <si>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</si>
  <si>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</si>
  <si>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</si>
  <si>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</si>
  <si>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</si>
  <si>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</si>
  <si>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</si>
  <si>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</si>
  <si>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</si>
  <si>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</si>
  <si>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</si>
  <si>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</si>
  <si>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</si>
  <si>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</si>
  <si>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</si>
  <si>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</si>
  <si>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</si>
  <si>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</si>
  <si>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</si>
  <si>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</si>
  <si>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</si>
  <si>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</si>
  <si>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</si>
  <si>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</si>
  <si>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</si>
  <si>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</si>
  <si>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</si>
  <si>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</si>
  <si>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</si>
  <si>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</si>
  <si>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</si>
  <si>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</si>
  <si>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</si>
  <si>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</si>
  <si>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CTS No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</si>
  <si>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</si>
  <si>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</si>
  <si>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</si>
  <si>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</si>
  <si>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</si>
  <si>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</si>
  <si>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</si>
  <si>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</si>
  <si>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</si>
  <si>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</si>
  <si>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</si>
  <si>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</si>
  <si>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</si>
  <si>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</si>
  <si>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</si>
  <si>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</si>
  <si>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</si>
  <si>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</si>
  <si>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</si>
  <si>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</si>
  <si>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</si>
  <si>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</si>
  <si>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</si>
  <si>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</si>
  <si>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</si>
  <si>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</si>
  <si>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</si>
  <si>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</si>
  <si>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</si>
  <si>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</si>
  <si>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</si>
  <si>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</si>
  <si>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</si>
  <si>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</si>
  <si>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</si>
  <si>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</si>
  <si>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</si>
  <si>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</si>
  <si>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</si>
  <si>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</si>
  <si>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</si>
  <si>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</si>
  <si>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</si>
  <si>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</si>
  <si>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</si>
  <si>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</si>
  <si>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</si>
  <si>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</si>
  <si>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</si>
  <si>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</si>
  <si>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</si>
  <si>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</si>
  <si>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</si>
  <si>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</si>
  <si>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</si>
  <si>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Commencement-CC No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</si>
  <si>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</si>
  <si>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</si>
  <si>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Vasundara Lifestyle Private Limited</t>
  </si>
  <si>
    <t>Sheetal Surya Prakash</t>
  </si>
  <si>
    <t>Wing A &amp; B</t>
  </si>
  <si>
    <t>P51800050331</t>
  </si>
  <si>
    <t>Suryaprakash CO.OP. Housing Society Ltd.</t>
  </si>
  <si>
    <t>Approved Plans, CC &amp; Sale Plans.</t>
  </si>
  <si>
    <t>1954,1954/1 to 6, F.P. No. 497 TPS No. V, Redevlopement of "Suryaprakash CO.OP. Housing Society Ltd."</t>
  </si>
  <si>
    <t>Vile Parle East</t>
  </si>
  <si>
    <t>850M from Ville Parle Railway Station</t>
  </si>
  <si>
    <t>Azad Road</t>
  </si>
  <si>
    <t>Navpada</t>
  </si>
  <si>
    <t>Vile Parle</t>
  </si>
  <si>
    <t>Other Plot</t>
  </si>
  <si>
    <t>13.40 M Wide Road</t>
  </si>
  <si>
    <t>Motivilla  CO-OP HSG. SOC. LTD.</t>
  </si>
  <si>
    <t>Building</t>
  </si>
  <si>
    <t>Municipal Corporation Of Greater Mumbai (MCGM)</t>
  </si>
  <si>
    <t>P-7700/2021/(497)/K/E Ward/FP/
337/1/New</t>
  </si>
  <si>
    <t>As per RERA - 31/12/2026</t>
  </si>
  <si>
    <t>Gymnasium, Indoor Games Area, Kids play Area, Yoga Meditation Area, Jogging track, Family Sitting Lounge, etc.</t>
  </si>
  <si>
    <t>Wing A = G + 1st to 3rd Floor
Wing B = G + 1st &amp; 2nd Floor</t>
  </si>
  <si>
    <t>Wing A</t>
  </si>
  <si>
    <t>Ground Floor For Commercial &amp; Parking</t>
  </si>
  <si>
    <t>Shop</t>
  </si>
  <si>
    <t>1st Floor For Commercial</t>
  </si>
  <si>
    <t>Shop (Duplex With 1st Floor)</t>
  </si>
  <si>
    <t>Shop (Duplex With Gr. Floor)</t>
  </si>
  <si>
    <t>Office</t>
  </si>
  <si>
    <t>2nd Floor For Residential</t>
  </si>
  <si>
    <t>1RK</t>
  </si>
  <si>
    <t>3BHK</t>
  </si>
  <si>
    <t>1BHK</t>
  </si>
  <si>
    <t>2BHK</t>
  </si>
  <si>
    <t>3rd Floor</t>
  </si>
  <si>
    <t>Wing B</t>
  </si>
  <si>
    <t>Ground Floor For Substation &amp; Parking</t>
  </si>
  <si>
    <t>1st Floor For Residential, Society Office &amp; Fitness Centre</t>
  </si>
  <si>
    <t>Fitness Centre</t>
  </si>
  <si>
    <t>Society Office</t>
  </si>
  <si>
    <t>We considered Gross carpet area = Net carpet.</t>
  </si>
  <si>
    <t>https://sheetalsuryaprakash.com/</t>
  </si>
  <si>
    <t>Offices</t>
  </si>
  <si>
    <t>Shops</t>
  </si>
  <si>
    <t>Flats - 16, Shops - 04, Offices - 04</t>
  </si>
  <si>
    <t xml:space="preserve">As the project is redevelopement project but rehab statement or rehab flats is not mentioned in approved layout plan &amp; floor plan.
</t>
  </si>
  <si>
    <t>AS PER CC</t>
  </si>
  <si>
    <t>https://maps.app.goo.gl/fkJm4rr21VbLB29K7</t>
  </si>
  <si>
    <t>Interanl Road</t>
  </si>
  <si>
    <t>Airport View CHS Ltd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</si>
  <si>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</si>
  <si>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Wing A = G + 1st to 7th Floor</t>
  </si>
  <si>
    <t>Wing B = G + 1st to 7th Floor</t>
  </si>
  <si>
    <t>19.091749,72.843911</t>
  </si>
  <si>
    <t>Mr. Prashant 7303541107</t>
  </si>
  <si>
    <t>Tushar Bhuwad</t>
  </si>
  <si>
    <t>We have updated CC (On 02/05/2025).</t>
  </si>
  <si>
    <t>02 Buildings</t>
  </si>
  <si>
    <t>P-7700/2021/(497)/K/E Ward/FP/FCC/1/Amend</t>
  </si>
  <si>
    <t>Further C.C. upto top of 5th floor for Wing A &amp; B by restricting CC of 6th upper floor for Wing A &amp; B as per last approved plan dt.10.07.2025.</t>
  </si>
  <si>
    <t>Wing A &amp; B = G + 1st to 7th Floor</t>
  </si>
  <si>
    <t>Wing A &amp; B = Construction work is in process at the time of Visit.</t>
  </si>
  <si>
    <t>Pooja</t>
  </si>
  <si>
    <t>We have updated latest CC from MCGM site (On 31/07/2025).
Please provide latest approved floor plans.</t>
  </si>
  <si>
    <t>Mr. Rohan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</si>
</sst>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2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4" xfId="0" applyFont="1" applyFill="1" applyBorder="1"/>
    <xf numFmtId="0" fontId="25" fillId="0" borderId="25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0" xfId="1" applyFont="1" applyAlignment="1">
      <alignment wrapText="1"/>
    </xf>
    <xf numFmtId="0" fontId="26" fillId="0" borderId="0" xfId="10"/>
    <xf numFmtId="0" fontId="7" fillId="0" borderId="0" xfId="0" applyFont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25" fillId="0" borderId="12" xfId="0" applyFont="1" applyBorder="1"/>
    <xf numFmtId="0" fontId="7" fillId="0" borderId="0" xfId="1" applyFont="1" applyBorder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6" xfId="0" applyFont="1" applyFill="1" applyBorder="1"/>
    <xf numFmtId="0" fontId="25" fillId="0" borderId="8" xfId="0" applyFont="1" applyBorder="1"/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7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7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9" fontId="7" fillId="0" borderId="13" xfId="8" applyFont="1" applyFill="1" applyBorder="1" applyAlignment="1" applyProtection="1">
      <alignment horizontal="center" vertical="center" wrapText="1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19" xfId="8" applyFont="1" applyFill="1" applyBorder="1" applyAlignment="1" applyProtection="1">
      <alignment horizontal="center" vertical="center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8" fillId="0" borderId="31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29" xfId="1" applyFont="1" applyBorder="1" applyAlignment="1" applyProtection="1">
      <alignment horizontal="left" vertical="top" wrapText="1"/>
      <protection locked="0"/>
    </xf>
    <xf numFmtId="0" fontId="8" fillId="0" borderId="30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9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17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17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27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8" fillId="0" borderId="12" xfId="1" applyFont="1" applyBorder="1" applyAlignment="1" applyProtection="1">
      <alignment horizontal="left" vertical="top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2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2" xfId="1" applyFont="1" applyBorder="1" applyAlignment="1" applyProtection="1">
      <alignment horizontal="center" vertical="top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10" fillId="0" borderId="27" xfId="0" applyNumberFormat="1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1" fontId="8" fillId="0" borderId="27" xfId="0" applyNumberFormat="1" applyFont="1" applyBorder="1" applyAlignment="1" applyProtection="1">
      <alignment horizontal="center" vertical="top" wrapText="1"/>
      <protection locked="0"/>
    </xf>
    <xf numFmtId="1" fontId="8" fillId="0" borderId="28" xfId="0" applyNumberFormat="1" applyFont="1" applyBorder="1" applyAlignment="1" applyProtection="1">
      <alignment horizontal="center" vertical="top" wrapText="1"/>
      <protection locked="0"/>
    </xf>
    <xf numFmtId="0" fontId="7" fillId="0" borderId="19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690196</xdr:colOff>
      <xdr:row>10</xdr:row>
      <xdr:rowOff>733</xdr:rowOff>
    </xdr:from>
    <xdr:to>
      <xdr:col>11</xdr:col>
      <xdr:colOff>616852</xdr:colOff>
      <xdr:row>14</xdr:row>
      <xdr:rowOff>291623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71946" y="2391508"/>
          <a:ext cx="2555556" cy="109099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408844</xdr:colOff>
      <xdr:row>44</xdr:row>
      <xdr:rowOff>90120</xdr:rowOff>
    </xdr:from>
    <xdr:to>
      <xdr:col>13</xdr:col>
      <xdr:colOff>620281</xdr:colOff>
      <xdr:row>50</xdr:row>
      <xdr:rowOff>21755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90594" y="10281870"/>
          <a:ext cx="4335762" cy="179853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168521</xdr:colOff>
      <xdr:row>234</xdr:row>
      <xdr:rowOff>36635</xdr:rowOff>
    </xdr:from>
    <xdr:to>
      <xdr:col>7</xdr:col>
      <xdr:colOff>572318</xdr:colOff>
      <xdr:row>253</xdr:row>
      <xdr:rowOff>39041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8521" y="49288212"/>
          <a:ext cx="6499797" cy="37611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271097</xdr:colOff>
      <xdr:row>236</xdr:row>
      <xdr:rowOff>168519</xdr:rowOff>
    </xdr:from>
    <xdr:to>
      <xdr:col>2</xdr:col>
      <xdr:colOff>908539</xdr:colOff>
      <xdr:row>241</xdr:row>
      <xdr:rowOff>80597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91712" y="49815750"/>
          <a:ext cx="1494692" cy="90121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271097</xdr:colOff>
      <xdr:row>241</xdr:row>
      <xdr:rowOff>124558</xdr:rowOff>
    </xdr:from>
    <xdr:to>
      <xdr:col>3</xdr:col>
      <xdr:colOff>7327</xdr:colOff>
      <xdr:row>247</xdr:row>
      <xdr:rowOff>95250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91712" y="50760923"/>
          <a:ext cx="1509346" cy="115765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0</xdr:col>
      <xdr:colOff>375455</xdr:colOff>
      <xdr:row>238</xdr:row>
      <xdr:rowOff>7326</xdr:rowOff>
    </xdr:from>
    <xdr:ext cx="650306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75455" y="50050211"/>
          <a:ext cx="6503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N" sz="1100" b="1">
              <a:solidFill>
                <a:srgbClr val="FF0000"/>
              </a:solidFill>
            </a:rPr>
            <a:t>WING A</a:t>
          </a:r>
        </a:p>
      </xdr:txBody>
    </xdr:sp>
    <xdr:clientData/>
  </xdr:oneCellAnchor>
  <xdr:oneCellAnchor>
    <xdr:from>
      <xdr:col>0</xdr:col>
      <xdr:colOff>362226</xdr:colOff>
      <xdr:row>244</xdr:row>
      <xdr:rowOff>21981</xdr:rowOff>
    </xdr:from>
    <xdr:ext cx="643895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62226" y="51251827"/>
          <a:ext cx="64389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N" sz="1100" b="1">
              <a:solidFill>
                <a:srgbClr val="FF0000"/>
              </a:solidFill>
            </a:rPr>
            <a:t>WING B</a:t>
          </a:r>
        </a:p>
      </xdr:txBody>
    </xdr:sp>
    <xdr:clientData/>
  </xdr:oneCellAnchor>
  <xdr:twoCellAnchor editAs="oneCell">
    <xdr:from>
      <xdr:col>1</xdr:col>
      <xdr:colOff>223078</xdr:colOff>
      <xdr:row>268</xdr:row>
      <xdr:rowOff>21981</xdr:rowOff>
    </xdr:from>
    <xdr:to>
      <xdr:col>6</xdr:col>
      <xdr:colOff>620667</xdr:colOff>
      <xdr:row>288</xdr:row>
      <xdr:rowOff>163319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3693" y="57977943"/>
          <a:ext cx="4852359" cy="409787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771525</xdr:colOff>
      <xdr:row>289</xdr:row>
      <xdr:rowOff>38101</xdr:rowOff>
    </xdr:from>
    <xdr:to>
      <xdr:col>7</xdr:col>
      <xdr:colOff>62289</xdr:colOff>
      <xdr:row>307</xdr:row>
      <xdr:rowOff>165101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1525" y="59035951"/>
          <a:ext cx="5247064" cy="36703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719302</xdr:colOff>
      <xdr:row>296</xdr:row>
      <xdr:rowOff>165054</xdr:rowOff>
    </xdr:from>
    <xdr:to>
      <xdr:col>2</xdr:col>
      <xdr:colOff>830136</xdr:colOff>
      <xdr:row>301</xdr:row>
      <xdr:rowOff>52880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H="1">
          <a:off x="2400957" y="63345364"/>
          <a:ext cx="110834" cy="873171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696310</xdr:colOff>
      <xdr:row>301</xdr:row>
      <xdr:rowOff>39414</xdr:rowOff>
    </xdr:from>
    <xdr:to>
      <xdr:col>4</xdr:col>
      <xdr:colOff>111672</xdr:colOff>
      <xdr:row>301</xdr:row>
      <xdr:rowOff>151086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2377965" y="64205069"/>
          <a:ext cx="1340069" cy="111672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814552</xdr:colOff>
      <xdr:row>296</xdr:row>
      <xdr:rowOff>177362</xdr:rowOff>
    </xdr:from>
    <xdr:to>
      <xdr:col>3</xdr:col>
      <xdr:colOff>915939</xdr:colOff>
      <xdr:row>297</xdr:row>
      <xdr:rowOff>63923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2496207" y="63357672"/>
          <a:ext cx="1014473" cy="83630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922289</xdr:colOff>
      <xdr:row>297</xdr:row>
      <xdr:rowOff>63923</xdr:rowOff>
    </xdr:from>
    <xdr:to>
      <xdr:col>4</xdr:col>
      <xdr:colOff>105103</xdr:colOff>
      <xdr:row>301</xdr:row>
      <xdr:rowOff>131379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3517030" y="63441302"/>
          <a:ext cx="194435" cy="855732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790575</xdr:colOff>
      <xdr:row>189</xdr:row>
      <xdr:rowOff>171450</xdr:rowOff>
    </xdr:from>
    <xdr:to>
      <xdr:col>16</xdr:col>
      <xdr:colOff>338320</xdr:colOff>
      <xdr:row>222</xdr:row>
      <xdr:rowOff>46719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B4CEEFAF-8A39-455C-AC4F-99B6F0244F55}"/>
            </a:ext>
          </a:extLst>
        </xdr:cNvPr>
        <xdr:cNvGrpSpPr/>
      </xdr:nvGrpSpPr>
      <xdr:grpSpPr>
        <a:xfrm>
          <a:off x="7483475" y="39928800"/>
          <a:ext cx="6246995" cy="6364969"/>
          <a:chOff x="356455" y="1231082"/>
          <a:chExt cx="5948545" cy="6466569"/>
        </a:xfrm>
      </xdr:grpSpPr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975F7B2C-EB91-4298-AAAD-44CF88ED03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6455" y="1231082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998A5054-2770-40F7-AD8C-D78494E47B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1231082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B80D885F-C0F3-43D5-B98B-B725C2A342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3573159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12D02495-E20A-40D1-9226-8DC44BB506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6455" y="3577451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DCFD26AC-8C1D-4D31-ACCC-E1AF4C80A5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25156" y="5897651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7" name="TextBox 500">
            <a:extLst>
              <a:ext uri="{FF2B5EF4-FFF2-40B4-BE49-F238E27FC236}">
                <a16:creationId xmlns:a16="http://schemas.microsoft.com/office/drawing/2014/main" id="{4ACC1E17-CFF7-4713-9B7E-38AD3745866E}"/>
              </a:ext>
            </a:extLst>
          </xdr:cNvPr>
          <xdr:cNvSpPr txBox="1"/>
        </xdr:nvSpPr>
        <xdr:spPr>
          <a:xfrm>
            <a:off x="832815" y="2591473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3" name="TextBox 501">
            <a:extLst>
              <a:ext uri="{FF2B5EF4-FFF2-40B4-BE49-F238E27FC236}">
                <a16:creationId xmlns:a16="http://schemas.microsoft.com/office/drawing/2014/main" id="{FE9F0F76-25C3-484C-9AAF-EC6CEC07FAC9}"/>
              </a:ext>
            </a:extLst>
          </xdr:cNvPr>
          <xdr:cNvSpPr txBox="1"/>
        </xdr:nvSpPr>
        <xdr:spPr>
          <a:xfrm>
            <a:off x="4521823" y="2773909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4" name="TextBox 502">
            <a:extLst>
              <a:ext uri="{FF2B5EF4-FFF2-40B4-BE49-F238E27FC236}">
                <a16:creationId xmlns:a16="http://schemas.microsoft.com/office/drawing/2014/main" id="{DED0418B-6F9E-48F9-B0AC-84FC212E8B60}"/>
              </a:ext>
            </a:extLst>
          </xdr:cNvPr>
          <xdr:cNvSpPr txBox="1"/>
        </xdr:nvSpPr>
        <xdr:spPr>
          <a:xfrm>
            <a:off x="1361483" y="4275035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8</xdr:col>
      <xdr:colOff>247650</xdr:colOff>
      <xdr:row>50</xdr:row>
      <xdr:rowOff>152400</xdr:rowOff>
    </xdr:from>
    <xdr:to>
      <xdr:col>15</xdr:col>
      <xdr:colOff>172224</xdr:colOff>
      <xdr:row>54</xdr:row>
      <xdr:rowOff>12909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62B8A7-2B24-4E62-8AD9-6FA100CC6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629400" y="12211050"/>
          <a:ext cx="5544324" cy="149563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69850</xdr:colOff>
      <xdr:row>190</xdr:row>
      <xdr:rowOff>101600</xdr:rowOff>
    </xdr:from>
    <xdr:to>
      <xdr:col>7</xdr:col>
      <xdr:colOff>609488</xdr:colOff>
      <xdr:row>222</xdr:row>
      <xdr:rowOff>38295</xdr:rowOff>
    </xdr:to>
    <xdr:grpSp>
      <xdr:nvGrpSpPr>
        <xdr:cNvPr id="5" name="Group 4"/>
        <xdr:cNvGrpSpPr/>
      </xdr:nvGrpSpPr>
      <xdr:grpSpPr>
        <a:xfrm>
          <a:off x="69850" y="40055800"/>
          <a:ext cx="6495938" cy="6229545"/>
          <a:chOff x="69850" y="40055800"/>
          <a:chExt cx="6495938" cy="6229545"/>
        </a:xfrm>
      </xdr:grpSpPr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42341" y="44125345"/>
            <a:ext cx="142344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2186" y="400558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2392" y="400558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0897" y="44125345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850" y="44125345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31945" y="44125345"/>
            <a:ext cx="1503606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1" name="TextBox 500">
            <a:extLst>
              <a:ext uri="{FF2B5EF4-FFF2-40B4-BE49-F238E27FC236}">
                <a16:creationId xmlns:a16="http://schemas.microsoft.com/office/drawing/2014/main" id="{4ACC1E17-CFF7-4713-9B7E-38AD3745866E}"/>
              </a:ext>
            </a:extLst>
          </xdr:cNvPr>
          <xdr:cNvSpPr txBox="1"/>
        </xdr:nvSpPr>
        <xdr:spPr>
          <a:xfrm>
            <a:off x="1975142" y="40525700"/>
            <a:ext cx="919490" cy="36352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1" name="TextBox 500">
            <a:extLst>
              <a:ext uri="{FF2B5EF4-FFF2-40B4-BE49-F238E27FC236}">
                <a16:creationId xmlns:a16="http://schemas.microsoft.com/office/drawing/2014/main" id="{4ACC1E17-CFF7-4713-9B7E-38AD3745866E}"/>
              </a:ext>
            </a:extLst>
          </xdr:cNvPr>
          <xdr:cNvSpPr txBox="1"/>
        </xdr:nvSpPr>
        <xdr:spPr>
          <a:xfrm>
            <a:off x="4107986" y="40474900"/>
            <a:ext cx="919490" cy="36352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2</xdr:col>
      <xdr:colOff>2362699</xdr:colOff>
      <xdr:row>25</xdr:row>
      <xdr:rowOff>64500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3841875" cy="21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maps.app.goo.gl/fkJm4rr21VbLB29K7" TargetMode="External"/><Relationship Id="rId1" Type="http://schemas.openxmlformats.org/officeDocument/2006/relationships/hyperlink" Target="https://sheetalsuryaprakash.com/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267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6" width="11.7265625" style="40" customWidth="1"/>
    <col min="7" max="7" width="11.453125" style="40" customWidth="1"/>
    <col min="8" max="8" width="10.5429687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26" ht="46.5" customHeight="1" x14ac:dyDescent="0.35">
      <c r="A1" s="162" t="s">
        <v>285</v>
      </c>
      <c r="B1" s="162"/>
      <c r="C1" s="162"/>
      <c r="D1" s="162"/>
      <c r="E1" s="162"/>
      <c r="F1" s="162"/>
      <c r="G1" s="162"/>
      <c r="H1" s="162"/>
    </row>
    <row r="2" spans="1:26" ht="16.5" customHeight="1" x14ac:dyDescent="0.35">
      <c r="A2" s="163" t="s">
        <v>0</v>
      </c>
      <c r="B2" s="163"/>
      <c r="C2" s="163"/>
      <c r="D2" s="163"/>
      <c r="E2" s="163"/>
      <c r="F2" s="163"/>
      <c r="G2" s="163"/>
      <c r="H2" s="163"/>
    </row>
    <row r="3" spans="1:26" x14ac:dyDescent="0.35">
      <c r="A3" s="81" t="s">
        <v>1</v>
      </c>
      <c r="B3" s="81"/>
      <c r="C3" s="81"/>
      <c r="D3" s="81"/>
      <c r="E3" s="81" t="str">
        <f ca="1">TEXT(TODAY(),"DD/MM/YYYY")</f>
        <v>20/09/2025</v>
      </c>
      <c r="F3" s="81"/>
      <c r="G3" s="81"/>
      <c r="H3" s="81"/>
    </row>
    <row r="4" spans="1:26" ht="15" customHeight="1" x14ac:dyDescent="0.35">
      <c r="A4" s="81" t="s">
        <v>2</v>
      </c>
      <c r="B4" s="81"/>
      <c r="C4" s="81"/>
      <c r="D4" s="81"/>
      <c r="E4" s="81" t="s">
        <v>171</v>
      </c>
      <c r="F4" s="81"/>
      <c r="G4" s="81"/>
      <c r="H4" s="81"/>
    </row>
    <row r="5" spans="1:26" x14ac:dyDescent="0.35">
      <c r="A5" s="81" t="s">
        <v>3</v>
      </c>
      <c r="B5" s="81"/>
      <c r="C5" s="81"/>
      <c r="D5" s="81"/>
      <c r="E5" s="164">
        <v>45919</v>
      </c>
      <c r="F5" s="81"/>
      <c r="G5" s="81"/>
      <c r="H5" s="81"/>
    </row>
    <row r="6" spans="1:26" ht="16.5" customHeight="1" x14ac:dyDescent="0.35">
      <c r="A6" s="81" t="s">
        <v>4</v>
      </c>
      <c r="B6" s="81"/>
      <c r="C6" s="81"/>
      <c r="D6" s="81"/>
      <c r="E6" s="81" t="s">
        <v>236</v>
      </c>
      <c r="F6" s="81"/>
      <c r="G6" s="81"/>
      <c r="H6" s="81"/>
    </row>
    <row r="7" spans="1:26" ht="15" customHeight="1" x14ac:dyDescent="0.35">
      <c r="A7" s="81" t="s">
        <v>5</v>
      </c>
      <c r="B7" s="81"/>
      <c r="C7" s="81"/>
      <c r="D7" s="81"/>
      <c r="E7" s="81" t="str">
        <f>E6</f>
        <v>Vasundara Lifestyle Private Limited</v>
      </c>
      <c r="F7" s="81"/>
      <c r="G7" s="81"/>
      <c r="H7" s="81"/>
    </row>
    <row r="8" spans="1:26" x14ac:dyDescent="0.35">
      <c r="A8" s="81" t="s">
        <v>6</v>
      </c>
      <c r="B8" s="81"/>
      <c r="C8" s="81"/>
      <c r="D8" s="81"/>
      <c r="E8" s="79" t="s">
        <v>237</v>
      </c>
      <c r="F8" s="79"/>
      <c r="G8" s="79"/>
      <c r="H8" s="79"/>
    </row>
    <row r="9" spans="1:26" x14ac:dyDescent="0.35">
      <c r="A9" s="81" t="s">
        <v>168</v>
      </c>
      <c r="B9" s="81"/>
      <c r="C9" s="81"/>
      <c r="D9" s="81"/>
      <c r="E9" s="81">
        <v>8080858585</v>
      </c>
      <c r="F9" s="81"/>
      <c r="G9" s="81"/>
      <c r="H9" s="81"/>
    </row>
    <row r="10" spans="1:26" x14ac:dyDescent="0.35">
      <c r="A10" s="81" t="s">
        <v>169</v>
      </c>
      <c r="B10" s="81"/>
      <c r="C10" s="81"/>
      <c r="D10" s="81"/>
      <c r="E10" s="81" t="s">
        <v>299</v>
      </c>
      <c r="F10" s="81"/>
      <c r="G10" s="81"/>
      <c r="H10" s="81"/>
      <c r="I10" s="81" t="s">
        <v>289</v>
      </c>
      <c r="J10" s="81"/>
      <c r="K10" s="81"/>
      <c r="L10" s="81"/>
    </row>
    <row r="11" spans="1:26" x14ac:dyDescent="0.35">
      <c r="A11" s="81" t="s">
        <v>7</v>
      </c>
      <c r="B11" s="81"/>
      <c r="C11" s="81"/>
      <c r="D11" s="81"/>
      <c r="E11" s="81" t="s">
        <v>238</v>
      </c>
      <c r="F11" s="81"/>
      <c r="G11" s="81"/>
      <c r="H11" s="81"/>
    </row>
    <row r="12" spans="1:26" x14ac:dyDescent="0.35">
      <c r="A12" s="81" t="s">
        <v>172</v>
      </c>
      <c r="B12" s="81"/>
      <c r="C12" s="81"/>
      <c r="D12" s="81"/>
      <c r="E12" s="81" t="s">
        <v>240</v>
      </c>
      <c r="F12" s="81"/>
      <c r="G12" s="81"/>
      <c r="H12" s="81"/>
      <c r="S12" s="54" t="s">
        <v>180</v>
      </c>
      <c r="T12" s="54" t="s">
        <v>190</v>
      </c>
      <c r="U12" s="54" t="s">
        <v>173</v>
      </c>
      <c r="V12" s="54" t="s">
        <v>195</v>
      </c>
      <c r="W12" s="54" t="s">
        <v>213</v>
      </c>
      <c r="X12"/>
      <c r="Y12" t="s">
        <v>195</v>
      </c>
      <c r="Z12" t="e">
        <f ca="1">OFFSET($S$12,1,MATCH($G19,$S$12:$W$12,0)-1,15,1)</f>
        <v>#VALUE!</v>
      </c>
    </row>
    <row r="13" spans="1:26" x14ac:dyDescent="0.35">
      <c r="A13" s="82" t="s">
        <v>8</v>
      </c>
      <c r="B13" s="82"/>
      <c r="C13" s="82"/>
      <c r="D13" s="82"/>
      <c r="E13" s="87" t="s">
        <v>241</v>
      </c>
      <c r="F13" s="87"/>
      <c r="G13" s="87"/>
      <c r="H13" s="87"/>
      <c r="S13" s="54" t="s">
        <v>181</v>
      </c>
      <c r="T13" s="54" t="s">
        <v>188</v>
      </c>
      <c r="U13" s="54" t="s">
        <v>210</v>
      </c>
      <c r="V13" s="54" t="s">
        <v>196</v>
      </c>
      <c r="W13" s="54" t="s">
        <v>214</v>
      </c>
      <c r="X13"/>
      <c r="Y13"/>
      <c r="Z13"/>
    </row>
    <row r="14" spans="1:26" x14ac:dyDescent="0.35">
      <c r="A14" s="82" t="s">
        <v>9</v>
      </c>
      <c r="B14" s="82"/>
      <c r="C14" s="82"/>
      <c r="D14" s="82"/>
      <c r="E14" s="87" t="s">
        <v>239</v>
      </c>
      <c r="F14" s="81"/>
      <c r="G14" s="81"/>
      <c r="H14" s="81"/>
      <c r="I14" s="198" t="e">
        <f ca="1">OFFSET($D$4,1,MATCH($J12,$D$4:$H$4,0)-1,15,1)</f>
        <v>#N/A</v>
      </c>
      <c r="J14" s="199"/>
      <c r="K14" s="199"/>
      <c r="L14" s="199"/>
      <c r="M14" s="199"/>
      <c r="N14" s="199"/>
      <c r="O14" s="199"/>
      <c r="P14" s="199"/>
      <c r="S14" s="54" t="s">
        <v>182</v>
      </c>
      <c r="T14" s="54" t="s">
        <v>189</v>
      </c>
      <c r="U14" s="54" t="s">
        <v>211</v>
      </c>
      <c r="V14" s="54" t="s">
        <v>197</v>
      </c>
      <c r="W14" s="54" t="s">
        <v>227</v>
      </c>
      <c r="X14"/>
      <c r="Y14"/>
      <c r="Z14"/>
    </row>
    <row r="15" spans="1:26" ht="62.25" customHeight="1" x14ac:dyDescent="0.35">
      <c r="A15" s="83" t="s">
        <v>10</v>
      </c>
      <c r="B15" s="83"/>
      <c r="C15" s="83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Sheetal Surya Prakash, CTS No.1954,1954/1 to 6, F.P. No. 497 TPS No. V, Redevlopement of "Suryaprakash CO.OP. Housing Society Ltd.", near Airport View CHS Ltd, Azad Road, Navpada, Vile Parle, Vile Parle East, Andheri, Mumbai - 400057.</v>
      </c>
      <c r="D15" s="83"/>
      <c r="E15" s="83"/>
      <c r="F15" s="83"/>
      <c r="G15" s="83"/>
      <c r="H15" s="83"/>
      <c r="S15" s="54" t="s">
        <v>183</v>
      </c>
      <c r="T15" s="54" t="s">
        <v>191</v>
      </c>
      <c r="U15" s="54" t="s">
        <v>212</v>
      </c>
      <c r="V15" s="54" t="s">
        <v>198</v>
      </c>
      <c r="W15" s="54" t="s">
        <v>215</v>
      </c>
      <c r="X15"/>
      <c r="Y15"/>
      <c r="Z15"/>
    </row>
    <row r="16" spans="1:26" ht="31.5" customHeight="1" x14ac:dyDescent="0.35">
      <c r="A16" s="87" t="s">
        <v>177</v>
      </c>
      <c r="B16" s="87"/>
      <c r="C16" s="87" t="s">
        <v>242</v>
      </c>
      <c r="D16" s="87"/>
      <c r="E16" s="87"/>
      <c r="F16" s="87"/>
      <c r="G16" s="87"/>
      <c r="H16" s="87"/>
      <c r="I16" s="22" t="s">
        <v>281</v>
      </c>
      <c r="S16" s="54" t="s">
        <v>184</v>
      </c>
      <c r="T16" s="54" t="s">
        <v>192</v>
      </c>
      <c r="U16" s="54"/>
      <c r="V16" s="54" t="s">
        <v>199</v>
      </c>
      <c r="W16" s="54" t="s">
        <v>216</v>
      </c>
      <c r="X16"/>
      <c r="Y16"/>
      <c r="Z16"/>
    </row>
    <row r="17" spans="1:26" ht="15.75" customHeight="1" x14ac:dyDescent="0.35">
      <c r="A17" s="87" t="s">
        <v>164</v>
      </c>
      <c r="B17" s="87"/>
      <c r="C17" s="87" t="s">
        <v>246</v>
      </c>
      <c r="D17" s="87"/>
      <c r="E17" s="87"/>
      <c r="F17" s="87"/>
      <c r="G17" s="87"/>
      <c r="H17" s="87"/>
      <c r="S17" s="54" t="s">
        <v>185</v>
      </c>
      <c r="T17" s="54" t="s">
        <v>190</v>
      </c>
      <c r="U17" s="54"/>
      <c r="V17" s="54" t="s">
        <v>200</v>
      </c>
      <c r="W17" s="54" t="s">
        <v>217</v>
      </c>
      <c r="X17"/>
      <c r="Y17"/>
      <c r="Z17"/>
    </row>
    <row r="18" spans="1:26" ht="15.75" customHeight="1" x14ac:dyDescent="0.35">
      <c r="A18" s="83" t="s">
        <v>11</v>
      </c>
      <c r="B18" s="83"/>
      <c r="C18" s="81" t="s">
        <v>245</v>
      </c>
      <c r="D18" s="81"/>
      <c r="E18" s="83" t="s">
        <v>73</v>
      </c>
      <c r="F18" s="83"/>
      <c r="G18" s="87" t="s">
        <v>247</v>
      </c>
      <c r="H18" s="87"/>
      <c r="S18" s="54" t="s">
        <v>186</v>
      </c>
      <c r="T18" s="54" t="s">
        <v>193</v>
      </c>
      <c r="U18" s="54"/>
      <c r="V18" s="54" t="s">
        <v>201</v>
      </c>
      <c r="W18" s="54" t="s">
        <v>218</v>
      </c>
      <c r="X18"/>
      <c r="Y18"/>
      <c r="Z18"/>
    </row>
    <row r="19" spans="1:26" x14ac:dyDescent="0.35">
      <c r="A19" s="82" t="s">
        <v>13</v>
      </c>
      <c r="B19" s="82"/>
      <c r="C19" s="87" t="s">
        <v>243</v>
      </c>
      <c r="D19" s="87"/>
      <c r="E19" s="83" t="s">
        <v>12</v>
      </c>
      <c r="F19" s="83"/>
      <c r="G19" s="161" t="s">
        <v>173</v>
      </c>
      <c r="H19" s="161"/>
      <c r="S19" s="54" t="s">
        <v>187</v>
      </c>
      <c r="T19" s="54" t="s">
        <v>194</v>
      </c>
      <c r="U19" s="54"/>
      <c r="V19" s="54" t="s">
        <v>202</v>
      </c>
      <c r="W19" s="54" t="s">
        <v>219</v>
      </c>
      <c r="X19"/>
      <c r="Y19"/>
      <c r="Z19"/>
    </row>
    <row r="20" spans="1:26" x14ac:dyDescent="0.35">
      <c r="A20" s="82" t="s">
        <v>74</v>
      </c>
      <c r="B20" s="82"/>
      <c r="C20" s="87" t="s">
        <v>210</v>
      </c>
      <c r="D20" s="87"/>
      <c r="E20" s="83" t="s">
        <v>14</v>
      </c>
      <c r="F20" s="83"/>
      <c r="G20" s="87">
        <v>400057</v>
      </c>
      <c r="H20" s="87"/>
      <c r="S20" s="54"/>
      <c r="T20" s="54"/>
      <c r="U20" s="54"/>
      <c r="V20" s="54" t="s">
        <v>203</v>
      </c>
      <c r="W20" s="54" t="s">
        <v>220</v>
      </c>
      <c r="X20"/>
      <c r="Y20"/>
      <c r="Z20"/>
    </row>
    <row r="21" spans="1:26" ht="32.25" customHeight="1" x14ac:dyDescent="0.35">
      <c r="A21" s="82" t="s">
        <v>123</v>
      </c>
      <c r="B21" s="82"/>
      <c r="C21" s="87" t="s">
        <v>284</v>
      </c>
      <c r="D21" s="87"/>
      <c r="E21" s="83" t="s">
        <v>15</v>
      </c>
      <c r="F21" s="83"/>
      <c r="G21" s="87" t="s">
        <v>244</v>
      </c>
      <c r="H21" s="87"/>
      <c r="S21" s="54"/>
      <c r="T21" s="54"/>
      <c r="U21" s="54"/>
      <c r="V21" s="54" t="s">
        <v>204</v>
      </c>
      <c r="W21" s="54" t="s">
        <v>221</v>
      </c>
      <c r="X21"/>
      <c r="Y21"/>
      <c r="Z21"/>
    </row>
    <row r="22" spans="1:26" ht="15" customHeight="1" x14ac:dyDescent="0.35">
      <c r="A22" s="83" t="s">
        <v>76</v>
      </c>
      <c r="B22" s="83"/>
      <c r="C22" s="83"/>
      <c r="D22" s="83"/>
      <c r="E22" s="81" t="s">
        <v>16</v>
      </c>
      <c r="F22" s="81"/>
      <c r="G22" s="81"/>
      <c r="H22" s="81"/>
      <c r="S22" s="54"/>
      <c r="T22" s="54"/>
      <c r="U22" s="54"/>
      <c r="V22" s="54" t="s">
        <v>205</v>
      </c>
      <c r="W22" s="54" t="s">
        <v>222</v>
      </c>
      <c r="X22"/>
      <c r="Y22"/>
      <c r="Z22"/>
    </row>
    <row r="23" spans="1:26" ht="18.75" customHeight="1" x14ac:dyDescent="0.35">
      <c r="A23" s="83"/>
      <c r="B23" s="83"/>
      <c r="C23" s="83"/>
      <c r="D23" s="83"/>
      <c r="E23" s="81"/>
      <c r="F23" s="81"/>
      <c r="G23" s="81"/>
      <c r="H23" s="81"/>
      <c r="S23" s="54"/>
      <c r="T23" s="54"/>
      <c r="U23" s="54"/>
      <c r="V23" s="54" t="s">
        <v>206</v>
      </c>
      <c r="W23" s="54" t="s">
        <v>223</v>
      </c>
      <c r="X23"/>
      <c r="Y23"/>
      <c r="Z23"/>
    </row>
    <row r="24" spans="1:26" ht="15" customHeight="1" x14ac:dyDescent="0.35">
      <c r="A24" s="83" t="s">
        <v>17</v>
      </c>
      <c r="B24" s="83"/>
      <c r="C24" s="83"/>
      <c r="D24" s="83"/>
      <c r="E24" s="87" t="s">
        <v>18</v>
      </c>
      <c r="F24" s="87"/>
      <c r="G24" s="87"/>
      <c r="H24" s="87"/>
      <c r="S24" s="54"/>
      <c r="T24" s="54"/>
      <c r="U24" s="54"/>
      <c r="V24" s="54" t="s">
        <v>207</v>
      </c>
      <c r="W24" s="54" t="s">
        <v>224</v>
      </c>
      <c r="X24"/>
      <c r="Y24"/>
      <c r="Z24"/>
    </row>
    <row r="25" spans="1:26" ht="15" customHeight="1" x14ac:dyDescent="0.35">
      <c r="A25" s="82" t="s">
        <v>19</v>
      </c>
      <c r="B25" s="82"/>
      <c r="C25" s="82"/>
      <c r="D25" s="82"/>
      <c r="E25" s="87" t="str">
        <f>IF(AND(G19="Mumbai"),"Upper Class","Middle Class")</f>
        <v>Upper Class</v>
      </c>
      <c r="F25" s="87"/>
      <c r="G25" s="87"/>
      <c r="H25" s="87"/>
      <c r="S25" s="54"/>
      <c r="T25" s="54"/>
      <c r="U25" s="54"/>
      <c r="V25" s="54" t="s">
        <v>208</v>
      </c>
      <c r="W25" s="54" t="s">
        <v>225</v>
      </c>
      <c r="X25"/>
      <c r="Y25"/>
      <c r="Z25"/>
    </row>
    <row r="26" spans="1:26" x14ac:dyDescent="0.35">
      <c r="A26" s="82" t="s">
        <v>20</v>
      </c>
      <c r="B26" s="82"/>
      <c r="C26" s="82"/>
      <c r="D26" s="82"/>
      <c r="E26" s="87" t="s">
        <v>21</v>
      </c>
      <c r="F26" s="87"/>
      <c r="G26" s="87"/>
      <c r="H26" s="87"/>
      <c r="S26" s="54"/>
      <c r="T26" s="54"/>
      <c r="U26" s="54"/>
      <c r="V26" s="54" t="s">
        <v>209</v>
      </c>
      <c r="W26" s="54" t="s">
        <v>226</v>
      </c>
      <c r="X26"/>
      <c r="Y26"/>
      <c r="Z26"/>
    </row>
    <row r="27" spans="1:26" ht="15.75" customHeight="1" x14ac:dyDescent="0.35">
      <c r="A27" s="82" t="s">
        <v>22</v>
      </c>
      <c r="B27" s="82"/>
      <c r="C27" s="82"/>
      <c r="D27" s="82"/>
      <c r="E27" s="87" t="str">
        <f>IF(AND(G19="Mumbai"),"Developed","Developing")</f>
        <v>Developed</v>
      </c>
      <c r="F27" s="87"/>
      <c r="G27" s="87"/>
      <c r="H27" s="87"/>
    </row>
    <row r="28" spans="1:26" x14ac:dyDescent="0.35">
      <c r="A28" s="82" t="s">
        <v>23</v>
      </c>
      <c r="B28" s="82"/>
      <c r="C28" s="82"/>
      <c r="D28" s="82"/>
      <c r="E28" s="87" t="s">
        <v>24</v>
      </c>
      <c r="F28" s="87"/>
      <c r="G28" s="87"/>
      <c r="H28" s="87"/>
    </row>
    <row r="29" spans="1:26" ht="15.75" customHeight="1" x14ac:dyDescent="0.35">
      <c r="A29" s="82" t="s">
        <v>81</v>
      </c>
      <c r="B29" s="82"/>
      <c r="C29" s="82"/>
      <c r="D29" s="82"/>
      <c r="E29" s="87" t="s">
        <v>82</v>
      </c>
      <c r="F29" s="87"/>
      <c r="G29" s="87"/>
      <c r="H29" s="87"/>
    </row>
    <row r="30" spans="1:26" ht="15" customHeight="1" x14ac:dyDescent="0.35">
      <c r="A30" s="82" t="s">
        <v>32</v>
      </c>
      <c r="B30" s="82"/>
      <c r="C30" s="82"/>
      <c r="D30" s="82"/>
      <c r="E30" s="87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87"/>
      <c r="G30" s="87"/>
      <c r="H30" s="87"/>
    </row>
    <row r="31" spans="1:26" ht="15.75" customHeight="1" x14ac:dyDescent="0.35">
      <c r="A31" s="82" t="s">
        <v>93</v>
      </c>
      <c r="B31" s="82"/>
      <c r="C31" s="82"/>
      <c r="D31" s="82"/>
      <c r="E31" s="87" t="s">
        <v>33</v>
      </c>
      <c r="F31" s="87"/>
      <c r="G31" s="87"/>
      <c r="H31" s="87"/>
    </row>
    <row r="32" spans="1:26" s="22" customFormat="1" x14ac:dyDescent="0.35">
      <c r="A32" s="160" t="s">
        <v>94</v>
      </c>
      <c r="B32" s="160"/>
      <c r="C32" s="157" t="s">
        <v>174</v>
      </c>
      <c r="D32" s="158"/>
      <c r="E32" s="159"/>
      <c r="F32" s="157" t="s">
        <v>30</v>
      </c>
      <c r="G32" s="158"/>
      <c r="H32" s="159"/>
    </row>
    <row r="33" spans="1:9" s="22" customFormat="1" x14ac:dyDescent="0.35">
      <c r="A33" s="153" t="s">
        <v>25</v>
      </c>
      <c r="B33" s="153" t="s">
        <v>29</v>
      </c>
      <c r="C33" s="154" t="s">
        <v>248</v>
      </c>
      <c r="D33" s="155"/>
      <c r="E33" s="156"/>
      <c r="F33" s="154" t="s">
        <v>251</v>
      </c>
      <c r="G33" s="155"/>
      <c r="H33" s="156"/>
    </row>
    <row r="34" spans="1:9" x14ac:dyDescent="0.35">
      <c r="A34" s="153" t="s">
        <v>26</v>
      </c>
      <c r="B34" s="153" t="s">
        <v>29</v>
      </c>
      <c r="C34" s="154" t="s">
        <v>249</v>
      </c>
      <c r="D34" s="155"/>
      <c r="E34" s="156"/>
      <c r="F34" s="154" t="s">
        <v>245</v>
      </c>
      <c r="G34" s="155"/>
      <c r="H34" s="156"/>
    </row>
    <row r="35" spans="1:9" s="22" customFormat="1" x14ac:dyDescent="0.35">
      <c r="A35" s="153" t="s">
        <v>28</v>
      </c>
      <c r="B35" s="153" t="s">
        <v>29</v>
      </c>
      <c r="C35" s="154" t="s">
        <v>11</v>
      </c>
      <c r="D35" s="155"/>
      <c r="E35" s="156"/>
      <c r="F35" s="154" t="s">
        <v>283</v>
      </c>
      <c r="G35" s="155"/>
      <c r="H35" s="156"/>
    </row>
    <row r="36" spans="1:9" x14ac:dyDescent="0.35">
      <c r="A36" s="153" t="s">
        <v>27</v>
      </c>
      <c r="B36" s="153" t="s">
        <v>29</v>
      </c>
      <c r="C36" s="154" t="s">
        <v>248</v>
      </c>
      <c r="D36" s="155"/>
      <c r="E36" s="156"/>
      <c r="F36" s="154" t="s">
        <v>250</v>
      </c>
      <c r="G36" s="155"/>
      <c r="H36" s="156"/>
    </row>
    <row r="37" spans="1:9" x14ac:dyDescent="0.35">
      <c r="A37" s="82" t="s">
        <v>31</v>
      </c>
      <c r="B37" s="82"/>
      <c r="C37" s="82"/>
      <c r="D37" s="82"/>
      <c r="E37" s="82"/>
      <c r="F37" s="82"/>
      <c r="G37" s="82"/>
      <c r="H37" s="82"/>
    </row>
    <row r="38" spans="1:9" ht="15.75" customHeight="1" x14ac:dyDescent="0.35">
      <c r="A38" s="165" t="s">
        <v>166</v>
      </c>
      <c r="B38" s="165"/>
      <c r="C38" s="82" t="s">
        <v>288</v>
      </c>
      <c r="D38" s="82"/>
      <c r="E38" s="82"/>
      <c r="F38" s="82"/>
      <c r="G38" s="82"/>
      <c r="H38" s="82"/>
    </row>
    <row r="39" spans="1:9" x14ac:dyDescent="0.35">
      <c r="A39" s="165" t="s">
        <v>163</v>
      </c>
      <c r="B39" s="165"/>
      <c r="C39" s="173" t="s">
        <v>282</v>
      </c>
      <c r="D39" s="87"/>
      <c r="E39" s="87"/>
      <c r="F39" s="87"/>
      <c r="G39" s="87"/>
      <c r="H39" s="87"/>
    </row>
    <row r="40" spans="1:9" x14ac:dyDescent="0.35">
      <c r="A40" s="165" t="s">
        <v>34</v>
      </c>
      <c r="B40" s="165"/>
      <c r="C40" s="165"/>
      <c r="D40" s="165"/>
      <c r="E40" s="165"/>
      <c r="F40" s="165"/>
      <c r="G40" s="165"/>
      <c r="H40" s="165"/>
    </row>
    <row r="41" spans="1:9" x14ac:dyDescent="0.35">
      <c r="A41" s="82" t="s">
        <v>35</v>
      </c>
      <c r="B41" s="82"/>
      <c r="C41" s="82"/>
      <c r="D41" s="82"/>
      <c r="E41" s="174">
        <v>1588.24</v>
      </c>
      <c r="F41" s="174"/>
      <c r="G41" s="174"/>
      <c r="H41" s="174"/>
    </row>
    <row r="42" spans="1:9" x14ac:dyDescent="0.35">
      <c r="A42" s="82" t="s">
        <v>36</v>
      </c>
      <c r="B42" s="82"/>
      <c r="C42" s="82"/>
      <c r="D42" s="82"/>
      <c r="E42" s="124">
        <f>1588.24/E41</f>
        <v>1</v>
      </c>
      <c r="F42" s="124"/>
      <c r="G42" s="124"/>
      <c r="H42" s="124"/>
    </row>
    <row r="43" spans="1:9" x14ac:dyDescent="0.35">
      <c r="A43" s="82" t="s">
        <v>37</v>
      </c>
      <c r="B43" s="82"/>
      <c r="C43" s="82"/>
      <c r="D43" s="82"/>
      <c r="E43" s="124">
        <f>E45/E41-E42</f>
        <v>0.108094494534831</v>
      </c>
      <c r="F43" s="124"/>
      <c r="G43" s="124"/>
      <c r="H43" s="124"/>
    </row>
    <row r="44" spans="1:9" x14ac:dyDescent="0.35">
      <c r="A44" s="82" t="s">
        <v>38</v>
      </c>
      <c r="B44" s="82"/>
      <c r="C44" s="82"/>
      <c r="D44" s="82"/>
      <c r="E44" s="124">
        <f>E42+E43</f>
        <v>1.108094494534831</v>
      </c>
      <c r="F44" s="124"/>
      <c r="G44" s="124"/>
      <c r="H44" s="124"/>
    </row>
    <row r="45" spans="1:9" x14ac:dyDescent="0.35">
      <c r="A45" s="82" t="s">
        <v>92</v>
      </c>
      <c r="B45" s="82"/>
      <c r="C45" s="82"/>
      <c r="D45" s="82"/>
      <c r="E45" s="125">
        <v>1759.92</v>
      </c>
      <c r="F45" s="125"/>
      <c r="G45" s="125"/>
      <c r="H45" s="125"/>
    </row>
    <row r="46" spans="1:9" x14ac:dyDescent="0.35">
      <c r="A46" s="81" t="s">
        <v>39</v>
      </c>
      <c r="B46" s="81"/>
      <c r="C46" s="81"/>
      <c r="D46" s="81"/>
      <c r="E46" s="81" t="s">
        <v>292</v>
      </c>
      <c r="F46" s="81"/>
      <c r="G46" s="81"/>
      <c r="H46" s="81"/>
    </row>
    <row r="47" spans="1:9" x14ac:dyDescent="0.35">
      <c r="A47" s="165" t="s">
        <v>40</v>
      </c>
      <c r="B47" s="165"/>
      <c r="C47" s="165"/>
      <c r="D47" s="165"/>
      <c r="E47" s="165"/>
      <c r="F47" s="165"/>
      <c r="G47" s="165"/>
      <c r="H47" s="165"/>
    </row>
    <row r="48" spans="1:9" ht="33.75" customHeight="1" x14ac:dyDescent="0.35">
      <c r="A48" s="132" t="s">
        <v>152</v>
      </c>
      <c r="B48" s="133"/>
      <c r="C48" s="134" t="s">
        <v>252</v>
      </c>
      <c r="D48" s="135"/>
      <c r="E48" s="135"/>
      <c r="F48" s="135"/>
      <c r="G48" s="135"/>
      <c r="H48" s="136"/>
      <c r="I48" s="58"/>
    </row>
    <row r="49" spans="1:14" ht="33" customHeight="1" x14ac:dyDescent="0.35">
      <c r="A49" s="132" t="s">
        <v>41</v>
      </c>
      <c r="B49" s="133"/>
      <c r="C49" s="132" t="s">
        <v>253</v>
      </c>
      <c r="D49" s="203"/>
      <c r="E49" s="204"/>
      <c r="F49" s="18" t="s">
        <v>42</v>
      </c>
      <c r="G49" s="167">
        <v>45065</v>
      </c>
      <c r="H49" s="133"/>
    </row>
    <row r="50" spans="1:14" ht="33" customHeight="1" x14ac:dyDescent="0.35">
      <c r="A50" s="132" t="s">
        <v>43</v>
      </c>
      <c r="B50" s="133"/>
      <c r="C50" s="132" t="str">
        <f>C49</f>
        <v>P-7700/2021/(497)/K/E Ward/FP/
337/1/New</v>
      </c>
      <c r="D50" s="172"/>
      <c r="E50" s="133"/>
      <c r="F50" s="18" t="s">
        <v>42</v>
      </c>
      <c r="G50" s="167">
        <f>G49</f>
        <v>45065</v>
      </c>
      <c r="H50" s="168"/>
    </row>
    <row r="51" spans="1:14" s="23" customFormat="1" ht="31.5" customHeight="1" x14ac:dyDescent="0.35">
      <c r="A51" s="83" t="s">
        <v>233</v>
      </c>
      <c r="B51" s="83"/>
      <c r="C51" s="132" t="s">
        <v>293</v>
      </c>
      <c r="D51" s="172"/>
      <c r="E51" s="133"/>
      <c r="F51" s="18" t="s">
        <v>42</v>
      </c>
      <c r="G51" s="167">
        <v>45866</v>
      </c>
      <c r="H51" s="168"/>
    </row>
    <row r="52" spans="1:14" s="23" customFormat="1" ht="65.5" customHeight="1" x14ac:dyDescent="0.35">
      <c r="A52" s="83" t="s">
        <v>234</v>
      </c>
      <c r="B52" s="83"/>
      <c r="C52" s="132" t="s">
        <v>294</v>
      </c>
      <c r="D52" s="172"/>
      <c r="E52" s="133"/>
      <c r="F52" s="18" t="s">
        <v>122</v>
      </c>
      <c r="G52" s="167">
        <v>46214</v>
      </c>
      <c r="H52" s="133"/>
    </row>
    <row r="53" spans="1:14" x14ac:dyDescent="0.35">
      <c r="A53" s="200" t="s">
        <v>44</v>
      </c>
      <c r="B53" s="201"/>
      <c r="C53" s="200" t="s">
        <v>106</v>
      </c>
      <c r="D53" s="202"/>
      <c r="E53" s="201"/>
      <c r="F53" s="44" t="s">
        <v>42</v>
      </c>
      <c r="G53" s="169" t="s">
        <v>29</v>
      </c>
      <c r="H53" s="170"/>
    </row>
    <row r="54" spans="1:14" x14ac:dyDescent="0.35">
      <c r="A54" s="171" t="s">
        <v>46</v>
      </c>
      <c r="B54" s="171"/>
      <c r="C54" s="171"/>
      <c r="D54" s="171"/>
      <c r="E54" s="171"/>
      <c r="F54" s="171"/>
      <c r="G54" s="171"/>
      <c r="H54" s="171"/>
    </row>
    <row r="55" spans="1:14" x14ac:dyDescent="0.35">
      <c r="A55" s="83" t="s">
        <v>91</v>
      </c>
      <c r="B55" s="83"/>
      <c r="C55" s="83"/>
      <c r="D55" s="82">
        <f>E45</f>
        <v>1759.92</v>
      </c>
      <c r="E55" s="82"/>
      <c r="F55" s="82"/>
      <c r="G55" s="82"/>
      <c r="H55" s="82"/>
    </row>
    <row r="56" spans="1:14" x14ac:dyDescent="0.35">
      <c r="A56" s="87" t="s">
        <v>47</v>
      </c>
      <c r="B56" s="81"/>
      <c r="C56" s="81"/>
      <c r="D56" s="81" t="s">
        <v>279</v>
      </c>
      <c r="E56" s="81"/>
      <c r="F56" s="81"/>
      <c r="G56" s="81"/>
      <c r="H56" s="81"/>
      <c r="I56" s="24"/>
    </row>
    <row r="57" spans="1:14" ht="32.25" customHeight="1" x14ac:dyDescent="0.35">
      <c r="A57" s="144" t="s">
        <v>48</v>
      </c>
      <c r="B57" s="145"/>
      <c r="C57" s="146"/>
      <c r="D57" s="88" t="s">
        <v>256</v>
      </c>
      <c r="E57" s="166"/>
      <c r="F57" s="166"/>
      <c r="G57" s="166"/>
      <c r="H57" s="166"/>
    </row>
    <row r="58" spans="1:14" ht="15.75" customHeight="1" x14ac:dyDescent="0.35">
      <c r="A58" s="144" t="s">
        <v>89</v>
      </c>
      <c r="B58" s="145"/>
      <c r="C58" s="146"/>
      <c r="D58" s="81" t="s">
        <v>286</v>
      </c>
      <c r="E58" s="81"/>
      <c r="F58" s="81"/>
      <c r="G58" s="81"/>
      <c r="H58" s="81"/>
    </row>
    <row r="59" spans="1:14" ht="15.75" customHeight="1" x14ac:dyDescent="0.35">
      <c r="A59" s="147"/>
      <c r="B59" s="148"/>
      <c r="C59" s="149"/>
      <c r="D59" s="81" t="s">
        <v>287</v>
      </c>
      <c r="E59" s="81"/>
      <c r="F59" s="81"/>
      <c r="G59" s="81"/>
      <c r="H59" s="81"/>
    </row>
    <row r="60" spans="1:14" ht="15.75" customHeight="1" x14ac:dyDescent="0.35">
      <c r="A60" s="82" t="s">
        <v>45</v>
      </c>
      <c r="B60" s="82"/>
      <c r="C60" s="82"/>
      <c r="D60" s="122" t="s">
        <v>254</v>
      </c>
      <c r="E60" s="122"/>
      <c r="F60" s="122"/>
      <c r="G60" s="122"/>
      <c r="H60" s="122"/>
      <c r="J60" s="25"/>
      <c r="K60" s="24"/>
      <c r="N60" s="24"/>
    </row>
    <row r="61" spans="1:14" ht="15.75" customHeight="1" x14ac:dyDescent="0.35">
      <c r="A61" s="82" t="s">
        <v>87</v>
      </c>
      <c r="B61" s="82"/>
      <c r="C61" s="82"/>
      <c r="D61" s="123" t="str">
        <f>(IF(G53="NA","60 Years After Completion",IF(G53&lt;&gt;"NA",""&amp;60-ROUNDDOWN((E3-G53)/360,0)&amp;" Years"," ")))</f>
        <v>60 Years After Completion</v>
      </c>
      <c r="E61" s="123"/>
      <c r="F61" s="123"/>
      <c r="G61" s="123"/>
      <c r="H61" s="123"/>
      <c r="N61" s="24"/>
    </row>
    <row r="62" spans="1:14" ht="15.75" customHeight="1" x14ac:dyDescent="0.35">
      <c r="A62" s="82" t="s">
        <v>88</v>
      </c>
      <c r="B62" s="82"/>
      <c r="C62" s="82"/>
      <c r="D62" s="83" t="s">
        <v>24</v>
      </c>
      <c r="E62" s="83"/>
      <c r="F62" s="83"/>
      <c r="G62" s="83"/>
      <c r="H62" s="83"/>
      <c r="J62" s="26"/>
      <c r="K62" s="26"/>
    </row>
    <row r="63" spans="1:14" ht="38.5" customHeight="1" x14ac:dyDescent="0.35">
      <c r="A63" s="81" t="s">
        <v>235</v>
      </c>
      <c r="B63" s="81"/>
      <c r="C63" s="81"/>
      <c r="D63" s="87" t="s">
        <v>255</v>
      </c>
      <c r="E63" s="83"/>
      <c r="F63" s="83"/>
      <c r="G63" s="83"/>
      <c r="H63" s="83"/>
      <c r="I63" s="59" t="s">
        <v>276</v>
      </c>
    </row>
    <row r="64" spans="1:14" x14ac:dyDescent="0.35">
      <c r="A64" s="83" t="s">
        <v>149</v>
      </c>
      <c r="B64" s="83"/>
      <c r="C64" s="83"/>
      <c r="D64" s="83" t="s">
        <v>29</v>
      </c>
      <c r="E64" s="83"/>
      <c r="F64" s="83"/>
      <c r="G64" s="83"/>
      <c r="H64" s="83"/>
      <c r="I64" s="27"/>
      <c r="J64" s="27"/>
      <c r="K64" s="27"/>
      <c r="L64" s="27"/>
      <c r="M64" s="27"/>
      <c r="N64" s="27"/>
    </row>
    <row r="65" spans="1:10" ht="15.75" customHeight="1" x14ac:dyDescent="0.35">
      <c r="A65" s="184" t="s">
        <v>86</v>
      </c>
      <c r="B65" s="184"/>
      <c r="C65" s="184"/>
      <c r="D65" s="88" t="str">
        <f ca="1">(IF(G71&gt;95%,"Nothing",IF(G71&gt;0%,"Cement, Aggregate, Steel, etc",IF(G71=0%,"Work not yet Started"))))</f>
        <v>Cement, Aggregate, Steel, etc</v>
      </c>
      <c r="E65" s="88"/>
      <c r="F65" s="88"/>
      <c r="G65" s="88"/>
      <c r="H65" s="88"/>
      <c r="J65" s="26"/>
    </row>
    <row r="66" spans="1:10" ht="36" customHeight="1" x14ac:dyDescent="0.35">
      <c r="A66" s="83" t="s">
        <v>119</v>
      </c>
      <c r="B66" s="83"/>
      <c r="C66" s="83"/>
      <c r="D66" s="87" t="str">
        <f ca="1">(IF(D65="Nothing","Yes",IF(D65="Cement, Aggregate, Steel, etc","Under Construction",IF(D65="Work not yet Started","Work not yet Started"))))</f>
        <v>Under Construction</v>
      </c>
      <c r="E66" s="87"/>
      <c r="F66" s="87" t="str">
        <f ca="1">(IF(D65="Nothing","Yes",IF(D65="Cement, Aggregate, Steel, etc","Under Construction",IF(D65="Work not yet Started","Work not yet Started"))))</f>
        <v>Under Construction</v>
      </c>
      <c r="G66" s="87"/>
      <c r="H66" s="87"/>
      <c r="I66" s="65"/>
      <c r="J66" s="65"/>
    </row>
    <row r="67" spans="1:10" x14ac:dyDescent="0.35">
      <c r="A67" s="80" t="s">
        <v>141</v>
      </c>
      <c r="B67" s="80"/>
      <c r="C67" s="80" t="s">
        <v>295</v>
      </c>
      <c r="D67" s="80"/>
      <c r="E67" s="80"/>
      <c r="F67" s="80"/>
      <c r="G67" s="80"/>
      <c r="H67" s="80"/>
      <c r="I67" s="70" t="str">
        <f ca="1">IF(D80=100%,"All work Completed. Possession granted to the Building.",IF(D79=100%,"All work Completed, Waiting for OC",I68&amp;""&amp;I69&amp;""&amp;J68&amp;""&amp;J67&amp;" "&amp;J69))</f>
        <v>Excavation, Plinth Completed, RCC upto 5 Slab, Brickwork upto 3 Floor Completed</v>
      </c>
      <c r="J67" s="64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5 Slab, Brickwork upto 3 Floor</v>
      </c>
    </row>
    <row r="68" spans="1:10" x14ac:dyDescent="0.35">
      <c r="A68" s="51" t="s">
        <v>143</v>
      </c>
      <c r="B68" s="51">
        <f>IF(AND(ISNUMBER(SEARCH("1B",C67))),1,IF(AND(ISNUMBER(SEARCH("2B",C67))),2,IF(AND(ISNUMBER(SEARCH("3B",C67))),3,IF(AND(ISNUMBER(SEARCH("4B",C67))),4,IF(ISNUMBER(SEARCH("5B",C67)),5,0)))))</f>
        <v>0</v>
      </c>
      <c r="C68" s="51" t="s">
        <v>72</v>
      </c>
      <c r="D68" s="51">
        <v>1</v>
      </c>
      <c r="E68" s="51" t="s">
        <v>71</v>
      </c>
      <c r="F68" s="51">
        <v>0</v>
      </c>
      <c r="G68" s="46" t="s">
        <v>80</v>
      </c>
      <c r="H68" s="51">
        <f ca="1">--TRIM(RIGHT(SUBSTITUTE(LEFT(C67,_xlfn.AGGREGATE(16,6,FIND({0,1,2,3,4,5,6,7,8,9},C67,ROW(INDIRECT("1:"&amp;LEN(C67)))),1))," ",REPT(" ",LEN(C67))),LEN(C67)))</f>
        <v>7</v>
      </c>
      <c r="I68" s="71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50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1" customHeight="1" x14ac:dyDescent="0.35">
      <c r="A69" s="79" t="s">
        <v>90</v>
      </c>
      <c r="B69" s="79"/>
      <c r="C69" s="84" t="str">
        <f ca="1">I67</f>
        <v>Excavation, Plinth Completed, RCC upto 5 Slab, Brickwork upto 3 Floor Completed</v>
      </c>
      <c r="D69" s="84"/>
      <c r="E69" s="84"/>
      <c r="F69" s="84"/>
      <c r="G69" s="84"/>
      <c r="H69" s="84"/>
      <c r="I69" s="71" t="str">
        <f ca="1">IF(I68&lt;&gt;""," Completed","")</f>
        <v xml:space="preserve"> Completed</v>
      </c>
      <c r="J69" s="50" t="str">
        <f ca="1">IF(J67&lt;&gt;"","Completed","")</f>
        <v>Completed</v>
      </c>
    </row>
    <row r="70" spans="1:10" ht="15.75" customHeight="1" x14ac:dyDescent="0.35">
      <c r="A70" s="76" t="s">
        <v>49</v>
      </c>
      <c r="B70" s="76"/>
      <c r="C70" s="67" t="s">
        <v>140</v>
      </c>
      <c r="D70" s="67" t="s">
        <v>83</v>
      </c>
      <c r="E70" s="76" t="s">
        <v>85</v>
      </c>
      <c r="F70" s="76"/>
      <c r="G70" s="76" t="s">
        <v>84</v>
      </c>
      <c r="H70" s="76"/>
      <c r="I70" s="14" t="s">
        <v>142</v>
      </c>
      <c r="J70" s="28">
        <f ca="1">H68*25%</f>
        <v>1.75</v>
      </c>
    </row>
    <row r="71" spans="1:10" x14ac:dyDescent="0.35">
      <c r="A71" s="76" t="s">
        <v>129</v>
      </c>
      <c r="B71" s="76"/>
      <c r="C71" s="67">
        <f ca="1">J72</f>
        <v>7</v>
      </c>
      <c r="D71" s="19">
        <f ca="1">((100/H68)*C71)/100</f>
        <v>1</v>
      </c>
      <c r="E71" s="86">
        <f ca="1">(((C72/H68*10)+(40/(D68+F68+H68)*C73)+(7.5/(H68)*C74)+(7.5/(H68)*C75)+(10/H68*C76)+(10/H68*C77)+(5/H68*C78)+(5/H68*C79)+(5/H68*C80))/100)</f>
        <v>0.38214285714285717</v>
      </c>
      <c r="F71" s="86"/>
      <c r="G71" s="86">
        <f ca="1">((((C71/H68)*20)+((C72/H68)*25)+(30/(H68+F68+D68)*C73)+(5/H68*C74)+(5/H68*C75)+(5/H68*C76)+(5/H68*C77)+(0/H68*C78)+(0/H68*C79)+(5/H68*C80))/100)</f>
        <v>0.65892857142857142</v>
      </c>
      <c r="H71" s="86"/>
      <c r="I71" s="14" t="s">
        <v>101</v>
      </c>
      <c r="J71" s="29">
        <f ca="1">H68*50%</f>
        <v>3.5</v>
      </c>
    </row>
    <row r="72" spans="1:10" x14ac:dyDescent="0.35">
      <c r="A72" s="76" t="s">
        <v>50</v>
      </c>
      <c r="B72" s="76"/>
      <c r="C72" s="63">
        <f ca="1">J80</f>
        <v>7</v>
      </c>
      <c r="D72" s="19">
        <f ca="1">((100/H68)*C72)/100</f>
        <v>1</v>
      </c>
      <c r="E72" s="86"/>
      <c r="F72" s="86"/>
      <c r="G72" s="86"/>
      <c r="H72" s="86"/>
      <c r="I72" s="14" t="s">
        <v>102</v>
      </c>
      <c r="J72" s="29">
        <f ca="1">H68</f>
        <v>7</v>
      </c>
    </row>
    <row r="73" spans="1:10" ht="15.75" customHeight="1" x14ac:dyDescent="0.35">
      <c r="A73" s="76" t="s">
        <v>130</v>
      </c>
      <c r="B73" s="76"/>
      <c r="C73" s="67">
        <v>5</v>
      </c>
      <c r="D73" s="19">
        <f ca="1">((100/(D68+F68+H68))*C73)/100</f>
        <v>0.625</v>
      </c>
      <c r="E73" s="86"/>
      <c r="F73" s="86"/>
      <c r="G73" s="86"/>
      <c r="H73" s="86"/>
      <c r="I73" s="14" t="s">
        <v>103</v>
      </c>
      <c r="J73" s="30">
        <f ca="1">(IF(B68&gt;1,(H68/(B68+2)),H68/4))</f>
        <v>1.75</v>
      </c>
    </row>
    <row r="74" spans="1:10" ht="15.75" customHeight="1" x14ac:dyDescent="0.35">
      <c r="A74" s="76" t="s">
        <v>137</v>
      </c>
      <c r="B74" s="76" t="s">
        <v>131</v>
      </c>
      <c r="C74" s="67">
        <v>3</v>
      </c>
      <c r="D74" s="19">
        <f ca="1">((100/H68)*C74)/100</f>
        <v>0.4285714285714286</v>
      </c>
      <c r="E74" s="86"/>
      <c r="F74" s="86"/>
      <c r="G74" s="86"/>
      <c r="H74" s="86"/>
      <c r="I74" s="14" t="s">
        <v>104</v>
      </c>
      <c r="J74" s="30">
        <f ca="1">(IF(B68&gt;1,(H68/(B68+2)+J73),H68/4+J73))</f>
        <v>3.5</v>
      </c>
    </row>
    <row r="75" spans="1:10" ht="15.75" customHeight="1" x14ac:dyDescent="0.35">
      <c r="A75" s="76" t="s">
        <v>138</v>
      </c>
      <c r="B75" s="76" t="s">
        <v>131</v>
      </c>
      <c r="C75" s="67">
        <v>0</v>
      </c>
      <c r="D75" s="19">
        <f ca="1">((100/H68)*C75)/100</f>
        <v>0</v>
      </c>
      <c r="E75" s="86"/>
      <c r="F75" s="86"/>
      <c r="G75" s="86"/>
      <c r="H75" s="86"/>
      <c r="I75" s="14" t="s">
        <v>147</v>
      </c>
      <c r="J75" s="30">
        <f>(IF(B68&gt;1,(H68/(B68+2)+J74),0))</f>
        <v>0</v>
      </c>
    </row>
    <row r="76" spans="1:10" ht="15" customHeight="1" x14ac:dyDescent="0.35">
      <c r="A76" s="76" t="s">
        <v>136</v>
      </c>
      <c r="B76" s="76" t="s">
        <v>133</v>
      </c>
      <c r="C76" s="67">
        <v>0</v>
      </c>
      <c r="D76" s="19">
        <f ca="1">((100/(H68))*C76)/100</f>
        <v>0</v>
      </c>
      <c r="E76" s="86"/>
      <c r="F76" s="86"/>
      <c r="G76" s="86"/>
      <c r="H76" s="86"/>
      <c r="I76" s="14" t="s">
        <v>144</v>
      </c>
      <c r="J76" s="30">
        <f>(IF(B68&gt;2,(H68/(B68+2)+J75),0))</f>
        <v>0</v>
      </c>
    </row>
    <row r="77" spans="1:10" ht="15.75" customHeight="1" x14ac:dyDescent="0.35">
      <c r="A77" s="76" t="s">
        <v>132</v>
      </c>
      <c r="B77" s="76" t="s">
        <v>132</v>
      </c>
      <c r="C77" s="67">
        <v>0</v>
      </c>
      <c r="D77" s="19">
        <f ca="1">((100/H68)*C77)/100</f>
        <v>0</v>
      </c>
      <c r="E77" s="86"/>
      <c r="F77" s="86"/>
      <c r="G77" s="86"/>
      <c r="H77" s="86"/>
      <c r="I77" s="14" t="s">
        <v>145</v>
      </c>
      <c r="J77" s="31">
        <f>(IF(B68&gt;3,(H68/(B68+2)+J76),0))</f>
        <v>0</v>
      </c>
    </row>
    <row r="78" spans="1:10" ht="15.75" customHeight="1" x14ac:dyDescent="0.35">
      <c r="A78" s="76" t="s">
        <v>139</v>
      </c>
      <c r="B78" s="76"/>
      <c r="C78" s="67">
        <v>0</v>
      </c>
      <c r="D78" s="19">
        <f ca="1">((100/H68)*C78)/100</f>
        <v>0</v>
      </c>
      <c r="E78" s="86"/>
      <c r="F78" s="86"/>
      <c r="G78" s="86"/>
      <c r="H78" s="86"/>
      <c r="I78" s="14" t="s">
        <v>146</v>
      </c>
      <c r="J78" s="30">
        <f>(IF(B68&gt;4,(H68/(B68+2)+J77),0))</f>
        <v>0</v>
      </c>
    </row>
    <row r="79" spans="1:10" ht="15.75" customHeight="1" x14ac:dyDescent="0.35">
      <c r="A79" s="76" t="s">
        <v>134</v>
      </c>
      <c r="B79" s="76" t="s">
        <v>134</v>
      </c>
      <c r="C79" s="67">
        <v>0</v>
      </c>
      <c r="D79" s="19">
        <f ca="1">((100/(H68))*C79)/100</f>
        <v>0</v>
      </c>
      <c r="E79" s="86"/>
      <c r="F79" s="86"/>
      <c r="G79" s="86"/>
      <c r="H79" s="86"/>
      <c r="I79" s="14" t="s">
        <v>148</v>
      </c>
      <c r="J79" s="30">
        <f ca="1">(IF(B68=1,(H68/(B68+3)+J74),IF(B68=0,(H68/4+J74),IF(B68&gt;1,0))))</f>
        <v>5.25</v>
      </c>
    </row>
    <row r="80" spans="1:10" ht="16" thickBot="1" x14ac:dyDescent="0.4">
      <c r="A80" s="76" t="s">
        <v>135</v>
      </c>
      <c r="B80" s="76"/>
      <c r="C80" s="67">
        <v>0</v>
      </c>
      <c r="D80" s="19">
        <f ca="1">((100/(H68))*C80)/100</f>
        <v>0</v>
      </c>
      <c r="E80" s="86"/>
      <c r="F80" s="86"/>
      <c r="G80" s="86"/>
      <c r="H80" s="86"/>
      <c r="I80" s="15" t="s">
        <v>105</v>
      </c>
      <c r="J80" s="32">
        <f ca="1">(IF(B68&gt;1.5,(H68/(B68+2)+J74+MAX(0,J75-J74)+MAX(0,J76-J75)+MAX(0,J77-J76)+MAX(0,J78-J77)+MAX(0,J79-J78)),IF(B68=1,(H68/(B68+3)+J79),IF(B68=0,H68/4+J79))))</f>
        <v>7</v>
      </c>
    </row>
    <row r="81" spans="1:10" ht="15.75" hidden="1" customHeight="1" x14ac:dyDescent="0.35">
      <c r="A81" s="137" t="s">
        <v>141</v>
      </c>
      <c r="B81" s="138"/>
      <c r="C81" s="139" t="str">
        <f>D59</f>
        <v>Wing B = G + 1st to 7th Floor</v>
      </c>
      <c r="D81" s="140"/>
      <c r="E81" s="140"/>
      <c r="F81" s="140"/>
      <c r="G81" s="140"/>
      <c r="H81" s="141"/>
      <c r="I81" s="47" t="str">
        <f ca="1">IF(D94=100%,"All work Completed. Possession granted to the Building.",IF(D93=100%,"All work Completed, Waiting for OC",I82&amp;""&amp;I83&amp;""&amp;J82&amp;""&amp;J81&amp;" "&amp;J83))</f>
        <v>Excavation, Plinth Completed, RCC upto 1 Slab Completed</v>
      </c>
      <c r="J81" s="48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RCC upto 1 Slab</v>
      </c>
    </row>
    <row r="82" spans="1:10" hidden="1" x14ac:dyDescent="0.35">
      <c r="A82" s="16" t="s">
        <v>143</v>
      </c>
      <c r="B82" s="51">
        <f>IF(AND(ISNUMBER(SEARCH("1B",C81))),1,IF(AND(ISNUMBER(SEARCH("2B",C81))),2,IF(AND(ISNUMBER(SEARCH("3B",C81))),3,IF(AND(ISNUMBER(SEARCH("4B",C81))),4,IF(ISNUMBER(SEARCH("5B",C81)),5,0)))))</f>
        <v>0</v>
      </c>
      <c r="C82" s="51" t="s">
        <v>72</v>
      </c>
      <c r="D82" s="51">
        <v>1</v>
      </c>
      <c r="E82" s="51" t="s">
        <v>71</v>
      </c>
      <c r="F82" s="51">
        <v>0</v>
      </c>
      <c r="G82" s="46" t="s">
        <v>80</v>
      </c>
      <c r="H82" s="17">
        <f ca="1">--TRIM(RIGHT(SUBSTITUTE(LEFT(C81,_xlfn.AGGREGATE(16,6,FIND({0,1,2,3,4,5,6,7,8,9},C81,ROW(INDIRECT("1:"&amp;LEN(C81)))),1))," ",REPT(" ",LEN(C81))),LEN(C81)))</f>
        <v>7</v>
      </c>
      <c r="I82" s="49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</v>
      </c>
      <c r="J82" s="50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idden="1" x14ac:dyDescent="0.35">
      <c r="A83" s="142" t="s">
        <v>90</v>
      </c>
      <c r="B83" s="79"/>
      <c r="C83" s="84" t="str">
        <f ca="1">I81</f>
        <v>Excavation, Plinth Completed, RCC upto 1 Slab Completed</v>
      </c>
      <c r="D83" s="84"/>
      <c r="E83" s="84"/>
      <c r="F83" s="84"/>
      <c r="G83" s="84"/>
      <c r="H83" s="143"/>
      <c r="I83" s="49" t="str">
        <f ca="1">IF(I82&lt;&gt;""," Completed","")</f>
        <v xml:space="preserve"> Completed</v>
      </c>
      <c r="J83" s="50" t="str">
        <f ca="1">IF(J81&lt;&gt;"","Completed","")</f>
        <v>Completed</v>
      </c>
    </row>
    <row r="84" spans="1:10" ht="15.75" hidden="1" customHeight="1" x14ac:dyDescent="0.35">
      <c r="A84" s="75" t="s">
        <v>49</v>
      </c>
      <c r="B84" s="76"/>
      <c r="C84" s="61" t="s">
        <v>140</v>
      </c>
      <c r="D84" s="61" t="s">
        <v>83</v>
      </c>
      <c r="E84" s="76" t="s">
        <v>85</v>
      </c>
      <c r="F84" s="76"/>
      <c r="G84" s="76" t="s">
        <v>84</v>
      </c>
      <c r="H84" s="85"/>
      <c r="I84" s="14" t="s">
        <v>142</v>
      </c>
      <c r="J84" s="28">
        <f ca="1">H82*25%</f>
        <v>1.75</v>
      </c>
    </row>
    <row r="85" spans="1:10" hidden="1" x14ac:dyDescent="0.35">
      <c r="A85" s="75" t="s">
        <v>129</v>
      </c>
      <c r="B85" s="76"/>
      <c r="C85" s="61">
        <f ca="1">J86</f>
        <v>7</v>
      </c>
      <c r="D85" s="19">
        <f ca="1">((100/H82)*C85)/100</f>
        <v>1</v>
      </c>
      <c r="E85" s="126">
        <f ca="1">(((C86/H82*10)+(40/(D82+F82+H82)*C87)+(7.5/(H82)*C88)+(7.5/(H82)*C89)+(10/H82*C90)+(10/H82*C91)+(5/H82*C92)+(5/H82*C93)+(5/H82*C94))/100)</f>
        <v>0.15</v>
      </c>
      <c r="F85" s="127"/>
      <c r="G85" s="126">
        <f ca="1">((((C85/H82)*20)+((C86/H82)*25)+(30/(H82+F82+D82)*C87)+(5/H82*C88)+(5/H82*C89)+(5/H82*C90)+(5/H82*C91)+(0/H82*C92)+(0/H82*C93)+(5/H82*C94))/100)</f>
        <v>0.48749999999999999</v>
      </c>
      <c r="H85" s="150"/>
      <c r="I85" s="14" t="s">
        <v>101</v>
      </c>
      <c r="J85" s="29">
        <f ca="1">H82*50%</f>
        <v>3.5</v>
      </c>
    </row>
    <row r="86" spans="1:10" hidden="1" x14ac:dyDescent="0.35">
      <c r="A86" s="75" t="s">
        <v>50</v>
      </c>
      <c r="B86" s="76"/>
      <c r="C86" s="63">
        <f ca="1">J94</f>
        <v>7</v>
      </c>
      <c r="D86" s="19">
        <f ca="1">((100/H82)*C86)/100</f>
        <v>1</v>
      </c>
      <c r="E86" s="128"/>
      <c r="F86" s="129"/>
      <c r="G86" s="128"/>
      <c r="H86" s="151"/>
      <c r="I86" s="14" t="s">
        <v>102</v>
      </c>
      <c r="J86" s="29">
        <f ca="1">H82</f>
        <v>7</v>
      </c>
    </row>
    <row r="87" spans="1:10" ht="15.75" hidden="1" customHeight="1" x14ac:dyDescent="0.35">
      <c r="A87" s="75" t="s">
        <v>130</v>
      </c>
      <c r="B87" s="76"/>
      <c r="C87" s="61">
        <v>1</v>
      </c>
      <c r="D87" s="19">
        <f ca="1">((100/(D82+F82+H82))*C87)/100</f>
        <v>0.125</v>
      </c>
      <c r="E87" s="128"/>
      <c r="F87" s="129"/>
      <c r="G87" s="128"/>
      <c r="H87" s="151"/>
      <c r="I87" s="14" t="s">
        <v>103</v>
      </c>
      <c r="J87" s="30">
        <f ca="1">(IF(B82&gt;1,(H82/(B82+2)),H82/4))</f>
        <v>1.75</v>
      </c>
    </row>
    <row r="88" spans="1:10" ht="15.75" hidden="1" customHeight="1" x14ac:dyDescent="0.35">
      <c r="A88" s="75" t="s">
        <v>137</v>
      </c>
      <c r="B88" s="76" t="s">
        <v>131</v>
      </c>
      <c r="C88" s="61">
        <v>0</v>
      </c>
      <c r="D88" s="19">
        <f ca="1">((100/H82)*C88)/100</f>
        <v>0</v>
      </c>
      <c r="E88" s="128"/>
      <c r="F88" s="129"/>
      <c r="G88" s="128"/>
      <c r="H88" s="151"/>
      <c r="I88" s="14" t="s">
        <v>104</v>
      </c>
      <c r="J88" s="30">
        <f ca="1">(IF(B82&gt;1,(H82/(B82+2)+J87),H82/4+J87))</f>
        <v>3.5</v>
      </c>
    </row>
    <row r="89" spans="1:10" ht="15.75" hidden="1" customHeight="1" x14ac:dyDescent="0.35">
      <c r="A89" s="75" t="s">
        <v>138</v>
      </c>
      <c r="B89" s="76" t="s">
        <v>131</v>
      </c>
      <c r="C89" s="61">
        <v>0</v>
      </c>
      <c r="D89" s="19">
        <f ca="1">((100/H82)*C89)/100</f>
        <v>0</v>
      </c>
      <c r="E89" s="128"/>
      <c r="F89" s="129"/>
      <c r="G89" s="128"/>
      <c r="H89" s="151"/>
      <c r="I89" s="14" t="s">
        <v>147</v>
      </c>
      <c r="J89" s="30">
        <f>(IF(B82&gt;1,(H82/(B82+2)+J88),0))</f>
        <v>0</v>
      </c>
    </row>
    <row r="90" spans="1:10" ht="15" hidden="1" customHeight="1" x14ac:dyDescent="0.35">
      <c r="A90" s="75" t="s">
        <v>136</v>
      </c>
      <c r="B90" s="76" t="s">
        <v>133</v>
      </c>
      <c r="C90" s="61">
        <v>0</v>
      </c>
      <c r="D90" s="19">
        <f ca="1">((100/(H82))*C90)/100</f>
        <v>0</v>
      </c>
      <c r="E90" s="128"/>
      <c r="F90" s="129"/>
      <c r="G90" s="128"/>
      <c r="H90" s="151"/>
      <c r="I90" s="14" t="s">
        <v>144</v>
      </c>
      <c r="J90" s="30">
        <f>(IF(B82&gt;2,(H82/(B82+2)+J89),0))</f>
        <v>0</v>
      </c>
    </row>
    <row r="91" spans="1:10" ht="15.75" hidden="1" customHeight="1" x14ac:dyDescent="0.35">
      <c r="A91" s="75" t="s">
        <v>132</v>
      </c>
      <c r="B91" s="76" t="s">
        <v>132</v>
      </c>
      <c r="C91" s="61">
        <v>0</v>
      </c>
      <c r="D91" s="19">
        <f ca="1">((100/H82)*C91)/100</f>
        <v>0</v>
      </c>
      <c r="E91" s="128"/>
      <c r="F91" s="129"/>
      <c r="G91" s="128"/>
      <c r="H91" s="151"/>
      <c r="I91" s="14" t="s">
        <v>145</v>
      </c>
      <c r="J91" s="31">
        <f>(IF(B82&gt;3,(H82/(B82+2)+J90),0))</f>
        <v>0</v>
      </c>
    </row>
    <row r="92" spans="1:10" ht="15.75" hidden="1" customHeight="1" x14ac:dyDescent="0.35">
      <c r="A92" s="75" t="s">
        <v>139</v>
      </c>
      <c r="B92" s="76"/>
      <c r="C92" s="61">
        <v>0</v>
      </c>
      <c r="D92" s="19">
        <f ca="1">((100/H82)*C92)/100</f>
        <v>0</v>
      </c>
      <c r="E92" s="128"/>
      <c r="F92" s="129"/>
      <c r="G92" s="128"/>
      <c r="H92" s="151"/>
      <c r="I92" s="14" t="s">
        <v>146</v>
      </c>
      <c r="J92" s="30">
        <f>(IF(B82&gt;4,(H82/(B82+2)+J91),0))</f>
        <v>0</v>
      </c>
    </row>
    <row r="93" spans="1:10" ht="15.75" hidden="1" customHeight="1" x14ac:dyDescent="0.35">
      <c r="A93" s="75" t="s">
        <v>134</v>
      </c>
      <c r="B93" s="76" t="s">
        <v>134</v>
      </c>
      <c r="C93" s="61">
        <v>0</v>
      </c>
      <c r="D93" s="19">
        <f ca="1">((100/(H82))*C93)/100</f>
        <v>0</v>
      </c>
      <c r="E93" s="128"/>
      <c r="F93" s="129"/>
      <c r="G93" s="128"/>
      <c r="H93" s="151"/>
      <c r="I93" s="14" t="s">
        <v>148</v>
      </c>
      <c r="J93" s="30">
        <f ca="1">(IF(B82=1,(H82/(B82+3)+J88),IF(B82=0,(H82/4+J88),IF(B82&gt;1,0))))</f>
        <v>5.25</v>
      </c>
    </row>
    <row r="94" spans="1:10" ht="16" hidden="1" thickBot="1" x14ac:dyDescent="0.4">
      <c r="A94" s="77" t="s">
        <v>135</v>
      </c>
      <c r="B94" s="78"/>
      <c r="C94" s="62">
        <v>0</v>
      </c>
      <c r="D94" s="20">
        <f ca="1">((100/(H82))*C94)/100</f>
        <v>0</v>
      </c>
      <c r="E94" s="130"/>
      <c r="F94" s="131"/>
      <c r="G94" s="130"/>
      <c r="H94" s="152"/>
      <c r="I94" s="15" t="s">
        <v>105</v>
      </c>
      <c r="J94" s="32">
        <f ca="1">(IF(B82&gt;1.5,(H82/(B82+2)+J88+MAX(0,J89-J88)+MAX(0,J90-J89)+MAX(0,J91-J90)+MAX(0,J92-J91)+MAX(0,J93-J92)),IF(B82=1,(H82/(B82+3)+J93),IF(B82=0,H82/4+J93))))</f>
        <v>7</v>
      </c>
    </row>
    <row r="95" spans="1:10" x14ac:dyDescent="0.35">
      <c r="A95" s="185" t="s">
        <v>157</v>
      </c>
      <c r="B95" s="185"/>
      <c r="C95" s="185"/>
      <c r="D95" s="185"/>
      <c r="E95" s="185"/>
      <c r="F95" s="189" t="s">
        <v>161</v>
      </c>
      <c r="G95" s="189"/>
      <c r="H95" s="189"/>
    </row>
    <row r="96" spans="1:10" x14ac:dyDescent="0.35">
      <c r="A96" s="82" t="s">
        <v>159</v>
      </c>
      <c r="B96" s="82"/>
      <c r="C96" s="82"/>
      <c r="D96" s="82"/>
      <c r="E96" s="82"/>
      <c r="F96" s="107">
        <v>22500</v>
      </c>
      <c r="G96" s="107"/>
      <c r="H96" s="107"/>
    </row>
    <row r="97" spans="1:8" x14ac:dyDescent="0.35">
      <c r="A97" s="82" t="s">
        <v>158</v>
      </c>
      <c r="B97" s="82"/>
      <c r="C97" s="82"/>
      <c r="D97" s="82"/>
      <c r="E97" s="82"/>
      <c r="F97" s="107">
        <v>35000</v>
      </c>
      <c r="G97" s="107"/>
      <c r="H97" s="107"/>
    </row>
    <row r="98" spans="1:8" x14ac:dyDescent="0.35">
      <c r="A98" s="82" t="s">
        <v>160</v>
      </c>
      <c r="B98" s="82"/>
      <c r="C98" s="82"/>
      <c r="D98" s="82"/>
      <c r="E98" s="82"/>
      <c r="F98" s="107">
        <v>32000</v>
      </c>
      <c r="G98" s="107"/>
      <c r="H98" s="107"/>
    </row>
    <row r="99" spans="1:8" s="33" customFormat="1" hidden="1" x14ac:dyDescent="0.3">
      <c r="A99" s="82" t="s">
        <v>176</v>
      </c>
      <c r="B99" s="82"/>
      <c r="C99" s="82"/>
      <c r="D99" s="82"/>
      <c r="E99" s="82"/>
      <c r="F99" s="107"/>
      <c r="G99" s="107"/>
      <c r="H99" s="107"/>
    </row>
    <row r="100" spans="1:8" s="33" customFormat="1" hidden="1" x14ac:dyDescent="0.3">
      <c r="A100" s="82" t="s">
        <v>95</v>
      </c>
      <c r="B100" s="82"/>
      <c r="C100" s="82"/>
      <c r="D100" s="82"/>
      <c r="E100" s="82"/>
      <c r="F100" s="107"/>
      <c r="G100" s="107"/>
      <c r="H100" s="107"/>
    </row>
    <row r="101" spans="1:8" s="33" customFormat="1" hidden="1" x14ac:dyDescent="0.3">
      <c r="A101" s="82" t="s">
        <v>96</v>
      </c>
      <c r="B101" s="82"/>
      <c r="C101" s="82"/>
      <c r="D101" s="82"/>
      <c r="E101" s="82"/>
      <c r="F101" s="107"/>
      <c r="G101" s="107"/>
      <c r="H101" s="107"/>
    </row>
    <row r="102" spans="1:8" s="33" customFormat="1" hidden="1" x14ac:dyDescent="0.3">
      <c r="A102" s="82" t="s">
        <v>162</v>
      </c>
      <c r="B102" s="82"/>
      <c r="C102" s="82"/>
      <c r="D102" s="82"/>
      <c r="E102" s="82"/>
      <c r="F102" s="107"/>
      <c r="G102" s="107"/>
      <c r="H102" s="107"/>
    </row>
    <row r="103" spans="1:8" s="33" customFormat="1" hidden="1" x14ac:dyDescent="0.3">
      <c r="A103" s="82" t="s">
        <v>97</v>
      </c>
      <c r="B103" s="82"/>
      <c r="C103" s="82"/>
      <c r="D103" s="82"/>
      <c r="E103" s="82"/>
      <c r="F103" s="107"/>
      <c r="G103" s="107"/>
      <c r="H103" s="107"/>
    </row>
    <row r="104" spans="1:8" s="33" customFormat="1" hidden="1" x14ac:dyDescent="0.3">
      <c r="A104" s="82" t="s">
        <v>98</v>
      </c>
      <c r="B104" s="82"/>
      <c r="C104" s="82"/>
      <c r="D104" s="82"/>
      <c r="E104" s="82"/>
      <c r="F104" s="107"/>
      <c r="G104" s="107"/>
      <c r="H104" s="107"/>
    </row>
    <row r="105" spans="1:8" s="33" customFormat="1" hidden="1" x14ac:dyDescent="0.3">
      <c r="A105" s="82" t="s">
        <v>99</v>
      </c>
      <c r="B105" s="82"/>
      <c r="C105" s="82"/>
      <c r="D105" s="82"/>
      <c r="E105" s="82"/>
      <c r="F105" s="107"/>
      <c r="G105" s="107"/>
      <c r="H105" s="107"/>
    </row>
    <row r="106" spans="1:8" s="33" customFormat="1" hidden="1" x14ac:dyDescent="0.3">
      <c r="A106" s="82" t="s">
        <v>100</v>
      </c>
      <c r="B106" s="82"/>
      <c r="C106" s="82"/>
      <c r="D106" s="82"/>
      <c r="E106" s="82"/>
      <c r="F106" s="107"/>
      <c r="G106" s="107"/>
      <c r="H106" s="107"/>
    </row>
    <row r="107" spans="1:8" x14ac:dyDescent="0.35">
      <c r="A107" s="82" t="s">
        <v>51</v>
      </c>
      <c r="B107" s="82"/>
      <c r="C107" s="82"/>
      <c r="D107" s="82"/>
      <c r="E107" s="82"/>
      <c r="F107" s="107">
        <v>800000</v>
      </c>
      <c r="G107" s="107"/>
      <c r="H107" s="107"/>
    </row>
    <row r="108" spans="1:8" s="34" customFormat="1" x14ac:dyDescent="0.35">
      <c r="A108" s="165" t="s">
        <v>52</v>
      </c>
      <c r="B108" s="165"/>
      <c r="C108" s="165"/>
      <c r="D108" s="165"/>
      <c r="E108" s="165"/>
      <c r="F108" s="107">
        <f>F96*0.8</f>
        <v>18000</v>
      </c>
      <c r="G108" s="107"/>
      <c r="H108" s="107"/>
    </row>
    <row r="109" spans="1:8" s="35" customFormat="1" ht="15.75" customHeight="1" x14ac:dyDescent="0.35">
      <c r="A109" s="177" t="s">
        <v>75</v>
      </c>
      <c r="B109" s="177"/>
      <c r="C109" s="177"/>
      <c r="D109" s="177"/>
      <c r="E109" s="177"/>
      <c r="F109" s="177"/>
      <c r="G109" s="177"/>
      <c r="H109" s="177"/>
    </row>
    <row r="110" spans="1:8" s="35" customFormat="1" ht="15.75" customHeight="1" x14ac:dyDescent="0.35">
      <c r="A110" s="112" t="s">
        <v>53</v>
      </c>
      <c r="B110" s="112"/>
      <c r="C110" s="181" t="s">
        <v>78</v>
      </c>
      <c r="D110" s="181"/>
      <c r="E110" s="188" t="s">
        <v>54</v>
      </c>
      <c r="F110" s="188"/>
      <c r="G110" s="112" t="s">
        <v>55</v>
      </c>
      <c r="H110" s="112"/>
    </row>
    <row r="111" spans="1:8" s="35" customFormat="1" x14ac:dyDescent="0.35">
      <c r="A111" s="186" t="s">
        <v>257</v>
      </c>
      <c r="B111" s="57" t="s">
        <v>278</v>
      </c>
      <c r="C111" s="182">
        <f>COUNT(D126:D129)</f>
        <v>4</v>
      </c>
      <c r="D111" s="183"/>
      <c r="E111" s="110">
        <f>SUM(D126:D129)</f>
        <v>3806.4733200000001</v>
      </c>
      <c r="F111" s="111"/>
      <c r="G111" s="110">
        <f>SUM(F126:F129)</f>
        <v>5900.0336459999999</v>
      </c>
      <c r="H111" s="111"/>
    </row>
    <row r="112" spans="1:8" s="35" customFormat="1" x14ac:dyDescent="0.35">
      <c r="A112" s="187"/>
      <c r="B112" s="57" t="s">
        <v>277</v>
      </c>
      <c r="C112" s="182">
        <f>COUNT(D133:D136)</f>
        <v>4</v>
      </c>
      <c r="D112" s="183"/>
      <c r="E112" s="110">
        <f>SUM(D133:D136)</f>
        <v>1670.1422399999999</v>
      </c>
      <c r="F112" s="111"/>
      <c r="G112" s="110">
        <f>SUM(F133:F136)</f>
        <v>2588.720472</v>
      </c>
      <c r="H112" s="111"/>
    </row>
    <row r="113" spans="1:14" s="35" customFormat="1" x14ac:dyDescent="0.35">
      <c r="A113" s="177" t="s">
        <v>151</v>
      </c>
      <c r="B113" s="177"/>
      <c r="C113" s="180">
        <f>C111+C112</f>
        <v>8</v>
      </c>
      <c r="D113" s="181"/>
      <c r="E113" s="180">
        <f t="shared" ref="E113" si="0">E111+E112</f>
        <v>5476.6155600000002</v>
      </c>
      <c r="F113" s="181"/>
      <c r="G113" s="180">
        <f t="shared" ref="G113" si="1">G111+G112</f>
        <v>8488.7541180000007</v>
      </c>
      <c r="H113" s="181"/>
    </row>
    <row r="114" spans="1:14" s="35" customFormat="1" x14ac:dyDescent="0.35">
      <c r="A114" s="177" t="s">
        <v>70</v>
      </c>
      <c r="B114" s="177"/>
      <c r="C114" s="177"/>
      <c r="D114" s="177"/>
      <c r="E114" s="177"/>
      <c r="F114" s="177"/>
      <c r="G114" s="177"/>
      <c r="H114" s="177"/>
    </row>
    <row r="115" spans="1:14" s="35" customFormat="1" ht="15.75" customHeight="1" x14ac:dyDescent="0.35">
      <c r="A115" s="112" t="s">
        <v>53</v>
      </c>
      <c r="B115" s="112"/>
      <c r="C115" s="181" t="s">
        <v>78</v>
      </c>
      <c r="D115" s="181"/>
      <c r="E115" s="188" t="s">
        <v>54</v>
      </c>
      <c r="F115" s="188"/>
      <c r="G115" s="112" t="s">
        <v>55</v>
      </c>
      <c r="H115" s="112"/>
    </row>
    <row r="116" spans="1:14" s="35" customFormat="1" x14ac:dyDescent="0.35">
      <c r="A116" s="178" t="s">
        <v>257</v>
      </c>
      <c r="B116" s="178"/>
      <c r="C116" s="182">
        <f>COUNT(D142:D145)+COUNT(D147:D150)</f>
        <v>8</v>
      </c>
      <c r="D116" s="183"/>
      <c r="E116" s="110">
        <f>SUM(D142:D145)+SUM(D147:D150)</f>
        <v>4409.7955199999997</v>
      </c>
      <c r="F116" s="111"/>
      <c r="G116" s="110">
        <f>SUM(F142:F145)+SUM(F147:F150)</f>
        <v>6614.6932800000004</v>
      </c>
      <c r="H116" s="111"/>
    </row>
    <row r="117" spans="1:14" s="35" customFormat="1" x14ac:dyDescent="0.35">
      <c r="A117" s="178" t="s">
        <v>270</v>
      </c>
      <c r="B117" s="178"/>
      <c r="C117" s="182">
        <f>COUNT(D154,D157:D158)+COUNT(D160:D164)</f>
        <v>8</v>
      </c>
      <c r="D117" s="183"/>
      <c r="E117" s="110">
        <f>SUM(D154,D157:D158)+SUM(D160:D164)</f>
        <v>5134.4279999999999</v>
      </c>
      <c r="F117" s="111"/>
      <c r="G117" s="110">
        <f>SUM(F154,F157:F158)+SUM(F160:F164)</f>
        <v>7701.6420000000007</v>
      </c>
      <c r="H117" s="111"/>
    </row>
    <row r="118" spans="1:14" s="35" customFormat="1" ht="16" thickBot="1" x14ac:dyDescent="0.4">
      <c r="A118" s="190" t="s">
        <v>151</v>
      </c>
      <c r="B118" s="190"/>
      <c r="C118" s="114">
        <f>C116+C117</f>
        <v>16</v>
      </c>
      <c r="D118" s="115"/>
      <c r="E118" s="114">
        <f t="shared" ref="E118" si="2">E116+E117</f>
        <v>9544.2235199999996</v>
      </c>
      <c r="F118" s="115"/>
      <c r="G118" s="114">
        <f t="shared" ref="G118" si="3">G116+G117</f>
        <v>14316.335280000001</v>
      </c>
      <c r="H118" s="115"/>
    </row>
    <row r="119" spans="1:14" s="35" customFormat="1" ht="16" thickBot="1" x14ac:dyDescent="0.4">
      <c r="A119" s="192" t="s">
        <v>167</v>
      </c>
      <c r="B119" s="193"/>
      <c r="C119" s="194">
        <f>C113+C118</f>
        <v>24</v>
      </c>
      <c r="D119" s="195"/>
      <c r="E119" s="179">
        <f>E113+E118</f>
        <v>15020.83908</v>
      </c>
      <c r="F119" s="179"/>
      <c r="G119" s="196">
        <f>G113+G118</f>
        <v>22805.089398000004</v>
      </c>
      <c r="H119" s="197"/>
    </row>
    <row r="120" spans="1:14" s="34" customFormat="1" x14ac:dyDescent="0.35">
      <c r="A120" s="189" t="s">
        <v>56</v>
      </c>
      <c r="B120" s="189"/>
      <c r="C120" s="189"/>
      <c r="D120" s="189"/>
      <c r="E120" s="189"/>
      <c r="F120" s="189"/>
      <c r="G120" s="189"/>
      <c r="H120" s="189"/>
    </row>
    <row r="121" spans="1:14" x14ac:dyDescent="0.35">
      <c r="A121" s="163" t="s">
        <v>175</v>
      </c>
      <c r="B121" s="163"/>
      <c r="C121" s="163"/>
      <c r="D121" s="163"/>
      <c r="E121" s="163"/>
      <c r="F121" s="163"/>
      <c r="G121" s="163"/>
      <c r="H121" s="163"/>
    </row>
    <row r="122" spans="1:14" ht="47.25" customHeight="1" x14ac:dyDescent="0.35">
      <c r="A122" s="108" t="s">
        <v>120</v>
      </c>
      <c r="B122" s="108" t="s">
        <v>178</v>
      </c>
      <c r="C122" s="108" t="s">
        <v>57</v>
      </c>
      <c r="D122" s="108" t="s">
        <v>58</v>
      </c>
      <c r="E122" s="116" t="s">
        <v>156</v>
      </c>
      <c r="F122" s="43" t="s">
        <v>150</v>
      </c>
      <c r="G122" s="118" t="s">
        <v>60</v>
      </c>
      <c r="H122" s="119"/>
    </row>
    <row r="123" spans="1:14" s="37" customFormat="1" x14ac:dyDescent="0.35">
      <c r="A123" s="109"/>
      <c r="B123" s="109"/>
      <c r="C123" s="109"/>
      <c r="D123" s="109"/>
      <c r="E123" s="117"/>
      <c r="F123" s="13">
        <v>0.55000000000000004</v>
      </c>
      <c r="G123" s="120"/>
      <c r="H123" s="121"/>
    </row>
    <row r="124" spans="1:14" s="56" customFormat="1" x14ac:dyDescent="0.35">
      <c r="A124" s="113" t="s">
        <v>257</v>
      </c>
      <c r="B124" s="113"/>
      <c r="C124" s="113"/>
      <c r="D124" s="113"/>
      <c r="E124" s="113"/>
      <c r="F124" s="113"/>
      <c r="G124" s="113"/>
      <c r="H124" s="113"/>
      <c r="J124" s="36"/>
    </row>
    <row r="125" spans="1:14" s="37" customFormat="1" x14ac:dyDescent="0.35">
      <c r="A125" s="113" t="s">
        <v>258</v>
      </c>
      <c r="B125" s="113"/>
      <c r="C125" s="113"/>
      <c r="D125" s="113"/>
      <c r="E125" s="113"/>
      <c r="F125" s="113"/>
      <c r="G125" s="113"/>
      <c r="H125" s="113"/>
      <c r="J125" s="36"/>
    </row>
    <row r="126" spans="1:14" s="37" customFormat="1" ht="66" customHeight="1" x14ac:dyDescent="0.35">
      <c r="A126" s="90">
        <v>1</v>
      </c>
      <c r="B126" s="90"/>
      <c r="C126" s="68" t="s">
        <v>261</v>
      </c>
      <c r="D126" s="68">
        <f>(136.09)*10.764</f>
        <v>1464.87276</v>
      </c>
      <c r="E126" s="68">
        <v>0</v>
      </c>
      <c r="F126" s="68">
        <f>(D126+E126)*(($F$123)+1)</f>
        <v>2270.5527780000002</v>
      </c>
      <c r="G126" s="90" t="str">
        <f>A125</f>
        <v>Ground Floor For Commercial &amp; Parking</v>
      </c>
      <c r="H126" s="90"/>
      <c r="I126" s="36">
        <f>4.85*9.35+2.25*2.4</f>
        <v>50.747499999999995</v>
      </c>
      <c r="J126" s="37">
        <f>4.85*10.4+2.25*4+0.4*1.5+4.7*3.9+2.55*1.2+1.95*1.2</f>
        <v>83.77000000000001</v>
      </c>
      <c r="K126" s="36">
        <f>I126+J126</f>
        <v>134.51750000000001</v>
      </c>
      <c r="L126" s="89"/>
      <c r="M126" s="89"/>
      <c r="N126" s="36"/>
    </row>
    <row r="127" spans="1:14" s="37" customFormat="1" ht="63.75" customHeight="1" x14ac:dyDescent="0.35">
      <c r="A127" s="90">
        <f t="shared" ref="A127:A129" si="4">A126+1</f>
        <v>2</v>
      </c>
      <c r="B127" s="90"/>
      <c r="C127" s="68" t="s">
        <v>261</v>
      </c>
      <c r="D127" s="68">
        <f>(54.92)*10.764</f>
        <v>591.15887999999995</v>
      </c>
      <c r="E127" s="68">
        <v>0</v>
      </c>
      <c r="F127" s="68">
        <f t="shared" ref="F127:F129" si="5">(D127+E127)*(($F$123)+1)</f>
        <v>916.29626399999995</v>
      </c>
      <c r="G127" s="90"/>
      <c r="H127" s="90"/>
      <c r="I127" s="36">
        <f>5.5*3.25+1.55*1.6+2.07*1.6+2.7*3.25+4.25*4.3+1*2.07</f>
        <v>52.786999999999999</v>
      </c>
      <c r="L127" s="89"/>
      <c r="M127" s="89"/>
      <c r="N127" s="36"/>
    </row>
    <row r="128" spans="1:14" s="37" customFormat="1" ht="15.75" customHeight="1" x14ac:dyDescent="0.35">
      <c r="A128" s="90">
        <f t="shared" si="4"/>
        <v>3</v>
      </c>
      <c r="B128" s="90"/>
      <c r="C128" s="68" t="s">
        <v>259</v>
      </c>
      <c r="D128" s="68">
        <f>(85.98)*10.764</f>
        <v>925.48871999999994</v>
      </c>
      <c r="E128" s="68">
        <v>0</v>
      </c>
      <c r="F128" s="68">
        <f t="shared" si="5"/>
        <v>1434.5075159999999</v>
      </c>
      <c r="G128" s="90"/>
      <c r="H128" s="90"/>
      <c r="I128" s="36">
        <f>5.2*9.5+6.87*2.95+5.52*2.3+1.2*2.15</f>
        <v>84.942499999999995</v>
      </c>
      <c r="L128" s="89"/>
      <c r="M128" s="89"/>
      <c r="N128" s="36"/>
    </row>
    <row r="129" spans="1:14" s="37" customFormat="1" ht="15.75" customHeight="1" x14ac:dyDescent="0.35">
      <c r="A129" s="90">
        <f t="shared" si="4"/>
        <v>4</v>
      </c>
      <c r="B129" s="90"/>
      <c r="C129" s="68" t="s">
        <v>259</v>
      </c>
      <c r="D129" s="68">
        <f>(76.64)*10.764</f>
        <v>824.95295999999996</v>
      </c>
      <c r="E129" s="68">
        <v>0</v>
      </c>
      <c r="F129" s="68">
        <f t="shared" si="5"/>
        <v>1278.6770879999999</v>
      </c>
      <c r="G129" s="90"/>
      <c r="H129" s="90"/>
      <c r="I129" s="36"/>
      <c r="L129" s="89"/>
      <c r="M129" s="89"/>
      <c r="N129" s="36"/>
    </row>
    <row r="130" spans="1:14" s="56" customFormat="1" x14ac:dyDescent="0.35">
      <c r="A130" s="97" t="s">
        <v>260</v>
      </c>
      <c r="B130" s="98"/>
      <c r="C130" s="98"/>
      <c r="D130" s="98"/>
      <c r="E130" s="98"/>
      <c r="F130" s="98"/>
      <c r="G130" s="98"/>
      <c r="H130" s="99"/>
      <c r="J130" s="36"/>
    </row>
    <row r="131" spans="1:14" s="56" customFormat="1" ht="15.75" customHeight="1" x14ac:dyDescent="0.35">
      <c r="A131" s="100">
        <v>1</v>
      </c>
      <c r="B131" s="102"/>
      <c r="C131" s="100" t="s">
        <v>262</v>
      </c>
      <c r="D131" s="101"/>
      <c r="E131" s="101"/>
      <c r="F131" s="102"/>
      <c r="G131" s="91" t="str">
        <f>A130</f>
        <v>1st Floor For Commercial</v>
      </c>
      <c r="H131" s="92"/>
      <c r="I131" s="36"/>
      <c r="L131" s="89"/>
      <c r="M131" s="89"/>
      <c r="N131" s="36"/>
    </row>
    <row r="132" spans="1:14" s="56" customFormat="1" ht="15.75" customHeight="1" x14ac:dyDescent="0.35">
      <c r="A132" s="100">
        <f t="shared" ref="A132:A136" si="6">A131+1</f>
        <v>2</v>
      </c>
      <c r="B132" s="102"/>
      <c r="C132" s="100" t="s">
        <v>262</v>
      </c>
      <c r="D132" s="101"/>
      <c r="E132" s="101"/>
      <c r="F132" s="102"/>
      <c r="G132" s="93"/>
      <c r="H132" s="94"/>
      <c r="I132" s="36"/>
      <c r="L132" s="89"/>
      <c r="M132" s="89"/>
      <c r="N132" s="36"/>
    </row>
    <row r="133" spans="1:14" s="56" customFormat="1" ht="15.75" customHeight="1" x14ac:dyDescent="0.35">
      <c r="A133" s="100">
        <v>1</v>
      </c>
      <c r="B133" s="102"/>
      <c r="C133" s="55" t="s">
        <v>263</v>
      </c>
      <c r="D133" s="55">
        <f>(22.96)*10.764</f>
        <v>247.14143999999999</v>
      </c>
      <c r="E133" s="55">
        <v>0</v>
      </c>
      <c r="F133" s="55">
        <f t="shared" ref="F133:F134" si="7">(D133+E133)*(($F$123)+1)</f>
        <v>383.069232</v>
      </c>
      <c r="G133" s="93"/>
      <c r="H133" s="94"/>
      <c r="I133" s="36">
        <f>5.2*2.43+3.85*1.95+1.2*1.8</f>
        <v>22.303500000000003</v>
      </c>
      <c r="L133" s="89"/>
      <c r="M133" s="89"/>
      <c r="N133" s="36"/>
    </row>
    <row r="134" spans="1:14" s="56" customFormat="1" ht="15.75" customHeight="1" x14ac:dyDescent="0.35">
      <c r="A134" s="100">
        <f t="shared" si="6"/>
        <v>2</v>
      </c>
      <c r="B134" s="102"/>
      <c r="C134" s="55" t="s">
        <v>263</v>
      </c>
      <c r="D134" s="55">
        <f>(30.66)*10.764</f>
        <v>330.02423999999996</v>
      </c>
      <c r="E134" s="55">
        <v>0</v>
      </c>
      <c r="F134" s="55">
        <f t="shared" si="7"/>
        <v>511.53757199999995</v>
      </c>
      <c r="G134" s="93"/>
      <c r="H134" s="94"/>
      <c r="I134" s="36"/>
      <c r="L134" s="89"/>
      <c r="M134" s="89"/>
      <c r="N134" s="36"/>
    </row>
    <row r="135" spans="1:14" s="56" customFormat="1" ht="15.75" customHeight="1" x14ac:dyDescent="0.35">
      <c r="A135" s="100">
        <f t="shared" si="6"/>
        <v>3</v>
      </c>
      <c r="B135" s="102"/>
      <c r="C135" s="55" t="s">
        <v>263</v>
      </c>
      <c r="D135" s="55">
        <f>(20.48)*10.764</f>
        <v>220.44672</v>
      </c>
      <c r="E135" s="55">
        <v>0</v>
      </c>
      <c r="F135" s="55">
        <f t="shared" ref="F135:F136" si="8">(D135+E135)*(($F$123)+1)</f>
        <v>341.69241599999998</v>
      </c>
      <c r="G135" s="93"/>
      <c r="H135" s="94"/>
      <c r="I135" s="36"/>
      <c r="L135" s="89"/>
      <c r="M135" s="89"/>
      <c r="N135" s="36"/>
    </row>
    <row r="136" spans="1:14" s="56" customFormat="1" ht="15.75" customHeight="1" x14ac:dyDescent="0.35">
      <c r="A136" s="100">
        <f t="shared" si="6"/>
        <v>4</v>
      </c>
      <c r="B136" s="102"/>
      <c r="C136" s="55" t="s">
        <v>263</v>
      </c>
      <c r="D136" s="55">
        <f>(81.06)*10.764</f>
        <v>872.52983999999992</v>
      </c>
      <c r="E136" s="55">
        <v>0</v>
      </c>
      <c r="F136" s="55">
        <f t="shared" si="8"/>
        <v>1352.4212519999999</v>
      </c>
      <c r="G136" s="95"/>
      <c r="H136" s="96"/>
      <c r="I136" s="36"/>
      <c r="L136" s="89"/>
      <c r="M136" s="89"/>
      <c r="N136" s="36"/>
    </row>
    <row r="137" spans="1:14" s="37" customFormat="1" x14ac:dyDescent="0.35">
      <c r="A137" s="100"/>
      <c r="B137" s="101"/>
      <c r="C137" s="101"/>
      <c r="D137" s="101"/>
      <c r="E137" s="101"/>
      <c r="F137" s="101"/>
      <c r="G137" s="101"/>
      <c r="H137" s="102"/>
      <c r="I137" s="36"/>
      <c r="N137" s="36"/>
    </row>
    <row r="138" spans="1:14" ht="47.25" customHeight="1" x14ac:dyDescent="0.35">
      <c r="A138" s="118" t="s">
        <v>121</v>
      </c>
      <c r="B138" s="108" t="s">
        <v>179</v>
      </c>
      <c r="C138" s="108" t="s">
        <v>57</v>
      </c>
      <c r="D138" s="108" t="s">
        <v>58</v>
      </c>
      <c r="E138" s="116" t="s">
        <v>59</v>
      </c>
      <c r="F138" s="52" t="s">
        <v>150</v>
      </c>
      <c r="G138" s="118" t="s">
        <v>60</v>
      </c>
      <c r="H138" s="119"/>
      <c r="I138" s="36"/>
    </row>
    <row r="139" spans="1:14" s="37" customFormat="1" x14ac:dyDescent="0.35">
      <c r="A139" s="120"/>
      <c r="B139" s="109"/>
      <c r="C139" s="109"/>
      <c r="D139" s="109"/>
      <c r="E139" s="117"/>
      <c r="F139" s="13">
        <v>0.5</v>
      </c>
      <c r="G139" s="120"/>
      <c r="H139" s="121"/>
      <c r="I139" s="36"/>
    </row>
    <row r="140" spans="1:14" s="56" customFormat="1" x14ac:dyDescent="0.35">
      <c r="A140" s="97" t="s">
        <v>257</v>
      </c>
      <c r="B140" s="98"/>
      <c r="C140" s="98"/>
      <c r="D140" s="98"/>
      <c r="E140" s="98"/>
      <c r="F140" s="98"/>
      <c r="G140" s="98"/>
      <c r="H140" s="99"/>
      <c r="J140" s="36"/>
    </row>
    <row r="141" spans="1:14" s="37" customFormat="1" x14ac:dyDescent="0.35">
      <c r="A141" s="97" t="s">
        <v>264</v>
      </c>
      <c r="B141" s="98"/>
      <c r="C141" s="98"/>
      <c r="D141" s="98"/>
      <c r="E141" s="98"/>
      <c r="F141" s="98"/>
      <c r="G141" s="98"/>
      <c r="H141" s="99"/>
      <c r="J141" s="36"/>
    </row>
    <row r="142" spans="1:14" s="37" customFormat="1" ht="15.75" customHeight="1" x14ac:dyDescent="0.35">
      <c r="A142" s="100">
        <v>1</v>
      </c>
      <c r="B142" s="102"/>
      <c r="C142" s="42" t="s">
        <v>267</v>
      </c>
      <c r="D142" s="42">
        <f>(39.53)*10.764</f>
        <v>425.50092000000001</v>
      </c>
      <c r="E142" s="42">
        <v>0</v>
      </c>
      <c r="F142" s="42">
        <f>D142*(($F$139)+1)+(IF(E142&lt;101,E142,IF(E142&lt;201,E142/2,IF(E142&lt;=301,E142/3,E142/4))))</f>
        <v>638.25138000000004</v>
      </c>
      <c r="G142" s="91" t="str">
        <f>A141</f>
        <v>2nd Floor For Residential</v>
      </c>
      <c r="H142" s="92"/>
      <c r="I142" s="36">
        <f>4.7*2.95+3.35*2.15+3.9*2.75+1.2*2.15+2.15*1.2</f>
        <v>36.952500000000001</v>
      </c>
      <c r="J142" s="37">
        <f>18200000/F142</f>
        <v>28515.410338791589</v>
      </c>
      <c r="L142" s="89"/>
      <c r="M142" s="89"/>
      <c r="N142" s="36"/>
    </row>
    <row r="143" spans="1:14" s="37" customFormat="1" ht="15.75" customHeight="1" x14ac:dyDescent="0.35">
      <c r="A143" s="100">
        <f t="shared" ref="A143:A145" si="9">A142+1</f>
        <v>2</v>
      </c>
      <c r="B143" s="102"/>
      <c r="C143" s="42" t="s">
        <v>268</v>
      </c>
      <c r="D143" s="55">
        <f>(63.67)*10.764</f>
        <v>685.34388000000001</v>
      </c>
      <c r="E143" s="42">
        <v>0</v>
      </c>
      <c r="F143" s="42">
        <f>D143*(($F$139)+1)+(IF(E143&lt;101,E143,IF(E143&lt;201,E143/2,IF(E143&lt;=301,E143/3,E143/4))))</f>
        <v>1028.0158200000001</v>
      </c>
      <c r="G143" s="93"/>
      <c r="H143" s="94"/>
      <c r="I143" s="36">
        <f>3.2*5.85+2.15*2.8+3.05*3.65+3.35*2.9+2.35*1.35+1.65*2.1+2.3*1.2+1.65*0.45+2.45*1+2.15*0.75</f>
        <v>59.789999999999992</v>
      </c>
      <c r="L143" s="89"/>
      <c r="M143" s="89"/>
      <c r="N143" s="36"/>
    </row>
    <row r="144" spans="1:14" s="37" customFormat="1" ht="15.75" customHeight="1" x14ac:dyDescent="0.35">
      <c r="A144" s="100">
        <f t="shared" si="9"/>
        <v>3</v>
      </c>
      <c r="B144" s="102"/>
      <c r="C144" s="55" t="s">
        <v>266</v>
      </c>
      <c r="D144" s="55">
        <f>(70.78)*10.764</f>
        <v>761.87591999999995</v>
      </c>
      <c r="E144" s="42">
        <v>0</v>
      </c>
      <c r="F144" s="42">
        <f>D144*(($F$139)+1)+(IF(E144&lt;101,E144,IF(E144&lt;201,E144/2,IF(E144&lt;=301,E144/3,E144/4))))</f>
        <v>1142.8138799999999</v>
      </c>
      <c r="G144" s="93"/>
      <c r="H144" s="94"/>
      <c r="I144" s="36"/>
      <c r="L144" s="89"/>
      <c r="M144" s="89"/>
      <c r="N144" s="36"/>
    </row>
    <row r="145" spans="1:14" s="37" customFormat="1" ht="15.75" customHeight="1" x14ac:dyDescent="0.35">
      <c r="A145" s="100">
        <f t="shared" si="9"/>
        <v>4</v>
      </c>
      <c r="B145" s="102"/>
      <c r="C145" s="42" t="s">
        <v>267</v>
      </c>
      <c r="D145" s="55">
        <f>(33.42)*10.764</f>
        <v>359.73288000000002</v>
      </c>
      <c r="E145" s="42">
        <v>0</v>
      </c>
      <c r="F145" s="42">
        <f>D145*(($F$139)+1)+(IF(E145&lt;101,E145,IF(E145&lt;201,E145/2,IF(E145&lt;=301,E145/3,E145/4))))</f>
        <v>539.59932000000003</v>
      </c>
      <c r="G145" s="95"/>
      <c r="H145" s="96"/>
      <c r="I145" s="36"/>
      <c r="L145" s="89"/>
      <c r="M145" s="89"/>
      <c r="N145" s="36"/>
    </row>
    <row r="146" spans="1:14" s="56" customFormat="1" x14ac:dyDescent="0.35">
      <c r="A146" s="97" t="s">
        <v>269</v>
      </c>
      <c r="B146" s="98"/>
      <c r="C146" s="98"/>
      <c r="D146" s="98"/>
      <c r="E146" s="98"/>
      <c r="F146" s="98"/>
      <c r="G146" s="98"/>
      <c r="H146" s="99"/>
      <c r="J146" s="36"/>
    </row>
    <row r="147" spans="1:14" s="56" customFormat="1" x14ac:dyDescent="0.35">
      <c r="A147" s="100">
        <v>1</v>
      </c>
      <c r="B147" s="102"/>
      <c r="C147" s="55" t="s">
        <v>267</v>
      </c>
      <c r="D147" s="55">
        <f>(39.53)*10.764</f>
        <v>425.50092000000001</v>
      </c>
      <c r="E147" s="55">
        <v>0</v>
      </c>
      <c r="F147" s="55">
        <f>D147*(($F$139)+1)+(IF(E147&lt;101,E147,IF(E147&lt;201,E147/2,IF(E147&lt;=301,E147/3,E147/4))))</f>
        <v>638.25138000000004</v>
      </c>
      <c r="G147" s="91" t="str">
        <f>A146</f>
        <v>3rd Floor</v>
      </c>
      <c r="H147" s="92"/>
      <c r="I147" s="36"/>
      <c r="L147" s="89"/>
      <c r="M147" s="89"/>
      <c r="N147" s="36"/>
    </row>
    <row r="148" spans="1:14" s="56" customFormat="1" x14ac:dyDescent="0.35">
      <c r="A148" s="100">
        <f t="shared" ref="A148:A150" si="10">A147+1</f>
        <v>2</v>
      </c>
      <c r="B148" s="102"/>
      <c r="C148" s="55" t="s">
        <v>268</v>
      </c>
      <c r="D148" s="55">
        <f>(58.55)*10.764</f>
        <v>630.23219999999992</v>
      </c>
      <c r="E148" s="55">
        <v>0</v>
      </c>
      <c r="F148" s="55">
        <f>D148*(($F$139)+1)+(IF(E148&lt;101,E148,IF(E148&lt;201,E148/2,IF(E148&lt;=301,E148/3,E148/4))))</f>
        <v>945.34829999999988</v>
      </c>
      <c r="G148" s="93"/>
      <c r="H148" s="94"/>
      <c r="I148" s="36"/>
      <c r="L148" s="89"/>
      <c r="M148" s="89"/>
      <c r="N148" s="36"/>
    </row>
    <row r="149" spans="1:14" s="56" customFormat="1" x14ac:dyDescent="0.35">
      <c r="A149" s="100">
        <f t="shared" si="10"/>
        <v>3</v>
      </c>
      <c r="B149" s="102"/>
      <c r="C149" s="55" t="s">
        <v>266</v>
      </c>
      <c r="D149" s="55">
        <f>(70.78)*10.764</f>
        <v>761.87591999999995</v>
      </c>
      <c r="E149" s="55">
        <v>0</v>
      </c>
      <c r="F149" s="55">
        <f>D149*(($F$139)+1)+(IF(E149&lt;101,E149,IF(E149&lt;201,E149/2,IF(E149&lt;=301,E149/3,E149/4))))</f>
        <v>1142.8138799999999</v>
      </c>
      <c r="G149" s="93"/>
      <c r="H149" s="94"/>
      <c r="I149" s="36"/>
      <c r="L149" s="89"/>
      <c r="M149" s="89"/>
      <c r="N149" s="36"/>
    </row>
    <row r="150" spans="1:14" s="56" customFormat="1" x14ac:dyDescent="0.35">
      <c r="A150" s="100">
        <f t="shared" si="10"/>
        <v>4</v>
      </c>
      <c r="B150" s="102"/>
      <c r="C150" s="55" t="s">
        <v>267</v>
      </c>
      <c r="D150" s="55">
        <f>(33.42)*10.764</f>
        <v>359.73288000000002</v>
      </c>
      <c r="E150" s="55">
        <v>0</v>
      </c>
      <c r="F150" s="55">
        <f>D150*(($F$139)+1)+(IF(E150&lt;101,E150,IF(E150&lt;201,E150/2,IF(E150&lt;=301,E150/3,E150/4))))</f>
        <v>539.59932000000003</v>
      </c>
      <c r="G150" s="95"/>
      <c r="H150" s="96"/>
      <c r="I150" s="36"/>
      <c r="L150" s="89"/>
      <c r="M150" s="89"/>
      <c r="N150" s="36"/>
    </row>
    <row r="151" spans="1:14" s="56" customFormat="1" x14ac:dyDescent="0.35">
      <c r="A151" s="97" t="s">
        <v>270</v>
      </c>
      <c r="B151" s="98"/>
      <c r="C151" s="98"/>
      <c r="D151" s="98"/>
      <c r="E151" s="98"/>
      <c r="F151" s="98"/>
      <c r="G151" s="98"/>
      <c r="H151" s="99"/>
      <c r="J151" s="36"/>
    </row>
    <row r="152" spans="1:14" s="56" customFormat="1" x14ac:dyDescent="0.35">
      <c r="A152" s="97" t="s">
        <v>271</v>
      </c>
      <c r="B152" s="98"/>
      <c r="C152" s="98"/>
      <c r="D152" s="98"/>
      <c r="E152" s="98"/>
      <c r="F152" s="98"/>
      <c r="G152" s="98"/>
      <c r="H152" s="99"/>
      <c r="J152" s="36"/>
    </row>
    <row r="153" spans="1:14" s="37" customFormat="1" x14ac:dyDescent="0.35">
      <c r="A153" s="113" t="s">
        <v>272</v>
      </c>
      <c r="B153" s="113"/>
      <c r="C153" s="113"/>
      <c r="D153" s="113"/>
      <c r="E153" s="113"/>
      <c r="F153" s="113"/>
      <c r="G153" s="113"/>
      <c r="H153" s="113"/>
      <c r="I153" s="36"/>
      <c r="L153" s="89"/>
      <c r="M153" s="89"/>
    </row>
    <row r="154" spans="1:14" s="37" customFormat="1" ht="15.75" customHeight="1" x14ac:dyDescent="0.35">
      <c r="A154" s="90">
        <v>1</v>
      </c>
      <c r="B154" s="90"/>
      <c r="C154" s="42" t="s">
        <v>268</v>
      </c>
      <c r="D154" s="55">
        <f>(51.31)*10.764</f>
        <v>552.30083999999999</v>
      </c>
      <c r="E154" s="42">
        <v>0</v>
      </c>
      <c r="F154" s="42">
        <f t="shared" ref="F154" si="11">D154*(($F$139)+1)+(IF(E154&lt;101,E154,IF(E154&lt;201,E154/2,IF(E154&lt;=301,E154/3,E154/4))))</f>
        <v>828.45126000000005</v>
      </c>
      <c r="G154" s="91" t="str">
        <f>A153</f>
        <v>1st Floor For Residential, Society Office &amp; Fitness Centre</v>
      </c>
      <c r="H154" s="92"/>
      <c r="I154" s="36"/>
      <c r="N154" s="36"/>
    </row>
    <row r="155" spans="1:14" s="37" customFormat="1" ht="15.75" customHeight="1" x14ac:dyDescent="0.35">
      <c r="A155" s="90">
        <f>A154+1</f>
        <v>2</v>
      </c>
      <c r="B155" s="90"/>
      <c r="C155" s="100" t="s">
        <v>273</v>
      </c>
      <c r="D155" s="101"/>
      <c r="E155" s="101"/>
      <c r="F155" s="102"/>
      <c r="G155" s="93"/>
      <c r="H155" s="94"/>
      <c r="I155" s="36"/>
      <c r="N155" s="36"/>
    </row>
    <row r="156" spans="1:14" s="37" customFormat="1" ht="15.75" customHeight="1" x14ac:dyDescent="0.35">
      <c r="A156" s="90">
        <f>A155+1</f>
        <v>3</v>
      </c>
      <c r="B156" s="90"/>
      <c r="C156" s="100" t="s">
        <v>274</v>
      </c>
      <c r="D156" s="101"/>
      <c r="E156" s="101"/>
      <c r="F156" s="102"/>
      <c r="G156" s="93"/>
      <c r="H156" s="94"/>
      <c r="I156" s="36"/>
      <c r="N156" s="36"/>
    </row>
    <row r="157" spans="1:14" s="37" customFormat="1" ht="15.75" customHeight="1" x14ac:dyDescent="0.35">
      <c r="A157" s="90">
        <f>A156+1</f>
        <v>4</v>
      </c>
      <c r="B157" s="90"/>
      <c r="C157" s="42" t="s">
        <v>266</v>
      </c>
      <c r="D157" s="55">
        <f>(90.14)*10.764</f>
        <v>970.26695999999993</v>
      </c>
      <c r="E157" s="42">
        <v>0</v>
      </c>
      <c r="F157" s="42">
        <f>D157*(($F$139)+1)+(IF(E157&lt;101,E157,IF(E157&lt;201,E157/2,IF(E157&lt;=301,E157/3,E157/4))))</f>
        <v>1455.4004399999999</v>
      </c>
      <c r="G157" s="93"/>
      <c r="H157" s="94"/>
      <c r="I157" s="36">
        <f>7.1*3.04+2.8*2.2+3.35*3.05+3.05*4.65+3.15*4.25+3.3*1.25+2.17*1.2+2.17*1.35+1.5*2.45+1*4.1+2.2*0.75</f>
        <v>84.615000000000009</v>
      </c>
      <c r="N157" s="36"/>
    </row>
    <row r="158" spans="1:14" s="37" customFormat="1" ht="15.75" customHeight="1" x14ac:dyDescent="0.35">
      <c r="A158" s="90">
        <f>A157+1</f>
        <v>5</v>
      </c>
      <c r="B158" s="90"/>
      <c r="C158" s="42" t="s">
        <v>268</v>
      </c>
      <c r="D158" s="55">
        <f>(62.92)*10.764</f>
        <v>677.27088000000003</v>
      </c>
      <c r="E158" s="42">
        <v>0</v>
      </c>
      <c r="F158" s="42">
        <f>D158*(($F$139)+1)+(IF(E158&lt;101,E158,IF(E158&lt;201,E158/2,IF(E158&lt;=301,E158/3,E158/4))))</f>
        <v>1015.9063200000001</v>
      </c>
      <c r="G158" s="95"/>
      <c r="H158" s="96"/>
      <c r="I158" s="36"/>
      <c r="N158" s="36"/>
    </row>
    <row r="159" spans="1:14" s="56" customFormat="1" x14ac:dyDescent="0.35">
      <c r="A159" s="113" t="s">
        <v>264</v>
      </c>
      <c r="B159" s="113"/>
      <c r="C159" s="113"/>
      <c r="D159" s="113"/>
      <c r="E159" s="113"/>
      <c r="F159" s="113"/>
      <c r="G159" s="113"/>
      <c r="H159" s="113"/>
      <c r="I159" s="36"/>
      <c r="L159" s="89"/>
      <c r="M159" s="89"/>
    </row>
    <row r="160" spans="1:14" s="56" customFormat="1" ht="15.75" customHeight="1" x14ac:dyDescent="0.35">
      <c r="A160" s="90">
        <v>1</v>
      </c>
      <c r="B160" s="90"/>
      <c r="C160" s="55" t="s">
        <v>268</v>
      </c>
      <c r="D160" s="55">
        <f>(51.31)*10.764</f>
        <v>552.30083999999999</v>
      </c>
      <c r="E160" s="55">
        <v>0</v>
      </c>
      <c r="F160" s="55">
        <f t="shared" ref="F160" si="12">D160*(($F$139)+1)+(IF(E160&lt;101,E160,IF(E160&lt;201,E160/2,IF(E160&lt;=301,E160/3,E160/4))))</f>
        <v>828.45126000000005</v>
      </c>
      <c r="G160" s="91" t="str">
        <f>A159</f>
        <v>2nd Floor For Residential</v>
      </c>
      <c r="H160" s="92"/>
      <c r="I160" s="36"/>
      <c r="N160" s="36"/>
    </row>
    <row r="161" spans="1:14" s="56" customFormat="1" ht="15.75" customHeight="1" x14ac:dyDescent="0.35">
      <c r="A161" s="90">
        <f>A160+1</f>
        <v>2</v>
      </c>
      <c r="B161" s="90"/>
      <c r="C161" s="55" t="s">
        <v>267</v>
      </c>
      <c r="D161" s="55">
        <f>(43.05)*10.764</f>
        <v>463.39019999999994</v>
      </c>
      <c r="E161" s="55">
        <v>0</v>
      </c>
      <c r="F161" s="55">
        <f t="shared" ref="F161:F162" si="13">D161*(($F$139)+1)+(IF(E161&lt;101,E161,IF(E161&lt;201,E161/2,IF(E161&lt;=301,E161/3,E161/4))))</f>
        <v>695.08529999999996</v>
      </c>
      <c r="G161" s="93"/>
      <c r="H161" s="94"/>
      <c r="I161" s="36">
        <f>23600000/F164</f>
        <v>23230.488417475342</v>
      </c>
      <c r="J161" s="56">
        <f>32000/1.5</f>
        <v>21333.333333333332</v>
      </c>
      <c r="N161" s="36"/>
    </row>
    <row r="162" spans="1:14" s="56" customFormat="1" ht="15.75" customHeight="1" x14ac:dyDescent="0.35">
      <c r="A162" s="90">
        <f>A161+1</f>
        <v>3</v>
      </c>
      <c r="B162" s="90"/>
      <c r="C162" s="55" t="s">
        <v>265</v>
      </c>
      <c r="D162" s="55">
        <f>(25.21)*10.764</f>
        <v>271.36043999999998</v>
      </c>
      <c r="E162" s="55">
        <v>0</v>
      </c>
      <c r="F162" s="55">
        <f t="shared" si="13"/>
        <v>407.04066</v>
      </c>
      <c r="G162" s="93"/>
      <c r="H162" s="94"/>
      <c r="I162" s="36"/>
      <c r="J162" s="56">
        <f>10600000/F162</f>
        <v>26041.624441155338</v>
      </c>
      <c r="N162" s="36"/>
    </row>
    <row r="163" spans="1:14" s="56" customFormat="1" ht="15.75" customHeight="1" x14ac:dyDescent="0.35">
      <c r="A163" s="90">
        <f>A162+1</f>
        <v>4</v>
      </c>
      <c r="B163" s="90"/>
      <c r="C163" s="55" t="s">
        <v>266</v>
      </c>
      <c r="D163" s="55">
        <f>(90.14)*10.764</f>
        <v>970.26695999999993</v>
      </c>
      <c r="E163" s="55">
        <v>0</v>
      </c>
      <c r="F163" s="55">
        <f>D163*(($F$139)+1)+(IF(E163&lt;101,E163,IF(E163&lt;201,E163/2,IF(E163&lt;=301,E163/3,E163/4))))</f>
        <v>1455.4004399999999</v>
      </c>
      <c r="G163" s="93"/>
      <c r="H163" s="94"/>
      <c r="I163" s="36">
        <f>338000000/F163</f>
        <v>232238.48963519622</v>
      </c>
      <c r="N163" s="36"/>
    </row>
    <row r="164" spans="1:14" s="56" customFormat="1" ht="15.75" customHeight="1" x14ac:dyDescent="0.35">
      <c r="A164" s="90">
        <f>A163+1</f>
        <v>5</v>
      </c>
      <c r="B164" s="90"/>
      <c r="C164" s="55" t="s">
        <v>268</v>
      </c>
      <c r="D164" s="55">
        <f>(62.92)*10.764</f>
        <v>677.27088000000003</v>
      </c>
      <c r="E164" s="55">
        <v>0</v>
      </c>
      <c r="F164" s="55">
        <f>D164*(($F$139)+1)+(IF(E164&lt;101,E164,IF(E164&lt;201,E164/2,IF(E164&lt;=301,E164/3,E164/4))))</f>
        <v>1015.9063200000001</v>
      </c>
      <c r="G164" s="95"/>
      <c r="H164" s="96"/>
      <c r="I164" s="36"/>
      <c r="N164" s="36"/>
    </row>
    <row r="165" spans="1:14" s="35" customFormat="1" x14ac:dyDescent="0.35">
      <c r="A165" s="106" t="s">
        <v>68</v>
      </c>
      <c r="B165" s="106"/>
      <c r="C165" s="106"/>
      <c r="D165" s="106"/>
      <c r="E165" s="106"/>
      <c r="F165" s="106"/>
      <c r="G165" s="106"/>
      <c r="H165" s="106"/>
    </row>
    <row r="166" spans="1:14" s="35" customFormat="1" x14ac:dyDescent="0.35">
      <c r="A166" s="45" t="s">
        <v>154</v>
      </c>
      <c r="B166" s="72" t="s">
        <v>296</v>
      </c>
      <c r="C166" s="73"/>
      <c r="D166" s="73"/>
      <c r="E166" s="73"/>
      <c r="F166" s="73"/>
      <c r="G166" s="73"/>
      <c r="H166" s="74"/>
    </row>
    <row r="167" spans="1:14" s="35" customFormat="1" x14ac:dyDescent="0.35">
      <c r="A167" s="45" t="s">
        <v>154</v>
      </c>
      <c r="B167" s="72" t="str">
        <f>(IF(F138="Saleable area Loading :","We have considered Saleable area of Flats as per our Calculation.","We considered Saleable area of Flat as per Builder area Sheet."))</f>
        <v>We have considered Saleable area of Flats as per our Calculation.</v>
      </c>
      <c r="C167" s="73"/>
      <c r="D167" s="73"/>
      <c r="E167" s="73"/>
      <c r="F167" s="73"/>
      <c r="G167" s="73"/>
      <c r="H167" s="74"/>
    </row>
    <row r="168" spans="1:14" s="35" customFormat="1" x14ac:dyDescent="0.35">
      <c r="A168" s="45" t="s">
        <v>154</v>
      </c>
      <c r="B168" s="72" t="str">
        <f>(IF(F122="Saleable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8" s="73"/>
      <c r="D168" s="73"/>
      <c r="E168" s="73"/>
      <c r="F168" s="73"/>
      <c r="G168" s="73"/>
      <c r="H168" s="74"/>
    </row>
    <row r="169" spans="1:14" s="35" customFormat="1" x14ac:dyDescent="0.35">
      <c r="A169" s="45" t="s">
        <v>154</v>
      </c>
      <c r="B169" s="103" t="s">
        <v>124</v>
      </c>
      <c r="C169" s="104"/>
      <c r="D169" s="104"/>
      <c r="E169" s="104"/>
      <c r="F169" s="104"/>
      <c r="G169" s="104"/>
      <c r="H169" s="105"/>
    </row>
    <row r="170" spans="1:14" s="35" customFormat="1" x14ac:dyDescent="0.35">
      <c r="A170" s="45" t="s">
        <v>154</v>
      </c>
      <c r="B170" s="103" t="s">
        <v>275</v>
      </c>
      <c r="C170" s="104"/>
      <c r="D170" s="104"/>
      <c r="E170" s="104"/>
      <c r="F170" s="104"/>
      <c r="G170" s="104"/>
      <c r="H170" s="105"/>
    </row>
    <row r="171" spans="1:14" s="35" customFormat="1" x14ac:dyDescent="0.35">
      <c r="A171" s="45" t="s">
        <v>154</v>
      </c>
      <c r="B171" s="103" t="s">
        <v>153</v>
      </c>
      <c r="C171" s="104"/>
      <c r="D171" s="104"/>
      <c r="E171" s="104"/>
      <c r="F171" s="104"/>
      <c r="G171" s="104"/>
      <c r="H171" s="105"/>
    </row>
    <row r="172" spans="1:14" s="35" customFormat="1" x14ac:dyDescent="0.35">
      <c r="A172" s="45" t="s">
        <v>154</v>
      </c>
      <c r="B172" s="103" t="s">
        <v>125</v>
      </c>
      <c r="C172" s="104"/>
      <c r="D172" s="104"/>
      <c r="E172" s="104"/>
      <c r="F172" s="104"/>
      <c r="G172" s="104"/>
      <c r="H172" s="105"/>
    </row>
    <row r="173" spans="1:14" s="35" customFormat="1" ht="34.5" customHeight="1" x14ac:dyDescent="0.35">
      <c r="A173" s="45" t="s">
        <v>154</v>
      </c>
      <c r="B173" s="103" t="s">
        <v>155</v>
      </c>
      <c r="C173" s="104"/>
      <c r="D173" s="104"/>
      <c r="E173" s="104"/>
      <c r="F173" s="104"/>
      <c r="G173" s="104"/>
      <c r="H173" s="105"/>
    </row>
    <row r="174" spans="1:14" s="35" customFormat="1" x14ac:dyDescent="0.35">
      <c r="A174" s="45" t="s">
        <v>154</v>
      </c>
      <c r="B174" s="103" t="s">
        <v>126</v>
      </c>
      <c r="C174" s="104"/>
      <c r="D174" s="104"/>
      <c r="E174" s="104"/>
      <c r="F174" s="104"/>
      <c r="G174" s="104"/>
      <c r="H174" s="105"/>
    </row>
    <row r="175" spans="1:14" s="35" customFormat="1" ht="32.25" customHeight="1" x14ac:dyDescent="0.35">
      <c r="A175" s="66" t="s">
        <v>154</v>
      </c>
      <c r="B175" s="72" t="s">
        <v>280</v>
      </c>
      <c r="C175" s="73"/>
      <c r="D175" s="73"/>
      <c r="E175" s="73"/>
      <c r="F175" s="73"/>
      <c r="G175" s="73"/>
      <c r="H175" s="74"/>
      <c r="I175" s="60"/>
    </row>
    <row r="176" spans="1:14" s="35" customFormat="1" x14ac:dyDescent="0.35">
      <c r="A176" s="57" t="s">
        <v>154</v>
      </c>
      <c r="B176" s="72" t="s">
        <v>291</v>
      </c>
      <c r="C176" s="73"/>
      <c r="D176" s="73"/>
      <c r="E176" s="73"/>
      <c r="F176" s="73"/>
      <c r="G176" s="73"/>
      <c r="H176" s="74"/>
      <c r="I176" s="60"/>
    </row>
    <row r="177" spans="1:9" s="35" customFormat="1" ht="34.5" customHeight="1" x14ac:dyDescent="0.35">
      <c r="A177" s="69" t="s">
        <v>154</v>
      </c>
      <c r="B177" s="72" t="s">
        <v>298</v>
      </c>
      <c r="C177" s="73"/>
      <c r="D177" s="73"/>
      <c r="E177" s="73"/>
      <c r="F177" s="73"/>
      <c r="G177" s="73"/>
      <c r="H177" s="74"/>
      <c r="I177" s="60"/>
    </row>
    <row r="178" spans="1:9" x14ac:dyDescent="0.35">
      <c r="A178" s="171" t="s">
        <v>61</v>
      </c>
      <c r="B178" s="171"/>
      <c r="C178" s="171"/>
      <c r="D178" s="171"/>
      <c r="E178" s="171"/>
      <c r="F178" s="171"/>
      <c r="G178" s="171"/>
      <c r="H178" s="171"/>
    </row>
    <row r="179" spans="1:9" x14ac:dyDescent="0.35">
      <c r="A179" s="82" t="s">
        <v>62</v>
      </c>
      <c r="B179" s="82"/>
      <c r="C179" s="82"/>
      <c r="D179" s="82"/>
      <c r="E179" s="82"/>
      <c r="F179" s="82"/>
      <c r="G179" s="82"/>
      <c r="H179" s="82"/>
    </row>
    <row r="180" spans="1:9" ht="15.75" customHeight="1" x14ac:dyDescent="0.35">
      <c r="A180" s="191" t="s">
        <v>63</v>
      </c>
      <c r="B180" s="191"/>
      <c r="C180" s="191"/>
      <c r="D180" s="191"/>
      <c r="E180" s="191"/>
      <c r="F180" s="191"/>
      <c r="G180" s="191"/>
      <c r="H180" s="191"/>
    </row>
    <row r="181" spans="1:9" x14ac:dyDescent="0.35">
      <c r="A181" s="82" t="s">
        <v>64</v>
      </c>
      <c r="B181" s="82"/>
      <c r="C181" s="82"/>
      <c r="D181" s="82"/>
      <c r="E181" s="82"/>
      <c r="F181" s="82"/>
      <c r="G181" s="82"/>
      <c r="H181" s="82"/>
    </row>
    <row r="182" spans="1:9" x14ac:dyDescent="0.35">
      <c r="A182" s="82" t="s">
        <v>65</v>
      </c>
      <c r="B182" s="82"/>
      <c r="C182" s="82"/>
      <c r="D182" s="82"/>
      <c r="E182" s="82"/>
      <c r="F182" s="82"/>
      <c r="G182" s="82"/>
      <c r="H182" s="82"/>
    </row>
    <row r="183" spans="1:9" x14ac:dyDescent="0.35">
      <c r="A183" s="82" t="s">
        <v>127</v>
      </c>
      <c r="B183" s="82"/>
      <c r="C183" s="82"/>
      <c r="D183" s="82"/>
      <c r="E183" s="82"/>
      <c r="F183" s="82"/>
      <c r="G183" s="82"/>
      <c r="H183" s="82"/>
    </row>
    <row r="184" spans="1:9" ht="34" customHeight="1" x14ac:dyDescent="0.35">
      <c r="A184" s="83" t="s">
        <v>128</v>
      </c>
      <c r="B184" s="83"/>
      <c r="C184" s="83"/>
      <c r="D184" s="83"/>
      <c r="E184" s="83"/>
      <c r="F184" s="83"/>
      <c r="G184" s="83"/>
      <c r="H184" s="83"/>
    </row>
    <row r="185" spans="1:9" x14ac:dyDescent="0.35">
      <c r="A185" s="176" t="s">
        <v>77</v>
      </c>
      <c r="B185" s="176"/>
      <c r="C185" s="176" t="s">
        <v>290</v>
      </c>
      <c r="D185" s="176"/>
      <c r="E185" s="176" t="s">
        <v>107</v>
      </c>
      <c r="F185" s="176"/>
      <c r="G185" s="176" t="s">
        <v>297</v>
      </c>
      <c r="H185" s="176"/>
    </row>
    <row r="186" spans="1:9" x14ac:dyDescent="0.35">
      <c r="A186" s="175" t="s">
        <v>79</v>
      </c>
      <c r="B186" s="175"/>
      <c r="C186" s="175"/>
      <c r="D186" s="175"/>
      <c r="E186" s="175"/>
      <c r="F186" s="175"/>
      <c r="G186" s="175"/>
      <c r="H186" s="175"/>
    </row>
    <row r="187" spans="1:9" x14ac:dyDescent="0.35">
      <c r="A187" s="175"/>
      <c r="B187" s="175"/>
      <c r="C187" s="175"/>
      <c r="D187" s="175"/>
      <c r="E187" s="175"/>
      <c r="F187" s="175"/>
      <c r="G187" s="175"/>
      <c r="H187" s="175"/>
    </row>
    <row r="188" spans="1:9" x14ac:dyDescent="0.35">
      <c r="A188" s="175"/>
      <c r="B188" s="175"/>
      <c r="C188" s="175"/>
      <c r="D188" s="175"/>
      <c r="E188" s="175"/>
      <c r="F188" s="175"/>
      <c r="G188" s="175"/>
      <c r="H188" s="175"/>
    </row>
    <row r="189" spans="1:9" x14ac:dyDescent="0.35">
      <c r="A189" s="175"/>
      <c r="B189" s="175"/>
      <c r="C189" s="175"/>
      <c r="D189" s="175"/>
      <c r="E189" s="175"/>
      <c r="F189" s="175"/>
      <c r="G189" s="175"/>
      <c r="H189" s="175"/>
    </row>
    <row r="190" spans="1:9" x14ac:dyDescent="0.35">
      <c r="A190" s="38" t="s">
        <v>66</v>
      </c>
      <c r="B190" s="39"/>
      <c r="C190" s="39"/>
      <c r="D190" s="38" t="str">
        <f>E8</f>
        <v>Sheetal Surya Prakash</v>
      </c>
      <c r="F190" s="39"/>
      <c r="G190" s="39"/>
      <c r="H190" s="39"/>
    </row>
    <row r="191" spans="1:9" x14ac:dyDescent="0.35">
      <c r="A191" s="39"/>
      <c r="B191" s="39"/>
      <c r="C191" s="39"/>
      <c r="D191" s="39"/>
      <c r="E191" s="39"/>
      <c r="F191" s="39"/>
      <c r="G191" s="39"/>
      <c r="H191" s="39"/>
    </row>
    <row r="192" spans="1:9" x14ac:dyDescent="0.35">
      <c r="A192" s="39"/>
      <c r="B192" s="39"/>
      <c r="C192" s="39"/>
      <c r="D192" s="39"/>
      <c r="E192" s="39"/>
      <c r="F192" s="39"/>
      <c r="G192" s="39"/>
      <c r="H192" s="39"/>
    </row>
    <row r="193" ht="15" customHeight="1" x14ac:dyDescent="0.35"/>
    <row r="211" spans="11:25" x14ac:dyDescent="0.35">
      <c r="K211"/>
    </row>
    <row r="212" spans="11:25" x14ac:dyDescent="0.35">
      <c r="Y212"/>
    </row>
    <row r="233" spans="1:1" x14ac:dyDescent="0.35">
      <c r="A233" s="41" t="s">
        <v>165</v>
      </c>
    </row>
    <row r="267" spans="1:1" x14ac:dyDescent="0.35">
      <c r="A267" s="41" t="s">
        <v>67</v>
      </c>
    </row>
  </sheetData>
  <mergeCells count="354">
    <mergeCell ref="I14:P14"/>
    <mergeCell ref="F106:H106"/>
    <mergeCell ref="F104:H104"/>
    <mergeCell ref="A121:H121"/>
    <mergeCell ref="G110:H110"/>
    <mergeCell ref="A105:E105"/>
    <mergeCell ref="A127:B127"/>
    <mergeCell ref="A53:B53"/>
    <mergeCell ref="C53:E53"/>
    <mergeCell ref="D55:H55"/>
    <mergeCell ref="F105:H105"/>
    <mergeCell ref="E110:F110"/>
    <mergeCell ref="A110:B110"/>
    <mergeCell ref="C115:D115"/>
    <mergeCell ref="A76:B76"/>
    <mergeCell ref="A49:B49"/>
    <mergeCell ref="C49:E49"/>
    <mergeCell ref="C52:E52"/>
    <mergeCell ref="G52:H52"/>
    <mergeCell ref="G49:H49"/>
    <mergeCell ref="G51:H51"/>
    <mergeCell ref="A50:B50"/>
    <mergeCell ref="D56:H56"/>
    <mergeCell ref="A51:B51"/>
    <mergeCell ref="D58:H58"/>
    <mergeCell ref="C50:E50"/>
    <mergeCell ref="A183:H183"/>
    <mergeCell ref="A180:H180"/>
    <mergeCell ref="A154:B154"/>
    <mergeCell ref="A115:B115"/>
    <mergeCell ref="D138:D139"/>
    <mergeCell ref="E138:E139"/>
    <mergeCell ref="G138:H139"/>
    <mergeCell ref="F96:H96"/>
    <mergeCell ref="G111:H111"/>
    <mergeCell ref="F103:H103"/>
    <mergeCell ref="C110:D110"/>
    <mergeCell ref="C118:D118"/>
    <mergeCell ref="A141:H141"/>
    <mergeCell ref="A126:B126"/>
    <mergeCell ref="A119:B119"/>
    <mergeCell ref="C119:D119"/>
    <mergeCell ref="B175:H175"/>
    <mergeCell ref="B174:H174"/>
    <mergeCell ref="A158:B158"/>
    <mergeCell ref="B166:H166"/>
    <mergeCell ref="G119:H119"/>
    <mergeCell ref="F95:H95"/>
    <mergeCell ref="F100:H100"/>
    <mergeCell ref="A142:B142"/>
    <mergeCell ref="A129:B129"/>
    <mergeCell ref="A128:B128"/>
    <mergeCell ref="A101:E101"/>
    <mergeCell ref="F101:H101"/>
    <mergeCell ref="A102:E102"/>
    <mergeCell ref="A104:E104"/>
    <mergeCell ref="F98:H98"/>
    <mergeCell ref="A103:E103"/>
    <mergeCell ref="A137:H137"/>
    <mergeCell ref="E115:F115"/>
    <mergeCell ref="A120:H120"/>
    <mergeCell ref="A138:A139"/>
    <mergeCell ref="C138:C139"/>
    <mergeCell ref="B138:B139"/>
    <mergeCell ref="F102:H102"/>
    <mergeCell ref="A124:H124"/>
    <mergeCell ref="G126:H129"/>
    <mergeCell ref="A134:B134"/>
    <mergeCell ref="C131:F131"/>
    <mergeCell ref="C132:F132"/>
    <mergeCell ref="A118:B118"/>
    <mergeCell ref="E118:F118"/>
    <mergeCell ref="A96:E96"/>
    <mergeCell ref="G117:H117"/>
    <mergeCell ref="A106:E106"/>
    <mergeCell ref="C112:D112"/>
    <mergeCell ref="G70:H70"/>
    <mergeCell ref="D64:H64"/>
    <mergeCell ref="A65:C65"/>
    <mergeCell ref="A64:C64"/>
    <mergeCell ref="A70:B70"/>
    <mergeCell ref="A91:B91"/>
    <mergeCell ref="A86:B86"/>
    <mergeCell ref="A87:B87"/>
    <mergeCell ref="A88:B88"/>
    <mergeCell ref="A89:B89"/>
    <mergeCell ref="A90:B90"/>
    <mergeCell ref="A95:E95"/>
    <mergeCell ref="F99:H99"/>
    <mergeCell ref="G113:H113"/>
    <mergeCell ref="A111:A112"/>
    <mergeCell ref="C111:D111"/>
    <mergeCell ref="E111:F111"/>
    <mergeCell ref="C116:D116"/>
    <mergeCell ref="E116:F116"/>
    <mergeCell ref="G116:H116"/>
    <mergeCell ref="A186:H189"/>
    <mergeCell ref="A185:B185"/>
    <mergeCell ref="E185:F185"/>
    <mergeCell ref="C185:D185"/>
    <mergeCell ref="G185:H185"/>
    <mergeCell ref="A109:H109"/>
    <mergeCell ref="A107:E107"/>
    <mergeCell ref="F107:H107"/>
    <mergeCell ref="A108:E108"/>
    <mergeCell ref="F108:H108"/>
    <mergeCell ref="A153:H153"/>
    <mergeCell ref="A116:B116"/>
    <mergeCell ref="A181:H181"/>
    <mergeCell ref="A114:H114"/>
    <mergeCell ref="A184:H184"/>
    <mergeCell ref="A182:H182"/>
    <mergeCell ref="A178:H178"/>
    <mergeCell ref="A179:H179"/>
    <mergeCell ref="E119:F119"/>
    <mergeCell ref="A113:B113"/>
    <mergeCell ref="C113:D113"/>
    <mergeCell ref="E113:F113"/>
    <mergeCell ref="A117:B117"/>
    <mergeCell ref="C117:D117"/>
    <mergeCell ref="A46:D46"/>
    <mergeCell ref="A47:H47"/>
    <mergeCell ref="D57:H57"/>
    <mergeCell ref="A57:C57"/>
    <mergeCell ref="G50:H50"/>
    <mergeCell ref="G53:H53"/>
    <mergeCell ref="F34:H34"/>
    <mergeCell ref="E42:H42"/>
    <mergeCell ref="A42:D42"/>
    <mergeCell ref="A55:C55"/>
    <mergeCell ref="A54:H54"/>
    <mergeCell ref="A52:B52"/>
    <mergeCell ref="C51:E51"/>
    <mergeCell ref="A34:B34"/>
    <mergeCell ref="C34:E34"/>
    <mergeCell ref="E46:H46"/>
    <mergeCell ref="A45:D45"/>
    <mergeCell ref="A39:B39"/>
    <mergeCell ref="C39:H39"/>
    <mergeCell ref="E41:H41"/>
    <mergeCell ref="A40:H40"/>
    <mergeCell ref="F36:H36"/>
    <mergeCell ref="A38:B38"/>
    <mergeCell ref="C38:H3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2:D23"/>
    <mergeCell ref="E22:H23"/>
    <mergeCell ref="E14:H14"/>
    <mergeCell ref="F33:H33"/>
    <mergeCell ref="A15:B15"/>
    <mergeCell ref="C15:H15"/>
    <mergeCell ref="C16:H16"/>
    <mergeCell ref="A17:B17"/>
    <mergeCell ref="A27:D27"/>
    <mergeCell ref="A10:D10"/>
    <mergeCell ref="E10:H10"/>
    <mergeCell ref="A12:D12"/>
    <mergeCell ref="E12:H12"/>
    <mergeCell ref="A11:D11"/>
    <mergeCell ref="A33:B33"/>
    <mergeCell ref="A32:B32"/>
    <mergeCell ref="C33:E33"/>
    <mergeCell ref="C17:H17"/>
    <mergeCell ref="C21:D21"/>
    <mergeCell ref="E21:F21"/>
    <mergeCell ref="G21:H21"/>
    <mergeCell ref="A20:B20"/>
    <mergeCell ref="E11:H11"/>
    <mergeCell ref="C20:D20"/>
    <mergeCell ref="E20:F20"/>
    <mergeCell ref="G20:H20"/>
    <mergeCell ref="A21:B21"/>
    <mergeCell ref="D59:H59"/>
    <mergeCell ref="A56:C5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E27:H27"/>
    <mergeCell ref="C32:E32"/>
    <mergeCell ref="F35:H35"/>
    <mergeCell ref="F32:H32"/>
    <mergeCell ref="A37:H37"/>
    <mergeCell ref="A36:B36"/>
    <mergeCell ref="C36:E36"/>
    <mergeCell ref="A41:D41"/>
    <mergeCell ref="A60:C60"/>
    <mergeCell ref="A61:C61"/>
    <mergeCell ref="D60:H60"/>
    <mergeCell ref="D61:H61"/>
    <mergeCell ref="A43:D43"/>
    <mergeCell ref="E43:H43"/>
    <mergeCell ref="E44:H44"/>
    <mergeCell ref="E45:H45"/>
    <mergeCell ref="E117:F117"/>
    <mergeCell ref="A44:D44"/>
    <mergeCell ref="E85:F94"/>
    <mergeCell ref="A75:B75"/>
    <mergeCell ref="A72:B72"/>
    <mergeCell ref="A74:B74"/>
    <mergeCell ref="A71:B71"/>
    <mergeCell ref="A48:B48"/>
    <mergeCell ref="C48:H48"/>
    <mergeCell ref="A81:B81"/>
    <mergeCell ref="C81:H81"/>
    <mergeCell ref="A83:B83"/>
    <mergeCell ref="C83:H83"/>
    <mergeCell ref="E71:F80"/>
    <mergeCell ref="A58:C59"/>
    <mergeCell ref="G85:H94"/>
    <mergeCell ref="G131:H136"/>
    <mergeCell ref="A135:B135"/>
    <mergeCell ref="A136:B136"/>
    <mergeCell ref="A125:H125"/>
    <mergeCell ref="E122:E123"/>
    <mergeCell ref="G122:H123"/>
    <mergeCell ref="L150:M150"/>
    <mergeCell ref="A140:H140"/>
    <mergeCell ref="A146:H146"/>
    <mergeCell ref="F97:H97"/>
    <mergeCell ref="A97:E97"/>
    <mergeCell ref="D122:D123"/>
    <mergeCell ref="A99:E99"/>
    <mergeCell ref="A98:E98"/>
    <mergeCell ref="B169:H169"/>
    <mergeCell ref="A147:B147"/>
    <mergeCell ref="L135:M135"/>
    <mergeCell ref="L136:M136"/>
    <mergeCell ref="B122:B123"/>
    <mergeCell ref="A122:A123"/>
    <mergeCell ref="C122:C123"/>
    <mergeCell ref="E112:F112"/>
    <mergeCell ref="G112:H112"/>
    <mergeCell ref="L129:M129"/>
    <mergeCell ref="L128:M128"/>
    <mergeCell ref="L127:M127"/>
    <mergeCell ref="L126:M126"/>
    <mergeCell ref="A130:H130"/>
    <mergeCell ref="G115:H115"/>
    <mergeCell ref="A159:H159"/>
    <mergeCell ref="A100:E100"/>
    <mergeCell ref="A131:B131"/>
    <mergeCell ref="G118:H118"/>
    <mergeCell ref="B172:H172"/>
    <mergeCell ref="B168:H168"/>
    <mergeCell ref="L147:M147"/>
    <mergeCell ref="L131:M131"/>
    <mergeCell ref="A132:B132"/>
    <mergeCell ref="L132:M132"/>
    <mergeCell ref="A133:B133"/>
    <mergeCell ref="L133:M133"/>
    <mergeCell ref="A145:B145"/>
    <mergeCell ref="L145:M145"/>
    <mergeCell ref="L142:M142"/>
    <mergeCell ref="A143:B143"/>
    <mergeCell ref="A144:B144"/>
    <mergeCell ref="L144:M144"/>
    <mergeCell ref="L143:M143"/>
    <mergeCell ref="G147:H150"/>
    <mergeCell ref="G142:H145"/>
    <mergeCell ref="A148:B148"/>
    <mergeCell ref="L134:M134"/>
    <mergeCell ref="L148:M148"/>
    <mergeCell ref="A149:B149"/>
    <mergeCell ref="L149:M149"/>
    <mergeCell ref="A150:B150"/>
    <mergeCell ref="B171:H171"/>
    <mergeCell ref="A80:B80"/>
    <mergeCell ref="A77:B77"/>
    <mergeCell ref="A73:B73"/>
    <mergeCell ref="B176:H176"/>
    <mergeCell ref="L159:M159"/>
    <mergeCell ref="A160:B160"/>
    <mergeCell ref="G160:H164"/>
    <mergeCell ref="A161:B161"/>
    <mergeCell ref="A162:B162"/>
    <mergeCell ref="A163:B163"/>
    <mergeCell ref="A164:B164"/>
    <mergeCell ref="A151:H151"/>
    <mergeCell ref="A152:H152"/>
    <mergeCell ref="C155:F155"/>
    <mergeCell ref="C156:F156"/>
    <mergeCell ref="G154:H158"/>
    <mergeCell ref="B173:H173"/>
    <mergeCell ref="B170:H170"/>
    <mergeCell ref="A165:H165"/>
    <mergeCell ref="A157:B157"/>
    <mergeCell ref="L153:M153"/>
    <mergeCell ref="A156:B156"/>
    <mergeCell ref="B167:H167"/>
    <mergeCell ref="A155:B155"/>
    <mergeCell ref="B177:H177"/>
    <mergeCell ref="A92:B92"/>
    <mergeCell ref="A93:B93"/>
    <mergeCell ref="A94:B94"/>
    <mergeCell ref="A78:B78"/>
    <mergeCell ref="A69:B69"/>
    <mergeCell ref="A67:B67"/>
    <mergeCell ref="C67:H67"/>
    <mergeCell ref="I10:L10"/>
    <mergeCell ref="A62:C62"/>
    <mergeCell ref="D62:H62"/>
    <mergeCell ref="C69:H69"/>
    <mergeCell ref="E70:F70"/>
    <mergeCell ref="A84:B84"/>
    <mergeCell ref="E84:F84"/>
    <mergeCell ref="G84:H84"/>
    <mergeCell ref="A85:B85"/>
    <mergeCell ref="G71:H80"/>
    <mergeCell ref="A63:C63"/>
    <mergeCell ref="D63:H63"/>
    <mergeCell ref="A66:C66"/>
    <mergeCell ref="D66:H66"/>
    <mergeCell ref="D65:H65"/>
    <mergeCell ref="A79:B79"/>
  </mergeCells>
  <dataValidations count="12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22:E123">
      <formula1>"Attached Loft area,Attached Terrace area,Attached Mezzanine area"</formula1>
    </dataValidation>
    <dataValidation type="list" allowBlank="1" showInputMessage="1" showErrorMessage="1" sqref="F123 F139">
      <formula1>"45%,50%,55%,60%"</formula1>
    </dataValidation>
    <dataValidation type="list" allowBlank="1" showInputMessage="1" showErrorMessage="1" sqref="F95:H95">
      <formula1>"On Saleable Area,On Builtup Area,On Carpet Area,On Plot Area"</formula1>
    </dataValidation>
    <dataValidation type="list" allowBlank="1" showInputMessage="1" showErrorMessage="1" sqref="F107:H107">
      <formula1>"100000,150000,200000,250000,300000,350000,400000,500000,600000,700000,800000,900000,1000000,1200000,1400000,1500000"</formula1>
    </dataValidation>
    <dataValidation type="list" allowBlank="1" showInputMessage="1" showErrorMessage="1" sqref="F122 F138">
      <formula1>"Saleable area Loading :,Builder Saleable area"</formula1>
    </dataValidation>
    <dataValidation type="list" allowBlank="1" showInputMessage="1" showErrorMessage="1" sqref="B122:B123">
      <formula1>"Shop No. (Sale Plan),Sale / Rehab,Sale / Mhada"</formula1>
    </dataValidation>
    <dataValidation type="list" allowBlank="1" showInputMessage="1" showErrorMessage="1" sqref="B138:B139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I63" r:id="rId1"/>
    <hyperlink ref="C39" r:id="rId2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7" man="1"/>
    <brk id="189" max="16383" man="1"/>
    <brk id="232" max="16383" man="1"/>
    <brk id="266" max="16383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53"/>
      <c r="C4" s="53" t="s">
        <v>12</v>
      </c>
      <c r="D4" s="54" t="s">
        <v>180</v>
      </c>
      <c r="E4" s="54" t="s">
        <v>190</v>
      </c>
      <c r="F4" s="54" t="s">
        <v>173</v>
      </c>
      <c r="G4" s="54" t="s">
        <v>195</v>
      </c>
      <c r="H4" s="54" t="s">
        <v>213</v>
      </c>
      <c r="J4" t="s">
        <v>195</v>
      </c>
      <c r="K4" t="s">
        <v>211</v>
      </c>
    </row>
    <row r="5" spans="2:11" x14ac:dyDescent="0.35">
      <c r="B5" s="53"/>
      <c r="C5" s="53"/>
      <c r="D5" s="54" t="s">
        <v>181</v>
      </c>
      <c r="E5" s="54" t="s">
        <v>188</v>
      </c>
      <c r="F5" s="54" t="s">
        <v>210</v>
      </c>
      <c r="G5" s="54" t="s">
        <v>196</v>
      </c>
      <c r="H5" s="54" t="s">
        <v>214</v>
      </c>
    </row>
    <row r="6" spans="2:11" x14ac:dyDescent="0.35">
      <c r="B6" s="53"/>
      <c r="C6" s="53"/>
      <c r="D6" s="54" t="s">
        <v>182</v>
      </c>
      <c r="E6" s="54" t="s">
        <v>189</v>
      </c>
      <c r="F6" s="54" t="s">
        <v>211</v>
      </c>
      <c r="G6" s="54" t="s">
        <v>197</v>
      </c>
      <c r="H6" s="54" t="s">
        <v>227</v>
      </c>
    </row>
    <row r="7" spans="2:11" x14ac:dyDescent="0.35">
      <c r="B7" s="53"/>
      <c r="C7" s="53"/>
      <c r="D7" s="54" t="s">
        <v>183</v>
      </c>
      <c r="E7" s="54" t="s">
        <v>191</v>
      </c>
      <c r="F7" s="54" t="s">
        <v>212</v>
      </c>
      <c r="G7" s="54" t="s">
        <v>198</v>
      </c>
      <c r="H7" s="54" t="s">
        <v>215</v>
      </c>
    </row>
    <row r="8" spans="2:11" x14ac:dyDescent="0.35">
      <c r="B8" s="53"/>
      <c r="C8" s="53"/>
      <c r="D8" s="54" t="s">
        <v>184</v>
      </c>
      <c r="E8" s="54" t="s">
        <v>192</v>
      </c>
      <c r="F8" s="54"/>
      <c r="G8" s="54" t="s">
        <v>199</v>
      </c>
      <c r="H8" s="54" t="s">
        <v>216</v>
      </c>
    </row>
    <row r="9" spans="2:11" x14ac:dyDescent="0.35">
      <c r="B9" s="53"/>
      <c r="C9" s="53"/>
      <c r="D9" s="54" t="s">
        <v>185</v>
      </c>
      <c r="E9" s="54" t="s">
        <v>190</v>
      </c>
      <c r="F9" s="54"/>
      <c r="G9" s="54" t="s">
        <v>200</v>
      </c>
      <c r="H9" s="54" t="s">
        <v>217</v>
      </c>
    </row>
    <row r="10" spans="2:11" x14ac:dyDescent="0.35">
      <c r="B10" s="53"/>
      <c r="C10" s="53"/>
      <c r="D10" s="54" t="s">
        <v>186</v>
      </c>
      <c r="E10" s="54" t="s">
        <v>193</v>
      </c>
      <c r="F10" s="54"/>
      <c r="G10" s="54" t="s">
        <v>201</v>
      </c>
      <c r="H10" s="54" t="s">
        <v>218</v>
      </c>
    </row>
    <row r="11" spans="2:11" x14ac:dyDescent="0.35">
      <c r="B11" s="53"/>
      <c r="C11" s="53"/>
      <c r="D11" s="54" t="s">
        <v>187</v>
      </c>
      <c r="E11" s="54" t="s">
        <v>194</v>
      </c>
      <c r="F11" s="54"/>
      <c r="G11" s="54" t="s">
        <v>202</v>
      </c>
      <c r="H11" s="54" t="s">
        <v>219</v>
      </c>
    </row>
    <row r="12" spans="2:11" x14ac:dyDescent="0.35">
      <c r="B12" s="53"/>
      <c r="C12" s="53"/>
      <c r="D12" s="54"/>
      <c r="E12" s="54"/>
      <c r="F12" s="54"/>
      <c r="G12" s="54" t="s">
        <v>203</v>
      </c>
      <c r="H12" s="54" t="s">
        <v>220</v>
      </c>
    </row>
    <row r="13" spans="2:11" x14ac:dyDescent="0.35">
      <c r="B13" s="53"/>
      <c r="C13" s="53"/>
      <c r="D13" s="54"/>
      <c r="E13" s="54"/>
      <c r="F13" s="54"/>
      <c r="G13" s="54" t="s">
        <v>204</v>
      </c>
      <c r="H13" s="54" t="s">
        <v>221</v>
      </c>
    </row>
    <row r="14" spans="2:11" x14ac:dyDescent="0.35">
      <c r="B14" s="53"/>
      <c r="C14" s="53"/>
      <c r="D14" s="54"/>
      <c r="E14" s="54"/>
      <c r="F14" s="54"/>
      <c r="G14" s="54" t="s">
        <v>205</v>
      </c>
      <c r="H14" s="54" t="s">
        <v>222</v>
      </c>
    </row>
    <row r="15" spans="2:11" x14ac:dyDescent="0.35">
      <c r="B15" s="53"/>
      <c r="C15" s="53"/>
      <c r="D15" s="54"/>
      <c r="E15" s="54"/>
      <c r="F15" s="54"/>
      <c r="G15" s="54" t="s">
        <v>206</v>
      </c>
      <c r="H15" s="54" t="s">
        <v>223</v>
      </c>
    </row>
    <row r="16" spans="2:11" x14ac:dyDescent="0.35">
      <c r="B16" s="53"/>
      <c r="C16" s="53"/>
      <c r="D16" s="54"/>
      <c r="E16" s="54"/>
      <c r="F16" s="54"/>
      <c r="G16" s="54" t="s">
        <v>207</v>
      </c>
      <c r="H16" s="54" t="s">
        <v>224</v>
      </c>
    </row>
    <row r="17" spans="2:8" x14ac:dyDescent="0.35">
      <c r="B17" s="53"/>
      <c r="C17" s="53"/>
      <c r="D17" s="54"/>
      <c r="E17" s="54"/>
      <c r="F17" s="54"/>
      <c r="G17" s="54" t="s">
        <v>208</v>
      </c>
      <c r="H17" s="54" t="s">
        <v>225</v>
      </c>
    </row>
    <row r="18" spans="2:8" x14ac:dyDescent="0.35">
      <c r="B18" s="53"/>
      <c r="C18" s="53"/>
      <c r="D18" s="54"/>
      <c r="E18" s="54"/>
      <c r="F18" s="54"/>
      <c r="G18" s="54" t="s">
        <v>209</v>
      </c>
      <c r="H18" s="54" t="s">
        <v>226</v>
      </c>
    </row>
    <row r="24" spans="2:8" x14ac:dyDescent="0.35">
      <c r="C24" t="s">
        <v>170</v>
      </c>
    </row>
    <row r="25" spans="2:8" x14ac:dyDescent="0.35">
      <c r="C25" t="s">
        <v>228</v>
      </c>
    </row>
    <row r="26" spans="2:8" x14ac:dyDescent="0.35">
      <c r="C26" t="s">
        <v>229</v>
      </c>
    </row>
    <row r="27" spans="2:8" x14ac:dyDescent="0.35">
      <c r="C27" t="s">
        <v>230</v>
      </c>
    </row>
    <row r="28" spans="2:8" x14ac:dyDescent="0.35">
      <c r="C28" t="s">
        <v>231</v>
      </c>
    </row>
    <row r="29" spans="2:8" x14ac:dyDescent="0.35">
      <c r="C29" t="s">
        <v>232</v>
      </c>
    </row>
    <row r="30" spans="2:8" x14ac:dyDescent="0.35">
      <c r="C30" t="s">
        <v>170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5" sqref="B15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05" t="s">
        <v>108</v>
      </c>
      <c r="C3" s="205"/>
      <c r="D3" s="205"/>
      <c r="E3" s="205"/>
      <c r="F3" s="205"/>
      <c r="G3" s="205"/>
      <c r="H3" s="205"/>
    </row>
    <row r="4" spans="1:9" x14ac:dyDescent="0.35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Research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2025-07-31T09:06:20Z</cp:lastPrinted>
  <dcterms:created xsi:type="dcterms:W3CDTF">2019-07-16T09:29:46Z</dcterms:created>
  <dcterms:modified xsi:type="dcterms:W3CDTF">2025-09-20T10:15:55Z</dcterms:modified>
</cp:coreProperties>
</file>