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6FFBB380-0E9A-49F7-9440-DC228FB77178}" xr6:coauthVersionLast="47" xr6:coauthVersionMax="47" xr10:uidLastSave="{00000000-0000-0000-0000-000000000000}"/>
  <bookViews>
    <workbookView xWindow="-108" yWindow="-108" windowWidth="23256" windowHeight="12456" xr2:uid="{00000000-000D-0000-FFFF-FFFF00000000}"/>
  </bookViews>
  <sheets>
    <sheet name="Sheet1" sheetId="1" r:id="rId1"/>
    <sheet name="Construction %" sheetId="14" r:id="rId2"/>
    <sheet name="Wing A" sheetId="11" r:id="rId3"/>
    <sheet name="Wing B" sheetId="12" r:id="rId4"/>
    <sheet name="Wing C" sheetId="13" r:id="rId5"/>
    <sheet name="VALUATIOn" sheetId="15" r:id="rId6"/>
  </sheets>
  <definedNames>
    <definedName name="_xlnm.Print_Area" localSheetId="0">Sheet1!$A$1:$J$241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 l="1"/>
  <c r="F3" i="1"/>
  <c r="K111" i="1"/>
  <c r="L66" i="1" l="1"/>
  <c r="L65" i="1"/>
  <c r="I56" i="1"/>
  <c r="D68" i="1" l="1"/>
  <c r="D64" i="1"/>
  <c r="L60" i="1"/>
  <c r="C59" i="1" s="1"/>
  <c r="L58" i="1"/>
  <c r="L59" i="1"/>
  <c r="D67" i="1"/>
  <c r="D63" i="1"/>
  <c r="D66" i="1"/>
  <c r="D62" i="1"/>
  <c r="L61" i="1"/>
  <c r="L62" i="1" s="1"/>
  <c r="L67" i="1" s="1"/>
  <c r="D65" i="1"/>
  <c r="D61" i="1"/>
  <c r="F6" i="15"/>
  <c r="G6" i="15" s="1"/>
  <c r="F7" i="15"/>
  <c r="G7" i="15" s="1"/>
  <c r="F5" i="15"/>
  <c r="G5" i="15" s="1"/>
  <c r="I93" i="1"/>
  <c r="I108" i="1"/>
  <c r="I118" i="1"/>
  <c r="I128" i="1"/>
  <c r="E150" i="1"/>
  <c r="B16" i="14"/>
  <c r="E10" i="14" s="1"/>
  <c r="B14" i="14"/>
  <c r="N7" i="14" s="1"/>
  <c r="H18" i="14" s="1"/>
  <c r="B12" i="14"/>
  <c r="E8" i="14" s="1"/>
  <c r="B10" i="14"/>
  <c r="E7" i="14" s="1"/>
  <c r="B8" i="14"/>
  <c r="K7" i="14" s="1"/>
  <c r="H15" i="14" s="1"/>
  <c r="F135" i="1"/>
  <c r="F134" i="1"/>
  <c r="F38" i="1"/>
  <c r="F39" i="1" s="1"/>
  <c r="D50" i="1"/>
  <c r="H46" i="1"/>
  <c r="C46" i="1"/>
  <c r="C44" i="1"/>
  <c r="D96" i="1"/>
  <c r="D95" i="1"/>
  <c r="D94" i="1"/>
  <c r="D93" i="1"/>
  <c r="M135" i="1"/>
  <c r="D135" i="1" s="1"/>
  <c r="M134" i="1"/>
  <c r="D134" i="1" s="1"/>
  <c r="M124" i="1"/>
  <c r="D124" i="1" s="1"/>
  <c r="M125" i="1"/>
  <c r="D125" i="1" s="1"/>
  <c r="F125" i="1"/>
  <c r="F124" i="1"/>
  <c r="D133" i="1"/>
  <c r="D132" i="1"/>
  <c r="D131" i="1"/>
  <c r="D128" i="1"/>
  <c r="M126" i="1"/>
  <c r="D126" i="1" s="1"/>
  <c r="M123" i="1"/>
  <c r="D123" i="1" s="1"/>
  <c r="M122" i="1"/>
  <c r="D122" i="1" s="1"/>
  <c r="M121" i="1"/>
  <c r="D121" i="1" s="1"/>
  <c r="M120" i="1"/>
  <c r="D120" i="1" s="1"/>
  <c r="M119" i="1"/>
  <c r="D119" i="1" s="1"/>
  <c r="M118" i="1"/>
  <c r="L118" i="1"/>
  <c r="M116" i="1"/>
  <c r="D116" i="1" s="1"/>
  <c r="M115" i="1"/>
  <c r="D115" i="1" s="1"/>
  <c r="M114" i="1"/>
  <c r="D114" i="1" s="1"/>
  <c r="M113" i="1"/>
  <c r="D113" i="1" s="1"/>
  <c r="M112" i="1"/>
  <c r="D112" i="1" s="1"/>
  <c r="M111" i="1"/>
  <c r="D111" i="1" s="1"/>
  <c r="M110" i="1"/>
  <c r="D110" i="1" s="1"/>
  <c r="M109" i="1"/>
  <c r="D109" i="1" s="1"/>
  <c r="M108" i="1"/>
  <c r="L108" i="1"/>
  <c r="M106" i="1"/>
  <c r="D106" i="1" s="1"/>
  <c r="M105" i="1"/>
  <c r="D105" i="1" s="1"/>
  <c r="M103" i="1"/>
  <c r="D103" i="1" s="1"/>
  <c r="M104" i="1"/>
  <c r="D104" i="1" s="1"/>
  <c r="M102" i="1"/>
  <c r="D102" i="1" s="1"/>
  <c r="M101" i="1"/>
  <c r="D101" i="1" s="1"/>
  <c r="M100" i="1"/>
  <c r="D100" i="1" s="1"/>
  <c r="M99" i="1"/>
  <c r="D99" i="1" s="1"/>
  <c r="M98" i="1"/>
  <c r="L98" i="1"/>
  <c r="F7" i="1"/>
  <c r="I6" i="14"/>
  <c r="I7" i="14" s="1"/>
  <c r="H13" i="14" s="1"/>
  <c r="B6" i="14"/>
  <c r="J7" i="14" s="1"/>
  <c r="H14" i="14" s="1"/>
  <c r="O7" i="14"/>
  <c r="H19" i="14" s="1"/>
  <c r="E4" i="14"/>
  <c r="H44" i="1"/>
  <c r="D48" i="1"/>
  <c r="G87"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5" i="14"/>
  <c r="K6" i="14"/>
  <c r="G15" i="14" s="1"/>
  <c r="G13" i="14" l="1"/>
  <c r="L7" i="14"/>
  <c r="H16" i="14" s="1"/>
  <c r="O6" i="14"/>
  <c r="G19" i="14" s="1"/>
  <c r="E6" i="14"/>
  <c r="G8" i="15"/>
  <c r="N35" i="13"/>
  <c r="M35" i="13" s="1"/>
  <c r="J34" i="11"/>
  <c r="I34" i="11" s="1"/>
  <c r="F35" i="12"/>
  <c r="E35" i="12" s="1"/>
  <c r="M35" i="12"/>
  <c r="L35" i="12" s="1"/>
  <c r="L6" i="14"/>
  <c r="G16" i="14" s="1"/>
  <c r="E9" i="14"/>
  <c r="F34" i="11"/>
  <c r="E34" i="11" s="1"/>
  <c r="J35" i="12"/>
  <c r="I35" i="12" s="1"/>
  <c r="M6" i="14"/>
  <c r="G17" i="14" s="1"/>
  <c r="J6" i="14"/>
  <c r="G14" i="14" s="1"/>
  <c r="N6" i="14"/>
  <c r="G18" i="14" s="1"/>
  <c r="M34" i="11"/>
  <c r="L34" i="11" s="1"/>
  <c r="G35" i="13"/>
  <c r="F35" i="13" s="1"/>
  <c r="K35" i="13"/>
  <c r="J35" i="13" s="1"/>
  <c r="M7" i="14"/>
  <c r="H17" i="14" s="1"/>
  <c r="H20" i="14" s="1"/>
  <c r="D118" i="1"/>
  <c r="D98" i="1"/>
  <c r="D108" i="1"/>
  <c r="L68" i="1"/>
  <c r="C60" i="1" s="1"/>
  <c r="L63" i="1"/>
  <c r="L64" i="1" s="1"/>
  <c r="D59" i="1"/>
  <c r="G20" i="14" l="1"/>
  <c r="F59" i="1"/>
  <c r="K55" i="1" s="1"/>
  <c r="C57" i="1" s="1"/>
  <c r="D60" i="1"/>
  <c r="H59" i="1"/>
</calcChain>
</file>

<file path=xl/sharedStrings.xml><?xml version="1.0" encoding="utf-8"?>
<sst xmlns="http://schemas.openxmlformats.org/spreadsheetml/2006/main" count="469" uniqueCount="251">
  <si>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</si>
  <si>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</si>
  <si>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</si>
  <si>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</si>
  <si>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</si>
  <si>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</si>
  <si>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</si>
  <si>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</si>
  <si>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</si>
  <si>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</si>
  <si>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</si>
  <si>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</si>
  <si>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</si>
  <si>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</si>
  <si>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</si>
  <si>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</si>
  <si>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</si>
  <si>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</si>
  <si>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</si>
  <si>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</si>
  <si>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</si>
  <si>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</si>
  <si>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</si>
  <si>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</si>
  <si>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</si>
  <si>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</si>
  <si>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</si>
  <si>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</si>
  <si>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</si>
  <si>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</si>
  <si>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</si>
  <si>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</si>
  <si>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</si>
  <si>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</si>
  <si>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</si>
  <si>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</si>
  <si>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</si>
  <si>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</si>
  <si>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</si>
  <si>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</si>
  <si>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</si>
  <si>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</si>
  <si>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</si>
  <si>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</si>
  <si>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</si>
  <si>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</si>
  <si>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</si>
  <si>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</si>
  <si>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</si>
  <si>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</si>
  <si>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</si>
  <si>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</si>
  <si>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</si>
  <si>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</si>
  <si>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</si>
  <si>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</si>
  <si>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</si>
  <si>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</si>
  <si>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</si>
  <si>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</si>
  <si>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</si>
  <si>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</si>
  <si>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</si>
  <si>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</si>
  <si>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</si>
  <si>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</si>
  <si>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</si>
  <si>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</si>
  <si>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</si>
  <si>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</si>
  <si>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</si>
  <si>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</si>
  <si>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</si>
  <si>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</si>
  <si>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</si>
  <si>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</si>
  <si>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</si>
  <si>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</si>
  <si>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</si>
  <si>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</si>
  <si>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</si>
  <si>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</si>
  <si>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</si>
  <si>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</si>
  <si>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</si>
  <si>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</si>
  <si>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</si>
  <si>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</si>
  <si>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</si>
  <si>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</si>
  <si>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</si>
  <si>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</si>
  <si>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</si>
  <si>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</si>
  <si>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</si>
  <si>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</si>
  <si>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</si>
  <si>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</si>
  <si>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</si>
  <si>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</si>
  <si>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</si>
  <si>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</si>
  <si>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</si>
  <si>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</si>
  <si>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</si>
  <si>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</si>
  <si>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</si>
  <si>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</si>
  <si>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</si>
  <si>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Name / no of the Building</t>
  </si>
  <si>
    <t>Plot No</t>
  </si>
  <si>
    <t>Accessibility to the Project from the City:
(Proximity to civic amenities like school, hospital, market, etc.)</t>
  </si>
  <si>
    <t>Does property have Electricity / Water / Drainage Connection</t>
  </si>
  <si>
    <t>PLC charges</t>
  </si>
  <si>
    <t>Club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</si>
  <si>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</si>
  <si>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</si>
  <si>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</si>
  <si>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</si>
  <si>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</si>
  <si>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</si>
  <si>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</si>
  <si>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</si>
  <si>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</si>
  <si>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</si>
  <si>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</si>
  <si>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</si>
  <si>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</si>
  <si>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</si>
  <si>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</si>
  <si>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</si>
  <si>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</si>
  <si>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</si>
  <si>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</si>
  <si>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</si>
  <si>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</si>
  <si>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</si>
  <si>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</si>
  <si>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</si>
  <si>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</si>
  <si>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</si>
  <si>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</si>
  <si>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</si>
  <si>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</si>
  <si>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Paramount Enclave Building 02, Survey No. 1023/1 &amp; 1023/2, Plot No. 25, Mahim, Palghar.</t>
  </si>
  <si>
    <t>Survey  No.</t>
  </si>
  <si>
    <t>1023/1, 1023/2</t>
  </si>
  <si>
    <t>Palghar West</t>
  </si>
  <si>
    <t>Mahim Road</t>
  </si>
  <si>
    <t>Palghar</t>
  </si>
  <si>
    <t>Open</t>
  </si>
  <si>
    <t>Green Park</t>
  </si>
  <si>
    <t>About 4.1 Km from Palghar Railway Station</t>
  </si>
  <si>
    <t>J.P. International School</t>
  </si>
  <si>
    <t>MHSL/K-1/MJ1/BSP/SR/CR/349/18</t>
  </si>
  <si>
    <t>195000/-</t>
  </si>
  <si>
    <t xml:space="preserve">1st Floor </t>
  </si>
  <si>
    <t>1BHK</t>
  </si>
  <si>
    <t>1RK</t>
  </si>
  <si>
    <t>N</t>
  </si>
  <si>
    <t>2nd, 4th Floor &amp; 6th Floor</t>
  </si>
  <si>
    <t>3rd &amp; 5th Floor</t>
  </si>
  <si>
    <t>301, 501</t>
  </si>
  <si>
    <t>302, 502</t>
  </si>
  <si>
    <t>303, 503</t>
  </si>
  <si>
    <t>304, 504</t>
  </si>
  <si>
    <t>305, 505</t>
  </si>
  <si>
    <t>306, 506</t>
  </si>
  <si>
    <t>307, 507</t>
  </si>
  <si>
    <t>308, 508</t>
  </si>
  <si>
    <t>309, 509</t>
  </si>
  <si>
    <t>7th Floor</t>
  </si>
  <si>
    <t>Shop</t>
  </si>
  <si>
    <t xml:space="preserve">RERA No. </t>
  </si>
  <si>
    <t>P99000017353</t>
  </si>
  <si>
    <r>
      <t xml:space="preserve">Approved usage of the Property: </t>
    </r>
    <r>
      <rPr>
        <sz val="11"/>
        <rFont val="Times New Roman"/>
        <family val="1"/>
      </rPr>
      <t>Residential &amp; Commercial</t>
    </r>
    <r>
      <rPr>
        <sz val="11"/>
        <color indexed="8"/>
        <rFont val="Times New Roman"/>
        <family val="1"/>
      </rPr>
      <t xml:space="preserve">
(Restrictive Covenants in regard to Land Use, if any)                                                                                                                                                </t>
    </r>
  </si>
  <si>
    <t>NA Order</t>
  </si>
  <si>
    <t>Axis Goregaon</t>
  </si>
  <si>
    <t>M/s.Swastik Enterprises</t>
  </si>
  <si>
    <t>Ground Floor for Shops &amp; Parking</t>
  </si>
  <si>
    <t xml:space="preserve"> Builder Saleable area</t>
  </si>
  <si>
    <t>Recommended rate of the flat Per Sq. Ft. ( on Builder Saleble area)</t>
  </si>
  <si>
    <t>Recommended rate of the Shop Per Sq. Ft. ( on Builder Saleble area)</t>
  </si>
  <si>
    <t>Society, Development&amp; Other charges</t>
  </si>
  <si>
    <t>Building no.2</t>
  </si>
  <si>
    <t>1 Building</t>
  </si>
  <si>
    <t>Paramount Enclave</t>
  </si>
  <si>
    <t>Name of the Project as per RERA</t>
  </si>
  <si>
    <t>Shops = 04
Flats = 50</t>
  </si>
  <si>
    <t>Approved Plans, NA order</t>
  </si>
  <si>
    <t xml:space="preserve">PHOTOGRAPHS OF PROPERTY: 
</t>
  </si>
  <si>
    <t>Market Research Data</t>
  </si>
  <si>
    <t>Source</t>
  </si>
  <si>
    <t>Distance from proposed property</t>
  </si>
  <si>
    <t>Net Carpet</t>
  </si>
  <si>
    <t>Saleable Area</t>
  </si>
  <si>
    <t>Rate on Saleable</t>
  </si>
  <si>
    <t>Market Value</t>
  </si>
  <si>
    <t>Average</t>
  </si>
  <si>
    <t xml:space="preserve">Valuation Adopted </t>
  </si>
  <si>
    <t>100000/-</t>
  </si>
  <si>
    <t>housing.</t>
  </si>
  <si>
    <t>13/04/2018.</t>
  </si>
  <si>
    <t>Date of Commencement Certificate</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</si>
  <si>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</si>
  <si>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</si>
  <si>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</si>
  <si>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</si>
  <si>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</si>
  <si>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</si>
  <si>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</si>
  <si>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</si>
  <si>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</si>
  <si>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</si>
  <si>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</si>
  <si>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</si>
  <si>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</si>
  <si>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</si>
  <si>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</si>
  <si>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</si>
  <si>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</si>
  <si>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</si>
  <si>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</si>
  <si>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</si>
  <si>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</si>
  <si>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</si>
  <si>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</si>
  <si>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</si>
  <si>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</si>
  <si>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</si>
  <si>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</si>
  <si>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</si>
  <si>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</si>
  <si>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</si>
  <si>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</si>
  <si>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</si>
  <si>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</si>
  <si>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7th Floor</t>
  </si>
  <si>
    <t>Building No. 2  = G + 1st to 7th Floor</t>
  </si>
  <si>
    <t>Building No.2</t>
  </si>
  <si>
    <t>Paramount Enclave Building No.2</t>
  </si>
  <si>
    <t>Location Link</t>
  </si>
  <si>
    <t>https://goo.gl/maps/3sGfeQwJ69x2yYo47</t>
  </si>
  <si>
    <t>Projected life: 60 Years After Completion</t>
  </si>
  <si>
    <t>Office No. 1031, Wing J, Akshar Business Park, Plot No. 03 Sector 25, Near APMC Market, Vashi, 
Navi Mumbai, Maharashtra 400703 TEL: 022-46090378/79/80                                                                       
E mail : vsjcapf@gmail.com. Web site : www.vsjadon.comm</t>
  </si>
  <si>
    <t>3600 to 3800</t>
  </si>
  <si>
    <t>nikhil</t>
  </si>
  <si>
    <t>Contact Details ( Name &amp; Contact No.)</t>
  </si>
  <si>
    <t>19.67566,72.74292</t>
  </si>
  <si>
    <t>Material laying at Site: : Bricks, Cement &amp; Steel etc.</t>
  </si>
  <si>
    <r>
      <t xml:space="preserve">Remarks:  
1. Construction work is in process (Very very Slow Speed).
2. We considered Saleable area as per Builder area chart.
3. We considered Carpet area as per Approved Plan.
4. We have considered rate by verifying it from market inquire.
5. Recommended rate should be considered as all inclusive rate if other charges are not mentioned. (Excluding GST &amp; other government Taxes).
6. Car parking is subjected to authentic documentation.
7. NA order download from RERA and updated.
8. </t>
    </r>
    <r>
      <rPr>
        <b/>
        <sz val="11"/>
        <color rgb="FFFF0000"/>
        <rFont val="Times New Roman"/>
        <family val="1"/>
      </rPr>
      <t>As per RERA, completion period of project Paramount Enclave Building No.2  is expired on 30/03/2023
but still project is under construction.</t>
    </r>
    <r>
      <rPr>
        <b/>
        <sz val="11"/>
        <color indexed="8"/>
        <rFont val="Times New Roman"/>
        <family val="1"/>
      </rPr>
      <t xml:space="preserve">
6. On site, we meet Mr. Love Singh (Site Engineer) - 7798777034.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</si>
</sst>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8"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5" fillId="0" borderId="0"/>
    <xf numFmtId="0" fontId="15" fillId="0" borderId="0"/>
    <xf numFmtId="0" fontId="14" fillId="0" borderId="0"/>
    <xf numFmtId="0" fontId="15" fillId="0" borderId="0"/>
    <xf numFmtId="0" fontId="16" fillId="0" borderId="0"/>
    <xf numFmtId="0" fontId="26" fillId="0" borderId="0" applyNumberFormat="0" applyFill="0" applyBorder="0" applyAlignment="0" applyProtection="0"/>
  </cellStyleXfs>
  <cellXfs count="241">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1" fontId="13" fillId="0" borderId="2" xfId="0" applyNumberFormat="1" applyFont="1" applyBorder="1" applyAlignment="1">
      <alignment horizontal="center" vertical="top"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4" fillId="0" borderId="0" xfId="0" applyFont="1" applyAlignment="1">
      <alignment horizontal="center" vertical="top" wrapText="1"/>
    </xf>
    <xf numFmtId="0" fontId="4" fillId="0" borderId="0" xfId="0" applyFont="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4" fillId="0" borderId="0" xfId="0" applyFont="1" applyAlignment="1">
      <alignment horizontal="center" vertical="top"/>
    </xf>
    <xf numFmtId="0" fontId="3" fillId="0" borderId="0" xfId="0" applyFont="1" applyAlignment="1">
      <alignment horizontal="left" vertical="top"/>
    </xf>
    <xf numFmtId="2" fontId="4" fillId="0" borderId="0" xfId="0" applyNumberFormat="1" applyFont="1" applyAlignment="1">
      <alignment horizontal="left" vertical="top"/>
    </xf>
    <xf numFmtId="0" fontId="4" fillId="0" borderId="0" xfId="0" applyFont="1" applyAlignment="1">
      <alignment vertical="top" wrapText="1"/>
    </xf>
    <xf numFmtId="0" fontId="3" fillId="0" borderId="0" xfId="0" applyFont="1" applyAlignment="1">
      <alignment vertical="top"/>
    </xf>
    <xf numFmtId="0" fontId="9" fillId="0" borderId="0" xfId="0" applyFont="1" applyAlignment="1">
      <alignment horizontal="center" vertical="top" wrapText="1"/>
    </xf>
    <xf numFmtId="0" fontId="3" fillId="0" borderId="0" xfId="0" applyFont="1" applyAlignment="1">
      <alignment horizontal="left" vertical="top" wrapText="1"/>
    </xf>
    <xf numFmtId="0" fontId="7" fillId="0" borderId="0" xfId="0" applyFont="1" applyAlignment="1">
      <alignment horizontal="left" vertical="top"/>
    </xf>
    <xf numFmtId="0" fontId="12" fillId="0" borderId="0" xfId="0" applyFont="1" applyAlignment="1">
      <alignment horizontal="center" vertical="top"/>
    </xf>
    <xf numFmtId="0" fontId="3" fillId="0" borderId="0" xfId="0" applyFont="1" applyAlignment="1">
      <alignment horizontal="center" vertical="top"/>
    </xf>
    <xf numFmtId="1" fontId="6" fillId="0" borderId="0" xfId="0" applyNumberFormat="1" applyFont="1" applyAlignment="1">
      <alignment horizontal="center" vertical="top" wrapText="1"/>
    </xf>
    <xf numFmtId="1" fontId="6"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0" fontId="16" fillId="0" borderId="0" xfId="9"/>
    <xf numFmtId="0" fontId="1" fillId="0" borderId="0" xfId="3"/>
    <xf numFmtId="0" fontId="15" fillId="0" borderId="0" xfId="8"/>
    <xf numFmtId="0" fontId="17" fillId="0" borderId="2" xfId="8" applyFont="1" applyBorder="1" applyAlignment="1">
      <alignment horizontal="center" vertical="top" wrapText="1"/>
    </xf>
    <xf numFmtId="0" fontId="21" fillId="0" borderId="0" xfId="3" applyFont="1"/>
    <xf numFmtId="0" fontId="15" fillId="0" borderId="2" xfId="8" applyBorder="1" applyAlignment="1">
      <alignment horizontal="center" vertical="center"/>
    </xf>
    <xf numFmtId="1" fontId="15" fillId="0" borderId="2" xfId="8" applyNumberFormat="1" applyBorder="1" applyAlignment="1">
      <alignment horizontal="center" vertical="center"/>
    </xf>
    <xf numFmtId="165" fontId="15" fillId="0" borderId="2" xfId="1" applyNumberFormat="1" applyFont="1" applyBorder="1" applyAlignment="1">
      <alignment horizontal="right" vertical="center"/>
    </xf>
    <xf numFmtId="0" fontId="17" fillId="0" borderId="2" xfId="8" applyFont="1" applyBorder="1" applyAlignment="1">
      <alignment horizontal="center" vertical="center"/>
    </xf>
    <xf numFmtId="1" fontId="18" fillId="0" borderId="2" xfId="8" applyNumberFormat="1" applyFont="1" applyBorder="1" applyAlignment="1">
      <alignment horizontal="center" vertical="center"/>
    </xf>
    <xf numFmtId="0" fontId="1" fillId="0" borderId="2" xfId="3" applyBorder="1" applyAlignment="1">
      <alignment horizontal="center" vertical="center"/>
    </xf>
    <xf numFmtId="0" fontId="15" fillId="0" borderId="2" xfId="8" applyBorder="1" applyAlignment="1">
      <alignment horizontal="left" vertical="center"/>
    </xf>
    <xf numFmtId="0" fontId="22" fillId="0" borderId="19" xfId="6" applyFont="1" applyBorder="1" applyProtection="1">
      <protection hidden="1"/>
    </xf>
    <xf numFmtId="0" fontId="22" fillId="0" borderId="0" xfId="6" applyFont="1" applyProtection="1">
      <protection hidden="1"/>
    </xf>
    <xf numFmtId="0" fontId="25" fillId="0" borderId="0" xfId="0" applyFont="1" applyProtection="1">
      <protection hidden="1"/>
    </xf>
    <xf numFmtId="0" fontId="25" fillId="0" borderId="32" xfId="0" applyFont="1" applyBorder="1" applyProtection="1">
      <protection hidden="1"/>
    </xf>
    <xf numFmtId="1" fontId="10" fillId="0" borderId="1" xfId="0" applyNumberFormat="1" applyFont="1" applyBorder="1" applyAlignment="1">
      <alignment horizontal="center" vertical="center" wrapText="1"/>
    </xf>
    <xf numFmtId="0" fontId="23" fillId="0" borderId="2" xfId="6" applyFont="1" applyBorder="1" applyAlignment="1" applyProtection="1">
      <alignment horizontal="center" vertical="top" wrapText="1"/>
      <protection locked="0"/>
    </xf>
    <xf numFmtId="0" fontId="4" fillId="0" borderId="2" xfId="0" applyFont="1" applyBorder="1" applyAlignment="1">
      <alignment horizontal="left" vertical="top"/>
    </xf>
    <xf numFmtId="0" fontId="23" fillId="0" borderId="21" xfId="6" applyFont="1" applyBorder="1" applyAlignment="1" applyProtection="1">
      <alignment horizontal="center" vertical="top"/>
      <protection locked="0"/>
    </xf>
    <xf numFmtId="0" fontId="23" fillId="0" borderId="2" xfId="6" applyFont="1" applyBorder="1" applyAlignment="1" applyProtection="1">
      <alignment horizontal="center" vertical="top"/>
      <protection locked="0"/>
    </xf>
    <xf numFmtId="0" fontId="8" fillId="0" borderId="0" xfId="0" applyFont="1" applyAlignment="1">
      <alignment vertical="top" wrapText="1"/>
    </xf>
    <xf numFmtId="0" fontId="4" fillId="0" borderId="1" xfId="0" applyFont="1" applyBorder="1" applyAlignment="1">
      <alignment vertical="top"/>
    </xf>
    <xf numFmtId="0" fontId="3" fillId="0" borderId="0" xfId="0" applyFont="1" applyAlignment="1">
      <alignment horizontal="center" vertical="top" wrapText="1"/>
    </xf>
    <xf numFmtId="14" fontId="4" fillId="0" borderId="0" xfId="0" applyNumberFormat="1" applyFont="1" applyAlignment="1">
      <alignment horizontal="left" vertical="top"/>
    </xf>
    <xf numFmtId="0" fontId="20" fillId="0" borderId="0" xfId="0" applyFont="1" applyAlignment="1">
      <alignment horizontal="left" vertical="top" wrapText="1"/>
    </xf>
    <xf numFmtId="0" fontId="22" fillId="0" borderId="20" xfId="6" applyFont="1" applyBorder="1" applyProtection="1">
      <protection hidden="1"/>
    </xf>
    <xf numFmtId="0" fontId="22" fillId="0" borderId="23" xfId="6" applyFont="1" applyBorder="1" applyProtection="1">
      <protection hidden="1"/>
    </xf>
    <xf numFmtId="0" fontId="22" fillId="0" borderId="23" xfId="6" applyFont="1" applyBorder="1"/>
    <xf numFmtId="0" fontId="23" fillId="0" borderId="2" xfId="6" applyFont="1" applyBorder="1" applyAlignment="1" applyProtection="1">
      <alignment horizontal="center" wrapText="1"/>
      <protection locked="0"/>
    </xf>
    <xf numFmtId="0" fontId="25" fillId="0" borderId="23" xfId="0" applyFont="1" applyBorder="1" applyProtection="1">
      <protection hidden="1"/>
    </xf>
    <xf numFmtId="1" fontId="23" fillId="0" borderId="2" xfId="6"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23" fillId="0" borderId="28" xfId="6" applyFont="1" applyBorder="1" applyAlignment="1" applyProtection="1">
      <alignment horizontal="center" wrapText="1"/>
      <protection locked="0"/>
    </xf>
    <xf numFmtId="1" fontId="0" fillId="0" borderId="33" xfId="0" applyNumberFormat="1" applyBorder="1"/>
    <xf numFmtId="0" fontId="2" fillId="0" borderId="0" xfId="2"/>
    <xf numFmtId="0" fontId="3" fillId="0" borderId="0" xfId="2" applyFont="1" applyAlignment="1">
      <alignment horizontal="left" vertical="top" wrapText="1"/>
    </xf>
    <xf numFmtId="0" fontId="5" fillId="0" borderId="0" xfId="0" applyFont="1" applyAlignment="1">
      <alignment horizontal="left" vertical="top"/>
    </xf>
    <xf numFmtId="0" fontId="13" fillId="0" borderId="0" xfId="0" applyFont="1" applyAlignment="1">
      <alignment vertical="top"/>
    </xf>
    <xf numFmtId="0" fontId="3" fillId="0" borderId="0" xfId="0" applyFont="1" applyAlignment="1">
      <alignment vertical="top" wrapText="1"/>
    </xf>
    <xf numFmtId="0" fontId="19" fillId="0" borderId="0" xfId="0" applyFont="1"/>
    <xf numFmtId="0" fontId="0" fillId="2" borderId="0" xfId="0" applyFill="1"/>
    <xf numFmtId="14" fontId="0" fillId="2" borderId="0" xfId="0" applyNumberFormat="1" applyFill="1"/>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4"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9"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9" fillId="0" borderId="2"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2" xfId="0" applyFont="1" applyBorder="1" applyAlignment="1">
      <alignment horizontal="left" vertical="top" wrapText="1"/>
    </xf>
    <xf numFmtId="0" fontId="26" fillId="0" borderId="1" xfId="10" applyBorder="1" applyAlignment="1">
      <alignment horizontal="left" vertical="top"/>
    </xf>
    <xf numFmtId="0" fontId="4" fillId="0" borderId="2" xfId="0" applyFont="1" applyBorder="1" applyAlignment="1">
      <alignment horizontal="center" vertical="top"/>
    </xf>
    <xf numFmtId="0" fontId="4" fillId="0" borderId="2" xfId="0" applyFont="1" applyBorder="1" applyAlignment="1">
      <alignment horizontal="left"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0" fillId="0" borderId="6" xfId="0" applyBorder="1" applyAlignment="1">
      <alignment horizontal="left"/>
    </xf>
    <xf numFmtId="0" fontId="5" fillId="0" borderId="2" xfId="0" applyFont="1" applyBorder="1" applyAlignment="1">
      <alignment horizontal="left" vertical="top"/>
    </xf>
    <xf numFmtId="14" fontId="9" fillId="0" borderId="1" xfId="0" applyNumberFormat="1"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2" fontId="4" fillId="0" borderId="2" xfId="0" applyNumberFormat="1" applyFont="1" applyBorder="1" applyAlignment="1">
      <alignment horizontal="left" vertical="top"/>
    </xf>
    <xf numFmtId="0" fontId="9" fillId="0" borderId="2" xfId="0" applyFont="1" applyBorder="1" applyAlignment="1">
      <alignment horizontal="center"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5" fillId="0" borderId="1" xfId="0" applyFont="1" applyBorder="1" applyAlignment="1">
      <alignment vertical="top"/>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7" fillId="0" borderId="2" xfId="0" applyFont="1" applyBorder="1" applyAlignment="1">
      <alignment horizontal="left" vertical="top"/>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left" vertical="top"/>
    </xf>
    <xf numFmtId="0" fontId="12" fillId="0" borderId="2" xfId="0" applyFont="1" applyBorder="1" applyAlignment="1">
      <alignment horizontal="center" vertical="top"/>
    </xf>
    <xf numFmtId="0" fontId="3" fillId="0" borderId="2" xfId="0" applyFont="1" applyBorder="1" applyAlignment="1">
      <alignment horizontal="center" vertical="top"/>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3" xfId="0" applyFont="1" applyBorder="1" applyAlignment="1">
      <alignment vertical="top" wrapText="1"/>
    </xf>
    <xf numFmtId="0" fontId="8" fillId="0" borderId="13" xfId="0" applyFont="1" applyBorder="1" applyAlignment="1">
      <alignment vertical="top" wrapText="1"/>
    </xf>
    <xf numFmtId="9" fontId="23" fillId="0" borderId="1" xfId="6" applyNumberFormat="1" applyFont="1" applyBorder="1" applyAlignment="1" applyProtection="1">
      <alignment horizontal="center" vertical="center" wrapText="1"/>
      <protection hidden="1"/>
    </xf>
    <xf numFmtId="9" fontId="23" fillId="0" borderId="6" xfId="6" applyNumberFormat="1" applyFont="1" applyBorder="1" applyAlignment="1" applyProtection="1">
      <alignment horizontal="center" vertical="center" wrapText="1"/>
      <protection hidden="1"/>
    </xf>
    <xf numFmtId="0" fontId="23" fillId="0" borderId="21" xfId="6" applyFont="1" applyBorder="1" applyAlignment="1" applyProtection="1">
      <alignment horizontal="center" vertical="top"/>
      <protection locked="0"/>
    </xf>
    <xf numFmtId="0" fontId="23" fillId="0" borderId="2" xfId="6" applyFont="1" applyBorder="1" applyAlignment="1" applyProtection="1">
      <alignment horizontal="center" vertical="top"/>
      <protection locked="0"/>
    </xf>
    <xf numFmtId="0" fontId="24" fillId="0" borderId="14" xfId="6" applyFont="1" applyBorder="1" applyAlignment="1" applyProtection="1">
      <alignment horizontal="center" vertical="top" wrapText="1"/>
      <protection locked="0"/>
    </xf>
    <xf numFmtId="0" fontId="24" fillId="0" borderId="15" xfId="6" applyFont="1" applyBorder="1" applyAlignment="1" applyProtection="1">
      <alignment horizontal="center" vertical="top" wrapText="1"/>
      <protection locked="0"/>
    </xf>
    <xf numFmtId="0" fontId="24" fillId="0" borderId="16" xfId="6" applyFont="1" applyBorder="1" applyAlignment="1" applyProtection="1">
      <alignment horizontal="left" vertical="top" wrapText="1"/>
      <protection locked="0"/>
    </xf>
    <xf numFmtId="0" fontId="24" fillId="0" borderId="17" xfId="6" applyFont="1" applyBorder="1" applyAlignment="1" applyProtection="1">
      <alignment horizontal="left" vertical="top" wrapText="1"/>
      <protection locked="0"/>
    </xf>
    <xf numFmtId="0" fontId="24" fillId="0" borderId="18" xfId="6" applyFont="1" applyBorder="1" applyAlignment="1" applyProtection="1">
      <alignment horizontal="left" vertical="top" wrapText="1"/>
      <protection locked="0"/>
    </xf>
    <xf numFmtId="0" fontId="23" fillId="0" borderId="1" xfId="6" applyFont="1" applyBorder="1" applyAlignment="1" applyProtection="1">
      <alignment horizontal="center" vertical="top"/>
      <protection locked="0"/>
    </xf>
    <xf numFmtId="0" fontId="23" fillId="0" borderId="6" xfId="6" applyFont="1" applyBorder="1" applyAlignment="1" applyProtection="1">
      <alignment horizontal="center" vertical="top"/>
      <protection locked="0"/>
    </xf>
    <xf numFmtId="0" fontId="23" fillId="0" borderId="22" xfId="6" applyFont="1" applyBorder="1" applyAlignment="1" applyProtection="1">
      <alignment horizontal="center" vertical="top"/>
      <protection locked="0"/>
    </xf>
    <xf numFmtId="0" fontId="24" fillId="0" borderId="21" xfId="6" applyFont="1" applyBorder="1" applyAlignment="1" applyProtection="1">
      <alignment horizontal="left" vertical="top"/>
      <protection locked="0"/>
    </xf>
    <xf numFmtId="0" fontId="24" fillId="0" borderId="2" xfId="6" applyFont="1" applyBorder="1" applyAlignment="1" applyProtection="1">
      <alignment horizontal="left" vertical="top"/>
      <protection locked="0"/>
    </xf>
    <xf numFmtId="14" fontId="4" fillId="0" borderId="1" xfId="0" applyNumberFormat="1" applyFont="1" applyBorder="1" applyAlignment="1">
      <alignment vertical="top"/>
    </xf>
    <xf numFmtId="14" fontId="4" fillId="0" borderId="5" xfId="0" applyNumberFormat="1" applyFont="1" applyBorder="1" applyAlignment="1">
      <alignment vertical="top"/>
    </xf>
    <xf numFmtId="14" fontId="4" fillId="0" borderId="6" xfId="0" applyNumberFormat="1" applyFont="1" applyBorder="1" applyAlignment="1">
      <alignment vertical="top"/>
    </xf>
    <xf numFmtId="0" fontId="24" fillId="0" borderId="1" xfId="6" applyFont="1" applyBorder="1" applyAlignment="1" applyProtection="1">
      <alignment horizontal="left" vertical="top" wrapText="1"/>
      <protection locked="0"/>
    </xf>
    <xf numFmtId="0" fontId="24" fillId="0" borderId="5" xfId="6" applyFont="1" applyBorder="1" applyAlignment="1" applyProtection="1">
      <alignment horizontal="left" vertical="top" wrapText="1"/>
      <protection locked="0"/>
    </xf>
    <xf numFmtId="0" fontId="24" fillId="0" borderId="22" xfId="6" applyFont="1" applyBorder="1" applyAlignment="1" applyProtection="1">
      <alignment horizontal="left" vertical="top" wrapText="1"/>
      <protection locked="0"/>
    </xf>
    <xf numFmtId="0" fontId="23" fillId="0" borderId="2" xfId="6" applyFont="1" applyBorder="1" applyAlignment="1" applyProtection="1">
      <alignment horizontal="center" vertical="top" wrapText="1"/>
      <protection locked="0"/>
    </xf>
    <xf numFmtId="0" fontId="23" fillId="0" borderId="25" xfId="6" applyFont="1" applyBorder="1" applyAlignment="1" applyProtection="1">
      <alignment horizontal="center" vertical="top" wrapText="1"/>
      <protection locked="0"/>
    </xf>
    <xf numFmtId="9" fontId="23" fillId="0" borderId="7" xfId="6" applyNumberFormat="1" applyFont="1" applyBorder="1" applyAlignment="1" applyProtection="1">
      <alignment horizontal="center" vertical="center" wrapText="1"/>
      <protection hidden="1"/>
    </xf>
    <xf numFmtId="9" fontId="23" fillId="0" borderId="8" xfId="6" applyNumberFormat="1" applyFont="1" applyBorder="1" applyAlignment="1" applyProtection="1">
      <alignment horizontal="center" vertical="center" wrapText="1"/>
      <protection hidden="1"/>
    </xf>
    <xf numFmtId="9" fontId="23" fillId="0" borderId="26" xfId="6" applyNumberFormat="1" applyFont="1" applyBorder="1" applyAlignment="1" applyProtection="1">
      <alignment horizontal="center" vertical="center" wrapText="1"/>
      <protection hidden="1"/>
    </xf>
    <xf numFmtId="9" fontId="23" fillId="0" borderId="10" xfId="6" applyNumberFormat="1" applyFont="1" applyBorder="1" applyAlignment="1" applyProtection="1">
      <alignment horizontal="center" vertical="center" wrapText="1"/>
      <protection hidden="1"/>
    </xf>
    <xf numFmtId="9" fontId="23" fillId="0" borderId="0" xfId="6" applyNumberFormat="1" applyFont="1" applyAlignment="1" applyProtection="1">
      <alignment horizontal="center" vertical="center" wrapText="1"/>
      <protection hidden="1"/>
    </xf>
    <xf numFmtId="9" fontId="23" fillId="0" borderId="23" xfId="6" applyNumberFormat="1" applyFont="1" applyBorder="1" applyAlignment="1" applyProtection="1">
      <alignment horizontal="center" vertical="center" wrapText="1"/>
      <protection hidden="1"/>
    </xf>
    <xf numFmtId="9" fontId="23" fillId="0" borderId="31" xfId="6" applyNumberFormat="1" applyFont="1" applyBorder="1" applyAlignment="1" applyProtection="1">
      <alignment horizontal="center" vertical="center" wrapText="1"/>
      <protection hidden="1"/>
    </xf>
    <xf numFmtId="9" fontId="23" fillId="0" borderId="32" xfId="6" applyNumberFormat="1" applyFont="1" applyBorder="1" applyAlignment="1" applyProtection="1">
      <alignment horizontal="center" vertical="center" wrapText="1"/>
      <protection hidden="1"/>
    </xf>
    <xf numFmtId="9" fontId="23" fillId="0" borderId="33" xfId="6" applyNumberFormat="1" applyFont="1" applyBorder="1" applyAlignment="1" applyProtection="1">
      <alignment horizontal="center" vertical="center" wrapText="1"/>
      <protection hidden="1"/>
    </xf>
    <xf numFmtId="1" fontId="10" fillId="0" borderId="5" xfId="0" applyNumberFormat="1" applyFont="1" applyBorder="1" applyAlignment="1">
      <alignment horizontal="center" vertical="center" wrapText="1"/>
    </xf>
    <xf numFmtId="9" fontId="23" fillId="0" borderId="2" xfId="6" applyNumberFormat="1" applyFont="1" applyBorder="1" applyAlignment="1" applyProtection="1">
      <alignment horizontal="center" vertical="center" wrapText="1"/>
      <protection hidden="1"/>
    </xf>
    <xf numFmtId="9" fontId="23" fillId="0" borderId="28" xfId="6" applyNumberFormat="1" applyFont="1" applyBorder="1" applyAlignment="1" applyProtection="1">
      <alignment horizontal="center" vertical="center" wrapText="1"/>
      <protection hidden="1"/>
    </xf>
    <xf numFmtId="0" fontId="23" fillId="0" borderId="24" xfId="6" applyFont="1" applyBorder="1" applyAlignment="1" applyProtection="1">
      <alignment horizontal="center" vertical="top"/>
      <protection locked="0"/>
    </xf>
    <xf numFmtId="0" fontId="23" fillId="0" borderId="21" xfId="6" applyFont="1" applyBorder="1" applyAlignment="1" applyProtection="1">
      <alignment horizontal="center" vertical="top" wrapText="1"/>
      <protection locked="0"/>
    </xf>
    <xf numFmtId="0" fontId="23" fillId="0" borderId="27" xfId="6" applyFont="1" applyBorder="1" applyAlignment="1" applyProtection="1">
      <alignment horizontal="center" vertical="top"/>
      <protection locked="0"/>
    </xf>
    <xf numFmtId="0" fontId="23" fillId="0" borderId="28" xfId="6" applyFont="1" applyBorder="1" applyAlignment="1" applyProtection="1">
      <alignment horizontal="center" vertical="top"/>
      <protection locked="0"/>
    </xf>
    <xf numFmtId="9" fontId="23" fillId="0" borderId="29" xfId="6" applyNumberFormat="1" applyFont="1" applyBorder="1" applyAlignment="1" applyProtection="1">
      <alignment horizontal="center" vertical="center" wrapText="1"/>
      <protection hidden="1"/>
    </xf>
    <xf numFmtId="9" fontId="23" fillId="0" borderId="30" xfId="6" applyNumberFormat="1" applyFont="1" applyBorder="1" applyAlignment="1" applyProtection="1">
      <alignment horizontal="center" vertical="center" wrapText="1"/>
      <protection hidden="1"/>
    </xf>
    <xf numFmtId="0" fontId="0" fillId="2" borderId="2" xfId="0" applyFill="1" applyBorder="1" applyAlignment="1">
      <alignment horizontal="center" wrapText="1"/>
    </xf>
    <xf numFmtId="0" fontId="17" fillId="0" borderId="2" xfId="0" applyFont="1" applyBorder="1" applyAlignment="1">
      <alignment horizontal="center"/>
    </xf>
    <xf numFmtId="0" fontId="17" fillId="0" borderId="2" xfId="8" applyFont="1" applyBorder="1" applyAlignment="1">
      <alignment horizontal="left"/>
    </xf>
  </cellXfs>
  <cellStyles count="11">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0"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14567</xdr:colOff>
      <xdr:row>196</xdr:row>
      <xdr:rowOff>164725</xdr:rowOff>
    </xdr:from>
    <xdr:to>
      <xdr:col>8</xdr:col>
      <xdr:colOff>347382</xdr:colOff>
      <xdr:row>216</xdr:row>
      <xdr:rowOff>6506</xdr:rowOff>
    </xdr:to>
    <xdr:pic>
      <xdr:nvPicPr>
        <xdr:cNvPr id="1499" name="Picture 7">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787773" y="42769490"/>
          <a:ext cx="5196168" cy="365178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16248</xdr:colOff>
      <xdr:row>216</xdr:row>
      <xdr:rowOff>119346</xdr:rowOff>
    </xdr:from>
    <xdr:to>
      <xdr:col>8</xdr:col>
      <xdr:colOff>346933</xdr:colOff>
      <xdr:row>235</xdr:row>
      <xdr:rowOff>151627</xdr:rowOff>
    </xdr:to>
    <xdr:pic>
      <xdr:nvPicPr>
        <xdr:cNvPr id="1500" name="Picture 8">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89454" y="46534111"/>
          <a:ext cx="5194038" cy="365178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712470</xdr:colOff>
      <xdr:row>150</xdr:row>
      <xdr:rowOff>12700</xdr:rowOff>
    </xdr:from>
    <xdr:to>
      <xdr:col>24</xdr:col>
      <xdr:colOff>142008</xdr:colOff>
      <xdr:row>191</xdr:row>
      <xdr:rowOff>9563</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364282" y="32626300"/>
          <a:ext cx="6395114" cy="7347922"/>
          <a:chOff x="133350" y="33305750"/>
          <a:chExt cx="6500898" cy="7547013"/>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754210" y="39412763"/>
            <a:ext cx="3197691" cy="144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95980" y="33305750"/>
            <a:ext cx="1140417"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489414" y="33305750"/>
            <a:ext cx="1140417"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076282" y="33305750"/>
            <a:ext cx="1140417" cy="216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782848" y="33305750"/>
            <a:ext cx="1140417"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33350" y="37857092"/>
            <a:ext cx="3197691" cy="144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43776" y="37857092"/>
            <a:ext cx="3190472" cy="144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076282" y="35581421"/>
            <a:ext cx="1140417"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788559" y="35581421"/>
            <a:ext cx="1140417"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369716" y="33305750"/>
            <a:ext cx="1140417"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489414" y="35581421"/>
            <a:ext cx="1140417" cy="2160000"/>
          </a:xfrm>
          <a:prstGeom prst="rect">
            <a:avLst/>
          </a:prstGeom>
          <a:ln>
            <a:solidFill>
              <a:schemeClr val="tx1"/>
            </a:solidFill>
          </a:ln>
        </xdr:spPr>
      </xdr:pic>
    </xdr:grpSp>
    <xdr:clientData/>
  </xdr:twoCellAnchor>
  <xdr:twoCellAnchor>
    <xdr:from>
      <xdr:col>0</xdr:col>
      <xdr:colOff>286870</xdr:colOff>
      <xdr:row>151</xdr:row>
      <xdr:rowOff>44823</xdr:rowOff>
    </xdr:from>
    <xdr:to>
      <xdr:col>9</xdr:col>
      <xdr:colOff>173127</xdr:colOff>
      <xdr:row>191</xdr:row>
      <xdr:rowOff>139778</xdr:rowOff>
    </xdr:to>
    <xdr:grpSp>
      <xdr:nvGrpSpPr>
        <xdr:cNvPr id="4" name="Group 3">
          <a:extLst>
            <a:ext uri="{FF2B5EF4-FFF2-40B4-BE49-F238E27FC236}">
              <a16:creationId xmlns:a16="http://schemas.microsoft.com/office/drawing/2014/main" id="{293EF893-A9DF-DF94-3526-CCBC4515AF87}"/>
            </a:ext>
          </a:extLst>
        </xdr:cNvPr>
        <xdr:cNvGrpSpPr/>
      </xdr:nvGrpSpPr>
      <xdr:grpSpPr>
        <a:xfrm>
          <a:off x="286870" y="32837717"/>
          <a:ext cx="6089833" cy="7266720"/>
          <a:chOff x="171213" y="228600"/>
          <a:chExt cx="6089833" cy="7266720"/>
        </a:xfrm>
      </xdr:grpSpPr>
      <xdr:grpSp>
        <xdr:nvGrpSpPr>
          <xdr:cNvPr id="5" name="Group 4">
            <a:extLst>
              <a:ext uri="{FF2B5EF4-FFF2-40B4-BE49-F238E27FC236}">
                <a16:creationId xmlns:a16="http://schemas.microsoft.com/office/drawing/2014/main" id="{67689AEB-7720-D40C-9488-3DE5A32ADD30}"/>
              </a:ext>
            </a:extLst>
          </xdr:cNvPr>
          <xdr:cNvGrpSpPr/>
        </xdr:nvGrpSpPr>
        <xdr:grpSpPr>
          <a:xfrm>
            <a:off x="1762251" y="5695320"/>
            <a:ext cx="2907757" cy="1800000"/>
            <a:chOff x="710650" y="5695320"/>
            <a:chExt cx="2907757" cy="1800000"/>
          </a:xfrm>
        </xdr:grpSpPr>
        <xdr:pic>
          <xdr:nvPicPr>
            <xdr:cNvPr id="14" name="Picture 13">
              <a:extLst>
                <a:ext uri="{FF2B5EF4-FFF2-40B4-BE49-F238E27FC236}">
                  <a16:creationId xmlns:a16="http://schemas.microsoft.com/office/drawing/2014/main" id="{F4277B3E-E7BC-D80B-F6DD-3E0701E4778E}"/>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269813" y="5695320"/>
              <a:ext cx="1348594"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AB7DA763-99F1-07B3-5A74-E2936229A5C3}"/>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710650" y="5695320"/>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776258D7-75A8-6A0D-D6E4-9416BAFFE92C}"/>
              </a:ext>
            </a:extLst>
          </xdr:cNvPr>
          <xdr:cNvGrpSpPr/>
        </xdr:nvGrpSpPr>
        <xdr:grpSpPr>
          <a:xfrm>
            <a:off x="171213" y="228600"/>
            <a:ext cx="6089833" cy="2520000"/>
            <a:chOff x="171213" y="228600"/>
            <a:chExt cx="6089833" cy="2520000"/>
          </a:xfrm>
        </xdr:grpSpPr>
        <xdr:pic>
          <xdr:nvPicPr>
            <xdr:cNvPr id="11" name="Picture 10">
              <a:extLst>
                <a:ext uri="{FF2B5EF4-FFF2-40B4-BE49-F238E27FC236}">
                  <a16:creationId xmlns:a16="http://schemas.microsoft.com/office/drawing/2014/main" id="{1024B39D-8A0D-325C-E7B3-B5CF34AF75EF}"/>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373015" y="228600"/>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31772DE9-4C6C-FF5B-92D2-1766D876785B}"/>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272114" y="228600"/>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ED17B55D-1A46-457A-E41C-B702CB2A4365}"/>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71213" y="228600"/>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3AC1CD17-76A1-A0C6-E283-5701A266DF13}"/>
              </a:ext>
            </a:extLst>
          </xdr:cNvPr>
          <xdr:cNvGrpSpPr/>
        </xdr:nvGrpSpPr>
        <xdr:grpSpPr>
          <a:xfrm>
            <a:off x="171213" y="2941320"/>
            <a:ext cx="6089833" cy="2540640"/>
            <a:chOff x="171213" y="2941320"/>
            <a:chExt cx="6089833" cy="2540640"/>
          </a:xfrm>
        </xdr:grpSpPr>
        <xdr:pic>
          <xdr:nvPicPr>
            <xdr:cNvPr id="8" name="Picture 7">
              <a:extLst>
                <a:ext uri="{FF2B5EF4-FFF2-40B4-BE49-F238E27FC236}">
                  <a16:creationId xmlns:a16="http://schemas.microsoft.com/office/drawing/2014/main" id="{EC9D0E29-0AD9-5339-4B2C-890CFCA9395A}"/>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272114" y="296196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214EEAF0-7834-B5B7-2C95-AF9031B6893C}"/>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373015" y="294132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3DAEADF4-1492-6DA0-6D27-33DF4ED1B37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71213" y="296196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22</xdr:row>
      <xdr:rowOff>0</xdr:rowOff>
    </xdr:from>
    <xdr:to>
      <xdr:col>10</xdr:col>
      <xdr:colOff>400050</xdr:colOff>
      <xdr:row>33</xdr:row>
      <xdr:rowOff>66675</xdr:rowOff>
    </xdr:to>
    <xdr:pic>
      <xdr:nvPicPr>
        <xdr:cNvPr id="3127" name="Picture 1">
          <a:extLst>
            <a:ext uri="{FF2B5EF4-FFF2-40B4-BE49-F238E27FC236}">
              <a16:creationId xmlns:a16="http://schemas.microsoft.com/office/drawing/2014/main" id="{00000000-0008-0000-0100-00003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552450</xdr:colOff>
      <xdr:row>22</xdr:row>
      <xdr:rowOff>0</xdr:rowOff>
    </xdr:from>
    <xdr:to>
      <xdr:col>13</xdr:col>
      <xdr:colOff>342900</xdr:colOff>
      <xdr:row>33</xdr:row>
      <xdr:rowOff>66675</xdr:rowOff>
    </xdr:to>
    <xdr:pic>
      <xdr:nvPicPr>
        <xdr:cNvPr id="3128" name="Picture 2">
          <a:extLst>
            <a:ext uri="{FF2B5EF4-FFF2-40B4-BE49-F238E27FC236}">
              <a16:creationId xmlns:a16="http://schemas.microsoft.com/office/drawing/2014/main" id="{00000000-0008-0000-0100-000038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990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495300</xdr:colOff>
      <xdr:row>29</xdr:row>
      <xdr:rowOff>171450</xdr:rowOff>
    </xdr:to>
    <xdr:pic>
      <xdr:nvPicPr>
        <xdr:cNvPr id="2079" name="Picture 1">
          <a:extLst>
            <a:ext uri="{FF2B5EF4-FFF2-40B4-BE49-F238E27FC236}">
              <a16:creationId xmlns:a16="http://schemas.microsoft.com/office/drawing/2014/main" id="{00000000-0008-0000-0500-00001F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286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3sGfeQwJ69x2yYo4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6"/>
  <sheetViews>
    <sheetView tabSelected="1" view="pageBreakPreview" zoomScale="85" zoomScaleNormal="100" zoomScaleSheetLayoutView="85" workbookViewId="0">
      <selection activeCell="S10" sqref="S10"/>
    </sheetView>
  </sheetViews>
  <sheetFormatPr defaultRowHeight="14.4" x14ac:dyDescent="0.3"/>
  <cols>
    <col min="1" max="1" width="10.77734375" customWidth="1"/>
    <col min="2" max="2" width="12.21875" customWidth="1"/>
    <col min="3" max="3" width="13.21875" customWidth="1"/>
    <col min="4" max="4" width="7.21875" customWidth="1"/>
    <col min="5" max="5" width="5.77734375" customWidth="1"/>
    <col min="6" max="6" width="10.21875" customWidth="1"/>
    <col min="7" max="7" width="10.5546875" customWidth="1"/>
    <col min="8" max="8" width="8.77734375" customWidth="1"/>
    <col min="9" max="9" width="11.77734375" customWidth="1"/>
    <col min="10" max="10" width="6.5546875" customWidth="1"/>
    <col min="11" max="11" width="13.5546875" customWidth="1"/>
    <col min="12" max="14" width="0" hidden="1" customWidth="1"/>
    <col min="16" max="16" width="9.21875" customWidth="1"/>
    <col min="17" max="18" width="8.21875" customWidth="1"/>
  </cols>
  <sheetData>
    <row r="1" spans="1:11" ht="43.95" customHeight="1" x14ac:dyDescent="0.3">
      <c r="A1" s="179" t="s">
        <v>244</v>
      </c>
      <c r="B1" s="180"/>
      <c r="C1" s="180"/>
      <c r="D1" s="180"/>
      <c r="E1" s="180"/>
      <c r="F1" s="180"/>
      <c r="G1" s="180"/>
      <c r="H1" s="180"/>
      <c r="I1" s="180"/>
      <c r="J1" s="181"/>
      <c r="K1" s="60"/>
    </row>
    <row r="2" spans="1:11" x14ac:dyDescent="0.3">
      <c r="A2" s="96" t="s">
        <v>47</v>
      </c>
      <c r="B2" s="97"/>
      <c r="C2" s="97"/>
      <c r="D2" s="97"/>
      <c r="E2" s="97"/>
      <c r="F2" s="97"/>
      <c r="G2" s="97"/>
      <c r="H2" s="97"/>
      <c r="I2" s="97"/>
      <c r="J2" s="98"/>
      <c r="K2" s="33"/>
    </row>
    <row r="3" spans="1:11" x14ac:dyDescent="0.3">
      <c r="A3" s="81" t="s">
        <v>0</v>
      </c>
      <c r="B3" s="82"/>
      <c r="C3" s="82"/>
      <c r="D3" s="82"/>
      <c r="E3" s="83"/>
      <c r="F3" s="99" t="str">
        <f ca="1">TEXT(TODAY(),"DD/MM/YYYY")</f>
        <v>20/09/2025</v>
      </c>
      <c r="G3" s="100"/>
      <c r="H3" s="100"/>
      <c r="I3" s="100"/>
      <c r="J3" s="101"/>
      <c r="K3" s="61"/>
    </row>
    <row r="4" spans="1:11" x14ac:dyDescent="0.3">
      <c r="A4" s="81" t="s">
        <v>1</v>
      </c>
      <c r="B4" s="82"/>
      <c r="C4" s="82"/>
      <c r="D4" s="82"/>
      <c r="E4" s="83"/>
      <c r="F4" s="87" t="s">
        <v>177</v>
      </c>
      <c r="G4" s="88"/>
      <c r="H4" s="88"/>
      <c r="I4" s="88"/>
      <c r="J4" s="89"/>
      <c r="K4" s="17"/>
    </row>
    <row r="5" spans="1:11" x14ac:dyDescent="0.3">
      <c r="A5" s="81" t="s">
        <v>2</v>
      </c>
      <c r="B5" s="82"/>
      <c r="C5" s="82"/>
      <c r="D5" s="82"/>
      <c r="E5" s="83"/>
      <c r="F5" s="99">
        <v>45919</v>
      </c>
      <c r="G5" s="100"/>
      <c r="H5" s="100"/>
      <c r="I5" s="100"/>
      <c r="J5" s="101"/>
      <c r="K5" s="61"/>
    </row>
    <row r="6" spans="1:11" ht="16.5" customHeight="1" x14ac:dyDescent="0.3">
      <c r="A6" s="81" t="s">
        <v>3</v>
      </c>
      <c r="B6" s="82"/>
      <c r="C6" s="82"/>
      <c r="D6" s="82"/>
      <c r="E6" s="83"/>
      <c r="F6" s="84" t="s">
        <v>178</v>
      </c>
      <c r="G6" s="85"/>
      <c r="H6" s="85"/>
      <c r="I6" s="85"/>
      <c r="J6" s="86"/>
      <c r="K6" s="19"/>
    </row>
    <row r="7" spans="1:11" ht="15" customHeight="1" x14ac:dyDescent="0.3">
      <c r="A7" s="81" t="s">
        <v>4</v>
      </c>
      <c r="B7" s="82"/>
      <c r="C7" s="82"/>
      <c r="D7" s="82"/>
      <c r="E7" s="83"/>
      <c r="F7" s="84" t="str">
        <f>F6</f>
        <v>M/s.Swastik Enterprises</v>
      </c>
      <c r="G7" s="85"/>
      <c r="H7" s="85"/>
      <c r="I7" s="85"/>
      <c r="J7" s="86"/>
      <c r="K7" s="19"/>
    </row>
    <row r="8" spans="1:11" x14ac:dyDescent="0.3">
      <c r="A8" s="81" t="s">
        <v>5</v>
      </c>
      <c r="B8" s="82"/>
      <c r="C8" s="82"/>
      <c r="D8" s="82"/>
      <c r="E8" s="83"/>
      <c r="F8" s="87" t="s">
        <v>186</v>
      </c>
      <c r="G8" s="88"/>
      <c r="H8" s="88"/>
      <c r="I8" s="88"/>
      <c r="J8" s="89"/>
      <c r="K8" s="17"/>
    </row>
    <row r="9" spans="1:11" x14ac:dyDescent="0.3">
      <c r="A9" s="87" t="s">
        <v>187</v>
      </c>
      <c r="B9" s="82"/>
      <c r="C9" s="82"/>
      <c r="D9" s="82"/>
      <c r="E9" s="83"/>
      <c r="F9" s="125" t="s">
        <v>240</v>
      </c>
      <c r="G9" s="126"/>
      <c r="H9" s="126"/>
      <c r="I9" s="126"/>
      <c r="J9" s="127"/>
      <c r="K9" s="17"/>
    </row>
    <row r="10" spans="1:11" x14ac:dyDescent="0.3">
      <c r="A10" s="87" t="s">
        <v>247</v>
      </c>
      <c r="B10" s="82"/>
      <c r="C10" s="82"/>
      <c r="D10" s="82"/>
      <c r="E10" s="83"/>
      <c r="F10" s="87">
        <v>9324358655</v>
      </c>
      <c r="G10" s="88"/>
      <c r="H10" s="88"/>
      <c r="I10" s="88"/>
      <c r="J10" s="89"/>
      <c r="K10" s="17"/>
    </row>
    <row r="11" spans="1:11" x14ac:dyDescent="0.3">
      <c r="A11" s="87" t="s">
        <v>109</v>
      </c>
      <c r="B11" s="88"/>
      <c r="C11" s="88"/>
      <c r="D11" s="88"/>
      <c r="E11" s="89"/>
      <c r="F11" s="87" t="s">
        <v>239</v>
      </c>
      <c r="G11" s="88"/>
      <c r="H11" s="88"/>
      <c r="I11" s="88"/>
      <c r="J11" s="89"/>
      <c r="K11" s="17"/>
    </row>
    <row r="12" spans="1:11" x14ac:dyDescent="0.3">
      <c r="A12" s="81" t="s">
        <v>6</v>
      </c>
      <c r="B12" s="82"/>
      <c r="C12" s="82"/>
      <c r="D12" s="82"/>
      <c r="E12" s="83"/>
      <c r="F12" s="90" t="s">
        <v>189</v>
      </c>
      <c r="G12" s="91"/>
      <c r="H12" s="91"/>
      <c r="I12" s="91"/>
      <c r="J12" s="92"/>
      <c r="K12" s="18"/>
    </row>
    <row r="13" spans="1:11" x14ac:dyDescent="0.3">
      <c r="A13" s="87" t="s">
        <v>173</v>
      </c>
      <c r="B13" s="82"/>
      <c r="C13" s="82"/>
      <c r="D13" s="82"/>
      <c r="E13" s="83"/>
      <c r="F13" s="90" t="s">
        <v>174</v>
      </c>
      <c r="G13" s="91"/>
      <c r="H13" s="91"/>
      <c r="I13" s="91"/>
      <c r="J13" s="92"/>
      <c r="K13" s="18"/>
    </row>
    <row r="14" spans="1:11" ht="31.5" customHeight="1" x14ac:dyDescent="0.3">
      <c r="A14" s="133" t="s">
        <v>64</v>
      </c>
      <c r="B14" s="133"/>
      <c r="C14" s="84" t="s">
        <v>144</v>
      </c>
      <c r="D14" s="85"/>
      <c r="E14" s="85"/>
      <c r="F14" s="85"/>
      <c r="G14" s="85"/>
      <c r="H14" s="85"/>
      <c r="I14" s="85"/>
      <c r="J14" s="86"/>
      <c r="K14" s="19"/>
    </row>
    <row r="15" spans="1:11" ht="27.6" x14ac:dyDescent="0.3">
      <c r="A15" s="59" t="s">
        <v>110</v>
      </c>
      <c r="B15" s="87">
        <v>25</v>
      </c>
      <c r="C15" s="88"/>
      <c r="D15" s="89"/>
      <c r="E15" s="182" t="s">
        <v>145</v>
      </c>
      <c r="F15" s="183"/>
      <c r="G15" s="62" t="s">
        <v>146</v>
      </c>
      <c r="H15" s="3" t="s">
        <v>65</v>
      </c>
      <c r="I15" s="184" t="s">
        <v>147</v>
      </c>
      <c r="J15" s="185"/>
      <c r="K15" s="16"/>
    </row>
    <row r="16" spans="1:11" x14ac:dyDescent="0.3">
      <c r="A16" s="1" t="s">
        <v>7</v>
      </c>
      <c r="B16" s="87" t="s">
        <v>148</v>
      </c>
      <c r="C16" s="88"/>
      <c r="D16" s="88"/>
      <c r="E16" s="89"/>
      <c r="F16" s="2" t="s">
        <v>66</v>
      </c>
      <c r="G16" s="87" t="s">
        <v>149</v>
      </c>
      <c r="H16" s="88"/>
      <c r="I16" s="88"/>
      <c r="J16" s="89"/>
      <c r="K16" s="17"/>
    </row>
    <row r="17" spans="1:11" x14ac:dyDescent="0.3">
      <c r="A17" s="1" t="s">
        <v>8</v>
      </c>
      <c r="B17" s="87" t="s">
        <v>149</v>
      </c>
      <c r="C17" s="88"/>
      <c r="D17" s="88"/>
      <c r="E17" s="89"/>
      <c r="F17" s="2" t="s">
        <v>67</v>
      </c>
      <c r="G17" s="87">
        <v>401404</v>
      </c>
      <c r="H17" s="88"/>
      <c r="I17" s="88"/>
      <c r="J17" s="89"/>
      <c r="K17" s="17"/>
    </row>
    <row r="18" spans="1:11" ht="32.25" customHeight="1" x14ac:dyDescent="0.3">
      <c r="A18" s="109" t="s">
        <v>68</v>
      </c>
      <c r="B18" s="109"/>
      <c r="C18" s="109" t="s">
        <v>153</v>
      </c>
      <c r="D18" s="109"/>
      <c r="E18" s="109"/>
      <c r="F18" s="105" t="s">
        <v>55</v>
      </c>
      <c r="G18" s="105"/>
      <c r="H18" s="91" t="s">
        <v>152</v>
      </c>
      <c r="I18" s="91"/>
      <c r="J18" s="92"/>
      <c r="K18" s="18"/>
    </row>
    <row r="19" spans="1:11" ht="15" customHeight="1" x14ac:dyDescent="0.3">
      <c r="A19" s="102" t="s">
        <v>111</v>
      </c>
      <c r="B19" s="103"/>
      <c r="C19" s="103"/>
      <c r="D19" s="103"/>
      <c r="E19" s="104"/>
      <c r="F19" s="110" t="s">
        <v>62</v>
      </c>
      <c r="G19" s="111"/>
      <c r="H19" s="111"/>
      <c r="I19" s="111"/>
      <c r="J19" s="112"/>
      <c r="K19" s="17"/>
    </row>
    <row r="20" spans="1:11" ht="15.75" customHeight="1" x14ac:dyDescent="0.3">
      <c r="A20" s="106"/>
      <c r="B20" s="107"/>
      <c r="C20" s="107"/>
      <c r="D20" s="107"/>
      <c r="E20" s="108"/>
      <c r="F20" s="113"/>
      <c r="G20" s="114"/>
      <c r="H20" s="114"/>
      <c r="I20" s="114"/>
      <c r="J20" s="115"/>
      <c r="K20" s="17"/>
    </row>
    <row r="21" spans="1:11" ht="15" customHeight="1" x14ac:dyDescent="0.3">
      <c r="A21" s="102" t="s">
        <v>112</v>
      </c>
      <c r="B21" s="121"/>
      <c r="C21" s="121"/>
      <c r="D21" s="121"/>
      <c r="E21" s="122"/>
      <c r="F21" s="102" t="s">
        <v>49</v>
      </c>
      <c r="G21" s="103"/>
      <c r="H21" s="103"/>
      <c r="I21" s="103"/>
      <c r="J21" s="104"/>
      <c r="K21" s="19"/>
    </row>
    <row r="22" spans="1:11" x14ac:dyDescent="0.3">
      <c r="A22" s="81" t="s">
        <v>9</v>
      </c>
      <c r="B22" s="82"/>
      <c r="C22" s="82"/>
      <c r="D22" s="82"/>
      <c r="E22" s="83"/>
      <c r="F22" s="116" t="s">
        <v>142</v>
      </c>
      <c r="G22" s="117"/>
      <c r="H22" s="117"/>
      <c r="I22" s="117"/>
      <c r="J22" s="118"/>
      <c r="K22" s="20"/>
    </row>
    <row r="23" spans="1:11" x14ac:dyDescent="0.3">
      <c r="A23" s="81" t="s">
        <v>10</v>
      </c>
      <c r="B23" s="82"/>
      <c r="C23" s="82"/>
      <c r="D23" s="82"/>
      <c r="E23" s="83"/>
      <c r="F23" s="93" t="s">
        <v>56</v>
      </c>
      <c r="G23" s="119"/>
      <c r="H23" s="119"/>
      <c r="I23" s="119"/>
      <c r="J23" s="120"/>
      <c r="K23" s="21"/>
    </row>
    <row r="24" spans="1:11" x14ac:dyDescent="0.3">
      <c r="A24" s="81" t="s">
        <v>11</v>
      </c>
      <c r="B24" s="82"/>
      <c r="C24" s="82"/>
      <c r="D24" s="82"/>
      <c r="E24" s="83"/>
      <c r="F24" s="116" t="s">
        <v>143</v>
      </c>
      <c r="G24" s="117"/>
      <c r="H24" s="117"/>
      <c r="I24" s="117"/>
      <c r="J24" s="118"/>
      <c r="K24" s="20"/>
    </row>
    <row r="25" spans="1:11" x14ac:dyDescent="0.3">
      <c r="A25" s="81" t="s">
        <v>29</v>
      </c>
      <c r="B25" s="82"/>
      <c r="C25" s="82"/>
      <c r="D25" s="82"/>
      <c r="E25" s="83"/>
      <c r="F25" s="93" t="s">
        <v>69</v>
      </c>
      <c r="G25" s="94"/>
      <c r="H25" s="94"/>
      <c r="I25" s="94"/>
      <c r="J25" s="95"/>
      <c r="K25" s="22"/>
    </row>
    <row r="26" spans="1:11" x14ac:dyDescent="0.3">
      <c r="A26" s="128" t="s">
        <v>12</v>
      </c>
      <c r="B26" s="129"/>
      <c r="C26" s="128" t="s">
        <v>13</v>
      </c>
      <c r="D26" s="129"/>
      <c r="E26" s="123" t="s">
        <v>14</v>
      </c>
      <c r="F26" s="129"/>
      <c r="G26" s="123" t="s">
        <v>54</v>
      </c>
      <c r="H26" s="124"/>
      <c r="I26" s="128" t="s">
        <v>15</v>
      </c>
      <c r="J26" s="129"/>
      <c r="K26" s="23"/>
    </row>
    <row r="27" spans="1:11" x14ac:dyDescent="0.3">
      <c r="A27" s="123" t="s">
        <v>16</v>
      </c>
      <c r="B27" s="124"/>
      <c r="C27" s="123" t="s">
        <v>53</v>
      </c>
      <c r="D27" s="124"/>
      <c r="E27" s="123" t="s">
        <v>53</v>
      </c>
      <c r="F27" s="124"/>
      <c r="G27" s="123" t="s">
        <v>53</v>
      </c>
      <c r="H27" s="124"/>
      <c r="I27" s="123" t="s">
        <v>53</v>
      </c>
      <c r="J27" s="124"/>
      <c r="K27" s="24"/>
    </row>
    <row r="28" spans="1:11" x14ac:dyDescent="0.3">
      <c r="A28" s="128" t="s">
        <v>17</v>
      </c>
      <c r="B28" s="129"/>
      <c r="C28" s="123" t="s">
        <v>7</v>
      </c>
      <c r="D28" s="124"/>
      <c r="E28" s="123" t="s">
        <v>150</v>
      </c>
      <c r="F28" s="124"/>
      <c r="G28" s="123" t="s">
        <v>7</v>
      </c>
      <c r="H28" s="124"/>
      <c r="I28" s="123" t="s">
        <v>151</v>
      </c>
      <c r="J28" s="124"/>
      <c r="K28" s="24"/>
    </row>
    <row r="29" spans="1:11" x14ac:dyDescent="0.3">
      <c r="A29" s="87" t="s">
        <v>61</v>
      </c>
      <c r="B29" s="88"/>
      <c r="C29" s="88"/>
      <c r="D29" s="88"/>
      <c r="E29" s="88"/>
      <c r="F29" s="88"/>
      <c r="G29" s="88"/>
      <c r="H29" s="88"/>
      <c r="I29" s="88"/>
      <c r="J29" s="89"/>
      <c r="K29" s="17"/>
    </row>
    <row r="30" spans="1:11" x14ac:dyDescent="0.3">
      <c r="A30" s="87" t="s">
        <v>139</v>
      </c>
      <c r="B30" s="88"/>
      <c r="C30" s="88"/>
      <c r="D30" s="88"/>
      <c r="E30" s="88"/>
      <c r="F30" s="88"/>
      <c r="G30" s="88"/>
      <c r="H30" s="88"/>
      <c r="I30" s="88"/>
      <c r="J30" s="89"/>
      <c r="K30" s="17"/>
    </row>
    <row r="31" spans="1:11" x14ac:dyDescent="0.3">
      <c r="A31" s="87" t="s">
        <v>43</v>
      </c>
      <c r="B31" s="89"/>
      <c r="C31" s="87" t="s">
        <v>248</v>
      </c>
      <c r="D31" s="88"/>
      <c r="E31" s="88"/>
      <c r="F31" s="88"/>
      <c r="G31" s="88"/>
      <c r="H31" s="88"/>
      <c r="I31" s="88"/>
      <c r="J31" s="89"/>
      <c r="K31" s="23"/>
    </row>
    <row r="32" spans="1:11" x14ac:dyDescent="0.3">
      <c r="A32" s="87" t="s">
        <v>241</v>
      </c>
      <c r="B32" s="89"/>
      <c r="C32" s="131" t="s">
        <v>242</v>
      </c>
      <c r="D32" s="88"/>
      <c r="E32" s="88"/>
      <c r="F32" s="88"/>
      <c r="G32" s="88"/>
      <c r="H32" s="88"/>
      <c r="I32" s="88"/>
      <c r="J32" s="89"/>
      <c r="K32" s="23"/>
    </row>
    <row r="33" spans="1:11" x14ac:dyDescent="0.3">
      <c r="A33" s="125" t="s">
        <v>18</v>
      </c>
      <c r="B33" s="126"/>
      <c r="C33" s="126"/>
      <c r="D33" s="126"/>
      <c r="E33" s="126"/>
      <c r="F33" s="126"/>
      <c r="G33" s="126"/>
      <c r="H33" s="126"/>
      <c r="I33" s="126"/>
      <c r="J33" s="127"/>
      <c r="K33" s="25"/>
    </row>
    <row r="34" spans="1:11" ht="15" customHeight="1" x14ac:dyDescent="0.3">
      <c r="A34" s="130" t="s">
        <v>175</v>
      </c>
      <c r="B34" s="130"/>
      <c r="C34" s="130"/>
      <c r="D34" s="130"/>
      <c r="E34" s="130"/>
      <c r="F34" s="130"/>
      <c r="G34" s="130"/>
      <c r="H34" s="130"/>
      <c r="I34" s="130"/>
      <c r="J34" s="130"/>
      <c r="K34" s="19"/>
    </row>
    <row r="35" spans="1:11" x14ac:dyDescent="0.3">
      <c r="A35" s="130"/>
      <c r="B35" s="130"/>
      <c r="C35" s="130"/>
      <c r="D35" s="130"/>
      <c r="E35" s="130"/>
      <c r="F35" s="130"/>
      <c r="G35" s="130"/>
      <c r="H35" s="130"/>
      <c r="I35" s="130"/>
      <c r="J35" s="130"/>
      <c r="K35" s="19"/>
    </row>
    <row r="36" spans="1:11" x14ac:dyDescent="0.3">
      <c r="A36" s="133" t="s">
        <v>70</v>
      </c>
      <c r="B36" s="138"/>
      <c r="C36" s="138"/>
      <c r="D36" s="138"/>
      <c r="E36" s="138"/>
      <c r="F36" s="130">
        <v>12620</v>
      </c>
      <c r="G36" s="130"/>
      <c r="H36" s="130"/>
      <c r="I36" s="130"/>
      <c r="J36" s="130"/>
      <c r="K36" s="19"/>
    </row>
    <row r="37" spans="1:11" x14ac:dyDescent="0.3">
      <c r="A37" s="138" t="s">
        <v>19</v>
      </c>
      <c r="B37" s="138"/>
      <c r="C37" s="138"/>
      <c r="D37" s="138"/>
      <c r="E37" s="138"/>
      <c r="F37" s="133">
        <v>0.9</v>
      </c>
      <c r="G37" s="133"/>
      <c r="H37" s="133"/>
      <c r="I37" s="133"/>
      <c r="J37" s="133"/>
      <c r="K37" s="17"/>
    </row>
    <row r="38" spans="1:11" x14ac:dyDescent="0.3">
      <c r="A38" s="138" t="s">
        <v>20</v>
      </c>
      <c r="B38" s="138"/>
      <c r="C38" s="138"/>
      <c r="D38" s="138"/>
      <c r="E38" s="138"/>
      <c r="F38" s="142">
        <f>F40/F36-F37</f>
        <v>0.349445324881141</v>
      </c>
      <c r="G38" s="142"/>
      <c r="H38" s="142"/>
      <c r="I38" s="142"/>
      <c r="J38" s="142"/>
      <c r="K38" s="26"/>
    </row>
    <row r="39" spans="1:11" x14ac:dyDescent="0.3">
      <c r="A39" s="138" t="s">
        <v>21</v>
      </c>
      <c r="B39" s="138"/>
      <c r="C39" s="138"/>
      <c r="D39" s="138"/>
      <c r="E39" s="138"/>
      <c r="F39" s="142">
        <f>F37+F38</f>
        <v>1.249445324881141</v>
      </c>
      <c r="G39" s="142"/>
      <c r="H39" s="142"/>
      <c r="I39" s="142"/>
      <c r="J39" s="142"/>
      <c r="K39" s="26"/>
    </row>
    <row r="40" spans="1:11" x14ac:dyDescent="0.3">
      <c r="A40" s="133" t="s">
        <v>71</v>
      </c>
      <c r="B40" s="138"/>
      <c r="C40" s="138"/>
      <c r="D40" s="138"/>
      <c r="E40" s="138"/>
      <c r="F40" s="133">
        <v>15768</v>
      </c>
      <c r="G40" s="133"/>
      <c r="H40" s="133"/>
      <c r="I40" s="133"/>
      <c r="J40" s="133"/>
      <c r="K40" s="17"/>
    </row>
    <row r="41" spans="1:11" x14ac:dyDescent="0.3">
      <c r="A41" s="138" t="s">
        <v>22</v>
      </c>
      <c r="B41" s="138"/>
      <c r="C41" s="138"/>
      <c r="D41" s="138"/>
      <c r="E41" s="138"/>
      <c r="F41" s="133" t="s">
        <v>185</v>
      </c>
      <c r="G41" s="133"/>
      <c r="H41" s="133"/>
      <c r="I41" s="133"/>
      <c r="J41" s="133"/>
      <c r="K41" s="17"/>
    </row>
    <row r="42" spans="1:11" x14ac:dyDescent="0.3">
      <c r="A42" s="125" t="s">
        <v>73</v>
      </c>
      <c r="B42" s="126"/>
      <c r="C42" s="126"/>
      <c r="D42" s="126"/>
      <c r="E42" s="126"/>
      <c r="F42" s="126"/>
      <c r="G42" s="126"/>
      <c r="H42" s="126"/>
      <c r="I42" s="126"/>
      <c r="J42" s="127"/>
      <c r="K42" s="25"/>
    </row>
    <row r="43" spans="1:11" ht="16.5" customHeight="1" x14ac:dyDescent="0.3">
      <c r="A43" s="84" t="s">
        <v>72</v>
      </c>
      <c r="B43" s="86"/>
      <c r="C43" s="87" t="s">
        <v>154</v>
      </c>
      <c r="D43" s="88"/>
      <c r="E43" s="88"/>
      <c r="F43" s="89"/>
      <c r="G43" s="55" t="s">
        <v>63</v>
      </c>
      <c r="H43" s="212" t="s">
        <v>202</v>
      </c>
      <c r="I43" s="213"/>
      <c r="J43" s="214"/>
      <c r="K43" s="27"/>
    </row>
    <row r="44" spans="1:11" ht="15" customHeight="1" x14ac:dyDescent="0.3">
      <c r="A44" s="84" t="s">
        <v>74</v>
      </c>
      <c r="B44" s="86"/>
      <c r="C44" s="87" t="str">
        <f>C43</f>
        <v>MHSL/K-1/MJ1/BSP/SR/CR/349/18</v>
      </c>
      <c r="D44" s="88"/>
      <c r="E44" s="88"/>
      <c r="F44" s="89"/>
      <c r="G44" s="55" t="s">
        <v>63</v>
      </c>
      <c r="H44" s="212" t="str">
        <f>H43</f>
        <v>13/04/2018.</v>
      </c>
      <c r="I44" s="213" t="s">
        <v>50</v>
      </c>
      <c r="J44" s="214"/>
      <c r="K44" s="27"/>
    </row>
    <row r="45" spans="1:11" ht="29.25" customHeight="1" x14ac:dyDescent="0.3">
      <c r="A45" s="90" t="s">
        <v>203</v>
      </c>
      <c r="B45" s="92"/>
      <c r="C45" s="90" t="s">
        <v>53</v>
      </c>
      <c r="D45" s="91"/>
      <c r="E45" s="91"/>
      <c r="F45" s="92"/>
      <c r="G45" s="2" t="s">
        <v>63</v>
      </c>
      <c r="H45" s="87" t="s">
        <v>53</v>
      </c>
      <c r="I45" s="88"/>
      <c r="J45" s="89"/>
      <c r="K45" s="16"/>
    </row>
    <row r="46" spans="1:11" x14ac:dyDescent="0.3">
      <c r="A46" s="90" t="s">
        <v>176</v>
      </c>
      <c r="B46" s="92"/>
      <c r="C46" s="90" t="str">
        <f>C43</f>
        <v>MHSL/K-1/MJ1/BSP/SR/CR/349/18</v>
      </c>
      <c r="D46" s="91"/>
      <c r="E46" s="91"/>
      <c r="F46" s="92"/>
      <c r="G46" s="2" t="s">
        <v>63</v>
      </c>
      <c r="H46" s="99" t="str">
        <f>H43</f>
        <v>13/04/2018.</v>
      </c>
      <c r="I46" s="100"/>
      <c r="J46" s="101"/>
      <c r="K46" s="61"/>
    </row>
    <row r="47" spans="1:11" x14ac:dyDescent="0.3">
      <c r="A47" s="87" t="s">
        <v>107</v>
      </c>
      <c r="B47" s="88"/>
      <c r="C47" s="88"/>
      <c r="D47" s="88"/>
      <c r="E47" s="89"/>
      <c r="F47" s="87" t="s">
        <v>108</v>
      </c>
      <c r="G47" s="88"/>
      <c r="H47" s="89"/>
      <c r="I47" s="87" t="s">
        <v>57</v>
      </c>
      <c r="J47" s="89"/>
      <c r="K47" s="17"/>
    </row>
    <row r="48" spans="1:11" x14ac:dyDescent="0.3">
      <c r="A48" s="133" t="s">
        <v>79</v>
      </c>
      <c r="B48" s="133"/>
      <c r="C48" s="133"/>
      <c r="D48" s="132" t="str">
        <f>H45</f>
        <v>NA</v>
      </c>
      <c r="E48" s="132"/>
      <c r="F48" s="87" t="s">
        <v>75</v>
      </c>
      <c r="G48" s="137"/>
      <c r="H48" s="139">
        <v>46022</v>
      </c>
      <c r="I48" s="140"/>
      <c r="J48" s="141"/>
      <c r="K48" s="17"/>
    </row>
    <row r="49" spans="1:12" x14ac:dyDescent="0.3">
      <c r="A49" s="134" t="s">
        <v>23</v>
      </c>
      <c r="B49" s="135"/>
      <c r="C49" s="135"/>
      <c r="D49" s="135"/>
      <c r="E49" s="135"/>
      <c r="F49" s="135"/>
      <c r="G49" s="135"/>
      <c r="H49" s="135"/>
      <c r="I49" s="135"/>
      <c r="J49" s="136"/>
      <c r="K49" s="28"/>
    </row>
    <row r="50" spans="1:12" ht="33.75" customHeight="1" x14ac:dyDescent="0.3">
      <c r="A50" s="87" t="s">
        <v>106</v>
      </c>
      <c r="B50" s="88"/>
      <c r="C50" s="89"/>
      <c r="D50" s="123">
        <f>F40</f>
        <v>15768</v>
      </c>
      <c r="E50" s="124"/>
      <c r="F50" s="105" t="s">
        <v>140</v>
      </c>
      <c r="G50" s="105"/>
      <c r="H50" s="105"/>
      <c r="I50" s="143" t="s">
        <v>188</v>
      </c>
      <c r="J50" s="143"/>
      <c r="K50" s="29"/>
    </row>
    <row r="51" spans="1:12" x14ac:dyDescent="0.3">
      <c r="A51" s="133" t="s">
        <v>76</v>
      </c>
      <c r="B51" s="133"/>
      <c r="C51" s="133" t="s">
        <v>237</v>
      </c>
      <c r="D51" s="133"/>
      <c r="E51" s="133"/>
      <c r="F51" s="87" t="s">
        <v>58</v>
      </c>
      <c r="G51" s="88"/>
      <c r="H51" s="88"/>
      <c r="I51" s="88"/>
      <c r="J51" s="89"/>
      <c r="K51" s="17"/>
    </row>
    <row r="52" spans="1:12" x14ac:dyDescent="0.3">
      <c r="A52" s="87" t="s">
        <v>51</v>
      </c>
      <c r="B52" s="88"/>
      <c r="C52" s="88"/>
      <c r="D52" s="88"/>
      <c r="E52" s="89"/>
      <c r="F52" s="84" t="s">
        <v>243</v>
      </c>
      <c r="G52" s="85"/>
      <c r="H52" s="85"/>
      <c r="I52" s="85"/>
      <c r="J52" s="86"/>
      <c r="K52" s="19"/>
    </row>
    <row r="53" spans="1:12" x14ac:dyDescent="0.3">
      <c r="A53" s="87" t="s">
        <v>249</v>
      </c>
      <c r="B53" s="88"/>
      <c r="C53" s="88"/>
      <c r="D53" s="88"/>
      <c r="E53" s="88"/>
      <c r="F53" s="88"/>
      <c r="G53" s="88"/>
      <c r="H53" s="88"/>
      <c r="I53" s="88"/>
      <c r="J53" s="89"/>
      <c r="K53" s="17"/>
    </row>
    <row r="54" spans="1:12" ht="15" customHeight="1" thickBot="1" x14ac:dyDescent="0.35">
      <c r="A54" s="186" t="s">
        <v>46</v>
      </c>
      <c r="B54" s="187"/>
      <c r="C54" s="187"/>
      <c r="D54" s="187"/>
      <c r="E54" s="187"/>
      <c r="F54" s="187"/>
      <c r="G54" s="187"/>
      <c r="H54" s="187"/>
      <c r="I54" s="187"/>
      <c r="J54" s="188"/>
      <c r="K54" s="30"/>
    </row>
    <row r="55" spans="1:12" ht="15.75" customHeight="1" x14ac:dyDescent="0.3">
      <c r="A55" s="202" t="s">
        <v>204</v>
      </c>
      <c r="B55" s="203"/>
      <c r="C55" s="204" t="s">
        <v>238</v>
      </c>
      <c r="D55" s="205"/>
      <c r="E55" s="205"/>
      <c r="F55" s="205"/>
      <c r="G55" s="205"/>
      <c r="H55" s="205"/>
      <c r="I55" s="205"/>
      <c r="J55" s="206"/>
      <c r="K55" s="49"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External Plaster upto 6 Floor, Flooring upto 3 Floor, Painting upto 2 Floor Completed</v>
      </c>
      <c r="L55" s="63"/>
    </row>
    <row r="56" spans="1:12" ht="15.6" x14ac:dyDescent="0.3">
      <c r="A56" s="56" t="s">
        <v>205</v>
      </c>
      <c r="B56" s="57">
        <v>0</v>
      </c>
      <c r="C56" s="57" t="s">
        <v>206</v>
      </c>
      <c r="D56" s="57">
        <v>1</v>
      </c>
      <c r="E56" s="207" t="s">
        <v>207</v>
      </c>
      <c r="F56" s="208"/>
      <c r="G56" s="57">
        <v>0</v>
      </c>
      <c r="H56" s="57" t="s">
        <v>208</v>
      </c>
      <c r="I56" s="207">
        <f ca="1">--TRIM(RIGHT(SUBSTITUTE(LEFT(C55,_xlfn.AGGREGATE(16,6,FIND({0,1,2,3,4,5,6,7,8,9},C55,ROW(INDIRECT("1:"&amp;LEN(C55)))),1))," ",REPT(" ",LEN(C55))),LEN(C55)))</f>
        <v>7</v>
      </c>
      <c r="J56" s="209"/>
      <c r="K56" s="50"/>
      <c r="L56" s="64"/>
    </row>
    <row r="57" spans="1:12" ht="49.05" customHeight="1" x14ac:dyDescent="0.3">
      <c r="A57" s="210" t="s">
        <v>209</v>
      </c>
      <c r="B57" s="211"/>
      <c r="C57" s="215" t="str">
        <f ca="1">K55</f>
        <v>Excavation work Completed. Plinth work completed, RCC Slab, Brickwork, Internal Plaster, External Plaster upto 6 Floor, Flooring upto 3 Floor, Painting upto 2 Floor Completed</v>
      </c>
      <c r="D57" s="216"/>
      <c r="E57" s="216"/>
      <c r="F57" s="216"/>
      <c r="G57" s="216"/>
      <c r="H57" s="216"/>
      <c r="I57" s="216"/>
      <c r="J57" s="217"/>
      <c r="K57" s="50" t="s">
        <v>210</v>
      </c>
      <c r="L57" s="64"/>
    </row>
    <row r="58" spans="1:12" ht="15.75" customHeight="1" x14ac:dyDescent="0.3">
      <c r="A58" s="232" t="s">
        <v>35</v>
      </c>
      <c r="B58" s="208"/>
      <c r="C58" s="54" t="s">
        <v>211</v>
      </c>
      <c r="D58" s="218" t="s">
        <v>212</v>
      </c>
      <c r="E58" s="218"/>
      <c r="F58" s="218" t="s">
        <v>213</v>
      </c>
      <c r="G58" s="218"/>
      <c r="H58" s="218" t="s">
        <v>214</v>
      </c>
      <c r="I58" s="218"/>
      <c r="J58" s="219"/>
      <c r="K58" s="51" t="s">
        <v>215</v>
      </c>
      <c r="L58" s="65">
        <f ca="1">I56*25%</f>
        <v>1.75</v>
      </c>
    </row>
    <row r="59" spans="1:12" ht="15.75" customHeight="1" x14ac:dyDescent="0.3">
      <c r="A59" s="200" t="s">
        <v>216</v>
      </c>
      <c r="B59" s="201"/>
      <c r="C59" s="66">
        <f ca="1">L60</f>
        <v>7</v>
      </c>
      <c r="D59" s="198">
        <f ca="1">((100/I56)*C59)/100</f>
        <v>1</v>
      </c>
      <c r="E59" s="199"/>
      <c r="F59" s="230">
        <f ca="1">(((C60/I56*10)+(40/(D56+G56+I56)*C61)+(7.5/(I56)*C62)+(7.5/(I56)*C63)+(10/I56*C64)+(10/I56*C65)+(5/I56*C66)+(5/I56*C67)+(5/I56*C68))/100)</f>
        <v>0.79285714285714293</v>
      </c>
      <c r="G59" s="230"/>
      <c r="H59" s="220">
        <f ca="1">((((C59/I56)*20)+((C60/I56)*25)+(30/(I56+G56+D56)*C61)+(5/I56*C62)+(5/I56*C63)+(5/I56*C64)+(5/I56*C65)+(0/I56*C66)+(0/I56*C67)+(5/I56*C68))/100)</f>
        <v>0.91428571428571426</v>
      </c>
      <c r="I59" s="221"/>
      <c r="J59" s="222"/>
      <c r="K59" s="51" t="s">
        <v>217</v>
      </c>
      <c r="L59" s="67">
        <f ca="1">I56*50%</f>
        <v>3.5</v>
      </c>
    </row>
    <row r="60" spans="1:12" ht="15.6" x14ac:dyDescent="0.3">
      <c r="A60" s="200" t="s">
        <v>36</v>
      </c>
      <c r="B60" s="201"/>
      <c r="C60" s="68">
        <f ca="1">L68</f>
        <v>7</v>
      </c>
      <c r="D60" s="198">
        <f ca="1">((100/I56)*C60)/100</f>
        <v>1</v>
      </c>
      <c r="E60" s="199"/>
      <c r="F60" s="230"/>
      <c r="G60" s="230"/>
      <c r="H60" s="223"/>
      <c r="I60" s="224"/>
      <c r="J60" s="225"/>
      <c r="K60" s="51" t="s">
        <v>218</v>
      </c>
      <c r="L60" s="67">
        <f ca="1">I56</f>
        <v>7</v>
      </c>
    </row>
    <row r="61" spans="1:12" ht="15.75" customHeight="1" x14ac:dyDescent="0.3">
      <c r="A61" s="200" t="s">
        <v>219</v>
      </c>
      <c r="B61" s="201"/>
      <c r="C61" s="68">
        <v>8</v>
      </c>
      <c r="D61" s="198">
        <f ca="1">((100/(D56+G56+I56))*C61)/100</f>
        <v>1</v>
      </c>
      <c r="E61" s="199"/>
      <c r="F61" s="230"/>
      <c r="G61" s="230"/>
      <c r="H61" s="223"/>
      <c r="I61" s="224"/>
      <c r="J61" s="225"/>
      <c r="K61" s="51" t="s">
        <v>220</v>
      </c>
      <c r="L61" s="69">
        <f ca="1">(IF(B56&gt;1,(I56/(B56+2)),I56/4))</f>
        <v>1.75</v>
      </c>
    </row>
    <row r="62" spans="1:12" ht="15.75" customHeight="1" x14ac:dyDescent="0.3">
      <c r="A62" s="200" t="s">
        <v>221</v>
      </c>
      <c r="B62" s="201" t="s">
        <v>222</v>
      </c>
      <c r="C62" s="66">
        <v>7</v>
      </c>
      <c r="D62" s="198">
        <f ca="1">((100/I56)*C62)/100</f>
        <v>1</v>
      </c>
      <c r="E62" s="199"/>
      <c r="F62" s="230"/>
      <c r="G62" s="230"/>
      <c r="H62" s="223"/>
      <c r="I62" s="224"/>
      <c r="J62" s="225"/>
      <c r="K62" s="51" t="s">
        <v>223</v>
      </c>
      <c r="L62" s="69">
        <f ca="1">(IF(B56&gt;1,(I56/(B56+2)+L61),I56/4+L61))</f>
        <v>3.5</v>
      </c>
    </row>
    <row r="63" spans="1:12" ht="15.75" customHeight="1" x14ac:dyDescent="0.3">
      <c r="A63" s="200" t="s">
        <v>224</v>
      </c>
      <c r="B63" s="201" t="s">
        <v>222</v>
      </c>
      <c r="C63" s="66">
        <v>7</v>
      </c>
      <c r="D63" s="198">
        <f ca="1">((100/I56)*C63)/100</f>
        <v>1</v>
      </c>
      <c r="E63" s="199"/>
      <c r="F63" s="230"/>
      <c r="G63" s="230"/>
      <c r="H63" s="223"/>
      <c r="I63" s="224"/>
      <c r="J63" s="225"/>
      <c r="K63" s="51" t="s">
        <v>225</v>
      </c>
      <c r="L63" s="69">
        <f>(IF(B56&gt;1,(I56/(B56+2)+L62),0))</f>
        <v>0</v>
      </c>
    </row>
    <row r="64" spans="1:12" ht="15.75" customHeight="1" x14ac:dyDescent="0.3">
      <c r="A64" s="200" t="s">
        <v>226</v>
      </c>
      <c r="B64" s="201" t="s">
        <v>227</v>
      </c>
      <c r="C64" s="66">
        <v>6</v>
      </c>
      <c r="D64" s="198">
        <f ca="1">((100/(I56))*C64)/100</f>
        <v>0.85714285714285721</v>
      </c>
      <c r="E64" s="199"/>
      <c r="F64" s="230"/>
      <c r="G64" s="230"/>
      <c r="H64" s="223"/>
      <c r="I64" s="224"/>
      <c r="J64" s="225"/>
      <c r="K64" s="51" t="s">
        <v>228</v>
      </c>
      <c r="L64" s="69">
        <f>(IF(B56&gt;2,(I56/(B56+2)+L63),0))</f>
        <v>0</v>
      </c>
    </row>
    <row r="65" spans="1:17" ht="15.75" customHeight="1" x14ac:dyDescent="0.3">
      <c r="A65" s="200" t="s">
        <v>229</v>
      </c>
      <c r="B65" s="201" t="s">
        <v>229</v>
      </c>
      <c r="C65" s="66">
        <v>3</v>
      </c>
      <c r="D65" s="198">
        <f ca="1">((100/I56)*C65)/100</f>
        <v>0.4285714285714286</v>
      </c>
      <c r="E65" s="199"/>
      <c r="F65" s="230"/>
      <c r="G65" s="230"/>
      <c r="H65" s="223"/>
      <c r="I65" s="224"/>
      <c r="J65" s="225"/>
      <c r="K65" s="51" t="s">
        <v>230</v>
      </c>
      <c r="L65" s="70">
        <f>(IF(B56&gt;3,(I56/(B56+2)+L64),0))</f>
        <v>0</v>
      </c>
    </row>
    <row r="66" spans="1:17" ht="15.75" customHeight="1" x14ac:dyDescent="0.3">
      <c r="A66" s="200" t="s">
        <v>231</v>
      </c>
      <c r="B66" s="201"/>
      <c r="C66" s="66">
        <v>2</v>
      </c>
      <c r="D66" s="198">
        <f ca="1">((100/I56)*C66)/100</f>
        <v>0.28571428571428575</v>
      </c>
      <c r="E66" s="199"/>
      <c r="F66" s="230"/>
      <c r="G66" s="230"/>
      <c r="H66" s="223"/>
      <c r="I66" s="224"/>
      <c r="J66" s="225"/>
      <c r="K66" s="51" t="s">
        <v>232</v>
      </c>
      <c r="L66" s="69">
        <f>(IF(B56&gt;4,(I56/(B56+2)+L65),0))</f>
        <v>0</v>
      </c>
    </row>
    <row r="67" spans="1:17" ht="15.75" customHeight="1" x14ac:dyDescent="0.3">
      <c r="A67" s="233" t="s">
        <v>233</v>
      </c>
      <c r="B67" s="218" t="s">
        <v>233</v>
      </c>
      <c r="C67" s="66">
        <v>0</v>
      </c>
      <c r="D67" s="198">
        <f ca="1">((100/(I56))*C67)/100</f>
        <v>0</v>
      </c>
      <c r="E67" s="199"/>
      <c r="F67" s="230"/>
      <c r="G67" s="230"/>
      <c r="H67" s="223"/>
      <c r="I67" s="224"/>
      <c r="J67" s="225"/>
      <c r="K67" s="51" t="s">
        <v>234</v>
      </c>
      <c r="L67" s="69">
        <f ca="1">(IF(B56=1,(I56/(B56+3)+L62),IF(B56=0,(I56/4+L62),IF(B56&gt;1,0))))</f>
        <v>5.25</v>
      </c>
    </row>
    <row r="68" spans="1:17" ht="16.5" customHeight="1" thickBot="1" x14ac:dyDescent="0.35">
      <c r="A68" s="234" t="s">
        <v>235</v>
      </c>
      <c r="B68" s="235"/>
      <c r="C68" s="71">
        <v>0</v>
      </c>
      <c r="D68" s="236">
        <f ca="1">((100/(I56))*C68)/100</f>
        <v>0</v>
      </c>
      <c r="E68" s="237"/>
      <c r="F68" s="231"/>
      <c r="G68" s="231"/>
      <c r="H68" s="226"/>
      <c r="I68" s="227"/>
      <c r="J68" s="228"/>
      <c r="K68" s="52" t="s">
        <v>236</v>
      </c>
      <c r="L68" s="72">
        <f ca="1">(IF(B56&gt;1.5,(I56/(B56+2)+L62+MAX(0,L63-L62)+MAX(0,L64-L63)+MAX(0,L65-L64)+MAX(0,L66-L65)+MAX(0,L67-L66)),IF(B56=1,(I56/(B56+3)+L67),IF(B56=0,I56/4+L67))))</f>
        <v>7</v>
      </c>
    </row>
    <row r="69" spans="1:17" x14ac:dyDescent="0.3">
      <c r="A69" s="87" t="s">
        <v>59</v>
      </c>
      <c r="B69" s="88"/>
      <c r="C69" s="88"/>
      <c r="D69" s="88"/>
      <c r="E69" s="88"/>
      <c r="F69" s="88"/>
      <c r="G69" s="88"/>
      <c r="H69" s="88"/>
      <c r="I69" s="88"/>
      <c r="J69" s="89"/>
      <c r="K69" s="17"/>
    </row>
    <row r="70" spans="1:17" x14ac:dyDescent="0.3">
      <c r="A70" s="87" t="s">
        <v>52</v>
      </c>
      <c r="B70" s="88"/>
      <c r="C70" s="88"/>
      <c r="D70" s="88"/>
      <c r="E70" s="88"/>
      <c r="F70" s="88"/>
      <c r="G70" s="88"/>
      <c r="H70" s="88"/>
      <c r="I70" s="88"/>
      <c r="J70" s="89"/>
      <c r="K70" s="17"/>
    </row>
    <row r="71" spans="1:17" ht="15" customHeight="1" x14ac:dyDescent="0.3">
      <c r="A71" s="189" t="s">
        <v>78</v>
      </c>
      <c r="B71" s="190"/>
      <c r="C71" s="190"/>
      <c r="D71" s="190"/>
      <c r="E71" s="190"/>
      <c r="F71" s="190"/>
      <c r="G71" s="190"/>
      <c r="H71" s="190"/>
      <c r="I71" s="190"/>
      <c r="J71" s="191"/>
      <c r="K71" s="58"/>
    </row>
    <row r="72" spans="1:17" x14ac:dyDescent="0.3">
      <c r="A72" s="192"/>
      <c r="B72" s="193"/>
      <c r="C72" s="193"/>
      <c r="D72" s="193"/>
      <c r="E72" s="193"/>
      <c r="F72" s="193"/>
      <c r="G72" s="193"/>
      <c r="H72" s="193"/>
      <c r="I72" s="193"/>
      <c r="J72" s="194"/>
      <c r="K72" s="58"/>
    </row>
    <row r="73" spans="1:17" ht="2.25" customHeight="1" x14ac:dyDescent="0.3">
      <c r="A73" s="192"/>
      <c r="B73" s="193"/>
      <c r="C73" s="193"/>
      <c r="D73" s="193"/>
      <c r="E73" s="193"/>
      <c r="F73" s="193"/>
      <c r="G73" s="193"/>
      <c r="H73" s="193"/>
      <c r="I73" s="193"/>
      <c r="J73" s="194"/>
      <c r="K73" s="58"/>
    </row>
    <row r="74" spans="1:17" ht="15" hidden="1" customHeight="1" x14ac:dyDescent="0.3">
      <c r="A74" s="192"/>
      <c r="B74" s="193"/>
      <c r="C74" s="193"/>
      <c r="D74" s="193"/>
      <c r="E74" s="193"/>
      <c r="F74" s="193"/>
      <c r="G74" s="193"/>
      <c r="H74" s="193"/>
      <c r="I74" s="193"/>
      <c r="J74" s="194"/>
      <c r="K74" s="58"/>
    </row>
    <row r="75" spans="1:17" ht="15" hidden="1" customHeight="1" x14ac:dyDescent="0.3">
      <c r="A75" s="192"/>
      <c r="B75" s="193"/>
      <c r="C75" s="193"/>
      <c r="D75" s="193"/>
      <c r="E75" s="193"/>
      <c r="F75" s="193"/>
      <c r="G75" s="193"/>
      <c r="H75" s="193"/>
      <c r="I75" s="193"/>
      <c r="J75" s="194"/>
      <c r="K75" s="58"/>
    </row>
    <row r="76" spans="1:17" ht="15" hidden="1" customHeight="1" x14ac:dyDescent="0.3">
      <c r="A76" s="192"/>
      <c r="B76" s="193"/>
      <c r="C76" s="193"/>
      <c r="D76" s="193"/>
      <c r="E76" s="193"/>
      <c r="F76" s="193"/>
      <c r="G76" s="193"/>
      <c r="H76" s="193"/>
      <c r="I76" s="193"/>
      <c r="J76" s="194"/>
      <c r="K76" s="58"/>
    </row>
    <row r="77" spans="1:17" ht="15" hidden="1" customHeight="1" x14ac:dyDescent="0.3">
      <c r="A77" s="195"/>
      <c r="B77" s="196"/>
      <c r="C77" s="196"/>
      <c r="D77" s="196"/>
      <c r="E77" s="196"/>
      <c r="F77" s="196"/>
      <c r="G77" s="196"/>
      <c r="H77" s="196"/>
      <c r="I77" s="196"/>
      <c r="J77" s="197"/>
      <c r="K77" s="58"/>
    </row>
    <row r="78" spans="1:17" x14ac:dyDescent="0.3">
      <c r="A78" s="150" t="s">
        <v>24</v>
      </c>
      <c r="B78" s="150"/>
      <c r="C78" s="150"/>
      <c r="D78" s="150"/>
      <c r="E78" s="150"/>
      <c r="F78" s="150"/>
      <c r="G78" s="150"/>
      <c r="H78" s="150"/>
      <c r="I78" s="150"/>
      <c r="J78" s="150"/>
      <c r="K78" s="31"/>
    </row>
    <row r="79" spans="1:17" x14ac:dyDescent="0.3">
      <c r="A79" s="133" t="s">
        <v>181</v>
      </c>
      <c r="B79" s="138"/>
      <c r="C79" s="138"/>
      <c r="D79" s="138"/>
      <c r="E79" s="138"/>
      <c r="F79" s="138"/>
      <c r="G79" s="174">
        <v>3800</v>
      </c>
      <c r="H79" s="174"/>
      <c r="I79" s="174"/>
      <c r="J79" s="174"/>
      <c r="K79" s="17"/>
      <c r="O79" s="79" t="s">
        <v>245</v>
      </c>
      <c r="P79" s="80">
        <v>45168</v>
      </c>
      <c r="Q79" s="79" t="s">
        <v>246</v>
      </c>
    </row>
    <row r="80" spans="1:17" x14ac:dyDescent="0.3">
      <c r="A80" s="133" t="s">
        <v>182</v>
      </c>
      <c r="B80" s="138"/>
      <c r="C80" s="138"/>
      <c r="D80" s="138"/>
      <c r="E80" s="138"/>
      <c r="F80" s="138"/>
      <c r="G80" s="133">
        <v>8000</v>
      </c>
      <c r="H80" s="133"/>
      <c r="I80" s="133"/>
      <c r="J80" s="133"/>
      <c r="K80" s="17"/>
    </row>
    <row r="81" spans="1:14" ht="17.25" hidden="1" customHeight="1" x14ac:dyDescent="0.3">
      <c r="A81" s="133" t="s">
        <v>77</v>
      </c>
      <c r="B81" s="138"/>
      <c r="C81" s="138"/>
      <c r="D81" s="138"/>
      <c r="E81" s="138"/>
      <c r="F81" s="138"/>
      <c r="G81" s="130" t="s">
        <v>53</v>
      </c>
      <c r="H81" s="130"/>
      <c r="I81" s="130"/>
      <c r="J81" s="130"/>
      <c r="K81" s="19"/>
    </row>
    <row r="82" spans="1:14" ht="17.25" hidden="1" customHeight="1" x14ac:dyDescent="0.3">
      <c r="A82" s="133" t="s">
        <v>113</v>
      </c>
      <c r="B82" s="133"/>
      <c r="C82" s="133"/>
      <c r="D82" s="133"/>
      <c r="E82" s="133"/>
      <c r="F82" s="133"/>
      <c r="G82" s="130" t="s">
        <v>53</v>
      </c>
      <c r="H82" s="130"/>
      <c r="I82" s="130"/>
      <c r="J82" s="130"/>
      <c r="K82" s="19"/>
    </row>
    <row r="83" spans="1:14" ht="17.25" hidden="1" customHeight="1" x14ac:dyDescent="0.3">
      <c r="A83" s="133" t="s">
        <v>114</v>
      </c>
      <c r="B83" s="133"/>
      <c r="C83" s="133"/>
      <c r="D83" s="133"/>
      <c r="E83" s="133"/>
      <c r="F83" s="133"/>
      <c r="G83" s="130" t="s">
        <v>53</v>
      </c>
      <c r="H83" s="130"/>
      <c r="I83" s="130"/>
      <c r="J83" s="130"/>
      <c r="K83" s="19"/>
    </row>
    <row r="84" spans="1:14" ht="15" customHeight="1" x14ac:dyDescent="0.3">
      <c r="A84" s="133" t="s">
        <v>183</v>
      </c>
      <c r="B84" s="133"/>
      <c r="C84" s="133"/>
      <c r="D84" s="133"/>
      <c r="E84" s="133"/>
      <c r="F84" s="133"/>
      <c r="G84" s="130" t="s">
        <v>155</v>
      </c>
      <c r="H84" s="130"/>
      <c r="I84" s="130"/>
      <c r="J84" s="130"/>
      <c r="K84" s="19"/>
    </row>
    <row r="85" spans="1:14" x14ac:dyDescent="0.3">
      <c r="A85" s="133" t="s">
        <v>102</v>
      </c>
      <c r="B85" s="138"/>
      <c r="C85" s="138"/>
      <c r="D85" s="138"/>
      <c r="E85" s="138"/>
      <c r="F85" s="138"/>
      <c r="G85" s="130" t="s">
        <v>200</v>
      </c>
      <c r="H85" s="130"/>
      <c r="I85" s="130"/>
      <c r="J85" s="130"/>
      <c r="K85" s="19"/>
    </row>
    <row r="86" spans="1:14" hidden="1" x14ac:dyDescent="0.3">
      <c r="A86" s="133" t="s">
        <v>25</v>
      </c>
      <c r="B86" s="133"/>
      <c r="C86" s="133"/>
      <c r="D86" s="133"/>
      <c r="E86" s="133"/>
      <c r="F86" s="133"/>
      <c r="G86" s="130" t="s">
        <v>53</v>
      </c>
      <c r="H86" s="130"/>
      <c r="I86" s="130"/>
      <c r="J86" s="130"/>
      <c r="K86" s="19"/>
    </row>
    <row r="87" spans="1:14" s="73" customFormat="1" ht="14.55" customHeight="1" x14ac:dyDescent="0.3">
      <c r="A87" s="174" t="s">
        <v>115</v>
      </c>
      <c r="B87" s="150"/>
      <c r="C87" s="150"/>
      <c r="D87" s="150"/>
      <c r="E87" s="150"/>
      <c r="F87" s="150"/>
      <c r="G87" s="133">
        <f>G79*0.8</f>
        <v>3040</v>
      </c>
      <c r="H87" s="133"/>
      <c r="I87" s="133"/>
      <c r="J87" s="133"/>
      <c r="K87" s="17"/>
    </row>
    <row r="88" spans="1:14" s="73" customFormat="1" ht="17.399999999999999" x14ac:dyDescent="0.3">
      <c r="A88" s="175" t="s">
        <v>116</v>
      </c>
      <c r="B88" s="175"/>
      <c r="C88" s="175"/>
      <c r="D88" s="175"/>
      <c r="E88" s="175"/>
      <c r="F88" s="175"/>
      <c r="G88" s="175"/>
      <c r="H88" s="175"/>
      <c r="I88" s="175"/>
      <c r="J88" s="175"/>
      <c r="K88" s="32"/>
    </row>
    <row r="89" spans="1:14" x14ac:dyDescent="0.3">
      <c r="A89" s="176" t="s">
        <v>48</v>
      </c>
      <c r="B89" s="176"/>
      <c r="C89" s="176"/>
      <c r="D89" s="176"/>
      <c r="E89" s="176"/>
      <c r="F89" s="176"/>
      <c r="G89" s="176"/>
      <c r="H89" s="176"/>
      <c r="I89" s="176"/>
      <c r="J89" s="176"/>
      <c r="K89" s="33"/>
    </row>
    <row r="90" spans="1:14" ht="46.8" x14ac:dyDescent="0.3">
      <c r="A90" s="177" t="s">
        <v>33</v>
      </c>
      <c r="B90" s="177"/>
      <c r="C90" s="4" t="s">
        <v>30</v>
      </c>
      <c r="D90" s="178" t="s">
        <v>80</v>
      </c>
      <c r="E90" s="178"/>
      <c r="F90" s="11" t="s">
        <v>31</v>
      </c>
      <c r="G90" s="4" t="s">
        <v>180</v>
      </c>
      <c r="H90" s="4" t="s">
        <v>32</v>
      </c>
      <c r="I90" s="177" t="s">
        <v>117</v>
      </c>
      <c r="J90" s="177"/>
      <c r="K90" s="34"/>
    </row>
    <row r="91" spans="1:14" ht="19.5" customHeight="1" x14ac:dyDescent="0.3">
      <c r="A91" s="151" t="s">
        <v>184</v>
      </c>
      <c r="B91" s="152"/>
      <c r="C91" s="152"/>
      <c r="D91" s="152"/>
      <c r="E91" s="152"/>
      <c r="F91" s="152"/>
      <c r="G91" s="152"/>
      <c r="H91" s="152"/>
      <c r="I91" s="152"/>
      <c r="J91" s="153"/>
      <c r="K91" s="35"/>
    </row>
    <row r="92" spans="1:14" ht="19.5" customHeight="1" x14ac:dyDescent="0.3">
      <c r="A92" s="151" t="s">
        <v>179</v>
      </c>
      <c r="B92" s="152"/>
      <c r="C92" s="152"/>
      <c r="D92" s="152"/>
      <c r="E92" s="152"/>
      <c r="F92" s="152"/>
      <c r="G92" s="152"/>
      <c r="H92" s="152"/>
      <c r="I92" s="152"/>
      <c r="J92" s="153"/>
      <c r="K92" s="35"/>
    </row>
    <row r="93" spans="1:14" ht="19.5" customHeight="1" x14ac:dyDescent="0.3">
      <c r="A93" s="148">
        <v>1</v>
      </c>
      <c r="B93" s="149"/>
      <c r="C93" s="10" t="s">
        <v>172</v>
      </c>
      <c r="D93" s="148">
        <f>L93*N93</f>
        <v>194.82840000000002</v>
      </c>
      <c r="E93" s="149"/>
      <c r="F93" s="10">
        <v>0</v>
      </c>
      <c r="G93" s="10">
        <v>390</v>
      </c>
      <c r="H93" s="10" t="s">
        <v>159</v>
      </c>
      <c r="I93" s="158" t="str">
        <f>A92</f>
        <v>Ground Floor for Shops &amp; Parking</v>
      </c>
      <c r="J93" s="159"/>
      <c r="K93" s="53"/>
      <c r="L93" s="148">
        <v>18.100000000000001</v>
      </c>
      <c r="M93" s="149"/>
      <c r="N93">
        <v>10.763999999999999</v>
      </c>
    </row>
    <row r="94" spans="1:14" ht="19.5" customHeight="1" x14ac:dyDescent="0.3">
      <c r="A94" s="148">
        <v>2</v>
      </c>
      <c r="B94" s="149"/>
      <c r="C94" s="10" t="s">
        <v>172</v>
      </c>
      <c r="D94" s="148">
        <f>L94*N94</f>
        <v>274.05144000000001</v>
      </c>
      <c r="E94" s="149"/>
      <c r="F94" s="10">
        <v>0</v>
      </c>
      <c r="G94" s="10">
        <v>550</v>
      </c>
      <c r="H94" s="10" t="s">
        <v>159</v>
      </c>
      <c r="I94" s="160"/>
      <c r="J94" s="161"/>
      <c r="K94" s="53"/>
      <c r="L94" s="148">
        <v>25.46</v>
      </c>
      <c r="M94" s="149"/>
      <c r="N94">
        <v>10.763999999999999</v>
      </c>
    </row>
    <row r="95" spans="1:14" ht="19.5" customHeight="1" x14ac:dyDescent="0.3">
      <c r="A95" s="148">
        <v>3</v>
      </c>
      <c r="B95" s="149"/>
      <c r="C95" s="10" t="s">
        <v>172</v>
      </c>
      <c r="D95" s="148">
        <f>L95*N95</f>
        <v>274.05144000000001</v>
      </c>
      <c r="E95" s="149"/>
      <c r="F95" s="10">
        <v>0</v>
      </c>
      <c r="G95" s="10">
        <v>550</v>
      </c>
      <c r="H95" s="10" t="s">
        <v>159</v>
      </c>
      <c r="I95" s="160"/>
      <c r="J95" s="161"/>
      <c r="K95" s="53"/>
      <c r="L95" s="148">
        <v>25.46</v>
      </c>
      <c r="M95" s="149"/>
      <c r="N95">
        <v>10.763999999999999</v>
      </c>
    </row>
    <row r="96" spans="1:14" ht="19.5" customHeight="1" x14ac:dyDescent="0.3">
      <c r="A96" s="148">
        <v>4</v>
      </c>
      <c r="B96" s="149"/>
      <c r="C96" s="10" t="s">
        <v>172</v>
      </c>
      <c r="D96" s="148">
        <f>L96*N96</f>
        <v>194.82840000000002</v>
      </c>
      <c r="E96" s="149"/>
      <c r="F96" s="10">
        <v>0</v>
      </c>
      <c r="G96" s="10">
        <v>390</v>
      </c>
      <c r="H96" s="10" t="s">
        <v>159</v>
      </c>
      <c r="I96" s="162"/>
      <c r="J96" s="163"/>
      <c r="K96" s="53"/>
      <c r="L96" s="148">
        <v>18.100000000000001</v>
      </c>
      <c r="M96" s="149"/>
      <c r="N96">
        <v>10.763999999999999</v>
      </c>
    </row>
    <row r="97" spans="1:14" ht="19.5" customHeight="1" x14ac:dyDescent="0.3">
      <c r="A97" s="155" t="s">
        <v>156</v>
      </c>
      <c r="B97" s="156"/>
      <c r="C97" s="156"/>
      <c r="D97" s="156"/>
      <c r="E97" s="156"/>
      <c r="F97" s="156"/>
      <c r="G97" s="156"/>
      <c r="H97" s="156"/>
      <c r="I97" s="156"/>
      <c r="J97" s="157"/>
      <c r="K97" s="35"/>
    </row>
    <row r="98" spans="1:14" ht="19.5" customHeight="1" x14ac:dyDescent="0.3">
      <c r="A98" s="148">
        <v>101</v>
      </c>
      <c r="B98" s="149"/>
      <c r="C98" s="10" t="s">
        <v>157</v>
      </c>
      <c r="D98" s="148">
        <f>(L98+M98)*N98</f>
        <v>343.42541999999997</v>
      </c>
      <c r="E98" s="149"/>
      <c r="F98" s="10">
        <v>0</v>
      </c>
      <c r="G98" s="10">
        <v>580</v>
      </c>
      <c r="H98" s="10" t="s">
        <v>159</v>
      </c>
      <c r="I98" s="158" t="str">
        <f>A97</f>
        <v xml:space="preserve">1st Floor </v>
      </c>
      <c r="J98" s="159"/>
      <c r="K98" s="36"/>
      <c r="L98">
        <f>28.38</f>
        <v>28.38</v>
      </c>
      <c r="M98">
        <f>0.75*1.95+0.75*2.75</f>
        <v>3.5249999999999999</v>
      </c>
      <c r="N98">
        <v>10.763999999999999</v>
      </c>
    </row>
    <row r="99" spans="1:14" ht="19.5" customHeight="1" x14ac:dyDescent="0.3">
      <c r="A99" s="148">
        <v>102</v>
      </c>
      <c r="B99" s="149"/>
      <c r="C99" s="10" t="s">
        <v>158</v>
      </c>
      <c r="D99" s="148">
        <f t="shared" ref="D99:D106" si="0">(L99+M99)*N99</f>
        <v>272.54447999999996</v>
      </c>
      <c r="E99" s="149"/>
      <c r="F99" s="10">
        <v>0</v>
      </c>
      <c r="G99" s="10">
        <v>430</v>
      </c>
      <c r="H99" s="10" t="s">
        <v>159</v>
      </c>
      <c r="I99" s="160"/>
      <c r="J99" s="161"/>
      <c r="K99" s="36"/>
      <c r="L99">
        <v>20.52</v>
      </c>
      <c r="M99">
        <f>0.75*2.15+0.75*4.25</f>
        <v>4.8</v>
      </c>
      <c r="N99">
        <v>10.763999999999999</v>
      </c>
    </row>
    <row r="100" spans="1:14" ht="19.5" customHeight="1" x14ac:dyDescent="0.3">
      <c r="A100" s="148">
        <v>103</v>
      </c>
      <c r="B100" s="149"/>
      <c r="C100" s="10" t="s">
        <v>158</v>
      </c>
      <c r="D100" s="148">
        <f t="shared" si="0"/>
        <v>272.54447999999996</v>
      </c>
      <c r="E100" s="149"/>
      <c r="F100" s="10">
        <v>0</v>
      </c>
      <c r="G100" s="10">
        <v>430</v>
      </c>
      <c r="H100" s="10" t="s">
        <v>159</v>
      </c>
      <c r="I100" s="160"/>
      <c r="J100" s="161"/>
      <c r="K100" s="36"/>
      <c r="L100">
        <v>20.52</v>
      </c>
      <c r="M100">
        <f>0.75*2.15+0.75*4.25</f>
        <v>4.8</v>
      </c>
      <c r="N100">
        <v>10.763999999999999</v>
      </c>
    </row>
    <row r="101" spans="1:14" ht="19.5" customHeight="1" x14ac:dyDescent="0.3">
      <c r="A101" s="148">
        <v>104</v>
      </c>
      <c r="B101" s="149"/>
      <c r="C101" s="10" t="s">
        <v>157</v>
      </c>
      <c r="D101" s="148">
        <f t="shared" si="0"/>
        <v>343.42541999999997</v>
      </c>
      <c r="E101" s="149"/>
      <c r="F101" s="10">
        <v>0</v>
      </c>
      <c r="G101" s="10">
        <v>580</v>
      </c>
      <c r="H101" s="10" t="s">
        <v>159</v>
      </c>
      <c r="I101" s="160"/>
      <c r="J101" s="161"/>
      <c r="K101" s="36"/>
      <c r="L101">
        <v>28.38</v>
      </c>
      <c r="M101">
        <f>0.75*1.95+0.75*2.75</f>
        <v>3.5249999999999999</v>
      </c>
      <c r="N101">
        <v>10.763999999999999</v>
      </c>
    </row>
    <row r="102" spans="1:14" ht="19.5" customHeight="1" x14ac:dyDescent="0.3">
      <c r="A102" s="148">
        <v>105</v>
      </c>
      <c r="B102" s="149"/>
      <c r="C102" s="10" t="s">
        <v>157</v>
      </c>
      <c r="D102" s="148">
        <f t="shared" si="0"/>
        <v>343.42541999999997</v>
      </c>
      <c r="E102" s="149"/>
      <c r="F102" s="10">
        <v>0</v>
      </c>
      <c r="G102" s="10">
        <v>580</v>
      </c>
      <c r="H102" s="10" t="s">
        <v>159</v>
      </c>
      <c r="I102" s="160"/>
      <c r="J102" s="161"/>
      <c r="K102" s="36"/>
      <c r="L102">
        <v>28.38</v>
      </c>
      <c r="M102">
        <f>0.75*1.95+0.75*2.75</f>
        <v>3.5249999999999999</v>
      </c>
      <c r="N102">
        <v>10.763999999999999</v>
      </c>
    </row>
    <row r="103" spans="1:14" ht="19.5" customHeight="1" x14ac:dyDescent="0.3">
      <c r="A103" s="148">
        <v>106</v>
      </c>
      <c r="B103" s="149"/>
      <c r="C103" s="10" t="s">
        <v>157</v>
      </c>
      <c r="D103" s="148">
        <f t="shared" si="0"/>
        <v>350.09909999999996</v>
      </c>
      <c r="E103" s="149"/>
      <c r="F103" s="10">
        <v>0</v>
      </c>
      <c r="G103" s="10">
        <v>580</v>
      </c>
      <c r="H103" s="10" t="s">
        <v>159</v>
      </c>
      <c r="I103" s="160"/>
      <c r="J103" s="161"/>
      <c r="K103" s="36"/>
      <c r="L103">
        <v>29</v>
      </c>
      <c r="M103">
        <f>0.75*1.8+0.75*2.9</f>
        <v>3.5249999999999999</v>
      </c>
      <c r="N103">
        <v>10.763999999999999</v>
      </c>
    </row>
    <row r="104" spans="1:14" ht="19.5" customHeight="1" x14ac:dyDescent="0.3">
      <c r="A104" s="148">
        <v>107</v>
      </c>
      <c r="B104" s="149"/>
      <c r="C104" s="10" t="s">
        <v>157</v>
      </c>
      <c r="D104" s="148">
        <f t="shared" si="0"/>
        <v>388.25747999999999</v>
      </c>
      <c r="E104" s="149"/>
      <c r="F104" s="10">
        <v>0</v>
      </c>
      <c r="G104" s="10">
        <v>720</v>
      </c>
      <c r="H104" s="10" t="s">
        <v>159</v>
      </c>
      <c r="I104" s="160"/>
      <c r="J104" s="161"/>
      <c r="K104" s="36"/>
      <c r="L104">
        <v>31.27</v>
      </c>
      <c r="M104">
        <f>0.75*3.5+0.75*2.9</f>
        <v>4.8</v>
      </c>
      <c r="N104">
        <v>10.763999999999999</v>
      </c>
    </row>
    <row r="105" spans="1:14" ht="19.5" customHeight="1" x14ac:dyDescent="0.3">
      <c r="A105" s="148">
        <v>108</v>
      </c>
      <c r="B105" s="149"/>
      <c r="C105" s="10" t="s">
        <v>157</v>
      </c>
      <c r="D105" s="148">
        <f>(L105+M105)*N105</f>
        <v>388.25747999999999</v>
      </c>
      <c r="E105" s="149"/>
      <c r="F105" s="10">
        <v>0</v>
      </c>
      <c r="G105" s="10">
        <v>720</v>
      </c>
      <c r="H105" s="10" t="s">
        <v>159</v>
      </c>
      <c r="I105" s="160"/>
      <c r="J105" s="161"/>
      <c r="K105" s="36"/>
      <c r="L105">
        <v>31.27</v>
      </c>
      <c r="M105">
        <f>0.75*3.5+0.75*2.9</f>
        <v>4.8</v>
      </c>
      <c r="N105">
        <v>10.763999999999999</v>
      </c>
    </row>
    <row r="106" spans="1:14" ht="19.5" customHeight="1" x14ac:dyDescent="0.3">
      <c r="A106" s="148">
        <v>109</v>
      </c>
      <c r="B106" s="149"/>
      <c r="C106" s="10" t="s">
        <v>157</v>
      </c>
      <c r="D106" s="148">
        <f t="shared" si="0"/>
        <v>350.09909999999996</v>
      </c>
      <c r="E106" s="149"/>
      <c r="F106" s="10">
        <v>0</v>
      </c>
      <c r="G106" s="10">
        <v>580</v>
      </c>
      <c r="H106" s="10" t="s">
        <v>159</v>
      </c>
      <c r="I106" s="162"/>
      <c r="J106" s="163"/>
      <c r="K106" s="36"/>
      <c r="L106">
        <v>29</v>
      </c>
      <c r="M106">
        <f>0.75*1.8+0.75*2.9</f>
        <v>3.5249999999999999</v>
      </c>
      <c r="N106">
        <v>10.763999999999999</v>
      </c>
    </row>
    <row r="107" spans="1:14" ht="19.5" customHeight="1" x14ac:dyDescent="0.3">
      <c r="A107" s="151" t="s">
        <v>160</v>
      </c>
      <c r="B107" s="152"/>
      <c r="C107" s="152"/>
      <c r="D107" s="152"/>
      <c r="E107" s="152"/>
      <c r="F107" s="152"/>
      <c r="G107" s="152"/>
      <c r="H107" s="152"/>
      <c r="I107" s="152"/>
      <c r="J107" s="153"/>
      <c r="K107" s="35"/>
    </row>
    <row r="108" spans="1:14" ht="19.5" customHeight="1" x14ac:dyDescent="0.3">
      <c r="A108" s="148">
        <v>1</v>
      </c>
      <c r="B108" s="149"/>
      <c r="C108" s="10" t="s">
        <v>157</v>
      </c>
      <c r="D108" s="148">
        <f>(L108+M108)*N108</f>
        <v>343.42541999999997</v>
      </c>
      <c r="E108" s="149"/>
      <c r="F108" s="10">
        <v>0</v>
      </c>
      <c r="G108" s="10">
        <v>580</v>
      </c>
      <c r="H108" s="10" t="s">
        <v>159</v>
      </c>
      <c r="I108" s="158" t="str">
        <f>A107</f>
        <v>2nd, 4th Floor &amp; 6th Floor</v>
      </c>
      <c r="J108" s="159"/>
      <c r="K108" s="36"/>
      <c r="L108">
        <f>28.38</f>
        <v>28.38</v>
      </c>
      <c r="M108">
        <f>0.75*1.95+0.75*2.75</f>
        <v>3.5249999999999999</v>
      </c>
      <c r="N108">
        <v>10.763999999999999</v>
      </c>
    </row>
    <row r="109" spans="1:14" ht="19.5" customHeight="1" x14ac:dyDescent="0.3">
      <c r="A109" s="148">
        <v>2</v>
      </c>
      <c r="B109" s="149"/>
      <c r="C109" s="10" t="s">
        <v>158</v>
      </c>
      <c r="D109" s="148">
        <f t="shared" ref="D109:D115" si="1">(L109+M109)*N109</f>
        <v>272.54447999999996</v>
      </c>
      <c r="E109" s="149"/>
      <c r="F109" s="10">
        <v>0</v>
      </c>
      <c r="G109" s="10">
        <v>430</v>
      </c>
      <c r="H109" s="10" t="s">
        <v>159</v>
      </c>
      <c r="I109" s="160"/>
      <c r="J109" s="161"/>
      <c r="K109" s="36"/>
      <c r="L109">
        <v>20.52</v>
      </c>
      <c r="M109">
        <f>0.75*2.15+0.75*4.25</f>
        <v>4.8</v>
      </c>
      <c r="N109">
        <v>10.763999999999999</v>
      </c>
    </row>
    <row r="110" spans="1:14" ht="19.5" customHeight="1" x14ac:dyDescent="0.3">
      <c r="A110" s="148">
        <v>3</v>
      </c>
      <c r="B110" s="149"/>
      <c r="C110" s="10" t="s">
        <v>158</v>
      </c>
      <c r="D110" s="148">
        <f t="shared" si="1"/>
        <v>272.54447999999996</v>
      </c>
      <c r="E110" s="149"/>
      <c r="F110" s="10">
        <v>0</v>
      </c>
      <c r="G110" s="10">
        <v>430</v>
      </c>
      <c r="H110" s="10" t="s">
        <v>159</v>
      </c>
      <c r="I110" s="160"/>
      <c r="J110" s="161"/>
      <c r="K110" s="36"/>
      <c r="L110">
        <v>20.52</v>
      </c>
      <c r="M110">
        <f>0.75*2.15+0.75*4.25</f>
        <v>4.8</v>
      </c>
      <c r="N110">
        <v>10.763999999999999</v>
      </c>
    </row>
    <row r="111" spans="1:14" ht="19.5" customHeight="1" x14ac:dyDescent="0.3">
      <c r="A111" s="148">
        <v>4</v>
      </c>
      <c r="B111" s="149"/>
      <c r="C111" s="10" t="s">
        <v>157</v>
      </c>
      <c r="D111" s="148">
        <f t="shared" si="1"/>
        <v>343.42541999999997</v>
      </c>
      <c r="E111" s="149"/>
      <c r="F111" s="10">
        <v>0</v>
      </c>
      <c r="G111" s="10">
        <v>580</v>
      </c>
      <c r="H111" s="10" t="s">
        <v>159</v>
      </c>
      <c r="I111" s="160"/>
      <c r="J111" s="161"/>
      <c r="K111" s="36">
        <f>G111*3600+195000</f>
        <v>2283000</v>
      </c>
      <c r="L111">
        <v>28.38</v>
      </c>
      <c r="M111">
        <f>0.75*1.95+0.75*2.75</f>
        <v>3.5249999999999999</v>
      </c>
      <c r="N111">
        <v>10.763999999999999</v>
      </c>
    </row>
    <row r="112" spans="1:14" ht="19.5" customHeight="1" x14ac:dyDescent="0.3">
      <c r="A112" s="148">
        <v>5</v>
      </c>
      <c r="B112" s="149"/>
      <c r="C112" s="10" t="s">
        <v>157</v>
      </c>
      <c r="D112" s="148">
        <f t="shared" si="1"/>
        <v>343.42541999999997</v>
      </c>
      <c r="E112" s="149"/>
      <c r="F112" s="10">
        <v>0</v>
      </c>
      <c r="G112" s="10">
        <v>580</v>
      </c>
      <c r="H112" s="10" t="s">
        <v>159</v>
      </c>
      <c r="I112" s="160"/>
      <c r="J112" s="161"/>
      <c r="K112" s="36"/>
      <c r="L112">
        <v>28.38</v>
      </c>
      <c r="M112">
        <f>0.75*1.95+0.75*2.75</f>
        <v>3.5249999999999999</v>
      </c>
      <c r="N112">
        <v>10.763999999999999</v>
      </c>
    </row>
    <row r="113" spans="1:14" ht="19.5" customHeight="1" x14ac:dyDescent="0.3">
      <c r="A113" s="148">
        <v>6</v>
      </c>
      <c r="B113" s="149"/>
      <c r="C113" s="10" t="s">
        <v>157</v>
      </c>
      <c r="D113" s="148">
        <f t="shared" si="1"/>
        <v>350.09909999999996</v>
      </c>
      <c r="E113" s="149"/>
      <c r="F113" s="10">
        <v>0</v>
      </c>
      <c r="G113" s="10">
        <v>580</v>
      </c>
      <c r="H113" s="10" t="s">
        <v>159</v>
      </c>
      <c r="I113" s="160"/>
      <c r="J113" s="161"/>
      <c r="K113" s="36"/>
      <c r="L113">
        <v>29</v>
      </c>
      <c r="M113">
        <f>0.75*1.8+0.75*2.9</f>
        <v>3.5249999999999999</v>
      </c>
      <c r="N113">
        <v>10.763999999999999</v>
      </c>
    </row>
    <row r="114" spans="1:14" ht="19.5" customHeight="1" x14ac:dyDescent="0.3">
      <c r="A114" s="148">
        <v>7</v>
      </c>
      <c r="B114" s="149"/>
      <c r="C114" s="10" t="s">
        <v>157</v>
      </c>
      <c r="D114" s="148">
        <f t="shared" si="1"/>
        <v>388.25747999999999</v>
      </c>
      <c r="E114" s="149"/>
      <c r="F114" s="10">
        <v>0</v>
      </c>
      <c r="G114" s="10">
        <v>650</v>
      </c>
      <c r="H114" s="10" t="s">
        <v>159</v>
      </c>
      <c r="I114" s="160"/>
      <c r="J114" s="161"/>
      <c r="K114" s="36"/>
      <c r="L114">
        <v>31.27</v>
      </c>
      <c r="M114">
        <f>0.75*3.5+0.75*2.9</f>
        <v>4.8</v>
      </c>
      <c r="N114">
        <v>10.763999999999999</v>
      </c>
    </row>
    <row r="115" spans="1:14" ht="19.5" customHeight="1" x14ac:dyDescent="0.3">
      <c r="A115" s="148">
        <v>8</v>
      </c>
      <c r="B115" s="149"/>
      <c r="C115" s="10" t="s">
        <v>157</v>
      </c>
      <c r="D115" s="148">
        <f t="shared" si="1"/>
        <v>388.25747999999999</v>
      </c>
      <c r="E115" s="149"/>
      <c r="F115" s="10">
        <v>0</v>
      </c>
      <c r="G115" s="10">
        <v>650</v>
      </c>
      <c r="H115" s="10" t="s">
        <v>159</v>
      </c>
      <c r="I115" s="160"/>
      <c r="J115" s="161"/>
      <c r="K115" s="36"/>
      <c r="L115">
        <v>31.27</v>
      </c>
      <c r="M115">
        <f>0.75*3.5+0.75*2.9</f>
        <v>4.8</v>
      </c>
      <c r="N115">
        <v>10.763999999999999</v>
      </c>
    </row>
    <row r="116" spans="1:14" ht="19.5" customHeight="1" x14ac:dyDescent="0.3">
      <c r="A116" s="148">
        <v>9</v>
      </c>
      <c r="B116" s="149"/>
      <c r="C116" s="10" t="s">
        <v>157</v>
      </c>
      <c r="D116" s="148">
        <f>(L116+M116)*N116</f>
        <v>350.09909999999996</v>
      </c>
      <c r="E116" s="149"/>
      <c r="F116" s="10">
        <v>0</v>
      </c>
      <c r="G116" s="10">
        <v>580</v>
      </c>
      <c r="H116" s="10" t="s">
        <v>159</v>
      </c>
      <c r="I116" s="162"/>
      <c r="J116" s="163"/>
      <c r="K116" s="36"/>
      <c r="L116">
        <v>29</v>
      </c>
      <c r="M116">
        <f>0.75*1.8+0.75*2.9</f>
        <v>3.5249999999999999</v>
      </c>
      <c r="N116">
        <v>10.763999999999999</v>
      </c>
    </row>
    <row r="117" spans="1:14" ht="19.5" customHeight="1" x14ac:dyDescent="0.3">
      <c r="A117" s="154" t="s">
        <v>161</v>
      </c>
      <c r="B117" s="154"/>
      <c r="C117" s="154"/>
      <c r="D117" s="154"/>
      <c r="E117" s="154"/>
      <c r="F117" s="154"/>
      <c r="G117" s="154"/>
      <c r="H117" s="154"/>
      <c r="I117" s="154"/>
      <c r="J117" s="154"/>
      <c r="K117" s="35"/>
    </row>
    <row r="118" spans="1:14" ht="19.5" customHeight="1" x14ac:dyDescent="0.3">
      <c r="A118" s="164" t="s">
        <v>162</v>
      </c>
      <c r="B118" s="164"/>
      <c r="C118" s="10" t="s">
        <v>157</v>
      </c>
      <c r="D118" s="164">
        <f>(L118+M118)*N118</f>
        <v>343.42541999999997</v>
      </c>
      <c r="E118" s="164"/>
      <c r="F118" s="10">
        <v>0</v>
      </c>
      <c r="G118" s="10">
        <v>580</v>
      </c>
      <c r="H118" s="10" t="s">
        <v>159</v>
      </c>
      <c r="I118" s="164" t="str">
        <f>A117</f>
        <v>3rd &amp; 5th Floor</v>
      </c>
      <c r="J118" s="164"/>
      <c r="K118" s="36"/>
      <c r="L118">
        <f>28.38</f>
        <v>28.38</v>
      </c>
      <c r="M118">
        <f>0.75*1.95+0.75*2.75</f>
        <v>3.5249999999999999</v>
      </c>
      <c r="N118">
        <v>10.763999999999999</v>
      </c>
    </row>
    <row r="119" spans="1:14" ht="19.5" customHeight="1" x14ac:dyDescent="0.3">
      <c r="A119" s="164" t="s">
        <v>163</v>
      </c>
      <c r="B119" s="164"/>
      <c r="C119" s="10" t="s">
        <v>158</v>
      </c>
      <c r="D119" s="164">
        <f t="shared" ref="D119:D126" si="2">(L119+M119)*N119</f>
        <v>272.54447999999996</v>
      </c>
      <c r="E119" s="164"/>
      <c r="F119" s="10">
        <v>0</v>
      </c>
      <c r="G119" s="10">
        <v>430</v>
      </c>
      <c r="H119" s="10" t="s">
        <v>159</v>
      </c>
      <c r="I119" s="164"/>
      <c r="J119" s="164"/>
      <c r="K119" s="36"/>
      <c r="L119">
        <v>20.52</v>
      </c>
      <c r="M119">
        <f>0.75*2.15+0.75*4.25</f>
        <v>4.8</v>
      </c>
      <c r="N119">
        <v>10.763999999999999</v>
      </c>
    </row>
    <row r="120" spans="1:14" ht="19.5" customHeight="1" x14ac:dyDescent="0.3">
      <c r="A120" s="164" t="s">
        <v>164</v>
      </c>
      <c r="B120" s="164"/>
      <c r="C120" s="10" t="s">
        <v>158</v>
      </c>
      <c r="D120" s="164">
        <f t="shared" si="2"/>
        <v>272.54447999999996</v>
      </c>
      <c r="E120" s="164"/>
      <c r="F120" s="10">
        <v>0</v>
      </c>
      <c r="G120" s="10">
        <v>430</v>
      </c>
      <c r="H120" s="10" t="s">
        <v>159</v>
      </c>
      <c r="I120" s="164"/>
      <c r="J120" s="164"/>
      <c r="K120" s="36"/>
      <c r="L120">
        <v>20.52</v>
      </c>
      <c r="M120">
        <f>0.75*2.15+0.75*4.25</f>
        <v>4.8</v>
      </c>
      <c r="N120">
        <v>10.763999999999999</v>
      </c>
    </row>
    <row r="121" spans="1:14" ht="19.5" customHeight="1" x14ac:dyDescent="0.3">
      <c r="A121" s="164" t="s">
        <v>165</v>
      </c>
      <c r="B121" s="164"/>
      <c r="C121" s="10" t="s">
        <v>157</v>
      </c>
      <c r="D121" s="164">
        <f t="shared" si="2"/>
        <v>343.42541999999997</v>
      </c>
      <c r="E121" s="164"/>
      <c r="F121" s="10">
        <v>0</v>
      </c>
      <c r="G121" s="10">
        <v>580</v>
      </c>
      <c r="H121" s="10" t="s">
        <v>159</v>
      </c>
      <c r="I121" s="164"/>
      <c r="J121" s="164"/>
      <c r="K121" s="36"/>
      <c r="L121">
        <v>28.38</v>
      </c>
      <c r="M121">
        <f>0.75*1.95+0.75*2.75</f>
        <v>3.5249999999999999</v>
      </c>
      <c r="N121">
        <v>10.763999999999999</v>
      </c>
    </row>
    <row r="122" spans="1:14" ht="19.5" customHeight="1" x14ac:dyDescent="0.3">
      <c r="A122" s="164" t="s">
        <v>166</v>
      </c>
      <c r="B122" s="164"/>
      <c r="C122" s="10" t="s">
        <v>157</v>
      </c>
      <c r="D122" s="164">
        <f t="shared" si="2"/>
        <v>343.42541999999997</v>
      </c>
      <c r="E122" s="164"/>
      <c r="F122" s="10">
        <v>0</v>
      </c>
      <c r="G122" s="10">
        <v>580</v>
      </c>
      <c r="H122" s="10" t="s">
        <v>159</v>
      </c>
      <c r="I122" s="164"/>
      <c r="J122" s="164"/>
      <c r="K122" s="36"/>
      <c r="L122">
        <v>28.38</v>
      </c>
      <c r="M122">
        <f>0.75*1.95+0.75*2.75</f>
        <v>3.5249999999999999</v>
      </c>
      <c r="N122">
        <v>10.763999999999999</v>
      </c>
    </row>
    <row r="123" spans="1:14" ht="19.5" customHeight="1" x14ac:dyDescent="0.3">
      <c r="A123" s="164" t="s">
        <v>167</v>
      </c>
      <c r="B123" s="164"/>
      <c r="C123" s="10" t="s">
        <v>157</v>
      </c>
      <c r="D123" s="164">
        <f t="shared" si="2"/>
        <v>350.09909999999996</v>
      </c>
      <c r="E123" s="164"/>
      <c r="F123" s="10">
        <v>0</v>
      </c>
      <c r="G123" s="10">
        <v>580</v>
      </c>
      <c r="H123" s="10" t="s">
        <v>159</v>
      </c>
      <c r="I123" s="164"/>
      <c r="J123" s="164"/>
      <c r="K123" s="36"/>
      <c r="L123">
        <v>29</v>
      </c>
      <c r="M123">
        <f>0.75*1.8+0.75*2.9</f>
        <v>3.5249999999999999</v>
      </c>
      <c r="N123">
        <v>10.763999999999999</v>
      </c>
    </row>
    <row r="124" spans="1:14" ht="19.5" customHeight="1" x14ac:dyDescent="0.3">
      <c r="A124" s="164" t="s">
        <v>168</v>
      </c>
      <c r="B124" s="164"/>
      <c r="C124" s="10" t="s">
        <v>157</v>
      </c>
      <c r="D124" s="164">
        <f>(L124+M124)*N124</f>
        <v>364.84577999999993</v>
      </c>
      <c r="E124" s="164"/>
      <c r="F124" s="10">
        <f>2.95*3.65</f>
        <v>10.7675</v>
      </c>
      <c r="G124" s="10">
        <v>690</v>
      </c>
      <c r="H124" s="10" t="s">
        <v>159</v>
      </c>
      <c r="I124" s="164"/>
      <c r="J124" s="164"/>
      <c r="K124" s="36"/>
      <c r="L124">
        <v>31.27</v>
      </c>
      <c r="M124">
        <f>0.75*3.5</f>
        <v>2.625</v>
      </c>
      <c r="N124">
        <v>10.763999999999999</v>
      </c>
    </row>
    <row r="125" spans="1:14" ht="19.5" customHeight="1" x14ac:dyDescent="0.3">
      <c r="A125" s="164" t="s">
        <v>169</v>
      </c>
      <c r="B125" s="164"/>
      <c r="C125" s="10" t="s">
        <v>157</v>
      </c>
      <c r="D125" s="164">
        <f t="shared" si="2"/>
        <v>364.84577999999993</v>
      </c>
      <c r="E125" s="164"/>
      <c r="F125" s="10">
        <f>2.95*3.5</f>
        <v>10.325000000000001</v>
      </c>
      <c r="G125" s="10">
        <v>690</v>
      </c>
      <c r="H125" s="10" t="s">
        <v>159</v>
      </c>
      <c r="I125" s="164"/>
      <c r="J125" s="164"/>
      <c r="K125" s="36"/>
      <c r="L125">
        <v>31.27</v>
      </c>
      <c r="M125">
        <f>0.75*3.5</f>
        <v>2.625</v>
      </c>
      <c r="N125">
        <v>10.763999999999999</v>
      </c>
    </row>
    <row r="126" spans="1:14" ht="19.5" customHeight="1" x14ac:dyDescent="0.3">
      <c r="A126" s="164" t="s">
        <v>170</v>
      </c>
      <c r="B126" s="164"/>
      <c r="C126" s="10" t="s">
        <v>157</v>
      </c>
      <c r="D126" s="164">
        <f t="shared" si="2"/>
        <v>350.09909999999996</v>
      </c>
      <c r="E126" s="164"/>
      <c r="F126" s="10">
        <v>0</v>
      </c>
      <c r="G126" s="10">
        <v>580</v>
      </c>
      <c r="H126" s="10" t="s">
        <v>159</v>
      </c>
      <c r="I126" s="164"/>
      <c r="J126" s="164"/>
      <c r="K126" s="36"/>
      <c r="L126">
        <v>29</v>
      </c>
      <c r="M126">
        <f>0.75*1.8+0.75*2.9</f>
        <v>3.5249999999999999</v>
      </c>
      <c r="N126">
        <v>10.763999999999999</v>
      </c>
    </row>
    <row r="127" spans="1:14" ht="19.5" customHeight="1" x14ac:dyDescent="0.3">
      <c r="A127" s="151" t="s">
        <v>171</v>
      </c>
      <c r="B127" s="152"/>
      <c r="C127" s="152"/>
      <c r="D127" s="152"/>
      <c r="E127" s="152"/>
      <c r="F127" s="152"/>
      <c r="G127" s="152"/>
      <c r="H127" s="152"/>
      <c r="I127" s="152"/>
      <c r="J127" s="153"/>
      <c r="K127" s="35"/>
    </row>
    <row r="128" spans="1:14" ht="19.5" customHeight="1" x14ac:dyDescent="0.3">
      <c r="A128" s="148">
        <v>701</v>
      </c>
      <c r="B128" s="149"/>
      <c r="C128" s="10" t="s">
        <v>157</v>
      </c>
      <c r="D128" s="148">
        <f>(L128+M128)*N128</f>
        <v>343.42541999999997</v>
      </c>
      <c r="E128" s="149"/>
      <c r="F128" s="10">
        <v>0</v>
      </c>
      <c r="G128" s="10">
        <v>700</v>
      </c>
      <c r="H128" s="10" t="s">
        <v>159</v>
      </c>
      <c r="I128" s="158" t="str">
        <f>A127</f>
        <v>7th Floor</v>
      </c>
      <c r="J128" s="159"/>
      <c r="K128" s="36"/>
      <c r="L128">
        <v>28.38</v>
      </c>
      <c r="M128">
        <v>3.5249999999999999</v>
      </c>
      <c r="N128">
        <v>10.763999999999999</v>
      </c>
    </row>
    <row r="129" spans="1:14" ht="19.5" customHeight="1" x14ac:dyDescent="0.3">
      <c r="A129" s="148">
        <v>702</v>
      </c>
      <c r="B129" s="149"/>
      <c r="C129" s="148" t="s">
        <v>84</v>
      </c>
      <c r="D129" s="229"/>
      <c r="E129" s="229"/>
      <c r="F129" s="229"/>
      <c r="G129" s="229"/>
      <c r="H129" s="149"/>
      <c r="I129" s="160"/>
      <c r="J129" s="161"/>
      <c r="K129" s="36"/>
      <c r="N129">
        <v>10.763999999999999</v>
      </c>
    </row>
    <row r="130" spans="1:14" ht="19.5" customHeight="1" x14ac:dyDescent="0.3">
      <c r="A130" s="148">
        <v>703</v>
      </c>
      <c r="B130" s="149"/>
      <c r="C130" s="148" t="s">
        <v>84</v>
      </c>
      <c r="D130" s="229"/>
      <c r="E130" s="229"/>
      <c r="F130" s="229"/>
      <c r="G130" s="229"/>
      <c r="H130" s="149"/>
      <c r="I130" s="160"/>
      <c r="J130" s="161"/>
      <c r="K130" s="36"/>
      <c r="N130">
        <v>10.763999999999999</v>
      </c>
    </row>
    <row r="131" spans="1:14" ht="19.5" customHeight="1" x14ac:dyDescent="0.3">
      <c r="A131" s="148">
        <v>704</v>
      </c>
      <c r="B131" s="149"/>
      <c r="C131" s="10" t="s">
        <v>157</v>
      </c>
      <c r="D131" s="148">
        <f>(L131+M131)*N131</f>
        <v>343.42541999999997</v>
      </c>
      <c r="E131" s="149"/>
      <c r="F131" s="10">
        <v>0</v>
      </c>
      <c r="G131" s="10">
        <v>700</v>
      </c>
      <c r="H131" s="10" t="s">
        <v>159</v>
      </c>
      <c r="I131" s="160"/>
      <c r="J131" s="161"/>
      <c r="K131" s="36"/>
      <c r="L131">
        <v>28.38</v>
      </c>
      <c r="M131">
        <v>3.5249999999999999</v>
      </c>
      <c r="N131">
        <v>10.763999999999999</v>
      </c>
    </row>
    <row r="132" spans="1:14" ht="19.5" customHeight="1" x14ac:dyDescent="0.3">
      <c r="A132" s="148">
        <v>705</v>
      </c>
      <c r="B132" s="149"/>
      <c r="C132" s="10" t="s">
        <v>157</v>
      </c>
      <c r="D132" s="148">
        <f>(L132+M132)*N132</f>
        <v>343.42541999999997</v>
      </c>
      <c r="E132" s="149"/>
      <c r="F132" s="10">
        <v>0</v>
      </c>
      <c r="G132" s="10">
        <v>580</v>
      </c>
      <c r="H132" s="10" t="s">
        <v>159</v>
      </c>
      <c r="I132" s="160"/>
      <c r="J132" s="161"/>
      <c r="K132" s="36"/>
      <c r="L132">
        <v>28.38</v>
      </c>
      <c r="M132">
        <v>3.5249999999999999</v>
      </c>
      <c r="N132">
        <v>10.763999999999999</v>
      </c>
    </row>
    <row r="133" spans="1:14" ht="19.5" customHeight="1" x14ac:dyDescent="0.3">
      <c r="A133" s="148">
        <v>706</v>
      </c>
      <c r="B133" s="149"/>
      <c r="C133" s="10" t="s">
        <v>157</v>
      </c>
      <c r="D133" s="148">
        <f>(L133+M133)*N133</f>
        <v>350.09909999999996</v>
      </c>
      <c r="E133" s="149"/>
      <c r="F133" s="10">
        <v>0</v>
      </c>
      <c r="G133" s="10">
        <v>580</v>
      </c>
      <c r="H133" s="10" t="s">
        <v>159</v>
      </c>
      <c r="I133" s="160"/>
      <c r="J133" s="161"/>
      <c r="K133" s="36"/>
      <c r="L133">
        <v>29</v>
      </c>
      <c r="M133">
        <v>3.5249999999999999</v>
      </c>
      <c r="N133">
        <v>10.763999999999999</v>
      </c>
    </row>
    <row r="134" spans="1:14" ht="19.5" customHeight="1" x14ac:dyDescent="0.3">
      <c r="A134" s="148">
        <v>707</v>
      </c>
      <c r="B134" s="149"/>
      <c r="C134" s="10" t="s">
        <v>157</v>
      </c>
      <c r="D134" s="148">
        <f>(L134+M134)*N134</f>
        <v>364.84577999999993</v>
      </c>
      <c r="E134" s="149"/>
      <c r="F134" s="10">
        <f>2.95*3.65*10.764</f>
        <v>115.90137</v>
      </c>
      <c r="G134" s="10">
        <v>690</v>
      </c>
      <c r="H134" s="10" t="s">
        <v>159</v>
      </c>
      <c r="I134" s="160"/>
      <c r="J134" s="161"/>
      <c r="K134" s="36"/>
      <c r="L134">
        <v>31.27</v>
      </c>
      <c r="M134">
        <f>0.75*3.5</f>
        <v>2.625</v>
      </c>
      <c r="N134">
        <v>10.763999999999999</v>
      </c>
    </row>
    <row r="135" spans="1:14" ht="19.5" customHeight="1" x14ac:dyDescent="0.3">
      <c r="A135" s="148">
        <v>708</v>
      </c>
      <c r="B135" s="149"/>
      <c r="C135" s="10" t="s">
        <v>157</v>
      </c>
      <c r="D135" s="148">
        <f>(L135+M135)*N135</f>
        <v>364.84577999999993</v>
      </c>
      <c r="E135" s="149"/>
      <c r="F135" s="10">
        <f>2.95*3.5*10.764</f>
        <v>111.1383</v>
      </c>
      <c r="G135" s="10">
        <v>850</v>
      </c>
      <c r="H135" s="10" t="s">
        <v>159</v>
      </c>
      <c r="I135" s="160"/>
      <c r="J135" s="161"/>
      <c r="K135" s="36"/>
      <c r="L135">
        <v>31.27</v>
      </c>
      <c r="M135">
        <f>0.75*3.5</f>
        <v>2.625</v>
      </c>
      <c r="N135">
        <v>10.763999999999999</v>
      </c>
    </row>
    <row r="136" spans="1:14" ht="19.5" customHeight="1" x14ac:dyDescent="0.3">
      <c r="A136" s="148">
        <v>709</v>
      </c>
      <c r="B136" s="149"/>
      <c r="C136" s="148" t="s">
        <v>84</v>
      </c>
      <c r="D136" s="229"/>
      <c r="E136" s="229"/>
      <c r="F136" s="229"/>
      <c r="G136" s="229"/>
      <c r="H136" s="149"/>
      <c r="I136" s="162"/>
      <c r="J136" s="163"/>
      <c r="K136" s="36"/>
      <c r="N136">
        <v>10.763999999999999</v>
      </c>
    </row>
    <row r="137" spans="1:14" ht="130.5" customHeight="1" x14ac:dyDescent="0.3">
      <c r="A137" s="144" t="s">
        <v>250</v>
      </c>
      <c r="B137" s="145"/>
      <c r="C137" s="145"/>
      <c r="D137" s="145"/>
      <c r="E137" s="145"/>
      <c r="F137" s="145"/>
      <c r="G137" s="145"/>
      <c r="H137" s="145"/>
      <c r="I137" s="145"/>
      <c r="J137" s="146"/>
      <c r="K137" s="74"/>
    </row>
    <row r="138" spans="1:14" x14ac:dyDescent="0.3">
      <c r="A138" s="147" t="s">
        <v>26</v>
      </c>
      <c r="B138" s="94"/>
      <c r="C138" s="94"/>
      <c r="D138" s="94"/>
      <c r="E138" s="94"/>
      <c r="F138" s="94"/>
      <c r="G138" s="94"/>
      <c r="H138" s="94"/>
      <c r="I138" s="94"/>
      <c r="J138" s="95"/>
      <c r="K138" s="22"/>
    </row>
    <row r="139" spans="1:14" x14ac:dyDescent="0.3">
      <c r="A139" s="81" t="s">
        <v>34</v>
      </c>
      <c r="B139" s="82"/>
      <c r="C139" s="82"/>
      <c r="D139" s="82"/>
      <c r="E139" s="82"/>
      <c r="F139" s="82"/>
      <c r="G139" s="82"/>
      <c r="H139" s="82"/>
      <c r="I139" s="82"/>
      <c r="J139" s="83"/>
      <c r="K139" s="75"/>
    </row>
    <row r="140" spans="1:14" x14ac:dyDescent="0.3">
      <c r="A140" s="147" t="s">
        <v>28</v>
      </c>
      <c r="B140" s="94"/>
      <c r="C140" s="94"/>
      <c r="D140" s="94"/>
      <c r="E140" s="94"/>
      <c r="F140" s="94"/>
      <c r="G140" s="94"/>
      <c r="H140" s="94"/>
      <c r="I140" s="94"/>
      <c r="J140" s="95"/>
      <c r="K140" s="22"/>
    </row>
    <row r="141" spans="1:14" x14ac:dyDescent="0.3">
      <c r="A141" s="87" t="s">
        <v>39</v>
      </c>
      <c r="B141" s="88"/>
      <c r="C141" s="88"/>
      <c r="D141" s="88"/>
      <c r="E141" s="88"/>
      <c r="F141" s="88"/>
      <c r="G141" s="88"/>
      <c r="H141" s="88"/>
      <c r="I141" s="88"/>
      <c r="J141" s="89"/>
      <c r="K141" s="17"/>
    </row>
    <row r="142" spans="1:14" ht="16.5" customHeight="1" x14ac:dyDescent="0.3">
      <c r="A142" s="90" t="s">
        <v>60</v>
      </c>
      <c r="B142" s="91"/>
      <c r="C142" s="91"/>
      <c r="D142" s="91"/>
      <c r="E142" s="91"/>
      <c r="F142" s="91"/>
      <c r="G142" s="91"/>
      <c r="H142" s="91"/>
      <c r="I142" s="91"/>
      <c r="J142" s="92"/>
      <c r="K142" s="18"/>
    </row>
    <row r="143" spans="1:14" x14ac:dyDescent="0.3">
      <c r="A143" s="87" t="s">
        <v>40</v>
      </c>
      <c r="B143" s="88"/>
      <c r="C143" s="88"/>
      <c r="D143" s="88"/>
      <c r="E143" s="88"/>
      <c r="F143" s="88"/>
      <c r="G143" s="88"/>
      <c r="H143" s="88"/>
      <c r="I143" s="88"/>
      <c r="J143" s="89"/>
      <c r="K143" s="17"/>
    </row>
    <row r="144" spans="1:14" x14ac:dyDescent="0.3">
      <c r="A144" s="87" t="s">
        <v>41</v>
      </c>
      <c r="B144" s="88"/>
      <c r="C144" s="88"/>
      <c r="D144" s="88"/>
      <c r="E144" s="88"/>
      <c r="F144" s="88"/>
      <c r="G144" s="88"/>
      <c r="H144" s="88"/>
      <c r="I144" s="88"/>
      <c r="J144" s="89"/>
      <c r="K144" s="17"/>
    </row>
    <row r="145" spans="1:11" ht="30.75" customHeight="1" x14ac:dyDescent="0.3">
      <c r="A145" s="84" t="s">
        <v>42</v>
      </c>
      <c r="B145" s="85"/>
      <c r="C145" s="85"/>
      <c r="D145" s="85"/>
      <c r="E145" s="85"/>
      <c r="F145" s="85"/>
      <c r="G145" s="85"/>
      <c r="H145" s="85"/>
      <c r="I145" s="85"/>
      <c r="J145" s="86"/>
      <c r="K145" s="19"/>
    </row>
    <row r="146" spans="1:11" ht="15" customHeight="1" x14ac:dyDescent="0.3">
      <c r="A146" s="165" t="s">
        <v>27</v>
      </c>
      <c r="B146" s="166"/>
      <c r="C146" s="166"/>
      <c r="D146" s="166"/>
      <c r="E146" s="166"/>
      <c r="F146" s="166"/>
      <c r="G146" s="166"/>
      <c r="H146" s="166"/>
      <c r="I146" s="166"/>
      <c r="J146" s="167"/>
      <c r="K146" s="60"/>
    </row>
    <row r="147" spans="1:11" x14ac:dyDescent="0.3">
      <c r="A147" s="168"/>
      <c r="B147" s="169"/>
      <c r="C147" s="169"/>
      <c r="D147" s="169"/>
      <c r="E147" s="169"/>
      <c r="F147" s="169"/>
      <c r="G147" s="169"/>
      <c r="H147" s="169"/>
      <c r="I147" s="169"/>
      <c r="J147" s="170"/>
      <c r="K147" s="60"/>
    </row>
    <row r="148" spans="1:11" x14ac:dyDescent="0.3">
      <c r="A148" s="168"/>
      <c r="B148" s="169"/>
      <c r="C148" s="169"/>
      <c r="D148" s="169"/>
      <c r="E148" s="169"/>
      <c r="F148" s="169"/>
      <c r="G148" s="169"/>
      <c r="H148" s="169"/>
      <c r="I148" s="169"/>
      <c r="J148" s="170"/>
      <c r="K148" s="60"/>
    </row>
    <row r="149" spans="1:11" x14ac:dyDescent="0.3">
      <c r="A149" s="171"/>
      <c r="B149" s="172"/>
      <c r="C149" s="172"/>
      <c r="D149" s="172"/>
      <c r="E149" s="172"/>
      <c r="F149" s="172"/>
      <c r="G149" s="172"/>
      <c r="H149" s="172"/>
      <c r="I149" s="172"/>
      <c r="J149" s="173"/>
      <c r="K149" s="60"/>
    </row>
    <row r="150" spans="1:11" x14ac:dyDescent="0.3">
      <c r="A150" s="76" t="s">
        <v>190</v>
      </c>
      <c r="B150" s="77"/>
      <c r="C150" s="77"/>
      <c r="D150" s="77"/>
      <c r="E150" s="28" t="str">
        <f>F9</f>
        <v>Paramount Enclave Building No.2</v>
      </c>
      <c r="F150" s="77"/>
      <c r="G150" s="77"/>
      <c r="H150" s="77"/>
      <c r="I150" s="77"/>
      <c r="J150" s="77"/>
      <c r="K150" s="77"/>
    </row>
    <row r="151" spans="1:11" x14ac:dyDescent="0.3">
      <c r="A151" s="77"/>
      <c r="B151" s="77"/>
      <c r="C151" s="77"/>
      <c r="D151" s="77"/>
      <c r="E151" s="77"/>
      <c r="F151" s="77"/>
      <c r="G151" s="77"/>
      <c r="H151" s="77"/>
      <c r="I151" s="77"/>
      <c r="J151" s="77"/>
      <c r="K151" s="77"/>
    </row>
    <row r="152" spans="1:11" x14ac:dyDescent="0.3">
      <c r="A152" s="77"/>
      <c r="B152" s="77"/>
      <c r="C152" s="77"/>
      <c r="D152" s="77"/>
      <c r="E152" s="77"/>
      <c r="F152" s="77"/>
      <c r="G152" s="77"/>
      <c r="H152" s="77"/>
      <c r="I152" s="77"/>
      <c r="J152" s="77"/>
      <c r="K152" s="77"/>
    </row>
    <row r="196" spans="1:1" x14ac:dyDescent="0.3">
      <c r="A196" s="78" t="s">
        <v>141</v>
      </c>
    </row>
  </sheetData>
  <mergeCells count="280">
    <mergeCell ref="G80:J80"/>
    <mergeCell ref="A91:J91"/>
    <mergeCell ref="G79:J79"/>
    <mergeCell ref="A80:F80"/>
    <mergeCell ref="I108:J116"/>
    <mergeCell ref="D119:E119"/>
    <mergeCell ref="A132:B132"/>
    <mergeCell ref="A120:B120"/>
    <mergeCell ref="D120:E120"/>
    <mergeCell ref="A124:B124"/>
    <mergeCell ref="D124:E124"/>
    <mergeCell ref="D121:E121"/>
    <mergeCell ref="A122:B122"/>
    <mergeCell ref="A114:B114"/>
    <mergeCell ref="D114:E114"/>
    <mergeCell ref="D112:E112"/>
    <mergeCell ref="I118:J126"/>
    <mergeCell ref="D125:E125"/>
    <mergeCell ref="A126:B126"/>
    <mergeCell ref="D126:E126"/>
    <mergeCell ref="D111:E111"/>
    <mergeCell ref="A112:B112"/>
    <mergeCell ref="G81:J81"/>
    <mergeCell ref="A81:F81"/>
    <mergeCell ref="F58:G58"/>
    <mergeCell ref="A59:B59"/>
    <mergeCell ref="D59:E59"/>
    <mergeCell ref="F59:G68"/>
    <mergeCell ref="A60:B60"/>
    <mergeCell ref="D60:E60"/>
    <mergeCell ref="A61:B61"/>
    <mergeCell ref="D61:E61"/>
    <mergeCell ref="A62:B62"/>
    <mergeCell ref="D62:E62"/>
    <mergeCell ref="A63:B63"/>
    <mergeCell ref="A58:B58"/>
    <mergeCell ref="D58:E58"/>
    <mergeCell ref="A67:B67"/>
    <mergeCell ref="D67:E67"/>
    <mergeCell ref="A68:B68"/>
    <mergeCell ref="D68:E68"/>
    <mergeCell ref="A136:B136"/>
    <mergeCell ref="D132:E132"/>
    <mergeCell ref="A130:B130"/>
    <mergeCell ref="A135:B135"/>
    <mergeCell ref="D135:E135"/>
    <mergeCell ref="D133:E133"/>
    <mergeCell ref="C51:E51"/>
    <mergeCell ref="A129:B129"/>
    <mergeCell ref="A133:B133"/>
    <mergeCell ref="A125:B125"/>
    <mergeCell ref="C57:J57"/>
    <mergeCell ref="H58:J58"/>
    <mergeCell ref="H59:J68"/>
    <mergeCell ref="C136:H136"/>
    <mergeCell ref="C129:H129"/>
    <mergeCell ref="C130:H130"/>
    <mergeCell ref="D131:E131"/>
    <mergeCell ref="A134:B134"/>
    <mergeCell ref="D134:E134"/>
    <mergeCell ref="A128:B128"/>
    <mergeCell ref="D128:E128"/>
    <mergeCell ref="A131:B131"/>
    <mergeCell ref="D116:E116"/>
    <mergeCell ref="A118:B118"/>
    <mergeCell ref="D118:E118"/>
    <mergeCell ref="A119:B119"/>
    <mergeCell ref="D122:E122"/>
    <mergeCell ref="D103:E103"/>
    <mergeCell ref="I98:J106"/>
    <mergeCell ref="A104:B104"/>
    <mergeCell ref="A100:B100"/>
    <mergeCell ref="D100:E100"/>
    <mergeCell ref="A101:B101"/>
    <mergeCell ref="D101:E101"/>
    <mergeCell ref="A99:B99"/>
    <mergeCell ref="D99:E99"/>
    <mergeCell ref="A9:E9"/>
    <mergeCell ref="F9:J9"/>
    <mergeCell ref="H46:J46"/>
    <mergeCell ref="H43:J43"/>
    <mergeCell ref="H44:J44"/>
    <mergeCell ref="A51:B51"/>
    <mergeCell ref="A121:B121"/>
    <mergeCell ref="D123:E123"/>
    <mergeCell ref="D64:E64"/>
    <mergeCell ref="A65:B65"/>
    <mergeCell ref="D65:E65"/>
    <mergeCell ref="A66:B66"/>
    <mergeCell ref="D66:E66"/>
    <mergeCell ref="A113:B113"/>
    <mergeCell ref="D113:E113"/>
    <mergeCell ref="A115:B115"/>
    <mergeCell ref="D115:E115"/>
    <mergeCell ref="A106:B106"/>
    <mergeCell ref="D106:E106"/>
    <mergeCell ref="A108:B108"/>
    <mergeCell ref="D108:E108"/>
    <mergeCell ref="A102:B102"/>
    <mergeCell ref="D102:E102"/>
    <mergeCell ref="A103:B103"/>
    <mergeCell ref="L94:M94"/>
    <mergeCell ref="L95:M95"/>
    <mergeCell ref="L96:M96"/>
    <mergeCell ref="A84:F84"/>
    <mergeCell ref="A53:J53"/>
    <mergeCell ref="A54:J54"/>
    <mergeCell ref="A86:F86"/>
    <mergeCell ref="A96:B96"/>
    <mergeCell ref="D96:E96"/>
    <mergeCell ref="A90:B90"/>
    <mergeCell ref="A69:J69"/>
    <mergeCell ref="A70:J70"/>
    <mergeCell ref="A82:F82"/>
    <mergeCell ref="A71:J77"/>
    <mergeCell ref="D63:E63"/>
    <mergeCell ref="A64:B64"/>
    <mergeCell ref="L93:M93"/>
    <mergeCell ref="A94:B94"/>
    <mergeCell ref="D94:E94"/>
    <mergeCell ref="A55:B55"/>
    <mergeCell ref="C55:J55"/>
    <mergeCell ref="E56:F56"/>
    <mergeCell ref="I56:J56"/>
    <mergeCell ref="A57:B57"/>
    <mergeCell ref="A1:J1"/>
    <mergeCell ref="A52:E52"/>
    <mergeCell ref="F52:J52"/>
    <mergeCell ref="A47:E47"/>
    <mergeCell ref="F47:H47"/>
    <mergeCell ref="I47:J47"/>
    <mergeCell ref="F51:J51"/>
    <mergeCell ref="F50:H50"/>
    <mergeCell ref="A14:B14"/>
    <mergeCell ref="C14:J14"/>
    <mergeCell ref="A43:B43"/>
    <mergeCell ref="F41:J41"/>
    <mergeCell ref="F40:J40"/>
    <mergeCell ref="A24:E24"/>
    <mergeCell ref="A25:E25"/>
    <mergeCell ref="C43:F43"/>
    <mergeCell ref="A45:B45"/>
    <mergeCell ref="A11:E11"/>
    <mergeCell ref="F11:J11"/>
    <mergeCell ref="E15:F15"/>
    <mergeCell ref="I15:J15"/>
    <mergeCell ref="A50:C50"/>
    <mergeCell ref="F36:J36"/>
    <mergeCell ref="A36:E36"/>
    <mergeCell ref="A146:J149"/>
    <mergeCell ref="A87:F87"/>
    <mergeCell ref="G87:J87"/>
    <mergeCell ref="A88:J88"/>
    <mergeCell ref="A89:J89"/>
    <mergeCell ref="A142:J142"/>
    <mergeCell ref="A143:J143"/>
    <mergeCell ref="A144:J144"/>
    <mergeCell ref="A145:J145"/>
    <mergeCell ref="I90:J90"/>
    <mergeCell ref="D93:E93"/>
    <mergeCell ref="A98:B98"/>
    <mergeCell ref="D98:E98"/>
    <mergeCell ref="D104:E104"/>
    <mergeCell ref="A105:B105"/>
    <mergeCell ref="D105:E105"/>
    <mergeCell ref="A109:B109"/>
    <mergeCell ref="D109:E109"/>
    <mergeCell ref="A110:B110"/>
    <mergeCell ref="D110:E110"/>
    <mergeCell ref="D90:E90"/>
    <mergeCell ref="A111:B111"/>
    <mergeCell ref="A139:J139"/>
    <mergeCell ref="A140:J140"/>
    <mergeCell ref="A137:J137"/>
    <mergeCell ref="A141:J141"/>
    <mergeCell ref="A138:J138"/>
    <mergeCell ref="A95:B95"/>
    <mergeCell ref="D95:E95"/>
    <mergeCell ref="A78:J78"/>
    <mergeCell ref="G86:J86"/>
    <mergeCell ref="G84:J84"/>
    <mergeCell ref="A85:F85"/>
    <mergeCell ref="G85:J85"/>
    <mergeCell ref="G83:J83"/>
    <mergeCell ref="A83:F83"/>
    <mergeCell ref="G82:J82"/>
    <mergeCell ref="A107:J107"/>
    <mergeCell ref="A117:J117"/>
    <mergeCell ref="A127:J127"/>
    <mergeCell ref="A92:J92"/>
    <mergeCell ref="A93:B93"/>
    <mergeCell ref="A79:F79"/>
    <mergeCell ref="A97:J97"/>
    <mergeCell ref="I128:J136"/>
    <mergeCell ref="I93:J96"/>
    <mergeCell ref="A123:B123"/>
    <mergeCell ref="A116:B116"/>
    <mergeCell ref="A42:J42"/>
    <mergeCell ref="D48:E48"/>
    <mergeCell ref="C44:F44"/>
    <mergeCell ref="C45:F45"/>
    <mergeCell ref="A48:C48"/>
    <mergeCell ref="D50:E50"/>
    <mergeCell ref="A49:J49"/>
    <mergeCell ref="F48:G48"/>
    <mergeCell ref="A37:E37"/>
    <mergeCell ref="F37:J37"/>
    <mergeCell ref="A46:B46"/>
    <mergeCell ref="C46:F46"/>
    <mergeCell ref="H48:J48"/>
    <mergeCell ref="F39:J39"/>
    <mergeCell ref="A40:E40"/>
    <mergeCell ref="A38:E38"/>
    <mergeCell ref="A44:B44"/>
    <mergeCell ref="H45:J45"/>
    <mergeCell ref="A41:E41"/>
    <mergeCell ref="A39:E39"/>
    <mergeCell ref="I50:J50"/>
    <mergeCell ref="F38:J38"/>
    <mergeCell ref="I26:J26"/>
    <mergeCell ref="A26:B26"/>
    <mergeCell ref="C26:D26"/>
    <mergeCell ref="E26:F26"/>
    <mergeCell ref="G26:H26"/>
    <mergeCell ref="C27:D27"/>
    <mergeCell ref="E27:F27"/>
    <mergeCell ref="G27:H27"/>
    <mergeCell ref="A27:B27"/>
    <mergeCell ref="G28:H28"/>
    <mergeCell ref="I27:J27"/>
    <mergeCell ref="A33:J33"/>
    <mergeCell ref="A28:B28"/>
    <mergeCell ref="C28:D28"/>
    <mergeCell ref="A31:B31"/>
    <mergeCell ref="E28:F28"/>
    <mergeCell ref="A29:J29"/>
    <mergeCell ref="A34:J35"/>
    <mergeCell ref="A32:B32"/>
    <mergeCell ref="C32:J32"/>
    <mergeCell ref="C31:J31"/>
    <mergeCell ref="A30:J30"/>
    <mergeCell ref="I28:J28"/>
    <mergeCell ref="A18:B18"/>
    <mergeCell ref="G17:J17"/>
    <mergeCell ref="F19:J20"/>
    <mergeCell ref="B15:D15"/>
    <mergeCell ref="C18:E18"/>
    <mergeCell ref="A12:E12"/>
    <mergeCell ref="A10:E10"/>
    <mergeCell ref="F24:J24"/>
    <mergeCell ref="A22:E22"/>
    <mergeCell ref="A13:E13"/>
    <mergeCell ref="F13:J13"/>
    <mergeCell ref="F23:J23"/>
    <mergeCell ref="F22:J22"/>
    <mergeCell ref="A21:E21"/>
    <mergeCell ref="A7:E7"/>
    <mergeCell ref="F7:J7"/>
    <mergeCell ref="F8:J8"/>
    <mergeCell ref="F12:J12"/>
    <mergeCell ref="B16:E16"/>
    <mergeCell ref="A8:E8"/>
    <mergeCell ref="F25:J25"/>
    <mergeCell ref="A2:J2"/>
    <mergeCell ref="A3:E3"/>
    <mergeCell ref="F3:J3"/>
    <mergeCell ref="A4:E4"/>
    <mergeCell ref="F4:J4"/>
    <mergeCell ref="A6:E6"/>
    <mergeCell ref="F6:J6"/>
    <mergeCell ref="A5:E5"/>
    <mergeCell ref="F5:J5"/>
    <mergeCell ref="F10:J10"/>
    <mergeCell ref="F21:J21"/>
    <mergeCell ref="G16:J16"/>
    <mergeCell ref="F18:G18"/>
    <mergeCell ref="A19:E20"/>
    <mergeCell ref="H18:J18"/>
    <mergeCell ref="A23:E23"/>
    <mergeCell ref="B17:E17"/>
  </mergeCells>
  <phoneticPr fontId="0" type="noConversion"/>
  <hyperlinks>
    <hyperlink ref="C32"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Roman,Bold"Ref No: &amp;F&amp;C&amp;G&amp;R                                                                      &amp;P</oddFooter>
  </headerFooter>
  <rowBreaks count="3" manualBreakCount="3">
    <brk id="87" max="9" man="1"/>
    <brk id="149" max="16383" man="1"/>
    <brk id="19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topLeftCell="A4" workbookViewId="0">
      <selection activeCell="C6" sqref="C6:C8"/>
    </sheetView>
  </sheetViews>
  <sheetFormatPr defaultRowHeight="14.4" x14ac:dyDescent="0.3"/>
  <cols>
    <col min="2" max="2" width="11.77734375" customWidth="1"/>
  </cols>
  <sheetData>
    <row r="2" spans="1:15" x14ac:dyDescent="0.3">
      <c r="A2" t="s">
        <v>118</v>
      </c>
      <c r="B2" s="12" t="s">
        <v>138</v>
      </c>
      <c r="C2" s="12">
        <v>7</v>
      </c>
    </row>
    <row r="3" spans="1:15" x14ac:dyDescent="0.3">
      <c r="B3" t="s">
        <v>119</v>
      </c>
      <c r="C3" t="s">
        <v>120</v>
      </c>
    </row>
    <row r="4" spans="1:15" x14ac:dyDescent="0.3">
      <c r="A4" t="s">
        <v>121</v>
      </c>
      <c r="B4" s="5">
        <v>10</v>
      </c>
      <c r="C4" s="5">
        <v>10</v>
      </c>
      <c r="E4">
        <f>(100/B4)*C4</f>
        <v>100</v>
      </c>
    </row>
    <row r="5" spans="1:15" x14ac:dyDescent="0.3">
      <c r="A5" t="s">
        <v>122</v>
      </c>
      <c r="B5" t="s">
        <v>123</v>
      </c>
      <c r="C5" t="s">
        <v>124</v>
      </c>
      <c r="E5">
        <f>(100/B6)*C6</f>
        <v>75</v>
      </c>
      <c r="I5" s="5" t="s">
        <v>125</v>
      </c>
      <c r="J5" s="5" t="s">
        <v>126</v>
      </c>
      <c r="K5" s="5" t="s">
        <v>127</v>
      </c>
      <c r="L5" s="5" t="s">
        <v>38</v>
      </c>
      <c r="M5" s="5" t="s">
        <v>44</v>
      </c>
      <c r="N5" s="5" t="s">
        <v>128</v>
      </c>
      <c r="O5" s="5" t="s">
        <v>45</v>
      </c>
    </row>
    <row r="6" spans="1:15" x14ac:dyDescent="0.3">
      <c r="B6" s="5">
        <f>C2+1</f>
        <v>8</v>
      </c>
      <c r="C6" s="5">
        <v>6</v>
      </c>
      <c r="E6">
        <f>(100/B8)*C8</f>
        <v>37.5</v>
      </c>
      <c r="F6" s="13" t="s">
        <v>129</v>
      </c>
      <c r="I6" s="13">
        <f>C4</f>
        <v>10</v>
      </c>
      <c r="J6" s="13">
        <f>40/B6*C6</f>
        <v>30</v>
      </c>
      <c r="K6" s="13">
        <f>15/B8*C8</f>
        <v>5.625</v>
      </c>
      <c r="L6" s="13">
        <f>10/B10*C10</f>
        <v>0</v>
      </c>
      <c r="M6" s="13">
        <f>10/B12*C12</f>
        <v>0</v>
      </c>
      <c r="N6" s="13">
        <f>5/B14*C14</f>
        <v>0</v>
      </c>
      <c r="O6" s="13">
        <f>5/B16*C16</f>
        <v>0</v>
      </c>
    </row>
    <row r="7" spans="1:15" x14ac:dyDescent="0.3">
      <c r="A7" t="s">
        <v>130</v>
      </c>
      <c r="B7" t="s">
        <v>131</v>
      </c>
      <c r="C7" t="s">
        <v>132</v>
      </c>
      <c r="E7">
        <f>(100/B10)*C10</f>
        <v>0</v>
      </c>
      <c r="F7" s="5" t="s">
        <v>133</v>
      </c>
      <c r="G7" s="5"/>
      <c r="H7" s="5"/>
      <c r="I7" s="5">
        <f>I6+20</f>
        <v>30</v>
      </c>
      <c r="J7" s="5">
        <f>30/B6*C6</f>
        <v>22.5</v>
      </c>
      <c r="K7" s="5">
        <f>15/B8*C8</f>
        <v>5.625</v>
      </c>
      <c r="L7" s="5">
        <f>10/B10*C10</f>
        <v>0</v>
      </c>
      <c r="M7" s="5">
        <f>5/B12*C12</f>
        <v>0</v>
      </c>
      <c r="N7" s="5">
        <f>5/B14*C14</f>
        <v>0</v>
      </c>
      <c r="O7" s="5">
        <f>5/B16*C16</f>
        <v>0</v>
      </c>
    </row>
    <row r="8" spans="1:15" x14ac:dyDescent="0.3">
      <c r="B8" s="5">
        <f>C2+1</f>
        <v>8</v>
      </c>
      <c r="C8" s="5">
        <v>3</v>
      </c>
      <c r="E8">
        <f>(100/B12)*C12</f>
        <v>0</v>
      </c>
    </row>
    <row r="9" spans="1:15" x14ac:dyDescent="0.3">
      <c r="A9" t="s">
        <v>134</v>
      </c>
      <c r="B9" t="s">
        <v>131</v>
      </c>
      <c r="C9" t="s">
        <v>132</v>
      </c>
      <c r="E9">
        <f>(100/B14)*C14</f>
        <v>0</v>
      </c>
    </row>
    <row r="10" spans="1:15" x14ac:dyDescent="0.3">
      <c r="B10" s="5">
        <f>C2+1</f>
        <v>8</v>
      </c>
      <c r="C10" s="5">
        <v>0</v>
      </c>
      <c r="E10">
        <f>(100/B16)*C16</f>
        <v>0</v>
      </c>
    </row>
    <row r="11" spans="1:15" x14ac:dyDescent="0.3">
      <c r="A11" t="s">
        <v>44</v>
      </c>
      <c r="B11" t="s">
        <v>131</v>
      </c>
      <c r="C11" t="s">
        <v>132</v>
      </c>
    </row>
    <row r="12" spans="1:15" x14ac:dyDescent="0.3">
      <c r="B12" s="5">
        <f>C2+1</f>
        <v>8</v>
      </c>
      <c r="C12" s="5">
        <v>0</v>
      </c>
      <c r="F12" s="5"/>
      <c r="G12" s="5" t="s">
        <v>129</v>
      </c>
      <c r="H12" s="5" t="s">
        <v>135</v>
      </c>
      <c r="L12" t="s">
        <v>136</v>
      </c>
    </row>
    <row r="13" spans="1:15" ht="28.8" x14ac:dyDescent="0.3">
      <c r="A13" s="14" t="s">
        <v>128</v>
      </c>
      <c r="B13" t="s">
        <v>131</v>
      </c>
      <c r="C13" t="s">
        <v>132</v>
      </c>
      <c r="F13" s="5" t="s">
        <v>36</v>
      </c>
      <c r="G13" s="5">
        <f>I6</f>
        <v>10</v>
      </c>
      <c r="H13" s="5">
        <f>I7</f>
        <v>30</v>
      </c>
      <c r="L13" t="s">
        <v>136</v>
      </c>
    </row>
    <row r="14" spans="1:15" x14ac:dyDescent="0.3">
      <c r="B14" s="5">
        <f>C2+1</f>
        <v>8</v>
      </c>
      <c r="C14" s="5">
        <v>0</v>
      </c>
      <c r="F14" s="5" t="s">
        <v>37</v>
      </c>
      <c r="G14" s="5">
        <f>J6</f>
        <v>30</v>
      </c>
      <c r="H14" s="5">
        <f>J7</f>
        <v>22.5</v>
      </c>
    </row>
    <row r="15" spans="1:15" x14ac:dyDescent="0.3">
      <c r="A15" t="s">
        <v>45</v>
      </c>
      <c r="B15" t="s">
        <v>131</v>
      </c>
      <c r="C15" t="s">
        <v>132</v>
      </c>
      <c r="F15" s="5" t="s">
        <v>127</v>
      </c>
      <c r="G15" s="5">
        <f>K6</f>
        <v>5.625</v>
      </c>
      <c r="H15" s="5">
        <f>K7</f>
        <v>5.625</v>
      </c>
    </row>
    <row r="16" spans="1:15" x14ac:dyDescent="0.3">
      <c r="B16" s="5">
        <f>C2+1</f>
        <v>8</v>
      </c>
      <c r="C16" s="5">
        <v>0</v>
      </c>
      <c r="F16" s="5" t="s">
        <v>38</v>
      </c>
      <c r="G16" s="5">
        <f>L6</f>
        <v>0</v>
      </c>
      <c r="H16" s="5">
        <f>L7</f>
        <v>0</v>
      </c>
    </row>
    <row r="17" spans="6:8" x14ac:dyDescent="0.3">
      <c r="F17" s="5" t="s">
        <v>44</v>
      </c>
      <c r="G17" s="5">
        <f>M6</f>
        <v>0</v>
      </c>
      <c r="H17" s="5">
        <f>M7</f>
        <v>0</v>
      </c>
    </row>
    <row r="18" spans="6:8" ht="28.8" x14ac:dyDescent="0.3">
      <c r="F18" s="15" t="s">
        <v>128</v>
      </c>
      <c r="G18" s="5">
        <f>N6</f>
        <v>0</v>
      </c>
      <c r="H18" s="5">
        <f>N7</f>
        <v>0</v>
      </c>
    </row>
    <row r="19" spans="6:8" x14ac:dyDescent="0.3">
      <c r="F19" s="5" t="s">
        <v>45</v>
      </c>
      <c r="G19" s="5">
        <f>O6</f>
        <v>0</v>
      </c>
      <c r="H19" s="5">
        <f>O7</f>
        <v>0</v>
      </c>
    </row>
    <row r="20" spans="6:8" x14ac:dyDescent="0.3">
      <c r="F20" s="5" t="s">
        <v>137</v>
      </c>
      <c r="G20" s="5">
        <f>G13+G14+G15+G16+G17+G18+G19</f>
        <v>45.625</v>
      </c>
      <c r="H20" s="5">
        <f>H13+H14+H15+H16+H17+H18+H19</f>
        <v>58.125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4"/>
  <sheetViews>
    <sheetView topLeftCell="A4" workbookViewId="0">
      <selection activeCell="H6" sqref="H6:I7"/>
    </sheetView>
  </sheetViews>
  <sheetFormatPr defaultRowHeight="14.4" x14ac:dyDescent="0.3"/>
  <sheetData>
    <row r="2" spans="2:13" x14ac:dyDescent="0.3">
      <c r="C2" s="8" t="s">
        <v>100</v>
      </c>
      <c r="D2" s="238"/>
      <c r="E2" s="238"/>
    </row>
    <row r="3" spans="2:13" x14ac:dyDescent="0.3">
      <c r="E3" s="7"/>
      <c r="F3" s="7"/>
      <c r="G3" s="7"/>
      <c r="H3" s="7"/>
      <c r="I3" s="7"/>
      <c r="J3" s="7"/>
    </row>
    <row r="4" spans="2:13" x14ac:dyDescent="0.3">
      <c r="B4" s="8" t="s">
        <v>101</v>
      </c>
      <c r="C4" s="6" t="s">
        <v>81</v>
      </c>
      <c r="D4" s="239" t="s">
        <v>82</v>
      </c>
      <c r="E4" s="239"/>
      <c r="F4" s="239"/>
      <c r="G4" s="9"/>
      <c r="H4" s="239" t="s">
        <v>83</v>
      </c>
      <c r="I4" s="239"/>
      <c r="J4" s="239"/>
      <c r="K4" s="239" t="s">
        <v>84</v>
      </c>
      <c r="L4" s="239"/>
      <c r="M4" s="239"/>
    </row>
    <row r="5" spans="2:13" x14ac:dyDescent="0.3">
      <c r="B5" s="8">
        <v>1</v>
      </c>
      <c r="C5" s="6"/>
      <c r="D5" s="6" t="s">
        <v>85</v>
      </c>
      <c r="E5" s="6" t="s">
        <v>86</v>
      </c>
      <c r="F5" s="6" t="s">
        <v>87</v>
      </c>
      <c r="G5" s="6"/>
      <c r="H5" s="6" t="s">
        <v>85</v>
      </c>
      <c r="I5" s="6" t="s">
        <v>86</v>
      </c>
      <c r="J5" s="6" t="s">
        <v>87</v>
      </c>
      <c r="K5" s="6" t="s">
        <v>85</v>
      </c>
      <c r="L5" s="6" t="s">
        <v>86</v>
      </c>
      <c r="M5" s="6" t="s">
        <v>87</v>
      </c>
    </row>
    <row r="6" spans="2:13" x14ac:dyDescent="0.3">
      <c r="C6" s="5" t="s">
        <v>88</v>
      </c>
      <c r="D6" s="5">
        <v>2.75</v>
      </c>
      <c r="E6" s="5">
        <v>3.3</v>
      </c>
      <c r="F6" s="5">
        <f>D6*E6</f>
        <v>9.0749999999999993</v>
      </c>
      <c r="G6" s="5" t="s">
        <v>103</v>
      </c>
      <c r="H6" s="5"/>
      <c r="I6" s="5"/>
      <c r="J6" s="5">
        <f>H6*I6</f>
        <v>0</v>
      </c>
      <c r="K6" s="5"/>
      <c r="L6" s="5"/>
      <c r="M6" s="5">
        <f>K6*L6</f>
        <v>0</v>
      </c>
    </row>
    <row r="7" spans="2:13" x14ac:dyDescent="0.3">
      <c r="C7" s="5"/>
      <c r="D7" s="5">
        <v>2.15</v>
      </c>
      <c r="E7" s="5">
        <v>1</v>
      </c>
      <c r="F7" s="5">
        <f t="shared" ref="F7:F33" si="0">D7*E7</f>
        <v>2.15</v>
      </c>
      <c r="G7" s="5" t="s">
        <v>104</v>
      </c>
      <c r="H7" s="5"/>
      <c r="I7" s="5"/>
      <c r="J7" s="5">
        <f t="shared" ref="J7:J29" si="1">H7*I7</f>
        <v>0</v>
      </c>
      <c r="K7" s="5"/>
      <c r="L7" s="5"/>
      <c r="M7" s="5">
        <f t="shared" ref="M7:M29" si="2">K7*L7</f>
        <v>0</v>
      </c>
    </row>
    <row r="8" spans="2:13" x14ac:dyDescent="0.3">
      <c r="C8" s="5"/>
      <c r="D8" s="5">
        <v>2.75</v>
      </c>
      <c r="E8" s="5">
        <v>1.2</v>
      </c>
      <c r="F8" s="5">
        <f t="shared" si="0"/>
        <v>3.3</v>
      </c>
      <c r="G8" s="5"/>
      <c r="H8" s="5">
        <v>0.75</v>
      </c>
      <c r="I8" s="5">
        <v>1.95</v>
      </c>
      <c r="J8" s="5">
        <f t="shared" si="1"/>
        <v>1.4624999999999999</v>
      </c>
      <c r="K8" s="5"/>
      <c r="L8" s="5"/>
      <c r="M8" s="5">
        <f t="shared" si="2"/>
        <v>0</v>
      </c>
    </row>
    <row r="9" spans="2:13" x14ac:dyDescent="0.3">
      <c r="C9" s="5" t="s">
        <v>91</v>
      </c>
      <c r="D9" s="5">
        <v>1.85</v>
      </c>
      <c r="E9" s="5">
        <v>1.8</v>
      </c>
      <c r="F9" s="5">
        <f t="shared" si="0"/>
        <v>3.33</v>
      </c>
      <c r="G9" s="5" t="s">
        <v>103</v>
      </c>
      <c r="H9" s="5">
        <v>0.75</v>
      </c>
      <c r="I9" s="5">
        <v>2.75</v>
      </c>
      <c r="J9" s="5">
        <f t="shared" si="1"/>
        <v>2.0625</v>
      </c>
      <c r="K9" s="5"/>
      <c r="L9" s="5"/>
      <c r="M9" s="5">
        <f t="shared" si="2"/>
        <v>0</v>
      </c>
    </row>
    <row r="10" spans="2:13" x14ac:dyDescent="0.3">
      <c r="C10" s="5"/>
      <c r="D10" s="5"/>
      <c r="E10" s="5"/>
      <c r="F10" s="5">
        <f t="shared" si="0"/>
        <v>0</v>
      </c>
      <c r="G10" s="5" t="s">
        <v>104</v>
      </c>
      <c r="H10" s="5"/>
      <c r="I10" s="5"/>
      <c r="J10" s="5">
        <v>1.4</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89</v>
      </c>
      <c r="D13" s="5">
        <v>2.75</v>
      </c>
      <c r="E13" s="5">
        <v>1.5</v>
      </c>
      <c r="F13" s="5">
        <f t="shared" si="0"/>
        <v>4.125</v>
      </c>
      <c r="G13" s="5" t="s">
        <v>103</v>
      </c>
      <c r="H13" s="5"/>
      <c r="I13" s="5"/>
      <c r="J13" s="5">
        <f t="shared" si="1"/>
        <v>0</v>
      </c>
      <c r="K13" s="5"/>
      <c r="L13" s="5"/>
      <c r="M13" s="5">
        <f t="shared" si="2"/>
        <v>0</v>
      </c>
    </row>
    <row r="14" spans="2:13" x14ac:dyDescent="0.3">
      <c r="C14" s="5"/>
      <c r="D14" s="5">
        <v>1.4</v>
      </c>
      <c r="E14" s="5">
        <v>0.2</v>
      </c>
      <c r="F14" s="5">
        <f t="shared" si="0"/>
        <v>0.27999999999999997</v>
      </c>
      <c r="G14" s="5" t="s">
        <v>104</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90</v>
      </c>
      <c r="D17" s="5"/>
      <c r="E17" s="5"/>
      <c r="F17" s="5">
        <f t="shared" si="0"/>
        <v>0</v>
      </c>
      <c r="G17" s="5" t="s">
        <v>103</v>
      </c>
      <c r="H17" s="5"/>
      <c r="I17" s="5"/>
      <c r="J17" s="5">
        <f t="shared" si="1"/>
        <v>0</v>
      </c>
      <c r="K17" s="5"/>
      <c r="L17" s="5"/>
      <c r="M17" s="5">
        <f t="shared" si="2"/>
        <v>0</v>
      </c>
    </row>
    <row r="18" spans="3:13" x14ac:dyDescent="0.3">
      <c r="C18" s="5"/>
      <c r="D18" s="5"/>
      <c r="E18" s="5"/>
      <c r="F18" s="5">
        <f t="shared" si="0"/>
        <v>0</v>
      </c>
      <c r="G18" s="5" t="s">
        <v>104</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90</v>
      </c>
      <c r="D20" s="5"/>
      <c r="E20" s="5"/>
      <c r="F20" s="5">
        <f t="shared" si="0"/>
        <v>0</v>
      </c>
      <c r="G20" s="5" t="s">
        <v>103</v>
      </c>
      <c r="H20" s="5"/>
      <c r="I20" s="5"/>
      <c r="J20" s="5">
        <f t="shared" si="1"/>
        <v>0</v>
      </c>
      <c r="K20" s="5"/>
      <c r="L20" s="5"/>
      <c r="M20" s="5">
        <f t="shared" si="2"/>
        <v>0</v>
      </c>
    </row>
    <row r="21" spans="3:13" x14ac:dyDescent="0.3">
      <c r="C21" s="5"/>
      <c r="D21" s="5"/>
      <c r="E21" s="5"/>
      <c r="F21" s="5">
        <f t="shared" si="0"/>
        <v>0</v>
      </c>
      <c r="G21" s="5" t="s">
        <v>104</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96</v>
      </c>
      <c r="D23" s="5">
        <v>1.2</v>
      </c>
      <c r="E23" s="5">
        <v>1.5</v>
      </c>
      <c r="F23" s="5">
        <f t="shared" si="0"/>
        <v>1.7999999999999998</v>
      </c>
      <c r="G23" s="5" t="s">
        <v>105</v>
      </c>
      <c r="H23" s="5"/>
      <c r="I23" s="5"/>
      <c r="J23" s="5">
        <f t="shared" si="1"/>
        <v>0</v>
      </c>
      <c r="K23" s="5"/>
      <c r="L23" s="5"/>
      <c r="M23" s="5">
        <f t="shared" si="2"/>
        <v>0</v>
      </c>
    </row>
    <row r="24" spans="3:13" x14ac:dyDescent="0.3">
      <c r="C24" s="5" t="s">
        <v>97</v>
      </c>
      <c r="D24" s="5">
        <v>0.9</v>
      </c>
      <c r="E24" s="5">
        <v>1.2</v>
      </c>
      <c r="F24" s="5">
        <f t="shared" si="0"/>
        <v>1.08</v>
      </c>
      <c r="G24" s="5" t="s">
        <v>105</v>
      </c>
      <c r="H24" s="5"/>
      <c r="I24" s="5"/>
      <c r="J24" s="5">
        <f t="shared" si="1"/>
        <v>0</v>
      </c>
      <c r="K24" s="5"/>
      <c r="L24" s="5"/>
      <c r="M24" s="5">
        <f t="shared" si="2"/>
        <v>0</v>
      </c>
    </row>
    <row r="25" spans="3:13" x14ac:dyDescent="0.3">
      <c r="C25" s="5" t="s">
        <v>98</v>
      </c>
      <c r="D25" s="5">
        <v>0.9</v>
      </c>
      <c r="E25" s="5">
        <v>1.95</v>
      </c>
      <c r="F25" s="5">
        <f t="shared" si="0"/>
        <v>1.7549999999999999</v>
      </c>
      <c r="G25" s="5" t="s">
        <v>105</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92</v>
      </c>
      <c r="D27" s="5">
        <v>0.9</v>
      </c>
      <c r="E27" s="5">
        <v>1.95</v>
      </c>
      <c r="F27" s="5">
        <f t="shared" si="0"/>
        <v>1.7549999999999999</v>
      </c>
      <c r="G27" s="5"/>
      <c r="H27" s="5"/>
      <c r="I27" s="5"/>
      <c r="J27" s="5">
        <f t="shared" si="1"/>
        <v>0</v>
      </c>
      <c r="K27" s="5"/>
      <c r="L27" s="5"/>
      <c r="M27" s="5">
        <f t="shared" si="2"/>
        <v>0</v>
      </c>
    </row>
    <row r="28" spans="3:13" x14ac:dyDescent="0.3">
      <c r="C28" s="5" t="s">
        <v>93</v>
      </c>
      <c r="D28" s="5">
        <v>1.95</v>
      </c>
      <c r="E28" s="5">
        <v>0.35</v>
      </c>
      <c r="F28" s="5">
        <f t="shared" si="0"/>
        <v>0.6825</v>
      </c>
      <c r="G28" s="5"/>
      <c r="H28" s="5"/>
      <c r="I28" s="5"/>
      <c r="J28" s="5">
        <f t="shared" si="1"/>
        <v>0</v>
      </c>
      <c r="K28" s="5"/>
      <c r="L28" s="5"/>
      <c r="M28" s="5">
        <f t="shared" si="2"/>
        <v>0</v>
      </c>
    </row>
    <row r="29" spans="3:13" x14ac:dyDescent="0.3">
      <c r="C29" s="5" t="s">
        <v>94</v>
      </c>
      <c r="D29" s="5"/>
      <c r="E29" s="5"/>
      <c r="F29" s="5">
        <f t="shared" si="0"/>
        <v>0</v>
      </c>
      <c r="G29" s="5"/>
      <c r="H29" s="5"/>
      <c r="I29" s="5"/>
      <c r="J29" s="5">
        <f t="shared" si="1"/>
        <v>0</v>
      </c>
      <c r="K29" s="5"/>
      <c r="L29" s="5"/>
      <c r="M29" s="5">
        <f t="shared" si="2"/>
        <v>0</v>
      </c>
    </row>
    <row r="30" spans="3:13" x14ac:dyDescent="0.3">
      <c r="C30" s="5" t="s">
        <v>95</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99</v>
      </c>
      <c r="D34" s="5"/>
      <c r="E34" s="5">
        <f>F34*10.764</f>
        <v>315.73502999999999</v>
      </c>
      <c r="F34" s="5">
        <f>SUM(F6:F33)</f>
        <v>29.3325</v>
      </c>
      <c r="G34" s="5"/>
      <c r="H34" s="5"/>
      <c r="I34" s="5">
        <f>J34*10.764</f>
        <v>53.012699999999995</v>
      </c>
      <c r="J34" s="5">
        <f>SUM(J6:J33)</f>
        <v>4.9249999999999998</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35"/>
  <sheetViews>
    <sheetView topLeftCell="A16" workbookViewId="0">
      <selection activeCell="D13" sqref="D13"/>
    </sheetView>
  </sheetViews>
  <sheetFormatPr defaultRowHeight="14.4" x14ac:dyDescent="0.3"/>
  <sheetData>
    <row r="3" spans="2:13" x14ac:dyDescent="0.3">
      <c r="C3" s="8" t="s">
        <v>100</v>
      </c>
      <c r="D3" s="238"/>
      <c r="E3" s="238"/>
    </row>
    <row r="4" spans="2:13" x14ac:dyDescent="0.3">
      <c r="E4" s="7"/>
      <c r="F4" s="7"/>
      <c r="G4" s="7"/>
      <c r="H4" s="7"/>
      <c r="I4" s="7"/>
      <c r="J4" s="7"/>
    </row>
    <row r="5" spans="2:13" x14ac:dyDescent="0.3">
      <c r="B5" s="8" t="s">
        <v>101</v>
      </c>
      <c r="C5" s="6" t="s">
        <v>81</v>
      </c>
      <c r="D5" s="239" t="s">
        <v>82</v>
      </c>
      <c r="E5" s="239"/>
      <c r="F5" s="239"/>
      <c r="G5" s="9"/>
      <c r="H5" s="239" t="s">
        <v>83</v>
      </c>
      <c r="I5" s="239"/>
      <c r="J5" s="239"/>
      <c r="K5" s="239" t="s">
        <v>84</v>
      </c>
      <c r="L5" s="239"/>
      <c r="M5" s="239"/>
    </row>
    <row r="6" spans="2:13" x14ac:dyDescent="0.3">
      <c r="B6" s="8">
        <v>1</v>
      </c>
      <c r="C6" s="6"/>
      <c r="D6" s="6" t="s">
        <v>85</v>
      </c>
      <c r="E6" s="6" t="s">
        <v>86</v>
      </c>
      <c r="F6" s="6" t="s">
        <v>87</v>
      </c>
      <c r="G6" s="6"/>
      <c r="H6" s="6" t="s">
        <v>85</v>
      </c>
      <c r="I6" s="6" t="s">
        <v>86</v>
      </c>
      <c r="J6" s="6" t="s">
        <v>87</v>
      </c>
      <c r="K6" s="6" t="s">
        <v>85</v>
      </c>
      <c r="L6" s="6" t="s">
        <v>86</v>
      </c>
      <c r="M6" s="6" t="s">
        <v>87</v>
      </c>
    </row>
    <row r="7" spans="2:13" x14ac:dyDescent="0.3">
      <c r="C7" s="5" t="s">
        <v>88</v>
      </c>
      <c r="D7" s="5">
        <v>3.3</v>
      </c>
      <c r="E7" s="5">
        <v>2.75</v>
      </c>
      <c r="F7" s="5">
        <f>D7*E7</f>
        <v>9.0749999999999993</v>
      </c>
      <c r="G7" s="5" t="s">
        <v>103</v>
      </c>
      <c r="H7" s="5"/>
      <c r="I7" s="5"/>
      <c r="J7" s="5">
        <f>H7*I7</f>
        <v>0</v>
      </c>
      <c r="K7" s="5"/>
      <c r="L7" s="5"/>
      <c r="M7" s="5">
        <f>K7*L7</f>
        <v>0</v>
      </c>
    </row>
    <row r="8" spans="2:13" x14ac:dyDescent="0.3">
      <c r="C8" s="5"/>
      <c r="D8" s="5"/>
      <c r="E8" s="5"/>
      <c r="F8" s="5">
        <v>0.96</v>
      </c>
      <c r="G8" s="5" t="s">
        <v>104</v>
      </c>
      <c r="H8" s="5"/>
      <c r="I8" s="5"/>
      <c r="J8" s="5">
        <f t="shared" ref="J8:J34" si="0">H8*I8</f>
        <v>0</v>
      </c>
      <c r="K8" s="5"/>
      <c r="L8" s="5"/>
      <c r="M8" s="5">
        <f t="shared" ref="M8:M34" si="1">K8*L8</f>
        <v>0</v>
      </c>
    </row>
    <row r="9" spans="2:13" x14ac:dyDescent="0.3">
      <c r="C9" s="5"/>
      <c r="D9" s="5"/>
      <c r="E9" s="5"/>
      <c r="F9" s="5">
        <f t="shared" ref="F9:F34" si="2">D9*E9</f>
        <v>0</v>
      </c>
      <c r="G9" s="5"/>
      <c r="H9" s="5"/>
      <c r="I9" s="5"/>
      <c r="J9" s="5">
        <f t="shared" si="0"/>
        <v>0</v>
      </c>
      <c r="K9" s="5"/>
      <c r="L9" s="5"/>
      <c r="M9" s="5">
        <f t="shared" si="1"/>
        <v>0</v>
      </c>
    </row>
    <row r="10" spans="2:13" x14ac:dyDescent="0.3">
      <c r="C10" s="5" t="s">
        <v>91</v>
      </c>
      <c r="D10" s="5">
        <v>2</v>
      </c>
      <c r="E10" s="5">
        <v>1.65</v>
      </c>
      <c r="F10" s="5">
        <f t="shared" si="2"/>
        <v>3.3</v>
      </c>
      <c r="G10" s="5" t="s">
        <v>103</v>
      </c>
      <c r="H10" s="5"/>
      <c r="I10" s="5"/>
      <c r="J10" s="5">
        <f t="shared" si="0"/>
        <v>0</v>
      </c>
      <c r="K10" s="5"/>
      <c r="L10" s="5"/>
      <c r="M10" s="5">
        <f t="shared" si="1"/>
        <v>0</v>
      </c>
    </row>
    <row r="11" spans="2:13" x14ac:dyDescent="0.3">
      <c r="C11" s="5"/>
      <c r="D11" s="5">
        <v>2</v>
      </c>
      <c r="E11" s="5">
        <v>1.55</v>
      </c>
      <c r="F11" s="5">
        <f t="shared" si="2"/>
        <v>3.1</v>
      </c>
      <c r="G11" s="5" t="s">
        <v>104</v>
      </c>
      <c r="H11" s="5"/>
      <c r="I11" s="5"/>
      <c r="J11" s="5">
        <f t="shared" si="0"/>
        <v>0</v>
      </c>
      <c r="K11" s="5"/>
      <c r="L11" s="5"/>
      <c r="M11" s="5">
        <f t="shared" si="1"/>
        <v>0</v>
      </c>
    </row>
    <row r="12" spans="2:13" x14ac:dyDescent="0.3">
      <c r="C12" s="5"/>
      <c r="D12" s="5"/>
      <c r="E12" s="5"/>
      <c r="F12" s="5">
        <f t="shared" si="2"/>
        <v>0</v>
      </c>
      <c r="G12" s="5"/>
      <c r="H12" s="5"/>
      <c r="I12" s="5"/>
      <c r="J12" s="5">
        <f t="shared" si="0"/>
        <v>0</v>
      </c>
      <c r="K12" s="5"/>
      <c r="L12" s="5"/>
      <c r="M12" s="5">
        <f t="shared" si="1"/>
        <v>0</v>
      </c>
    </row>
    <row r="13" spans="2:13" x14ac:dyDescent="0.3">
      <c r="C13" s="5"/>
      <c r="D13" s="5"/>
      <c r="E13" s="5"/>
      <c r="F13" s="5">
        <f t="shared" si="2"/>
        <v>0</v>
      </c>
      <c r="G13" s="5"/>
      <c r="H13" s="5"/>
      <c r="I13" s="5"/>
      <c r="J13" s="5">
        <f t="shared" si="0"/>
        <v>0</v>
      </c>
      <c r="K13" s="5"/>
      <c r="L13" s="5"/>
      <c r="M13" s="5">
        <f t="shared" si="1"/>
        <v>0</v>
      </c>
    </row>
    <row r="14" spans="2:13" x14ac:dyDescent="0.3">
      <c r="C14" s="5" t="s">
        <v>89</v>
      </c>
      <c r="D14" s="5">
        <v>1.5</v>
      </c>
      <c r="E14" s="5">
        <v>3.2</v>
      </c>
      <c r="F14" s="5">
        <f t="shared" si="2"/>
        <v>4.8000000000000007</v>
      </c>
      <c r="G14" s="5" t="s">
        <v>103</v>
      </c>
      <c r="H14" s="5"/>
      <c r="I14" s="5"/>
      <c r="J14" s="5">
        <f t="shared" si="0"/>
        <v>0</v>
      </c>
      <c r="K14" s="5"/>
      <c r="L14" s="5"/>
      <c r="M14" s="5">
        <f t="shared" si="1"/>
        <v>0</v>
      </c>
    </row>
    <row r="15" spans="2:13" x14ac:dyDescent="0.3">
      <c r="C15" s="5"/>
      <c r="D15" s="5">
        <v>1.25</v>
      </c>
      <c r="E15" s="5">
        <v>3.5</v>
      </c>
      <c r="F15" s="5">
        <f t="shared" si="2"/>
        <v>4.375</v>
      </c>
      <c r="G15" s="5" t="s">
        <v>104</v>
      </c>
      <c r="H15" s="5"/>
      <c r="I15" s="5"/>
      <c r="J15" s="5">
        <f t="shared" si="0"/>
        <v>0</v>
      </c>
      <c r="K15" s="5"/>
      <c r="L15" s="5"/>
      <c r="M15" s="5">
        <f t="shared" si="1"/>
        <v>0</v>
      </c>
    </row>
    <row r="16" spans="2:13" x14ac:dyDescent="0.3">
      <c r="C16" s="5"/>
      <c r="D16" s="5"/>
      <c r="E16" s="5"/>
      <c r="F16" s="5">
        <f t="shared" si="2"/>
        <v>0</v>
      </c>
      <c r="G16" s="5"/>
      <c r="H16" s="5"/>
      <c r="I16" s="5"/>
      <c r="J16" s="5">
        <f t="shared" si="0"/>
        <v>0</v>
      </c>
      <c r="K16" s="5"/>
      <c r="L16" s="5"/>
      <c r="M16" s="5">
        <f t="shared" si="1"/>
        <v>0</v>
      </c>
    </row>
    <row r="17" spans="3:13" x14ac:dyDescent="0.3">
      <c r="C17" s="5"/>
      <c r="D17" s="5"/>
      <c r="E17" s="5"/>
      <c r="F17" s="5">
        <f t="shared" si="2"/>
        <v>0</v>
      </c>
      <c r="G17" s="5"/>
      <c r="H17" s="5"/>
      <c r="I17" s="5"/>
      <c r="J17" s="5">
        <f t="shared" si="0"/>
        <v>0</v>
      </c>
      <c r="K17" s="5"/>
      <c r="L17" s="5"/>
      <c r="M17" s="5">
        <f t="shared" si="1"/>
        <v>0</v>
      </c>
    </row>
    <row r="18" spans="3:13" x14ac:dyDescent="0.3">
      <c r="C18" s="5" t="s">
        <v>90</v>
      </c>
      <c r="D18" s="5"/>
      <c r="E18" s="5"/>
      <c r="F18" s="5">
        <f t="shared" si="2"/>
        <v>0</v>
      </c>
      <c r="G18" s="5" t="s">
        <v>103</v>
      </c>
      <c r="H18" s="5"/>
      <c r="I18" s="5"/>
      <c r="J18" s="5">
        <f t="shared" si="0"/>
        <v>0</v>
      </c>
      <c r="K18" s="5"/>
      <c r="L18" s="5"/>
      <c r="M18" s="5">
        <f t="shared" si="1"/>
        <v>0</v>
      </c>
    </row>
    <row r="19" spans="3:13" x14ac:dyDescent="0.3">
      <c r="C19" s="5"/>
      <c r="D19" s="5"/>
      <c r="E19" s="5"/>
      <c r="F19" s="5">
        <f t="shared" si="2"/>
        <v>0</v>
      </c>
      <c r="G19" s="5" t="s">
        <v>104</v>
      </c>
      <c r="H19" s="5"/>
      <c r="I19" s="5"/>
      <c r="J19" s="5">
        <f t="shared" si="0"/>
        <v>0</v>
      </c>
      <c r="K19" s="5"/>
      <c r="L19" s="5"/>
      <c r="M19" s="5">
        <f t="shared" si="1"/>
        <v>0</v>
      </c>
    </row>
    <row r="20" spans="3:13" x14ac:dyDescent="0.3">
      <c r="C20" s="5"/>
      <c r="D20" s="5"/>
      <c r="E20" s="5"/>
      <c r="F20" s="5">
        <f t="shared" si="2"/>
        <v>0</v>
      </c>
      <c r="G20" s="5"/>
      <c r="H20" s="5"/>
      <c r="I20" s="5"/>
      <c r="J20" s="5">
        <f t="shared" si="0"/>
        <v>0</v>
      </c>
      <c r="K20" s="5"/>
      <c r="L20" s="5"/>
      <c r="M20" s="5">
        <f t="shared" si="1"/>
        <v>0</v>
      </c>
    </row>
    <row r="21" spans="3:13" x14ac:dyDescent="0.3">
      <c r="C21" s="5" t="s">
        <v>90</v>
      </c>
      <c r="D21" s="5"/>
      <c r="E21" s="5"/>
      <c r="F21" s="5">
        <f t="shared" si="2"/>
        <v>0</v>
      </c>
      <c r="G21" s="5" t="s">
        <v>103</v>
      </c>
      <c r="H21" s="5"/>
      <c r="I21" s="5"/>
      <c r="J21" s="5">
        <f t="shared" si="0"/>
        <v>0</v>
      </c>
      <c r="K21" s="5"/>
      <c r="L21" s="5"/>
      <c r="M21" s="5">
        <f t="shared" si="1"/>
        <v>0</v>
      </c>
    </row>
    <row r="22" spans="3:13" x14ac:dyDescent="0.3">
      <c r="C22" s="5"/>
      <c r="D22" s="5"/>
      <c r="E22" s="5"/>
      <c r="F22" s="5">
        <f t="shared" si="2"/>
        <v>0</v>
      </c>
      <c r="G22" s="5" t="s">
        <v>104</v>
      </c>
      <c r="H22" s="5"/>
      <c r="I22" s="5"/>
      <c r="J22" s="5">
        <f t="shared" si="0"/>
        <v>0</v>
      </c>
      <c r="K22" s="5"/>
      <c r="L22" s="5"/>
      <c r="M22" s="5">
        <f t="shared" si="1"/>
        <v>0</v>
      </c>
    </row>
    <row r="23" spans="3:13" x14ac:dyDescent="0.3">
      <c r="C23" s="5"/>
      <c r="D23" s="5"/>
      <c r="E23" s="5"/>
      <c r="F23" s="5">
        <f t="shared" si="2"/>
        <v>0</v>
      </c>
      <c r="G23" s="5"/>
      <c r="H23" s="5"/>
      <c r="I23" s="5"/>
      <c r="J23" s="5">
        <f t="shared" si="0"/>
        <v>0</v>
      </c>
      <c r="K23" s="5"/>
      <c r="L23" s="5"/>
      <c r="M23" s="5">
        <f t="shared" si="1"/>
        <v>0</v>
      </c>
    </row>
    <row r="24" spans="3:13" x14ac:dyDescent="0.3">
      <c r="C24" s="5" t="s">
        <v>96</v>
      </c>
      <c r="D24" s="5">
        <v>1.05</v>
      </c>
      <c r="E24" s="5">
        <v>1.5</v>
      </c>
      <c r="F24" s="5">
        <f t="shared" si="2"/>
        <v>1.5750000000000002</v>
      </c>
      <c r="G24" s="5" t="s">
        <v>105</v>
      </c>
      <c r="H24" s="5"/>
      <c r="I24" s="5"/>
      <c r="J24" s="5">
        <f t="shared" si="0"/>
        <v>0</v>
      </c>
      <c r="K24" s="5"/>
      <c r="L24" s="5"/>
      <c r="M24" s="5">
        <f t="shared" si="1"/>
        <v>0</v>
      </c>
    </row>
    <row r="25" spans="3:13" x14ac:dyDescent="0.3">
      <c r="C25" s="5" t="s">
        <v>97</v>
      </c>
      <c r="D25" s="5">
        <v>0.9</v>
      </c>
      <c r="E25" s="5">
        <v>1.2</v>
      </c>
      <c r="F25" s="5">
        <f t="shared" si="2"/>
        <v>1.08</v>
      </c>
      <c r="G25" s="5" t="s">
        <v>105</v>
      </c>
      <c r="H25" s="5"/>
      <c r="I25" s="5"/>
      <c r="J25" s="5">
        <f t="shared" si="0"/>
        <v>0</v>
      </c>
      <c r="K25" s="5"/>
      <c r="L25" s="5"/>
      <c r="M25" s="5">
        <f t="shared" si="1"/>
        <v>0</v>
      </c>
    </row>
    <row r="26" spans="3:13" x14ac:dyDescent="0.3">
      <c r="C26" s="5" t="s">
        <v>98</v>
      </c>
      <c r="D26" s="5"/>
      <c r="E26" s="5"/>
      <c r="F26" s="5">
        <f t="shared" si="2"/>
        <v>0</v>
      </c>
      <c r="G26" s="5" t="s">
        <v>105</v>
      </c>
      <c r="H26" s="5"/>
      <c r="I26" s="5"/>
      <c r="J26" s="5">
        <f t="shared" si="0"/>
        <v>0</v>
      </c>
      <c r="K26" s="5"/>
      <c r="L26" s="5"/>
      <c r="M26" s="5">
        <f t="shared" si="1"/>
        <v>0</v>
      </c>
    </row>
    <row r="27" spans="3:13" x14ac:dyDescent="0.3">
      <c r="C27" s="5"/>
      <c r="D27" s="5"/>
      <c r="E27" s="5"/>
      <c r="F27" s="5">
        <f t="shared" si="2"/>
        <v>0</v>
      </c>
      <c r="G27" s="5"/>
      <c r="H27" s="5"/>
      <c r="I27" s="5"/>
      <c r="J27" s="5">
        <f t="shared" si="0"/>
        <v>0</v>
      </c>
      <c r="K27" s="5"/>
      <c r="L27" s="5"/>
      <c r="M27" s="5">
        <f t="shared" si="1"/>
        <v>0</v>
      </c>
    </row>
    <row r="28" spans="3:13" x14ac:dyDescent="0.3">
      <c r="C28" s="5" t="s">
        <v>92</v>
      </c>
      <c r="D28" s="5">
        <v>1.2</v>
      </c>
      <c r="E28" s="5">
        <v>0.9</v>
      </c>
      <c r="F28" s="5">
        <f t="shared" si="2"/>
        <v>1.08</v>
      </c>
      <c r="G28" s="5"/>
      <c r="H28" s="5"/>
      <c r="I28" s="5"/>
      <c r="J28" s="5">
        <f t="shared" si="0"/>
        <v>0</v>
      </c>
      <c r="K28" s="5"/>
      <c r="L28" s="5"/>
      <c r="M28" s="5">
        <f t="shared" si="1"/>
        <v>0</v>
      </c>
    </row>
    <row r="29" spans="3:13" x14ac:dyDescent="0.3">
      <c r="C29" s="5" t="s">
        <v>93</v>
      </c>
      <c r="D29" s="5">
        <v>0.95</v>
      </c>
      <c r="E29" s="5">
        <v>2.2999999999999998</v>
      </c>
      <c r="F29" s="5">
        <f t="shared" si="2"/>
        <v>2.1849999999999996</v>
      </c>
      <c r="G29" s="5"/>
      <c r="H29" s="5"/>
      <c r="I29" s="5"/>
      <c r="J29" s="5">
        <f t="shared" si="0"/>
        <v>0</v>
      </c>
      <c r="K29" s="5"/>
      <c r="L29" s="5"/>
      <c r="M29" s="5">
        <f t="shared" si="1"/>
        <v>0</v>
      </c>
    </row>
    <row r="30" spans="3:13" x14ac:dyDescent="0.3">
      <c r="C30" s="5" t="s">
        <v>94</v>
      </c>
      <c r="D30" s="5"/>
      <c r="E30" s="5"/>
      <c r="F30" s="5">
        <f t="shared" si="2"/>
        <v>0</v>
      </c>
      <c r="G30" s="5"/>
      <c r="H30" s="5"/>
      <c r="I30" s="5"/>
      <c r="J30" s="5">
        <f t="shared" si="0"/>
        <v>0</v>
      </c>
      <c r="K30" s="5"/>
      <c r="L30" s="5"/>
      <c r="M30" s="5">
        <f t="shared" si="1"/>
        <v>0</v>
      </c>
    </row>
    <row r="31" spans="3:13" x14ac:dyDescent="0.3">
      <c r="C31" s="5" t="s">
        <v>95</v>
      </c>
      <c r="D31" s="5"/>
      <c r="E31" s="5"/>
      <c r="F31" s="5">
        <f t="shared" si="2"/>
        <v>0</v>
      </c>
      <c r="G31" s="5"/>
      <c r="H31" s="5"/>
      <c r="I31" s="5"/>
      <c r="J31" s="5">
        <f t="shared" si="0"/>
        <v>0</v>
      </c>
      <c r="K31" s="5"/>
      <c r="L31" s="5"/>
      <c r="M31" s="5">
        <f t="shared" si="1"/>
        <v>0</v>
      </c>
    </row>
    <row r="32" spans="3:13" x14ac:dyDescent="0.3">
      <c r="C32" s="5"/>
      <c r="D32" s="5"/>
      <c r="E32" s="5"/>
      <c r="F32" s="5">
        <f t="shared" si="2"/>
        <v>0</v>
      </c>
      <c r="G32" s="5"/>
      <c r="H32" s="5"/>
      <c r="I32" s="5"/>
      <c r="J32" s="5">
        <f t="shared" si="0"/>
        <v>0</v>
      </c>
      <c r="K32" s="5"/>
      <c r="L32" s="5"/>
      <c r="M32" s="5">
        <f t="shared" si="1"/>
        <v>0</v>
      </c>
    </row>
    <row r="33" spans="3:13" x14ac:dyDescent="0.3">
      <c r="C33" s="5"/>
      <c r="D33" s="5"/>
      <c r="E33" s="5"/>
      <c r="F33" s="5">
        <f t="shared" si="2"/>
        <v>0</v>
      </c>
      <c r="G33" s="5"/>
      <c r="H33" s="5"/>
      <c r="I33" s="5"/>
      <c r="J33" s="5">
        <f t="shared" si="0"/>
        <v>0</v>
      </c>
      <c r="K33" s="5"/>
      <c r="L33" s="5"/>
      <c r="M33" s="5">
        <f t="shared" si="1"/>
        <v>0</v>
      </c>
    </row>
    <row r="34" spans="3:13" x14ac:dyDescent="0.3">
      <c r="C34" s="5"/>
      <c r="D34" s="5"/>
      <c r="E34" s="5"/>
      <c r="F34" s="5">
        <f t="shared" si="2"/>
        <v>0</v>
      </c>
      <c r="G34" s="5"/>
      <c r="H34" s="5"/>
      <c r="I34" s="5"/>
      <c r="J34" s="5">
        <f t="shared" si="0"/>
        <v>0</v>
      </c>
      <c r="K34" s="5"/>
      <c r="L34" s="5"/>
      <c r="M34" s="5">
        <f t="shared" si="1"/>
        <v>0</v>
      </c>
    </row>
    <row r="35" spans="3:13" x14ac:dyDescent="0.3">
      <c r="C35" s="5" t="s">
        <v>99</v>
      </c>
      <c r="D35" s="5"/>
      <c r="E35" s="5">
        <f>F35*10.764</f>
        <v>339.38891999999993</v>
      </c>
      <c r="F35" s="5">
        <f>SUM(F7:F34)</f>
        <v>31.529999999999998</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N35"/>
  <sheetViews>
    <sheetView workbookViewId="0">
      <selection activeCell="H7" sqref="H7:H8"/>
    </sheetView>
  </sheetViews>
  <sheetFormatPr defaultRowHeight="14.4" x14ac:dyDescent="0.3"/>
  <sheetData>
    <row r="3" spans="3:14" x14ac:dyDescent="0.3">
      <c r="D3" s="8" t="s">
        <v>100</v>
      </c>
      <c r="E3" s="238"/>
      <c r="F3" s="238"/>
    </row>
    <row r="4" spans="3:14" x14ac:dyDescent="0.3">
      <c r="F4" s="7"/>
      <c r="G4" s="7"/>
      <c r="H4" s="7"/>
      <c r="I4" s="7"/>
      <c r="J4" s="7"/>
      <c r="K4" s="7"/>
    </row>
    <row r="5" spans="3:14" x14ac:dyDescent="0.3">
      <c r="C5" s="8" t="s">
        <v>101</v>
      </c>
      <c r="D5" s="6" t="s">
        <v>81</v>
      </c>
      <c r="E5" s="239" t="s">
        <v>82</v>
      </c>
      <c r="F5" s="239"/>
      <c r="G5" s="239"/>
      <c r="H5" s="9"/>
      <c r="I5" s="239" t="s">
        <v>83</v>
      </c>
      <c r="J5" s="239"/>
      <c r="K5" s="239"/>
      <c r="L5" s="239" t="s">
        <v>84</v>
      </c>
      <c r="M5" s="239"/>
      <c r="N5" s="239"/>
    </row>
    <row r="6" spans="3:14" x14ac:dyDescent="0.3">
      <c r="C6" s="8">
        <v>1</v>
      </c>
      <c r="D6" s="6"/>
      <c r="E6" s="6" t="s">
        <v>85</v>
      </c>
      <c r="F6" s="6" t="s">
        <v>86</v>
      </c>
      <c r="G6" s="6" t="s">
        <v>87</v>
      </c>
      <c r="H6" s="6"/>
      <c r="I6" s="6" t="s">
        <v>85</v>
      </c>
      <c r="J6" s="6" t="s">
        <v>86</v>
      </c>
      <c r="K6" s="6" t="s">
        <v>87</v>
      </c>
      <c r="L6" s="6" t="s">
        <v>85</v>
      </c>
      <c r="M6" s="6" t="s">
        <v>86</v>
      </c>
      <c r="N6" s="6" t="s">
        <v>87</v>
      </c>
    </row>
    <row r="7" spans="3:14" x14ac:dyDescent="0.3">
      <c r="D7" s="5" t="s">
        <v>88</v>
      </c>
      <c r="E7" s="5"/>
      <c r="F7" s="5"/>
      <c r="G7" s="5">
        <f>E7*F7</f>
        <v>0</v>
      </c>
      <c r="H7" s="5" t="s">
        <v>103</v>
      </c>
      <c r="I7" s="5"/>
      <c r="J7" s="5"/>
      <c r="K7" s="5">
        <f>I7*J7</f>
        <v>0</v>
      </c>
      <c r="L7" s="5"/>
      <c r="M7" s="5"/>
      <c r="N7" s="5">
        <f>L7*M7</f>
        <v>0</v>
      </c>
    </row>
    <row r="8" spans="3:14" x14ac:dyDescent="0.3">
      <c r="D8" s="5"/>
      <c r="E8" s="5"/>
      <c r="F8" s="5"/>
      <c r="G8" s="5">
        <f t="shared" ref="G8:G34" si="0">E8*F8</f>
        <v>0</v>
      </c>
      <c r="H8" s="5" t="s">
        <v>104</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91</v>
      </c>
      <c r="E10" s="5"/>
      <c r="F10" s="5"/>
      <c r="G10" s="5">
        <f t="shared" si="0"/>
        <v>0</v>
      </c>
      <c r="H10" s="5" t="s">
        <v>103</v>
      </c>
      <c r="I10" s="5"/>
      <c r="J10" s="5"/>
      <c r="K10" s="5">
        <f t="shared" si="1"/>
        <v>0</v>
      </c>
      <c r="L10" s="5"/>
      <c r="M10" s="5"/>
      <c r="N10" s="5">
        <f t="shared" si="2"/>
        <v>0</v>
      </c>
    </row>
    <row r="11" spans="3:14" x14ac:dyDescent="0.3">
      <c r="D11" s="5"/>
      <c r="E11" s="5"/>
      <c r="F11" s="5"/>
      <c r="G11" s="5">
        <f t="shared" si="0"/>
        <v>0</v>
      </c>
      <c r="H11" s="5" t="s">
        <v>104</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89</v>
      </c>
      <c r="E14" s="5"/>
      <c r="F14" s="5"/>
      <c r="G14" s="5">
        <f t="shared" si="0"/>
        <v>0</v>
      </c>
      <c r="H14" s="5" t="s">
        <v>103</v>
      </c>
      <c r="I14" s="5"/>
      <c r="J14" s="5"/>
      <c r="K14" s="5">
        <f t="shared" si="1"/>
        <v>0</v>
      </c>
      <c r="L14" s="5"/>
      <c r="M14" s="5"/>
      <c r="N14" s="5">
        <f t="shared" si="2"/>
        <v>0</v>
      </c>
    </row>
    <row r="15" spans="3:14" x14ac:dyDescent="0.3">
      <c r="D15" s="5"/>
      <c r="E15" s="5"/>
      <c r="F15" s="5"/>
      <c r="G15" s="5">
        <f t="shared" si="0"/>
        <v>0</v>
      </c>
      <c r="H15" s="5" t="s">
        <v>104</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90</v>
      </c>
      <c r="E18" s="5"/>
      <c r="F18" s="5"/>
      <c r="G18" s="5">
        <f t="shared" si="0"/>
        <v>0</v>
      </c>
      <c r="H18" s="5" t="s">
        <v>103</v>
      </c>
      <c r="I18" s="5"/>
      <c r="J18" s="5"/>
      <c r="K18" s="5">
        <f t="shared" si="1"/>
        <v>0</v>
      </c>
      <c r="L18" s="5"/>
      <c r="M18" s="5"/>
      <c r="N18" s="5">
        <f t="shared" si="2"/>
        <v>0</v>
      </c>
    </row>
    <row r="19" spans="4:14" x14ac:dyDescent="0.3">
      <c r="D19" s="5"/>
      <c r="E19" s="5"/>
      <c r="F19" s="5"/>
      <c r="G19" s="5">
        <f t="shared" si="0"/>
        <v>0</v>
      </c>
      <c r="H19" s="5" t="s">
        <v>104</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90</v>
      </c>
      <c r="E21" s="5"/>
      <c r="F21" s="5"/>
      <c r="G21" s="5">
        <f t="shared" si="0"/>
        <v>0</v>
      </c>
      <c r="H21" s="5" t="s">
        <v>103</v>
      </c>
      <c r="I21" s="5"/>
      <c r="J21" s="5"/>
      <c r="K21" s="5">
        <f t="shared" si="1"/>
        <v>0</v>
      </c>
      <c r="L21" s="5"/>
      <c r="M21" s="5"/>
      <c r="N21" s="5">
        <f t="shared" si="2"/>
        <v>0</v>
      </c>
    </row>
    <row r="22" spans="4:14" x14ac:dyDescent="0.3">
      <c r="D22" s="5"/>
      <c r="E22" s="5"/>
      <c r="F22" s="5"/>
      <c r="G22" s="5">
        <f t="shared" si="0"/>
        <v>0</v>
      </c>
      <c r="H22" s="5" t="s">
        <v>104</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96</v>
      </c>
      <c r="E24" s="5"/>
      <c r="F24" s="5"/>
      <c r="G24" s="5">
        <f t="shared" si="0"/>
        <v>0</v>
      </c>
      <c r="H24" s="5" t="s">
        <v>105</v>
      </c>
      <c r="I24" s="5"/>
      <c r="J24" s="5"/>
      <c r="K24" s="5">
        <f t="shared" si="1"/>
        <v>0</v>
      </c>
      <c r="L24" s="5"/>
      <c r="M24" s="5"/>
      <c r="N24" s="5">
        <f t="shared" si="2"/>
        <v>0</v>
      </c>
    </row>
    <row r="25" spans="4:14" x14ac:dyDescent="0.3">
      <c r="D25" s="5" t="s">
        <v>97</v>
      </c>
      <c r="E25" s="5"/>
      <c r="F25" s="5"/>
      <c r="G25" s="5">
        <f t="shared" si="0"/>
        <v>0</v>
      </c>
      <c r="H25" s="5" t="s">
        <v>105</v>
      </c>
      <c r="I25" s="5"/>
      <c r="J25" s="5"/>
      <c r="K25" s="5">
        <f t="shared" si="1"/>
        <v>0</v>
      </c>
      <c r="L25" s="5"/>
      <c r="M25" s="5"/>
      <c r="N25" s="5">
        <f t="shared" si="2"/>
        <v>0</v>
      </c>
    </row>
    <row r="26" spans="4:14" x14ac:dyDescent="0.3">
      <c r="D26" s="5" t="s">
        <v>98</v>
      </c>
      <c r="E26" s="5"/>
      <c r="F26" s="5"/>
      <c r="G26" s="5">
        <f t="shared" si="0"/>
        <v>0</v>
      </c>
      <c r="H26" s="5" t="s">
        <v>105</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92</v>
      </c>
      <c r="E28" s="5"/>
      <c r="F28" s="5"/>
      <c r="G28" s="5">
        <f t="shared" si="0"/>
        <v>0</v>
      </c>
      <c r="H28" s="5"/>
      <c r="I28" s="5"/>
      <c r="J28" s="5"/>
      <c r="K28" s="5">
        <f t="shared" si="1"/>
        <v>0</v>
      </c>
      <c r="L28" s="5"/>
      <c r="M28" s="5"/>
      <c r="N28" s="5">
        <f t="shared" si="2"/>
        <v>0</v>
      </c>
    </row>
    <row r="29" spans="4:14" x14ac:dyDescent="0.3">
      <c r="D29" s="5" t="s">
        <v>93</v>
      </c>
      <c r="E29" s="5"/>
      <c r="F29" s="5"/>
      <c r="G29" s="5">
        <f t="shared" si="0"/>
        <v>0</v>
      </c>
      <c r="H29" s="5"/>
      <c r="I29" s="5"/>
      <c r="J29" s="5"/>
      <c r="K29" s="5">
        <f t="shared" si="1"/>
        <v>0</v>
      </c>
      <c r="L29" s="5"/>
      <c r="M29" s="5"/>
      <c r="N29" s="5">
        <f t="shared" si="2"/>
        <v>0</v>
      </c>
    </row>
    <row r="30" spans="4:14" x14ac:dyDescent="0.3">
      <c r="D30" s="5" t="s">
        <v>94</v>
      </c>
      <c r="E30" s="5"/>
      <c r="F30" s="5"/>
      <c r="G30" s="5">
        <f t="shared" si="0"/>
        <v>0</v>
      </c>
      <c r="H30" s="5"/>
      <c r="I30" s="5"/>
      <c r="J30" s="5"/>
      <c r="K30" s="5">
        <f t="shared" si="1"/>
        <v>0</v>
      </c>
      <c r="L30" s="5"/>
      <c r="M30" s="5"/>
      <c r="N30" s="5">
        <f t="shared" si="2"/>
        <v>0</v>
      </c>
    </row>
    <row r="31" spans="4:14" x14ac:dyDescent="0.3">
      <c r="D31" s="5" t="s">
        <v>95</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99</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workbookViewId="0">
      <selection activeCell="C7" sqref="C7"/>
    </sheetView>
  </sheetViews>
  <sheetFormatPr defaultRowHeight="14.4" x14ac:dyDescent="0.3"/>
  <cols>
    <col min="2" max="2" width="20.5546875" customWidth="1"/>
    <col min="3" max="3" width="36.77734375" customWidth="1"/>
    <col min="8" max="8" width="22.21875" customWidth="1"/>
  </cols>
  <sheetData>
    <row r="1" spans="1:9" x14ac:dyDescent="0.3">
      <c r="A1" s="38"/>
      <c r="B1" s="38"/>
      <c r="C1" s="38"/>
      <c r="D1" s="38"/>
      <c r="E1" s="38"/>
      <c r="F1" s="38"/>
      <c r="G1" s="38"/>
      <c r="H1" s="38"/>
      <c r="I1" s="37"/>
    </row>
    <row r="2" spans="1:9" x14ac:dyDescent="0.3">
      <c r="A2" s="39"/>
      <c r="B2" s="39"/>
      <c r="C2" s="39"/>
      <c r="D2" s="39"/>
      <c r="E2" s="39"/>
      <c r="F2" s="39"/>
      <c r="G2" s="39"/>
      <c r="H2" s="39"/>
      <c r="I2" s="37"/>
    </row>
    <row r="3" spans="1:9" x14ac:dyDescent="0.3">
      <c r="A3" s="39"/>
      <c r="B3" s="240" t="s">
        <v>191</v>
      </c>
      <c r="C3" s="240"/>
      <c r="D3" s="240"/>
      <c r="E3" s="240"/>
      <c r="F3" s="240"/>
      <c r="G3" s="240"/>
      <c r="H3" s="240"/>
      <c r="I3" s="37"/>
    </row>
    <row r="4" spans="1:9" ht="28.8" x14ac:dyDescent="0.3">
      <c r="A4" s="39"/>
      <c r="B4" s="40" t="s">
        <v>192</v>
      </c>
      <c r="C4" s="40" t="s">
        <v>193</v>
      </c>
      <c r="D4" s="40" t="s">
        <v>101</v>
      </c>
      <c r="E4" s="40" t="s">
        <v>194</v>
      </c>
      <c r="F4" s="40" t="s">
        <v>195</v>
      </c>
      <c r="G4" s="40" t="s">
        <v>196</v>
      </c>
      <c r="H4" s="40" t="s">
        <v>197</v>
      </c>
      <c r="I4" s="37"/>
    </row>
    <row r="5" spans="1:9" x14ac:dyDescent="0.3">
      <c r="A5" s="39"/>
      <c r="B5" s="42" t="s">
        <v>201</v>
      </c>
      <c r="C5" s="48" t="s">
        <v>186</v>
      </c>
      <c r="D5" s="42" t="s">
        <v>157</v>
      </c>
      <c r="E5" s="42">
        <v>264</v>
      </c>
      <c r="F5" s="43">
        <f>E5*1.45</f>
        <v>382.8</v>
      </c>
      <c r="G5" s="43">
        <f>H5/F5</f>
        <v>4030.8254963427376</v>
      </c>
      <c r="H5" s="44">
        <v>1543000</v>
      </c>
      <c r="I5" s="37"/>
    </row>
    <row r="6" spans="1:9" x14ac:dyDescent="0.3">
      <c r="A6" s="39"/>
      <c r="B6" s="42" t="s">
        <v>201</v>
      </c>
      <c r="C6" s="48" t="s">
        <v>186</v>
      </c>
      <c r="D6" s="42" t="s">
        <v>157</v>
      </c>
      <c r="E6" s="42">
        <v>323</v>
      </c>
      <c r="F6" s="43">
        <f>E6*1.45</f>
        <v>468.34999999999997</v>
      </c>
      <c r="G6" s="43">
        <f>H6/F6</f>
        <v>4031.1732678552366</v>
      </c>
      <c r="H6" s="44">
        <v>1888000</v>
      </c>
      <c r="I6" s="37"/>
    </row>
    <row r="7" spans="1:9" x14ac:dyDescent="0.3">
      <c r="A7" s="39"/>
      <c r="B7" s="42" t="s">
        <v>201</v>
      </c>
      <c r="C7" s="48" t="s">
        <v>186</v>
      </c>
      <c r="D7" s="42" t="s">
        <v>157</v>
      </c>
      <c r="E7" s="42">
        <v>331</v>
      </c>
      <c r="F7" s="43">
        <f>E7*1.45</f>
        <v>479.95</v>
      </c>
      <c r="G7" s="43">
        <f>H7/F7</f>
        <v>3958.7457026773623</v>
      </c>
      <c r="H7" s="44">
        <v>1900000</v>
      </c>
      <c r="I7" s="37"/>
    </row>
    <row r="8" spans="1:9" x14ac:dyDescent="0.3">
      <c r="A8" s="39"/>
      <c r="B8" s="45" t="s">
        <v>198</v>
      </c>
      <c r="C8" s="42"/>
      <c r="D8" s="42"/>
      <c r="E8" s="42"/>
      <c r="F8" s="42"/>
      <c r="G8" s="46">
        <f>AVERAGE(G5:G7)</f>
        <v>4006.9148222917788</v>
      </c>
      <c r="H8" s="42"/>
      <c r="I8" s="37"/>
    </row>
    <row r="9" spans="1:9" x14ac:dyDescent="0.3">
      <c r="A9" s="38"/>
      <c r="B9" s="45" t="s">
        <v>199</v>
      </c>
      <c r="C9" s="42"/>
      <c r="D9" s="42"/>
      <c r="E9" s="42"/>
      <c r="F9" s="47"/>
      <c r="G9" s="45">
        <v>4000</v>
      </c>
      <c r="H9" s="45"/>
      <c r="I9" s="41"/>
    </row>
    <row r="10" spans="1:9" x14ac:dyDescent="0.3">
      <c r="A10" s="37"/>
      <c r="B10" s="38"/>
      <c r="C10" s="38"/>
      <c r="D10" s="38"/>
      <c r="E10" s="38"/>
      <c r="F10" s="37"/>
      <c r="G10" s="37"/>
      <c r="H10" s="37"/>
      <c r="I10" s="37"/>
    </row>
    <row r="11" spans="1:9" x14ac:dyDescent="0.3">
      <c r="A11" s="37"/>
      <c r="B11" s="38"/>
      <c r="C11" s="38"/>
      <c r="D11" s="38"/>
      <c r="E11" s="38"/>
      <c r="F11" s="37"/>
      <c r="G11" s="37"/>
      <c r="H11" s="37"/>
      <c r="I11" s="37"/>
    </row>
    <row r="12" spans="1:9" x14ac:dyDescent="0.3">
      <c r="A12" s="37"/>
      <c r="B12" s="38"/>
      <c r="C12" s="38"/>
      <c r="D12" s="38"/>
      <c r="E12" s="38"/>
      <c r="F12" s="37"/>
      <c r="G12" s="37"/>
      <c r="H12" s="37"/>
      <c r="I12" s="37"/>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Construction %</vt:lpstr>
      <vt:lpstr>Wing A</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2025-09-20T10:39:31Z</cp:lastPrinted>
  <dcterms:created xsi:type="dcterms:W3CDTF">2013-11-23T05:32:33Z</dcterms:created>
  <dcterms:modified xsi:type="dcterms:W3CDTF">2025-09-20T10:43:34Z</dcterms:modified>
</cp:coreProperties>
</file>