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0-09-2025\"/>
    </mc:Choice>
  </mc:AlternateContent>
  <bookViews>
    <workbookView xWindow="0" yWindow="0" windowWidth="19200" windowHeight="664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Report!$A$1:$H$303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1" l="1"/>
  <c r="J84" i="1"/>
  <c r="J83" i="1"/>
  <c r="J82" i="1"/>
  <c r="J172" i="1"/>
  <c r="H75" i="1"/>
  <c r="H61" i="1"/>
  <c r="J80" i="1" l="1"/>
  <c r="J81" i="1" s="1"/>
  <c r="J86" i="1" s="1"/>
  <c r="J87" i="1" s="1"/>
  <c r="J79" i="1"/>
  <c r="D78" i="1" s="1"/>
  <c r="J77" i="1"/>
  <c r="D87" i="1"/>
  <c r="D86" i="1"/>
  <c r="D85" i="1"/>
  <c r="D84" i="1"/>
  <c r="D83" i="1"/>
  <c r="D82" i="1"/>
  <c r="D81" i="1"/>
  <c r="D80" i="1"/>
  <c r="J78" i="1"/>
  <c r="J99" i="1"/>
  <c r="J98" i="1"/>
  <c r="J97" i="1"/>
  <c r="J96" i="1"/>
  <c r="J71" i="1"/>
  <c r="J70" i="1"/>
  <c r="J69" i="1"/>
  <c r="J68" i="1"/>
  <c r="H89" i="1"/>
  <c r="E78" i="1" l="1"/>
  <c r="I74" i="1" s="1"/>
  <c r="C76" i="1" s="1"/>
  <c r="D79" i="1"/>
  <c r="G78" i="1"/>
  <c r="J92" i="1"/>
  <c r="D95" i="1"/>
  <c r="D101" i="1"/>
  <c r="D97" i="1"/>
  <c r="D100" i="1"/>
  <c r="D96" i="1"/>
  <c r="D99" i="1"/>
  <c r="J93" i="1"/>
  <c r="D93" i="1"/>
  <c r="J94" i="1"/>
  <c r="J95" i="1" s="1"/>
  <c r="J100" i="1" s="1"/>
  <c r="J101" i="1" s="1"/>
  <c r="D98" i="1"/>
  <c r="D94" i="1"/>
  <c r="J91" i="1"/>
  <c r="D72" i="1"/>
  <c r="D68" i="1"/>
  <c r="D71" i="1"/>
  <c r="D67" i="1"/>
  <c r="J66" i="1"/>
  <c r="J67" i="1" s="1"/>
  <c r="J72" i="1" s="1"/>
  <c r="J73" i="1" s="1"/>
  <c r="C65" i="1" s="1"/>
  <c r="D69" i="1"/>
  <c r="J65" i="1"/>
  <c r="C64" i="1" s="1"/>
  <c r="D64" i="1" s="1"/>
  <c r="J64" i="1"/>
  <c r="D70" i="1"/>
  <c r="D66" i="1"/>
  <c r="D73" i="1"/>
  <c r="J63" i="1"/>
  <c r="C92" i="1" l="1"/>
  <c r="E64" i="1"/>
  <c r="I60" i="1" s="1"/>
  <c r="C62" i="1" s="1"/>
  <c r="D65" i="1"/>
  <c r="G64" i="1"/>
  <c r="D59" i="1" s="1"/>
  <c r="F102" i="1" s="1"/>
  <c r="D92" i="1" l="1"/>
  <c r="I88" i="1" s="1"/>
  <c r="C90" i="1" s="1"/>
  <c r="D203" i="1"/>
  <c r="D201" i="1"/>
  <c r="D200" i="1"/>
  <c r="I157" i="1"/>
  <c r="I158" i="1"/>
  <c r="G200" i="1"/>
  <c r="G195" i="1"/>
  <c r="G189" i="1"/>
  <c r="G184" i="1"/>
  <c r="D192" i="1"/>
  <c r="D191" i="1"/>
  <c r="D190" i="1"/>
  <c r="D189" i="1"/>
  <c r="D198" i="1"/>
  <c r="D197" i="1"/>
  <c r="D196" i="1"/>
  <c r="D195" i="1"/>
  <c r="D187" i="1"/>
  <c r="D186" i="1"/>
  <c r="D185" i="1"/>
  <c r="D184" i="1"/>
  <c r="D181" i="1"/>
  <c r="D180" i="1"/>
  <c r="D179" i="1"/>
  <c r="D178" i="1"/>
  <c r="D177" i="1"/>
  <c r="D176" i="1"/>
  <c r="D171" i="1"/>
  <c r="D172" i="1"/>
  <c r="D170" i="1"/>
  <c r="G165" i="1"/>
  <c r="D167" i="1"/>
  <c r="D168" i="1"/>
  <c r="J167" i="1"/>
  <c r="G159" i="1"/>
  <c r="D160" i="1"/>
  <c r="D162" i="1"/>
  <c r="I162" i="1" s="1"/>
  <c r="D159" i="1"/>
  <c r="I159" i="1" s="1"/>
  <c r="D155" i="1"/>
  <c r="I155" i="1" s="1"/>
  <c r="D154" i="1"/>
  <c r="I154" i="1" s="1"/>
  <c r="D156" i="1"/>
  <c r="I156" i="1" s="1"/>
  <c r="D153" i="1"/>
  <c r="I153" i="1" s="1"/>
  <c r="C47" i="1"/>
  <c r="E129" i="1" l="1"/>
  <c r="E127" i="1"/>
  <c r="E130" i="1"/>
  <c r="E123" i="1"/>
  <c r="E131" i="1"/>
  <c r="I160" i="1"/>
  <c r="U201" i="1" l="1"/>
  <c r="U202" i="1" s="1"/>
  <c r="U203" i="1" s="1"/>
  <c r="V199" i="1"/>
  <c r="U196" i="1"/>
  <c r="U197" i="1" s="1"/>
  <c r="U198" i="1" s="1"/>
  <c r="V194" i="1"/>
  <c r="U190" i="1"/>
  <c r="U191" i="1" s="1"/>
  <c r="U192" i="1" s="1"/>
  <c r="V188" i="1"/>
  <c r="U185" i="1"/>
  <c r="U186" i="1" s="1"/>
  <c r="U187" i="1" s="1"/>
  <c r="V183" i="1"/>
  <c r="A177" i="1"/>
  <c r="A178" i="1" s="1"/>
  <c r="A179" i="1" s="1"/>
  <c r="A180" i="1" s="1"/>
  <c r="A181" i="1" s="1"/>
  <c r="G176" i="1"/>
  <c r="U171" i="1"/>
  <c r="U172" i="1" s="1"/>
  <c r="G170" i="1"/>
  <c r="V169" i="1"/>
  <c r="D166" i="1"/>
  <c r="D165" i="1"/>
  <c r="A166" i="1"/>
  <c r="A167" i="1" s="1"/>
  <c r="A168" i="1" s="1"/>
  <c r="D161" i="1"/>
  <c r="U160" i="1"/>
  <c r="U161" i="1" s="1"/>
  <c r="U162" i="1" s="1"/>
  <c r="V158" i="1"/>
  <c r="V200" i="1"/>
  <c r="V195" i="1"/>
  <c r="V189" i="1"/>
  <c r="V159" i="1"/>
  <c r="V184" i="1"/>
  <c r="W194" i="1"/>
  <c r="W183" i="1"/>
  <c r="W158" i="1"/>
  <c r="V170" i="1"/>
  <c r="W169" i="1"/>
  <c r="E122" i="1" l="1"/>
  <c r="I161" i="1"/>
  <c r="E128" i="1"/>
  <c r="C127" i="1"/>
  <c r="G128" i="1"/>
  <c r="C128" i="1"/>
  <c r="G129" i="1"/>
  <c r="C129" i="1"/>
  <c r="G122" i="1"/>
  <c r="C122" i="1"/>
  <c r="G123" i="1"/>
  <c r="G130" i="1"/>
  <c r="C130" i="1"/>
  <c r="C123" i="1"/>
  <c r="G131" i="1"/>
  <c r="C131" i="1"/>
  <c r="V196" i="1"/>
  <c r="S200" i="1"/>
  <c r="A200" i="1" s="1"/>
  <c r="V201" i="1"/>
  <c r="V190" i="1"/>
  <c r="S189" i="1"/>
  <c r="A189" i="1" s="1"/>
  <c r="V185" i="1"/>
  <c r="V171" i="1"/>
  <c r="V160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W195" i="1"/>
  <c r="W159" i="1"/>
  <c r="W170" i="1"/>
  <c r="W184" i="1"/>
  <c r="E121" i="1" l="1"/>
  <c r="E124" i="1" s="1"/>
  <c r="J124" i="1" s="1"/>
  <c r="C132" i="1"/>
  <c r="E132" i="1"/>
  <c r="C121" i="1"/>
  <c r="C124" i="1" s="1"/>
  <c r="W196" i="1"/>
  <c r="W197" i="1" s="1"/>
  <c r="W198" i="1" s="1"/>
  <c r="S195" i="1"/>
  <c r="V202" i="1"/>
  <c r="S201" i="1"/>
  <c r="A201" i="1" s="1"/>
  <c r="V197" i="1"/>
  <c r="V191" i="1"/>
  <c r="S190" i="1"/>
  <c r="A190" i="1" s="1"/>
  <c r="W185" i="1"/>
  <c r="W186" i="1" s="1"/>
  <c r="W187" i="1" s="1"/>
  <c r="S184" i="1"/>
  <c r="V186" i="1"/>
  <c r="W171" i="1"/>
  <c r="W172" i="1" s="1"/>
  <c r="S170" i="1"/>
  <c r="A170" i="1" s="1"/>
  <c r="V172" i="1"/>
  <c r="W160" i="1"/>
  <c r="W161" i="1" s="1"/>
  <c r="W162" i="1" s="1"/>
  <c r="S159" i="1"/>
  <c r="A159" i="1" s="1"/>
  <c r="V161" i="1"/>
  <c r="C14" i="1"/>
  <c r="G47" i="1"/>
  <c r="E41" i="1"/>
  <c r="E42" i="1" s="1"/>
  <c r="S196" i="1" l="1"/>
  <c r="V203" i="1"/>
  <c r="S203" i="1" s="1"/>
  <c r="A203" i="1" s="1"/>
  <c r="S202" i="1"/>
  <c r="A202" i="1" s="1"/>
  <c r="V198" i="1"/>
  <c r="S198" i="1" s="1"/>
  <c r="S197" i="1"/>
  <c r="V192" i="1"/>
  <c r="S192" i="1" s="1"/>
  <c r="A192" i="1" s="1"/>
  <c r="S191" i="1"/>
  <c r="A191" i="1" s="1"/>
  <c r="S185" i="1"/>
  <c r="S186" i="1"/>
  <c r="V187" i="1"/>
  <c r="S187" i="1" s="1"/>
  <c r="S171" i="1"/>
  <c r="A171" i="1" s="1"/>
  <c r="S172" i="1"/>
  <c r="A172" i="1" s="1"/>
  <c r="S160" i="1"/>
  <c r="A160" i="1" s="1"/>
  <c r="V162" i="1"/>
  <c r="S162" i="1" s="1"/>
  <c r="A162" i="1" s="1"/>
  <c r="S161" i="1"/>
  <c r="A161" i="1" s="1"/>
  <c r="G139" i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E3" i="1"/>
  <c r="V152" i="1"/>
  <c r="G121" i="1" l="1"/>
  <c r="G124" i="1" s="1"/>
  <c r="G127" i="1"/>
  <c r="G132" i="1" s="1"/>
  <c r="U154" i="1"/>
  <c r="U155" i="1" s="1"/>
  <c r="U156" i="1" s="1"/>
  <c r="G153" i="1"/>
  <c r="W152" i="1"/>
  <c r="V153" i="1"/>
  <c r="V154" i="1" l="1"/>
  <c r="E25" i="1"/>
  <c r="E23" i="1"/>
  <c r="W153" i="1"/>
  <c r="S153" i="1" l="1"/>
  <c r="A153" i="1" s="1"/>
  <c r="W154" i="1"/>
  <c r="W155" i="1" s="1"/>
  <c r="W156" i="1" s="1"/>
  <c r="V155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S154" i="1" l="1"/>
  <c r="A154" i="1" s="1"/>
  <c r="V156" i="1"/>
  <c r="S155" i="1"/>
  <c r="A155" i="1" s="1"/>
  <c r="G12" i="5"/>
  <c r="S156" i="1" l="1"/>
  <c r="A156" i="1" s="1"/>
  <c r="D218" i="1" l="1"/>
  <c r="F118" i="1"/>
  <c r="D5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<sst xmlns="http://schemas.openxmlformats.org/spreadsheetml/2006/main" count="452" uniqueCount="264">
  <si>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</si>
  <si>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</si>
  <si>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</si>
  <si>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</si>
  <si>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</si>
  <si>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</si>
  <si>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</si>
  <si>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</si>
  <si>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</si>
  <si>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</si>
  <si>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</si>
  <si>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</si>
  <si>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</si>
  <si>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</si>
  <si>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</si>
  <si>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</si>
  <si>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</si>
  <si>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</si>
  <si>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</si>
  <si>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</si>
  <si>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</si>
  <si>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</si>
  <si>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</si>
  <si>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</si>
  <si>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</si>
  <si>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</si>
  <si>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</si>
  <si>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</si>
  <si>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</si>
  <si>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</si>
  <si>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</si>
  <si>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</si>
  <si>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</si>
  <si>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</si>
  <si>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</si>
  <si>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</si>
  <si>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</si>
  <si>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</si>
  <si>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</si>
  <si>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</si>
  <si>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</si>
  <si>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</si>
  <si>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</si>
  <si>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</si>
  <si>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</si>
  <si>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</si>
  <si>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</si>
  <si>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</si>
  <si>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</si>
  <si>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</si>
  <si>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</si>
  <si>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</si>
  <si>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</si>
  <si>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</si>
  <si>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</si>
  <si>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</si>
  <si>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</si>
  <si>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</si>
  <si>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</si>
  <si>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</si>
  <si>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</si>
  <si>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</si>
  <si>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</si>
  <si>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</si>
  <si>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</si>
  <si>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</si>
  <si>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</si>
  <si>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</si>
  <si>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</si>
  <si>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</si>
  <si>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</si>
  <si>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</si>
  <si>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</si>
  <si>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</si>
  <si>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</si>
  <si>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</si>
  <si>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</si>
  <si>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</si>
  <si>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</si>
  <si>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</si>
  <si>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</si>
  <si>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</si>
  <si>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</si>
  <si>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</si>
  <si>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</si>
  <si>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</si>
  <si>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</si>
  <si>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</si>
  <si>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</si>
  <si>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</si>
  <si>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</si>
  <si>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</si>
  <si>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</si>
  <si>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</si>
  <si>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</si>
  <si>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</si>
  <si>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</si>
  <si>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</si>
  <si>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</si>
  <si>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</si>
  <si>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</si>
  <si>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</si>
  <si>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</si>
  <si>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</si>
  <si>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</si>
  <si>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</si>
  <si>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</si>
  <si>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</si>
  <si>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</si>
  <si>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</si>
  <si>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</si>
  <si>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</si>
  <si>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</si>
  <si>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</si>
  <si>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</si>
  <si>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</si>
  <si>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</si>
  <si>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</si>
  <si>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</si>
  <si>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</si>
  <si>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</si>
  <si>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</si>
  <si>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</si>
  <si>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</si>
  <si>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</si>
  <si>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</si>
  <si>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</si>
  <si>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</si>
  <si>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</si>
  <si>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</si>
  <si>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</si>
  <si>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</si>
  <si>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</si>
  <si>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</si>
  <si>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</si>
  <si>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</si>
  <si>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</si>
  <si>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</si>
  <si>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</si>
  <si>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</si>
  <si>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</si>
  <si>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</si>
  <si>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</si>
  <si>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</si>
  <si>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</si>
  <si>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</si>
  <si>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</si>
  <si>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</si>
  <si>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</si>
  <si>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</si>
  <si>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</si>
  <si>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</si>
  <si>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</si>
  <si>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</si>
  <si>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</si>
  <si>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</si>
  <si>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</si>
  <si>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</si>
  <si>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</si>
  <si>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</si>
  <si>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</si>
  <si>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</si>
  <si>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</si>
  <si>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,..,</t>
  </si>
  <si>
    <t>Shop No.
(Sale Plan)</t>
  </si>
  <si>
    <t xml:space="preserve"> to </t>
  </si>
  <si>
    <t>Contact Details ( Name &amp; Contact No.)</t>
  </si>
  <si>
    <t>Nearby Landmark</t>
  </si>
  <si>
    <t xml:space="preserve">P52000028169
</t>
  </si>
  <si>
    <t>Shree Ganesh Residency</t>
  </si>
  <si>
    <t xml:space="preserve">Name of the builder </t>
  </si>
  <si>
    <t>Diksal</t>
  </si>
  <si>
    <t>Raigad</t>
  </si>
  <si>
    <t>Karjat</t>
  </si>
  <si>
    <t>Axis Sanpada</t>
  </si>
  <si>
    <t>25/11/2020.</t>
  </si>
  <si>
    <t>2, H.No.9/1, 9/2, 9/3A</t>
  </si>
  <si>
    <t>Building No. 1</t>
  </si>
  <si>
    <t>Shop</t>
  </si>
  <si>
    <t>Wing A &amp; B</t>
  </si>
  <si>
    <t xml:space="preserve">Wing A </t>
  </si>
  <si>
    <t>1BHK</t>
  </si>
  <si>
    <t xml:space="preserve">Wing B </t>
  </si>
  <si>
    <t>1RK</t>
  </si>
  <si>
    <t>Building No. 2</t>
  </si>
  <si>
    <t>Building No. 3</t>
  </si>
  <si>
    <t>4th Floor</t>
  </si>
  <si>
    <t>Terrace Area</t>
  </si>
  <si>
    <t>4th Floor(Part Terrace Floor)</t>
  </si>
  <si>
    <t>1st to 4th Floor for Residential</t>
  </si>
  <si>
    <t>1st , 2nd &amp; 3rd Floor for Residential</t>
  </si>
  <si>
    <t>Bldg No.1Wing A</t>
  </si>
  <si>
    <t>Bldg No.1Wing B</t>
  </si>
  <si>
    <t>Bldg No.2</t>
  </si>
  <si>
    <t>Bldg No. 3 Wing A</t>
  </si>
  <si>
    <t>Bldg No. 3 Wing B</t>
  </si>
  <si>
    <t>101 to 301</t>
  </si>
  <si>
    <t>102 to 302</t>
  </si>
  <si>
    <t>103 to 303</t>
  </si>
  <si>
    <t>104 to 304</t>
  </si>
  <si>
    <t>Flats - 75, Shops - 22</t>
  </si>
  <si>
    <t>Building No. 1 to 3 = Gr + 4th Floor</t>
  </si>
  <si>
    <t>Builder Saleable area
Loading :</t>
  </si>
  <si>
    <t>150000/-</t>
  </si>
  <si>
    <t>Water, MSEB</t>
  </si>
  <si>
    <t>90000/-</t>
  </si>
  <si>
    <t>Other Charges (Society/DC)</t>
  </si>
  <si>
    <t>200000/-</t>
  </si>
  <si>
    <t>6000/-</t>
  </si>
  <si>
    <t>Internal Road</t>
  </si>
  <si>
    <t>Gayatri Apartment</t>
  </si>
  <si>
    <t>Slum</t>
  </si>
  <si>
    <t>Internal Residency</t>
  </si>
  <si>
    <t>0.65Km from Bhivpuri Road Railway Station</t>
  </si>
  <si>
    <t>Bhivpuri</t>
  </si>
  <si>
    <t>Survey No</t>
  </si>
  <si>
    <r>
      <t xml:space="preserve">Shop No.
</t>
    </r>
    <r>
      <rPr>
        <b/>
        <sz val="11"/>
        <rFont val="Times New Roman"/>
        <family val="1"/>
      </rPr>
      <t>(Approved Plan)</t>
    </r>
  </si>
  <si>
    <t>M/s. Arth Realators</t>
  </si>
  <si>
    <t>Sharda english School</t>
  </si>
  <si>
    <t>MS/ALANA-1/A.K.199/2018</t>
  </si>
  <si>
    <t>MS/ALANA-1(b)/A.K.199/2018</t>
  </si>
  <si>
    <t>Ground Floor for Commercial &amp; Parking</t>
  </si>
  <si>
    <t>1.5BHK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</si>
  <si>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</si>
  <si>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</si>
  <si>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</si>
  <si>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</si>
  <si>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</si>
  <si>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</si>
  <si>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</si>
  <si>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</si>
  <si>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</si>
  <si>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</si>
  <si>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</si>
  <si>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</si>
  <si>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</si>
  <si>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</si>
  <si>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</si>
  <si>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</si>
  <si>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</si>
  <si>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</si>
  <si>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Building No.3(Wng A &amp; B)  =  Gr + 4th Floor</t>
  </si>
  <si>
    <t>Building No. 1 (Wing A &amp; B)
Building No. 2 
Building No. 3 (Wing A &amp; B)</t>
  </si>
  <si>
    <t xml:space="preserve">Valid Up to:  Building No. 1 to 3 = Gr + 4th Floor
</t>
  </si>
  <si>
    <t>Society Membership (Advance for 1 Year)</t>
  </si>
  <si>
    <t xml:space="preserve">20000/- </t>
  </si>
  <si>
    <t>Mr. Rakesh Mulchand Kothari</t>
  </si>
  <si>
    <t>Building No.2 =  Gr + 4th Floor</t>
  </si>
  <si>
    <t>3100 to 3800</t>
  </si>
  <si>
    <t>Mr.Smith Pal</t>
  </si>
  <si>
    <t>cost Sheet</t>
  </si>
  <si>
    <t>Building No.1(Wng A &amp; B)  =  Gr + 5th Floor</t>
  </si>
  <si>
    <t>Building No. 1 = Gr + 5th Floor
Building No. 2 &amp; 3 = Gr + 4th Floor</t>
  </si>
  <si>
    <t>5 wings</t>
  </si>
  <si>
    <t>Site Meet Contact Details ( Name &amp; Contact No.)</t>
  </si>
  <si>
    <t>Location Link</t>
  </si>
  <si>
    <t>https://goo.gl/maps/nMc7DoCL7tNa7UUH6?coh=178572&amp;entry=tt</t>
  </si>
  <si>
    <t>BuildinE &amp; WinE</t>
  </si>
  <si>
    <t xml:space="preserve">Office No. 1031, Wing J, Akshar Business Park, Plot No. 03 Sector 25, Near APMC Market,
Vashi, Navi Mumbai, Maharashtra 400703 TEL: 022-46090378/79/80                                                                                                            E mail : vsjcapf@gmail.com. Web site : www.vsjadon.com </t>
  </si>
  <si>
    <t>Mr. Pratik Bhagat 8793140870</t>
  </si>
  <si>
    <t>Naynesh</t>
  </si>
  <si>
    <t>As per RERA - 30/06/2027</t>
  </si>
  <si>
    <r>
      <t xml:space="preserve">1. Building No.1 = Construction work was stopped. Work is same as last visit (13/09/2024).
    Building No.2 = Work not yet started.
   </t>
    </r>
    <r>
      <rPr>
        <b/>
        <sz val="12"/>
        <color theme="1"/>
        <rFont val="Times New Roman"/>
        <family val="1"/>
      </rPr>
      <t xml:space="preserve"> Building No.3 = Work is same as last visit(20/05/2021).</t>
    </r>
    <r>
      <rPr>
        <b/>
        <sz val="12"/>
        <rFont val="Times New Roman"/>
        <family val="1"/>
      </rPr>
      <t xml:space="preserve">
2. We considered  Saleable area  as per Builder area sheet.
3. We considered Carpet area as per Approved Plan.
4. We considered Gross carpet area = Net carpet + Enclose balcony + C.B Area + W.S.
5. We have considered rate by verifying it from market inquire.
6. Car parking is subjected to authentic documentation.
7. Since building no.2 have received CC on 25/11/2020, but as of construction work is not
started.
</t>
    </r>
    <r>
      <rPr>
        <b/>
        <sz val="12"/>
        <color rgb="FFFF0000"/>
        <rFont val="Times New Roman"/>
        <family val="1"/>
      </rPr>
      <t>8. As per RERA, completion period of project Shree Ganesh Residency is expired on 30/06/2024 but still project is under construction.</t>
    </r>
    <r>
      <rPr>
        <b/>
        <sz val="12"/>
        <rFont val="Times New Roman"/>
        <family val="1"/>
      </rPr>
      <t xml:space="preserve">
7. On Site, we meet Mr. Vishal Patil - 8975642687.
</t>
    </r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</si>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</sst>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00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.5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17" fillId="0" borderId="0"/>
    <xf numFmtId="0" fontId="21" fillId="0" borderId="0" applyNumberFormat="0" applyFill="0" applyBorder="0" applyAlignment="0" applyProtection="0"/>
  </cellStyleXfs>
  <cellXfs count="173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2" borderId="1" xfId="0" applyFill="1" applyBorder="1"/>
    <xf numFmtId="0" fontId="0" fillId="0" borderId="2" xfId="0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/>
    <xf numFmtId="0" fontId="6" fillId="0" borderId="0" xfId="1" applyFont="1"/>
    <xf numFmtId="0" fontId="5" fillId="0" borderId="0" xfId="2" applyFont="1"/>
    <xf numFmtId="0" fontId="6" fillId="0" borderId="0" xfId="0" applyFont="1"/>
    <xf numFmtId="0" fontId="10" fillId="0" borderId="0" xfId="1" applyFont="1"/>
    <xf numFmtId="0" fontId="13" fillId="0" borderId="0" xfId="1" applyFont="1"/>
    <xf numFmtId="0" fontId="14" fillId="0" borderId="0" xfId="1" applyFont="1"/>
    <xf numFmtId="0" fontId="6" fillId="0" borderId="0" xfId="1" applyFont="1" applyProtection="1">
      <protection locked="0"/>
    </xf>
    <xf numFmtId="0" fontId="10" fillId="0" borderId="4" xfId="1" applyFont="1" applyBorder="1" applyAlignment="1" applyProtection="1">
      <alignment horizontal="center" vertical="top"/>
      <protection locked="0"/>
    </xf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6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5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10" fillId="0" borderId="5" xfId="1" applyFont="1" applyBorder="1" applyAlignment="1" applyProtection="1">
      <alignment horizontal="center" vertical="top"/>
      <protection locked="0"/>
    </xf>
    <xf numFmtId="0" fontId="10" fillId="0" borderId="0" xfId="1" applyFont="1" applyProtection="1">
      <protection hidden="1"/>
    </xf>
    <xf numFmtId="0" fontId="12" fillId="0" borderId="0" xfId="1" applyFont="1"/>
    <xf numFmtId="0" fontId="10" fillId="0" borderId="0" xfId="2" applyFont="1"/>
    <xf numFmtId="0" fontId="10" fillId="0" borderId="0" xfId="0" applyFont="1" applyAlignment="1">
      <alignment horizontal="center" vertical="center"/>
    </xf>
    <xf numFmtId="1" fontId="19" fillId="0" borderId="3" xfId="1" applyNumberFormat="1" applyFont="1" applyBorder="1" applyAlignment="1" applyProtection="1">
      <alignment horizontal="center" vertical="top" wrapText="1"/>
      <protection locked="0"/>
    </xf>
    <xf numFmtId="1" fontId="11" fillId="0" borderId="3" xfId="1" applyNumberFormat="1" applyFont="1" applyBorder="1" applyAlignment="1" applyProtection="1">
      <alignment horizontal="center" vertical="top" wrapText="1"/>
      <protection locked="0"/>
    </xf>
    <xf numFmtId="0" fontId="10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1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168" fontId="10" fillId="0" borderId="0" xfId="1" applyNumberFormat="1" applyFont="1" applyAlignment="1">
      <alignment horizontal="center" vertical="center"/>
    </xf>
    <xf numFmtId="0" fontId="6" fillId="0" borderId="10" xfId="1" applyFont="1" applyBorder="1" applyProtection="1">
      <protection hidden="1"/>
    </xf>
    <xf numFmtId="0" fontId="6" fillId="0" borderId="11" xfId="1" applyFont="1" applyBorder="1" applyProtection="1">
      <protection hidden="1"/>
    </xf>
    <xf numFmtId="0" fontId="6" fillId="0" borderId="0" xfId="1" applyFont="1" applyProtection="1">
      <protection hidden="1"/>
    </xf>
    <xf numFmtId="0" fontId="6" fillId="0" borderId="12" xfId="1" applyFont="1" applyBorder="1" applyProtection="1">
      <protection hidden="1"/>
    </xf>
    <xf numFmtId="0" fontId="20" fillId="0" borderId="0" xfId="0" applyFont="1" applyProtection="1">
      <protection hidden="1"/>
    </xf>
    <xf numFmtId="0" fontId="6" fillId="0" borderId="12" xfId="1" applyFont="1" applyBorder="1"/>
    <xf numFmtId="0" fontId="20" fillId="0" borderId="12" xfId="0" applyFont="1" applyBorder="1" applyProtection="1">
      <protection hidden="1"/>
    </xf>
    <xf numFmtId="1" fontId="0" fillId="0" borderId="12" xfId="0" applyNumberFormat="1" applyBorder="1"/>
    <xf numFmtId="2" fontId="0" fillId="0" borderId="0" xfId="0" applyNumberFormat="1"/>
    <xf numFmtId="165" fontId="0" fillId="0" borderId="0" xfId="0" applyNumberFormat="1"/>
    <xf numFmtId="2" fontId="20" fillId="0" borderId="0" xfId="0" applyNumberFormat="1" applyFont="1" applyProtection="1">
      <protection hidden="1"/>
    </xf>
    <xf numFmtId="1" fontId="0" fillId="0" borderId="12" xfId="0" applyNumberFormat="1" applyBorder="1" applyAlignment="1">
      <alignment horizontal="right"/>
    </xf>
    <xf numFmtId="0" fontId="20" fillId="0" borderId="13" xfId="0" applyFont="1" applyBorder="1" applyProtection="1">
      <protection hidden="1"/>
    </xf>
    <xf numFmtId="1" fontId="0" fillId="0" borderId="14" xfId="0" applyNumberFormat="1" applyBorder="1"/>
    <xf numFmtId="0" fontId="10" fillId="0" borderId="1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10" fillId="2" borderId="0" xfId="1" applyFont="1" applyFill="1"/>
    <xf numFmtId="14" fontId="10" fillId="2" borderId="0" xfId="1" applyNumberFormat="1" applyFont="1" applyFill="1"/>
    <xf numFmtId="0" fontId="6" fillId="2" borderId="0" xfId="1" applyFont="1" applyFill="1"/>
    <xf numFmtId="0" fontId="10" fillId="0" borderId="1" xfId="1" applyFont="1" applyBorder="1" applyAlignment="1" applyProtection="1">
      <alignment vertical="top"/>
      <protection locked="0"/>
    </xf>
    <xf numFmtId="0" fontId="10" fillId="0" borderId="1" xfId="1" applyFont="1" applyBorder="1" applyAlignment="1" applyProtection="1">
      <alignment horizontal="center" wrapText="1"/>
      <protection locked="0"/>
    </xf>
    <xf numFmtId="9" fontId="10" fillId="0" borderId="1" xfId="1" applyNumberFormat="1" applyFont="1" applyBorder="1" applyAlignment="1" applyProtection="1">
      <alignment horizontal="center" vertical="center" wrapText="1"/>
      <protection hidden="1"/>
    </xf>
    <xf numFmtId="1" fontId="10" fillId="0" borderId="1" xfId="1" applyNumberFormat="1" applyFont="1" applyBorder="1" applyAlignment="1" applyProtection="1">
      <alignment horizontal="center" wrapText="1"/>
      <protection locked="0"/>
    </xf>
    <xf numFmtId="0" fontId="10" fillId="0" borderId="7" xfId="1" applyFont="1" applyBorder="1" applyAlignment="1" applyProtection="1">
      <alignment horizontal="center" wrapText="1"/>
      <protection locked="0"/>
    </xf>
    <xf numFmtId="9" fontId="10" fillId="0" borderId="7" xfId="1" applyNumberFormat="1" applyFont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vertical="top"/>
      <protection locked="0"/>
    </xf>
    <xf numFmtId="0" fontId="11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0" fontId="7" fillId="0" borderId="0" xfId="1" applyFont="1" applyAlignment="1" applyProtection="1">
      <alignment vertical="top" wrapText="1"/>
      <protection locked="0"/>
    </xf>
    <xf numFmtId="0" fontId="9" fillId="0" borderId="0" xfId="1" applyFont="1" applyProtection="1">
      <protection locked="0"/>
    </xf>
    <xf numFmtId="1" fontId="10" fillId="0" borderId="0" xfId="0" applyNumberFormat="1" applyFont="1" applyAlignment="1">
      <alignment horizontal="center" vertical="center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21" fillId="0" borderId="8" xfId="8" applyFill="1" applyBorder="1" applyAlignment="1" applyProtection="1">
      <alignment horizontal="center"/>
      <protection locked="0"/>
    </xf>
    <xf numFmtId="0" fontId="10" fillId="0" borderId="22" xfId="1" applyFont="1" applyBorder="1" applyAlignment="1" applyProtection="1">
      <alignment horizontal="center"/>
      <protection locked="0"/>
    </xf>
    <xf numFmtId="0" fontId="10" fillId="0" borderId="9" xfId="1" applyFont="1" applyBorder="1" applyAlignment="1" applyProtection="1">
      <alignment horizontal="center"/>
      <protection locked="0"/>
    </xf>
    <xf numFmtId="0" fontId="10" fillId="0" borderId="4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10" fillId="0" borderId="6" xfId="1" applyFont="1" applyBorder="1" applyAlignment="1" applyProtection="1">
      <alignment horizontal="center" vertical="top" wrapText="1"/>
      <protection locked="0"/>
    </xf>
    <xf numFmtId="0" fontId="10" fillId="0" borderId="7" xfId="1" applyFont="1" applyBorder="1" applyAlignment="1" applyProtection="1">
      <alignment horizontal="center" vertical="top" wrapText="1"/>
      <protection locked="0"/>
    </xf>
    <xf numFmtId="9" fontId="10" fillId="0" borderId="18" xfId="1" applyNumberFormat="1" applyFont="1" applyBorder="1" applyAlignment="1" applyProtection="1">
      <alignment horizontal="center" vertical="center" wrapText="1"/>
      <protection hidden="1"/>
    </xf>
    <xf numFmtId="9" fontId="10" fillId="0" borderId="19" xfId="1" applyNumberFormat="1" applyFont="1" applyBorder="1" applyAlignment="1" applyProtection="1">
      <alignment horizontal="center" vertical="center" wrapText="1"/>
      <protection hidden="1"/>
    </xf>
    <xf numFmtId="9" fontId="10" fillId="0" borderId="23" xfId="1" applyNumberFormat="1" applyFont="1" applyBorder="1" applyAlignment="1" applyProtection="1">
      <alignment horizontal="center" vertical="center" wrapText="1"/>
      <protection hidden="1"/>
    </xf>
    <xf numFmtId="9" fontId="10" fillId="0" borderId="24" xfId="1" applyNumberFormat="1" applyFont="1" applyBorder="1" applyAlignment="1" applyProtection="1">
      <alignment horizontal="center" vertical="center" wrapText="1"/>
      <protection hidden="1"/>
    </xf>
    <xf numFmtId="9" fontId="10" fillId="0" borderId="29" xfId="1" applyNumberFormat="1" applyFont="1" applyBorder="1" applyAlignment="1" applyProtection="1">
      <alignment horizontal="center" vertical="center" wrapText="1"/>
      <protection hidden="1"/>
    </xf>
    <xf numFmtId="9" fontId="10" fillId="0" borderId="30" xfId="1" applyNumberFormat="1" applyFont="1" applyBorder="1" applyAlignment="1" applyProtection="1">
      <alignment horizontal="center" vertical="center" wrapText="1"/>
      <protection hidden="1"/>
    </xf>
    <xf numFmtId="9" fontId="10" fillId="0" borderId="28" xfId="1" applyNumberFormat="1" applyFont="1" applyBorder="1" applyAlignment="1" applyProtection="1">
      <alignment horizontal="center" vertical="center" wrapText="1"/>
      <protection hidden="1"/>
    </xf>
    <xf numFmtId="9" fontId="10" fillId="0" borderId="12" xfId="1" applyNumberFormat="1" applyFont="1" applyBorder="1" applyAlignment="1" applyProtection="1">
      <alignment horizontal="center" vertical="center" wrapText="1"/>
      <protection hidden="1"/>
    </xf>
    <xf numFmtId="9" fontId="10" fillId="0" borderId="14" xfId="1" applyNumberFormat="1" applyFont="1" applyBorder="1" applyAlignment="1" applyProtection="1">
      <alignment horizontal="center" vertical="center" wrapText="1"/>
      <protection hidden="1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15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26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8" xfId="1" applyFont="1" applyBorder="1" applyAlignment="1" applyProtection="1">
      <alignment horizontal="left" vertical="top" wrapText="1"/>
      <protection locked="0"/>
    </xf>
    <xf numFmtId="0" fontId="11" fillId="0" borderId="22" xfId="1" applyFont="1" applyBorder="1" applyAlignment="1" applyProtection="1">
      <alignment horizontal="left" vertical="top" wrapText="1"/>
      <protection locked="0"/>
    </xf>
    <xf numFmtId="0" fontId="11" fillId="0" borderId="27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center" vertical="top" wrapText="1"/>
      <protection locked="0"/>
    </xf>
    <xf numFmtId="0" fontId="10" fillId="0" borderId="9" xfId="1" applyFont="1" applyBorder="1" applyAlignment="1" applyProtection="1">
      <alignment horizontal="center" vertical="top" wrapText="1"/>
      <protection locked="0"/>
    </xf>
    <xf numFmtId="0" fontId="10" fillId="0" borderId="27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2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9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 applyProtection="1">
      <alignment horizontal="center" vertical="center" wrapText="1"/>
      <protection locked="0"/>
    </xf>
    <xf numFmtId="1" fontId="10" fillId="0" borderId="19" xfId="1" applyNumberFormat="1" applyFont="1" applyBorder="1" applyAlignment="1" applyProtection="1">
      <alignment horizontal="center" vertical="center" wrapText="1"/>
      <protection locked="0"/>
    </xf>
    <xf numFmtId="1" fontId="10" fillId="0" borderId="23" xfId="1" applyNumberFormat="1" applyFont="1" applyBorder="1" applyAlignment="1" applyProtection="1">
      <alignment horizontal="center" vertical="center" wrapText="1"/>
      <protection locked="0"/>
    </xf>
    <xf numFmtId="1" fontId="10" fillId="0" borderId="24" xfId="1" applyNumberFormat="1" applyFont="1" applyBorder="1" applyAlignment="1" applyProtection="1">
      <alignment horizontal="center" vertical="center" wrapText="1"/>
      <protection locked="0"/>
    </xf>
    <xf numFmtId="1" fontId="10" fillId="0" borderId="20" xfId="1" applyNumberFormat="1" applyFont="1" applyBorder="1" applyAlignment="1" applyProtection="1">
      <alignment horizontal="center" vertical="center" wrapText="1"/>
      <protection locked="0"/>
    </xf>
    <xf numFmtId="1" fontId="10" fillId="0" borderId="2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" fontId="11" fillId="0" borderId="8" xfId="1" applyNumberFormat="1" applyFont="1" applyBorder="1" applyAlignment="1" applyProtection="1">
      <alignment horizontal="center" vertical="center" wrapText="1"/>
      <protection locked="0"/>
    </xf>
    <xf numFmtId="1" fontId="11" fillId="0" borderId="22" xfId="1" applyNumberFormat="1" applyFont="1" applyBorder="1" applyAlignment="1" applyProtection="1">
      <alignment horizontal="center" vertical="center" wrapText="1"/>
      <protection locked="0"/>
    </xf>
    <xf numFmtId="1" fontId="11" fillId="0" borderId="9" xfId="1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9" xfId="1" applyFont="1" applyBorder="1" applyAlignment="1" applyProtection="1">
      <alignment horizontal="left" vertical="top" wrapText="1"/>
      <protection locked="0"/>
    </xf>
    <xf numFmtId="0" fontId="10" fillId="0" borderId="15" xfId="1" applyFont="1" applyBorder="1" applyAlignment="1" applyProtection="1">
      <alignment horizontal="left" vertical="top"/>
      <protection locked="0"/>
    </xf>
    <xf numFmtId="0" fontId="10" fillId="0" borderId="16" xfId="1" applyFont="1" applyBorder="1" applyAlignment="1" applyProtection="1">
      <alignment horizontal="left" vertical="top"/>
      <protection locked="0"/>
    </xf>
    <xf numFmtId="0" fontId="10" fillId="0" borderId="17" xfId="1" applyFont="1" applyBorder="1" applyAlignment="1" applyProtection="1">
      <alignment horizontal="left" vertical="top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0" borderId="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8" fillId="0" borderId="1" xfId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67" fontId="10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center" wrapText="1"/>
      <protection locked="0"/>
    </xf>
    <xf numFmtId="14" fontId="10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/>
      <protection locked="0"/>
    </xf>
    <xf numFmtId="2" fontId="10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center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165" fontId="10" fillId="0" borderId="1" xfId="1" applyNumberFormat="1" applyFont="1" applyBorder="1" applyAlignment="1" applyProtection="1">
      <alignment horizontal="left" vertical="top"/>
      <protection locked="0"/>
    </xf>
    <xf numFmtId="2" fontId="10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2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1" fontId="11" fillId="0" borderId="18" xfId="1" applyNumberFormat="1" applyFont="1" applyBorder="1" applyAlignment="1" applyProtection="1">
      <alignment horizontal="center" vertical="top" wrapText="1"/>
      <protection locked="0"/>
    </xf>
    <xf numFmtId="1" fontId="11" fillId="0" borderId="19" xfId="1" applyNumberFormat="1" applyFont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22" xfId="1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5" applyFont="1" applyBorder="1" applyAlignment="1">
      <alignment horizontal="left"/>
    </xf>
    <xf numFmtId="0" fontId="11" fillId="0" borderId="31" xfId="1" applyFont="1" applyBorder="1" applyAlignment="1" applyProtection="1">
      <alignment horizontal="left" vertical="top" wrapText="1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1" fillId="0" borderId="32" xfId="1" applyFont="1" applyBorder="1" applyAlignment="1" applyProtection="1">
      <alignment horizontal="left" vertical="top" wrapText="1"/>
      <protection locked="0"/>
    </xf>
    <xf numFmtId="9" fontId="10" fillId="0" borderId="1" xfId="1" applyNumberFormat="1" applyFont="1" applyBorder="1" applyAlignment="1" applyProtection="1">
      <alignment horizontal="center" vertical="center" wrapText="1"/>
      <protection hidden="1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24466</xdr:colOff>
      <xdr:row>280</xdr:row>
      <xdr:rowOff>3509</xdr:rowOff>
    </xdr:from>
    <xdr:to>
      <xdr:col>7</xdr:col>
      <xdr:colOff>1347</xdr:colOff>
      <xdr:row>297</xdr:row>
      <xdr:rowOff>90125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2495" y="59450715"/>
          <a:ext cx="5089514" cy="35156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44827</xdr:colOff>
      <xdr:row>261</xdr:row>
      <xdr:rowOff>112058</xdr:rowOff>
    </xdr:from>
    <xdr:to>
      <xdr:col>7</xdr:col>
      <xdr:colOff>4535</xdr:colOff>
      <xdr:row>278</xdr:row>
      <xdr:rowOff>193337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2856" y="55726852"/>
          <a:ext cx="5091391" cy="35102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556260</xdr:colOff>
      <xdr:row>216</xdr:row>
      <xdr:rowOff>190501</xdr:rowOff>
    </xdr:from>
    <xdr:to>
      <xdr:col>23</xdr:col>
      <xdr:colOff>566889</xdr:colOff>
      <xdr:row>257</xdr:row>
      <xdr:rowOff>60961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8703310" y="46234351"/>
          <a:ext cx="6011379" cy="7934960"/>
          <a:chOff x="589775" y="167640"/>
          <a:chExt cx="5916129" cy="8173517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9775" y="167640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5904" y="167640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9696" y="4196401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7670" y="4196401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38683" y="4196401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23908" y="654115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3177" y="654115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5" name="TextBox 1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4791919" y="695010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</a:t>
            </a:r>
            <a:endParaRPr lang="en-IN" b="1"/>
          </a:p>
        </xdr:txBody>
      </xdr:sp>
      <xdr:sp macro="" textlink="">
        <xdr:nvSpPr>
          <xdr:cNvPr id="26" name="TextBox 21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1281290" y="695010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  <xdr:sp macro="" textlink="">
        <xdr:nvSpPr>
          <xdr:cNvPr id="27" name="TextBox 2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055577" y="5987114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A</a:t>
            </a:r>
            <a:endParaRPr lang="en-IN" sz="1400" b="1"/>
          </a:p>
        </xdr:txBody>
      </xdr:sp>
      <xdr:sp macro="" textlink="">
        <xdr:nvSpPr>
          <xdr:cNvPr id="31" name="TextBox 23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3261539" y="4196401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  <xdr:sp macro="" textlink="">
        <xdr:nvSpPr>
          <xdr:cNvPr id="32" name="TextBox 24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4704266" y="5833225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</xdr:grpSp>
    <xdr:clientData/>
  </xdr:twoCellAnchor>
  <xdr:twoCellAnchor>
    <xdr:from>
      <xdr:col>0</xdr:col>
      <xdr:colOff>120650</xdr:colOff>
      <xdr:row>218</xdr:row>
      <xdr:rowOff>82550</xdr:rowOff>
    </xdr:from>
    <xdr:to>
      <xdr:col>7</xdr:col>
      <xdr:colOff>708797</xdr:colOff>
      <xdr:row>255</xdr:row>
      <xdr:rowOff>96819</xdr:rowOff>
    </xdr:to>
    <xdr:grpSp>
      <xdr:nvGrpSpPr>
        <xdr:cNvPr id="45" name="Group 44"/>
        <xdr:cNvGrpSpPr/>
      </xdr:nvGrpSpPr>
      <xdr:grpSpPr>
        <a:xfrm>
          <a:off x="120650" y="46520100"/>
          <a:ext cx="6436497" cy="7291369"/>
          <a:chOff x="120650" y="46520100"/>
          <a:chExt cx="6436497" cy="7291369"/>
        </a:xfrm>
      </xdr:grpSpPr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3830" y="5165146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094" y="49374491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7284" y="465201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465201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3967" y="4652151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7962" y="5165146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38834" y="4937449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62474" y="4937449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5896" y="5165146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3" name="TextBox 21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901700" y="46774100"/>
            <a:ext cx="889658" cy="35855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  <xdr:sp macro="" textlink="">
        <xdr:nvSpPr>
          <xdr:cNvPr id="44" name="TextBox 21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485417" y="46699313"/>
            <a:ext cx="889658" cy="35855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Mc7DoCL7tNa7UUH6?coh=178572&amp;entry=tt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261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4" customWidth="1"/>
    <col min="2" max="2" width="11.1796875" style="14" customWidth="1"/>
    <col min="3" max="4" width="12.81640625" style="14" customWidth="1"/>
    <col min="5" max="7" width="11.81640625" style="14" customWidth="1"/>
    <col min="8" max="8" width="12.453125" style="14" customWidth="1"/>
    <col min="9" max="9" width="20.453125" style="8" customWidth="1"/>
    <col min="10" max="10" width="9.81640625" style="8" bestFit="1" customWidth="1"/>
    <col min="11" max="11" width="11.81640625" style="8" bestFit="1" customWidth="1"/>
    <col min="12" max="18" width="9.1796875" style="8"/>
    <col min="19" max="19" width="11.1796875" style="8" hidden="1" customWidth="1"/>
    <col min="20" max="21" width="9.1796875" style="8" hidden="1" customWidth="1"/>
    <col min="22" max="22" width="10.81640625" style="8" hidden="1" customWidth="1"/>
    <col min="23" max="23" width="13.453125" style="8" hidden="1" customWidth="1"/>
    <col min="24" max="254" width="9.1796875" style="8"/>
    <col min="255" max="255" width="8.81640625" style="8" customWidth="1"/>
    <col min="256" max="256" width="9.81640625" style="8" customWidth="1"/>
    <col min="257" max="257" width="14.453125" style="8" customWidth="1"/>
    <col min="258" max="258" width="7.1796875" style="8" customWidth="1"/>
    <col min="259" max="259" width="5.54296875" style="8" customWidth="1"/>
    <col min="260" max="260" width="9" style="8" customWidth="1"/>
    <col min="261" max="262" width="9.81640625" style="8" customWidth="1"/>
    <col min="263" max="263" width="11.1796875" style="8" customWidth="1"/>
    <col min="264" max="264" width="2.81640625" style="8" customWidth="1"/>
    <col min="265" max="265" width="3.54296875" style="8" customWidth="1"/>
    <col min="266" max="510" width="9.1796875" style="8"/>
    <col min="511" max="511" width="8.81640625" style="8" customWidth="1"/>
    <col min="512" max="512" width="9.81640625" style="8" customWidth="1"/>
    <col min="513" max="513" width="14.453125" style="8" customWidth="1"/>
    <col min="514" max="514" width="7.1796875" style="8" customWidth="1"/>
    <col min="515" max="515" width="5.54296875" style="8" customWidth="1"/>
    <col min="516" max="516" width="9" style="8" customWidth="1"/>
    <col min="517" max="518" width="9.81640625" style="8" customWidth="1"/>
    <col min="519" max="519" width="11.1796875" style="8" customWidth="1"/>
    <col min="520" max="520" width="2.81640625" style="8" customWidth="1"/>
    <col min="521" max="521" width="3.54296875" style="8" customWidth="1"/>
    <col min="522" max="766" width="9.1796875" style="8"/>
    <col min="767" max="767" width="8.81640625" style="8" customWidth="1"/>
    <col min="768" max="768" width="9.81640625" style="8" customWidth="1"/>
    <col min="769" max="769" width="14.453125" style="8" customWidth="1"/>
    <col min="770" max="770" width="7.1796875" style="8" customWidth="1"/>
    <col min="771" max="771" width="5.54296875" style="8" customWidth="1"/>
    <col min="772" max="772" width="9" style="8" customWidth="1"/>
    <col min="773" max="774" width="9.81640625" style="8" customWidth="1"/>
    <col min="775" max="775" width="11.1796875" style="8" customWidth="1"/>
    <col min="776" max="776" width="2.81640625" style="8" customWidth="1"/>
    <col min="777" max="777" width="3.54296875" style="8" customWidth="1"/>
    <col min="778" max="1022" width="9.1796875" style="8"/>
    <col min="1023" max="1023" width="8.81640625" style="8" customWidth="1"/>
    <col min="1024" max="1024" width="9.81640625" style="8" customWidth="1"/>
    <col min="1025" max="1025" width="14.453125" style="8" customWidth="1"/>
    <col min="1026" max="1026" width="7.1796875" style="8" customWidth="1"/>
    <col min="1027" max="1027" width="5.54296875" style="8" customWidth="1"/>
    <col min="1028" max="1028" width="9" style="8" customWidth="1"/>
    <col min="1029" max="1030" width="9.81640625" style="8" customWidth="1"/>
    <col min="1031" max="1031" width="11.1796875" style="8" customWidth="1"/>
    <col min="1032" max="1032" width="2.81640625" style="8" customWidth="1"/>
    <col min="1033" max="1033" width="3.54296875" style="8" customWidth="1"/>
    <col min="1034" max="1278" width="9.1796875" style="8"/>
    <col min="1279" max="1279" width="8.81640625" style="8" customWidth="1"/>
    <col min="1280" max="1280" width="9.81640625" style="8" customWidth="1"/>
    <col min="1281" max="1281" width="14.453125" style="8" customWidth="1"/>
    <col min="1282" max="1282" width="7.1796875" style="8" customWidth="1"/>
    <col min="1283" max="1283" width="5.54296875" style="8" customWidth="1"/>
    <col min="1284" max="1284" width="9" style="8" customWidth="1"/>
    <col min="1285" max="1286" width="9.81640625" style="8" customWidth="1"/>
    <col min="1287" max="1287" width="11.1796875" style="8" customWidth="1"/>
    <col min="1288" max="1288" width="2.81640625" style="8" customWidth="1"/>
    <col min="1289" max="1289" width="3.54296875" style="8" customWidth="1"/>
    <col min="1290" max="1534" width="9.1796875" style="8"/>
    <col min="1535" max="1535" width="8.81640625" style="8" customWidth="1"/>
    <col min="1536" max="1536" width="9.81640625" style="8" customWidth="1"/>
    <col min="1537" max="1537" width="14.453125" style="8" customWidth="1"/>
    <col min="1538" max="1538" width="7.1796875" style="8" customWidth="1"/>
    <col min="1539" max="1539" width="5.54296875" style="8" customWidth="1"/>
    <col min="1540" max="1540" width="9" style="8" customWidth="1"/>
    <col min="1541" max="1542" width="9.81640625" style="8" customWidth="1"/>
    <col min="1543" max="1543" width="11.1796875" style="8" customWidth="1"/>
    <col min="1544" max="1544" width="2.81640625" style="8" customWidth="1"/>
    <col min="1545" max="1545" width="3.54296875" style="8" customWidth="1"/>
    <col min="1546" max="1790" width="9.1796875" style="8"/>
    <col min="1791" max="1791" width="8.81640625" style="8" customWidth="1"/>
    <col min="1792" max="1792" width="9.81640625" style="8" customWidth="1"/>
    <col min="1793" max="1793" width="14.453125" style="8" customWidth="1"/>
    <col min="1794" max="1794" width="7.1796875" style="8" customWidth="1"/>
    <col min="1795" max="1795" width="5.54296875" style="8" customWidth="1"/>
    <col min="1796" max="1796" width="9" style="8" customWidth="1"/>
    <col min="1797" max="1798" width="9.81640625" style="8" customWidth="1"/>
    <col min="1799" max="1799" width="11.1796875" style="8" customWidth="1"/>
    <col min="1800" max="1800" width="2.81640625" style="8" customWidth="1"/>
    <col min="1801" max="1801" width="3.54296875" style="8" customWidth="1"/>
    <col min="1802" max="2046" width="9.1796875" style="8"/>
    <col min="2047" max="2047" width="8.81640625" style="8" customWidth="1"/>
    <col min="2048" max="2048" width="9.81640625" style="8" customWidth="1"/>
    <col min="2049" max="2049" width="14.453125" style="8" customWidth="1"/>
    <col min="2050" max="2050" width="7.1796875" style="8" customWidth="1"/>
    <col min="2051" max="2051" width="5.54296875" style="8" customWidth="1"/>
    <col min="2052" max="2052" width="9" style="8" customWidth="1"/>
    <col min="2053" max="2054" width="9.81640625" style="8" customWidth="1"/>
    <col min="2055" max="2055" width="11.1796875" style="8" customWidth="1"/>
    <col min="2056" max="2056" width="2.81640625" style="8" customWidth="1"/>
    <col min="2057" max="2057" width="3.54296875" style="8" customWidth="1"/>
    <col min="2058" max="2302" width="9.1796875" style="8"/>
    <col min="2303" max="2303" width="8.81640625" style="8" customWidth="1"/>
    <col min="2304" max="2304" width="9.81640625" style="8" customWidth="1"/>
    <col min="2305" max="2305" width="14.453125" style="8" customWidth="1"/>
    <col min="2306" max="2306" width="7.1796875" style="8" customWidth="1"/>
    <col min="2307" max="2307" width="5.54296875" style="8" customWidth="1"/>
    <col min="2308" max="2308" width="9" style="8" customWidth="1"/>
    <col min="2309" max="2310" width="9.81640625" style="8" customWidth="1"/>
    <col min="2311" max="2311" width="11.1796875" style="8" customWidth="1"/>
    <col min="2312" max="2312" width="2.81640625" style="8" customWidth="1"/>
    <col min="2313" max="2313" width="3.54296875" style="8" customWidth="1"/>
    <col min="2314" max="2558" width="9.1796875" style="8"/>
    <col min="2559" max="2559" width="8.81640625" style="8" customWidth="1"/>
    <col min="2560" max="2560" width="9.81640625" style="8" customWidth="1"/>
    <col min="2561" max="2561" width="14.453125" style="8" customWidth="1"/>
    <col min="2562" max="2562" width="7.1796875" style="8" customWidth="1"/>
    <col min="2563" max="2563" width="5.54296875" style="8" customWidth="1"/>
    <col min="2564" max="2564" width="9" style="8" customWidth="1"/>
    <col min="2565" max="2566" width="9.81640625" style="8" customWidth="1"/>
    <col min="2567" max="2567" width="11.1796875" style="8" customWidth="1"/>
    <col min="2568" max="2568" width="2.81640625" style="8" customWidth="1"/>
    <col min="2569" max="2569" width="3.54296875" style="8" customWidth="1"/>
    <col min="2570" max="2814" width="9.1796875" style="8"/>
    <col min="2815" max="2815" width="8.81640625" style="8" customWidth="1"/>
    <col min="2816" max="2816" width="9.81640625" style="8" customWidth="1"/>
    <col min="2817" max="2817" width="14.453125" style="8" customWidth="1"/>
    <col min="2818" max="2818" width="7.1796875" style="8" customWidth="1"/>
    <col min="2819" max="2819" width="5.54296875" style="8" customWidth="1"/>
    <col min="2820" max="2820" width="9" style="8" customWidth="1"/>
    <col min="2821" max="2822" width="9.81640625" style="8" customWidth="1"/>
    <col min="2823" max="2823" width="11.1796875" style="8" customWidth="1"/>
    <col min="2824" max="2824" width="2.81640625" style="8" customWidth="1"/>
    <col min="2825" max="2825" width="3.54296875" style="8" customWidth="1"/>
    <col min="2826" max="3070" width="9.1796875" style="8"/>
    <col min="3071" max="3071" width="8.81640625" style="8" customWidth="1"/>
    <col min="3072" max="3072" width="9.81640625" style="8" customWidth="1"/>
    <col min="3073" max="3073" width="14.453125" style="8" customWidth="1"/>
    <col min="3074" max="3074" width="7.1796875" style="8" customWidth="1"/>
    <col min="3075" max="3075" width="5.54296875" style="8" customWidth="1"/>
    <col min="3076" max="3076" width="9" style="8" customWidth="1"/>
    <col min="3077" max="3078" width="9.81640625" style="8" customWidth="1"/>
    <col min="3079" max="3079" width="11.1796875" style="8" customWidth="1"/>
    <col min="3080" max="3080" width="2.81640625" style="8" customWidth="1"/>
    <col min="3081" max="3081" width="3.54296875" style="8" customWidth="1"/>
    <col min="3082" max="3326" width="9.1796875" style="8"/>
    <col min="3327" max="3327" width="8.81640625" style="8" customWidth="1"/>
    <col min="3328" max="3328" width="9.81640625" style="8" customWidth="1"/>
    <col min="3329" max="3329" width="14.453125" style="8" customWidth="1"/>
    <col min="3330" max="3330" width="7.1796875" style="8" customWidth="1"/>
    <col min="3331" max="3331" width="5.54296875" style="8" customWidth="1"/>
    <col min="3332" max="3332" width="9" style="8" customWidth="1"/>
    <col min="3333" max="3334" width="9.81640625" style="8" customWidth="1"/>
    <col min="3335" max="3335" width="11.1796875" style="8" customWidth="1"/>
    <col min="3336" max="3336" width="2.81640625" style="8" customWidth="1"/>
    <col min="3337" max="3337" width="3.54296875" style="8" customWidth="1"/>
    <col min="3338" max="3582" width="9.1796875" style="8"/>
    <col min="3583" max="3583" width="8.81640625" style="8" customWidth="1"/>
    <col min="3584" max="3584" width="9.81640625" style="8" customWidth="1"/>
    <col min="3585" max="3585" width="14.453125" style="8" customWidth="1"/>
    <col min="3586" max="3586" width="7.1796875" style="8" customWidth="1"/>
    <col min="3587" max="3587" width="5.54296875" style="8" customWidth="1"/>
    <col min="3588" max="3588" width="9" style="8" customWidth="1"/>
    <col min="3589" max="3590" width="9.81640625" style="8" customWidth="1"/>
    <col min="3591" max="3591" width="11.1796875" style="8" customWidth="1"/>
    <col min="3592" max="3592" width="2.81640625" style="8" customWidth="1"/>
    <col min="3593" max="3593" width="3.54296875" style="8" customWidth="1"/>
    <col min="3594" max="3838" width="9.1796875" style="8"/>
    <col min="3839" max="3839" width="8.81640625" style="8" customWidth="1"/>
    <col min="3840" max="3840" width="9.81640625" style="8" customWidth="1"/>
    <col min="3841" max="3841" width="14.453125" style="8" customWidth="1"/>
    <col min="3842" max="3842" width="7.1796875" style="8" customWidth="1"/>
    <col min="3843" max="3843" width="5.54296875" style="8" customWidth="1"/>
    <col min="3844" max="3844" width="9" style="8" customWidth="1"/>
    <col min="3845" max="3846" width="9.81640625" style="8" customWidth="1"/>
    <col min="3847" max="3847" width="11.1796875" style="8" customWidth="1"/>
    <col min="3848" max="3848" width="2.81640625" style="8" customWidth="1"/>
    <col min="3849" max="3849" width="3.54296875" style="8" customWidth="1"/>
    <col min="3850" max="4094" width="9.1796875" style="8"/>
    <col min="4095" max="4095" width="8.81640625" style="8" customWidth="1"/>
    <col min="4096" max="4096" width="9.81640625" style="8" customWidth="1"/>
    <col min="4097" max="4097" width="14.453125" style="8" customWidth="1"/>
    <col min="4098" max="4098" width="7.1796875" style="8" customWidth="1"/>
    <col min="4099" max="4099" width="5.54296875" style="8" customWidth="1"/>
    <col min="4100" max="4100" width="9" style="8" customWidth="1"/>
    <col min="4101" max="4102" width="9.81640625" style="8" customWidth="1"/>
    <col min="4103" max="4103" width="11.1796875" style="8" customWidth="1"/>
    <col min="4104" max="4104" width="2.81640625" style="8" customWidth="1"/>
    <col min="4105" max="4105" width="3.54296875" style="8" customWidth="1"/>
    <col min="4106" max="4350" width="9.1796875" style="8"/>
    <col min="4351" max="4351" width="8.81640625" style="8" customWidth="1"/>
    <col min="4352" max="4352" width="9.81640625" style="8" customWidth="1"/>
    <col min="4353" max="4353" width="14.453125" style="8" customWidth="1"/>
    <col min="4354" max="4354" width="7.1796875" style="8" customWidth="1"/>
    <col min="4355" max="4355" width="5.54296875" style="8" customWidth="1"/>
    <col min="4356" max="4356" width="9" style="8" customWidth="1"/>
    <col min="4357" max="4358" width="9.81640625" style="8" customWidth="1"/>
    <col min="4359" max="4359" width="11.1796875" style="8" customWidth="1"/>
    <col min="4360" max="4360" width="2.81640625" style="8" customWidth="1"/>
    <col min="4361" max="4361" width="3.54296875" style="8" customWidth="1"/>
    <col min="4362" max="4606" width="9.1796875" style="8"/>
    <col min="4607" max="4607" width="8.81640625" style="8" customWidth="1"/>
    <col min="4608" max="4608" width="9.81640625" style="8" customWidth="1"/>
    <col min="4609" max="4609" width="14.453125" style="8" customWidth="1"/>
    <col min="4610" max="4610" width="7.1796875" style="8" customWidth="1"/>
    <col min="4611" max="4611" width="5.54296875" style="8" customWidth="1"/>
    <col min="4612" max="4612" width="9" style="8" customWidth="1"/>
    <col min="4613" max="4614" width="9.81640625" style="8" customWidth="1"/>
    <col min="4615" max="4615" width="11.1796875" style="8" customWidth="1"/>
    <col min="4616" max="4616" width="2.81640625" style="8" customWidth="1"/>
    <col min="4617" max="4617" width="3.54296875" style="8" customWidth="1"/>
    <col min="4618" max="4862" width="9.1796875" style="8"/>
    <col min="4863" max="4863" width="8.81640625" style="8" customWidth="1"/>
    <col min="4864" max="4864" width="9.81640625" style="8" customWidth="1"/>
    <col min="4865" max="4865" width="14.453125" style="8" customWidth="1"/>
    <col min="4866" max="4866" width="7.1796875" style="8" customWidth="1"/>
    <col min="4867" max="4867" width="5.54296875" style="8" customWidth="1"/>
    <col min="4868" max="4868" width="9" style="8" customWidth="1"/>
    <col min="4869" max="4870" width="9.81640625" style="8" customWidth="1"/>
    <col min="4871" max="4871" width="11.1796875" style="8" customWidth="1"/>
    <col min="4872" max="4872" width="2.81640625" style="8" customWidth="1"/>
    <col min="4873" max="4873" width="3.54296875" style="8" customWidth="1"/>
    <col min="4874" max="5118" width="9.1796875" style="8"/>
    <col min="5119" max="5119" width="8.81640625" style="8" customWidth="1"/>
    <col min="5120" max="5120" width="9.81640625" style="8" customWidth="1"/>
    <col min="5121" max="5121" width="14.453125" style="8" customWidth="1"/>
    <col min="5122" max="5122" width="7.1796875" style="8" customWidth="1"/>
    <col min="5123" max="5123" width="5.54296875" style="8" customWidth="1"/>
    <col min="5124" max="5124" width="9" style="8" customWidth="1"/>
    <col min="5125" max="5126" width="9.81640625" style="8" customWidth="1"/>
    <col min="5127" max="5127" width="11.1796875" style="8" customWidth="1"/>
    <col min="5128" max="5128" width="2.81640625" style="8" customWidth="1"/>
    <col min="5129" max="5129" width="3.54296875" style="8" customWidth="1"/>
    <col min="5130" max="5374" width="9.1796875" style="8"/>
    <col min="5375" max="5375" width="8.81640625" style="8" customWidth="1"/>
    <col min="5376" max="5376" width="9.81640625" style="8" customWidth="1"/>
    <col min="5377" max="5377" width="14.453125" style="8" customWidth="1"/>
    <col min="5378" max="5378" width="7.1796875" style="8" customWidth="1"/>
    <col min="5379" max="5379" width="5.54296875" style="8" customWidth="1"/>
    <col min="5380" max="5380" width="9" style="8" customWidth="1"/>
    <col min="5381" max="5382" width="9.81640625" style="8" customWidth="1"/>
    <col min="5383" max="5383" width="11.1796875" style="8" customWidth="1"/>
    <col min="5384" max="5384" width="2.81640625" style="8" customWidth="1"/>
    <col min="5385" max="5385" width="3.54296875" style="8" customWidth="1"/>
    <col min="5386" max="5630" width="9.1796875" style="8"/>
    <col min="5631" max="5631" width="8.81640625" style="8" customWidth="1"/>
    <col min="5632" max="5632" width="9.81640625" style="8" customWidth="1"/>
    <col min="5633" max="5633" width="14.453125" style="8" customWidth="1"/>
    <col min="5634" max="5634" width="7.1796875" style="8" customWidth="1"/>
    <col min="5635" max="5635" width="5.54296875" style="8" customWidth="1"/>
    <col min="5636" max="5636" width="9" style="8" customWidth="1"/>
    <col min="5637" max="5638" width="9.81640625" style="8" customWidth="1"/>
    <col min="5639" max="5639" width="11.1796875" style="8" customWidth="1"/>
    <col min="5640" max="5640" width="2.81640625" style="8" customWidth="1"/>
    <col min="5641" max="5641" width="3.54296875" style="8" customWidth="1"/>
    <col min="5642" max="5886" width="9.1796875" style="8"/>
    <col min="5887" max="5887" width="8.81640625" style="8" customWidth="1"/>
    <col min="5888" max="5888" width="9.81640625" style="8" customWidth="1"/>
    <col min="5889" max="5889" width="14.453125" style="8" customWidth="1"/>
    <col min="5890" max="5890" width="7.1796875" style="8" customWidth="1"/>
    <col min="5891" max="5891" width="5.54296875" style="8" customWidth="1"/>
    <col min="5892" max="5892" width="9" style="8" customWidth="1"/>
    <col min="5893" max="5894" width="9.81640625" style="8" customWidth="1"/>
    <col min="5895" max="5895" width="11.1796875" style="8" customWidth="1"/>
    <col min="5896" max="5896" width="2.81640625" style="8" customWidth="1"/>
    <col min="5897" max="5897" width="3.54296875" style="8" customWidth="1"/>
    <col min="5898" max="6142" width="9.1796875" style="8"/>
    <col min="6143" max="6143" width="8.81640625" style="8" customWidth="1"/>
    <col min="6144" max="6144" width="9.81640625" style="8" customWidth="1"/>
    <col min="6145" max="6145" width="14.453125" style="8" customWidth="1"/>
    <col min="6146" max="6146" width="7.1796875" style="8" customWidth="1"/>
    <col min="6147" max="6147" width="5.54296875" style="8" customWidth="1"/>
    <col min="6148" max="6148" width="9" style="8" customWidth="1"/>
    <col min="6149" max="6150" width="9.81640625" style="8" customWidth="1"/>
    <col min="6151" max="6151" width="11.1796875" style="8" customWidth="1"/>
    <col min="6152" max="6152" width="2.81640625" style="8" customWidth="1"/>
    <col min="6153" max="6153" width="3.54296875" style="8" customWidth="1"/>
    <col min="6154" max="6398" width="9.1796875" style="8"/>
    <col min="6399" max="6399" width="8.81640625" style="8" customWidth="1"/>
    <col min="6400" max="6400" width="9.81640625" style="8" customWidth="1"/>
    <col min="6401" max="6401" width="14.453125" style="8" customWidth="1"/>
    <col min="6402" max="6402" width="7.1796875" style="8" customWidth="1"/>
    <col min="6403" max="6403" width="5.54296875" style="8" customWidth="1"/>
    <col min="6404" max="6404" width="9" style="8" customWidth="1"/>
    <col min="6405" max="6406" width="9.81640625" style="8" customWidth="1"/>
    <col min="6407" max="6407" width="11.1796875" style="8" customWidth="1"/>
    <col min="6408" max="6408" width="2.81640625" style="8" customWidth="1"/>
    <col min="6409" max="6409" width="3.54296875" style="8" customWidth="1"/>
    <col min="6410" max="6654" width="9.1796875" style="8"/>
    <col min="6655" max="6655" width="8.81640625" style="8" customWidth="1"/>
    <col min="6656" max="6656" width="9.81640625" style="8" customWidth="1"/>
    <col min="6657" max="6657" width="14.453125" style="8" customWidth="1"/>
    <col min="6658" max="6658" width="7.1796875" style="8" customWidth="1"/>
    <col min="6659" max="6659" width="5.54296875" style="8" customWidth="1"/>
    <col min="6660" max="6660" width="9" style="8" customWidth="1"/>
    <col min="6661" max="6662" width="9.81640625" style="8" customWidth="1"/>
    <col min="6663" max="6663" width="11.1796875" style="8" customWidth="1"/>
    <col min="6664" max="6664" width="2.81640625" style="8" customWidth="1"/>
    <col min="6665" max="6665" width="3.54296875" style="8" customWidth="1"/>
    <col min="6666" max="6910" width="9.1796875" style="8"/>
    <col min="6911" max="6911" width="8.81640625" style="8" customWidth="1"/>
    <col min="6912" max="6912" width="9.81640625" style="8" customWidth="1"/>
    <col min="6913" max="6913" width="14.453125" style="8" customWidth="1"/>
    <col min="6914" max="6914" width="7.1796875" style="8" customWidth="1"/>
    <col min="6915" max="6915" width="5.54296875" style="8" customWidth="1"/>
    <col min="6916" max="6916" width="9" style="8" customWidth="1"/>
    <col min="6917" max="6918" width="9.81640625" style="8" customWidth="1"/>
    <col min="6919" max="6919" width="11.1796875" style="8" customWidth="1"/>
    <col min="6920" max="6920" width="2.81640625" style="8" customWidth="1"/>
    <col min="6921" max="6921" width="3.54296875" style="8" customWidth="1"/>
    <col min="6922" max="7166" width="9.1796875" style="8"/>
    <col min="7167" max="7167" width="8.81640625" style="8" customWidth="1"/>
    <col min="7168" max="7168" width="9.81640625" style="8" customWidth="1"/>
    <col min="7169" max="7169" width="14.453125" style="8" customWidth="1"/>
    <col min="7170" max="7170" width="7.1796875" style="8" customWidth="1"/>
    <col min="7171" max="7171" width="5.54296875" style="8" customWidth="1"/>
    <col min="7172" max="7172" width="9" style="8" customWidth="1"/>
    <col min="7173" max="7174" width="9.81640625" style="8" customWidth="1"/>
    <col min="7175" max="7175" width="11.1796875" style="8" customWidth="1"/>
    <col min="7176" max="7176" width="2.81640625" style="8" customWidth="1"/>
    <col min="7177" max="7177" width="3.54296875" style="8" customWidth="1"/>
    <col min="7178" max="7422" width="9.1796875" style="8"/>
    <col min="7423" max="7423" width="8.81640625" style="8" customWidth="1"/>
    <col min="7424" max="7424" width="9.81640625" style="8" customWidth="1"/>
    <col min="7425" max="7425" width="14.453125" style="8" customWidth="1"/>
    <col min="7426" max="7426" width="7.1796875" style="8" customWidth="1"/>
    <col min="7427" max="7427" width="5.54296875" style="8" customWidth="1"/>
    <col min="7428" max="7428" width="9" style="8" customWidth="1"/>
    <col min="7429" max="7430" width="9.81640625" style="8" customWidth="1"/>
    <col min="7431" max="7431" width="11.1796875" style="8" customWidth="1"/>
    <col min="7432" max="7432" width="2.81640625" style="8" customWidth="1"/>
    <col min="7433" max="7433" width="3.54296875" style="8" customWidth="1"/>
    <col min="7434" max="7678" width="9.1796875" style="8"/>
    <col min="7679" max="7679" width="8.81640625" style="8" customWidth="1"/>
    <col min="7680" max="7680" width="9.81640625" style="8" customWidth="1"/>
    <col min="7681" max="7681" width="14.453125" style="8" customWidth="1"/>
    <col min="7682" max="7682" width="7.1796875" style="8" customWidth="1"/>
    <col min="7683" max="7683" width="5.54296875" style="8" customWidth="1"/>
    <col min="7684" max="7684" width="9" style="8" customWidth="1"/>
    <col min="7685" max="7686" width="9.81640625" style="8" customWidth="1"/>
    <col min="7687" max="7687" width="11.1796875" style="8" customWidth="1"/>
    <col min="7688" max="7688" width="2.81640625" style="8" customWidth="1"/>
    <col min="7689" max="7689" width="3.54296875" style="8" customWidth="1"/>
    <col min="7690" max="7934" width="9.1796875" style="8"/>
    <col min="7935" max="7935" width="8.81640625" style="8" customWidth="1"/>
    <col min="7936" max="7936" width="9.81640625" style="8" customWidth="1"/>
    <col min="7937" max="7937" width="14.453125" style="8" customWidth="1"/>
    <col min="7938" max="7938" width="7.1796875" style="8" customWidth="1"/>
    <col min="7939" max="7939" width="5.54296875" style="8" customWidth="1"/>
    <col min="7940" max="7940" width="9" style="8" customWidth="1"/>
    <col min="7941" max="7942" width="9.81640625" style="8" customWidth="1"/>
    <col min="7943" max="7943" width="11.1796875" style="8" customWidth="1"/>
    <col min="7944" max="7944" width="2.81640625" style="8" customWidth="1"/>
    <col min="7945" max="7945" width="3.54296875" style="8" customWidth="1"/>
    <col min="7946" max="8190" width="9.1796875" style="8"/>
    <col min="8191" max="8191" width="8.81640625" style="8" customWidth="1"/>
    <col min="8192" max="8192" width="9.81640625" style="8" customWidth="1"/>
    <col min="8193" max="8193" width="14.453125" style="8" customWidth="1"/>
    <col min="8194" max="8194" width="7.1796875" style="8" customWidth="1"/>
    <col min="8195" max="8195" width="5.54296875" style="8" customWidth="1"/>
    <col min="8196" max="8196" width="9" style="8" customWidth="1"/>
    <col min="8197" max="8198" width="9.81640625" style="8" customWidth="1"/>
    <col min="8199" max="8199" width="11.1796875" style="8" customWidth="1"/>
    <col min="8200" max="8200" width="2.81640625" style="8" customWidth="1"/>
    <col min="8201" max="8201" width="3.54296875" style="8" customWidth="1"/>
    <col min="8202" max="8446" width="9.1796875" style="8"/>
    <col min="8447" max="8447" width="8.81640625" style="8" customWidth="1"/>
    <col min="8448" max="8448" width="9.81640625" style="8" customWidth="1"/>
    <col min="8449" max="8449" width="14.453125" style="8" customWidth="1"/>
    <col min="8450" max="8450" width="7.1796875" style="8" customWidth="1"/>
    <col min="8451" max="8451" width="5.54296875" style="8" customWidth="1"/>
    <col min="8452" max="8452" width="9" style="8" customWidth="1"/>
    <col min="8453" max="8454" width="9.81640625" style="8" customWidth="1"/>
    <col min="8455" max="8455" width="11.1796875" style="8" customWidth="1"/>
    <col min="8456" max="8456" width="2.81640625" style="8" customWidth="1"/>
    <col min="8457" max="8457" width="3.54296875" style="8" customWidth="1"/>
    <col min="8458" max="8702" width="9.1796875" style="8"/>
    <col min="8703" max="8703" width="8.81640625" style="8" customWidth="1"/>
    <col min="8704" max="8704" width="9.81640625" style="8" customWidth="1"/>
    <col min="8705" max="8705" width="14.453125" style="8" customWidth="1"/>
    <col min="8706" max="8706" width="7.1796875" style="8" customWidth="1"/>
    <col min="8707" max="8707" width="5.54296875" style="8" customWidth="1"/>
    <col min="8708" max="8708" width="9" style="8" customWidth="1"/>
    <col min="8709" max="8710" width="9.81640625" style="8" customWidth="1"/>
    <col min="8711" max="8711" width="11.1796875" style="8" customWidth="1"/>
    <col min="8712" max="8712" width="2.81640625" style="8" customWidth="1"/>
    <col min="8713" max="8713" width="3.54296875" style="8" customWidth="1"/>
    <col min="8714" max="8958" width="9.1796875" style="8"/>
    <col min="8959" max="8959" width="8.81640625" style="8" customWidth="1"/>
    <col min="8960" max="8960" width="9.81640625" style="8" customWidth="1"/>
    <col min="8961" max="8961" width="14.453125" style="8" customWidth="1"/>
    <col min="8962" max="8962" width="7.1796875" style="8" customWidth="1"/>
    <col min="8963" max="8963" width="5.54296875" style="8" customWidth="1"/>
    <col min="8964" max="8964" width="9" style="8" customWidth="1"/>
    <col min="8965" max="8966" width="9.81640625" style="8" customWidth="1"/>
    <col min="8967" max="8967" width="11.1796875" style="8" customWidth="1"/>
    <col min="8968" max="8968" width="2.81640625" style="8" customWidth="1"/>
    <col min="8969" max="8969" width="3.54296875" style="8" customWidth="1"/>
    <col min="8970" max="9214" width="9.1796875" style="8"/>
    <col min="9215" max="9215" width="8.81640625" style="8" customWidth="1"/>
    <col min="9216" max="9216" width="9.81640625" style="8" customWidth="1"/>
    <col min="9217" max="9217" width="14.453125" style="8" customWidth="1"/>
    <col min="9218" max="9218" width="7.1796875" style="8" customWidth="1"/>
    <col min="9219" max="9219" width="5.54296875" style="8" customWidth="1"/>
    <col min="9220" max="9220" width="9" style="8" customWidth="1"/>
    <col min="9221" max="9222" width="9.81640625" style="8" customWidth="1"/>
    <col min="9223" max="9223" width="11.1796875" style="8" customWidth="1"/>
    <col min="9224" max="9224" width="2.81640625" style="8" customWidth="1"/>
    <col min="9225" max="9225" width="3.54296875" style="8" customWidth="1"/>
    <col min="9226" max="9470" width="9.1796875" style="8"/>
    <col min="9471" max="9471" width="8.81640625" style="8" customWidth="1"/>
    <col min="9472" max="9472" width="9.81640625" style="8" customWidth="1"/>
    <col min="9473" max="9473" width="14.453125" style="8" customWidth="1"/>
    <col min="9474" max="9474" width="7.1796875" style="8" customWidth="1"/>
    <col min="9475" max="9475" width="5.54296875" style="8" customWidth="1"/>
    <col min="9476" max="9476" width="9" style="8" customWidth="1"/>
    <col min="9477" max="9478" width="9.81640625" style="8" customWidth="1"/>
    <col min="9479" max="9479" width="11.1796875" style="8" customWidth="1"/>
    <col min="9480" max="9480" width="2.81640625" style="8" customWidth="1"/>
    <col min="9481" max="9481" width="3.54296875" style="8" customWidth="1"/>
    <col min="9482" max="9726" width="9.1796875" style="8"/>
    <col min="9727" max="9727" width="8.81640625" style="8" customWidth="1"/>
    <col min="9728" max="9728" width="9.81640625" style="8" customWidth="1"/>
    <col min="9729" max="9729" width="14.453125" style="8" customWidth="1"/>
    <col min="9730" max="9730" width="7.1796875" style="8" customWidth="1"/>
    <col min="9731" max="9731" width="5.54296875" style="8" customWidth="1"/>
    <col min="9732" max="9732" width="9" style="8" customWidth="1"/>
    <col min="9733" max="9734" width="9.81640625" style="8" customWidth="1"/>
    <col min="9735" max="9735" width="11.1796875" style="8" customWidth="1"/>
    <col min="9736" max="9736" width="2.81640625" style="8" customWidth="1"/>
    <col min="9737" max="9737" width="3.54296875" style="8" customWidth="1"/>
    <col min="9738" max="9982" width="9.1796875" style="8"/>
    <col min="9983" max="9983" width="8.81640625" style="8" customWidth="1"/>
    <col min="9984" max="9984" width="9.81640625" style="8" customWidth="1"/>
    <col min="9985" max="9985" width="14.453125" style="8" customWidth="1"/>
    <col min="9986" max="9986" width="7.1796875" style="8" customWidth="1"/>
    <col min="9987" max="9987" width="5.54296875" style="8" customWidth="1"/>
    <col min="9988" max="9988" width="9" style="8" customWidth="1"/>
    <col min="9989" max="9990" width="9.81640625" style="8" customWidth="1"/>
    <col min="9991" max="9991" width="11.1796875" style="8" customWidth="1"/>
    <col min="9992" max="9992" width="2.81640625" style="8" customWidth="1"/>
    <col min="9993" max="9993" width="3.54296875" style="8" customWidth="1"/>
    <col min="9994" max="10238" width="9.1796875" style="8"/>
    <col min="10239" max="10239" width="8.81640625" style="8" customWidth="1"/>
    <col min="10240" max="10240" width="9.81640625" style="8" customWidth="1"/>
    <col min="10241" max="10241" width="14.453125" style="8" customWidth="1"/>
    <col min="10242" max="10242" width="7.1796875" style="8" customWidth="1"/>
    <col min="10243" max="10243" width="5.54296875" style="8" customWidth="1"/>
    <col min="10244" max="10244" width="9" style="8" customWidth="1"/>
    <col min="10245" max="10246" width="9.81640625" style="8" customWidth="1"/>
    <col min="10247" max="10247" width="11.1796875" style="8" customWidth="1"/>
    <col min="10248" max="10248" width="2.81640625" style="8" customWidth="1"/>
    <col min="10249" max="10249" width="3.54296875" style="8" customWidth="1"/>
    <col min="10250" max="10494" width="9.1796875" style="8"/>
    <col min="10495" max="10495" width="8.81640625" style="8" customWidth="1"/>
    <col min="10496" max="10496" width="9.81640625" style="8" customWidth="1"/>
    <col min="10497" max="10497" width="14.453125" style="8" customWidth="1"/>
    <col min="10498" max="10498" width="7.1796875" style="8" customWidth="1"/>
    <col min="10499" max="10499" width="5.54296875" style="8" customWidth="1"/>
    <col min="10500" max="10500" width="9" style="8" customWidth="1"/>
    <col min="10501" max="10502" width="9.81640625" style="8" customWidth="1"/>
    <col min="10503" max="10503" width="11.1796875" style="8" customWidth="1"/>
    <col min="10504" max="10504" width="2.81640625" style="8" customWidth="1"/>
    <col min="10505" max="10505" width="3.54296875" style="8" customWidth="1"/>
    <col min="10506" max="10750" width="9.1796875" style="8"/>
    <col min="10751" max="10751" width="8.81640625" style="8" customWidth="1"/>
    <col min="10752" max="10752" width="9.81640625" style="8" customWidth="1"/>
    <col min="10753" max="10753" width="14.453125" style="8" customWidth="1"/>
    <col min="10754" max="10754" width="7.1796875" style="8" customWidth="1"/>
    <col min="10755" max="10755" width="5.54296875" style="8" customWidth="1"/>
    <col min="10756" max="10756" width="9" style="8" customWidth="1"/>
    <col min="10757" max="10758" width="9.81640625" style="8" customWidth="1"/>
    <col min="10759" max="10759" width="11.1796875" style="8" customWidth="1"/>
    <col min="10760" max="10760" width="2.81640625" style="8" customWidth="1"/>
    <col min="10761" max="10761" width="3.54296875" style="8" customWidth="1"/>
    <col min="10762" max="11006" width="9.1796875" style="8"/>
    <col min="11007" max="11007" width="8.81640625" style="8" customWidth="1"/>
    <col min="11008" max="11008" width="9.81640625" style="8" customWidth="1"/>
    <col min="11009" max="11009" width="14.453125" style="8" customWidth="1"/>
    <col min="11010" max="11010" width="7.1796875" style="8" customWidth="1"/>
    <col min="11011" max="11011" width="5.54296875" style="8" customWidth="1"/>
    <col min="11012" max="11012" width="9" style="8" customWidth="1"/>
    <col min="11013" max="11014" width="9.81640625" style="8" customWidth="1"/>
    <col min="11015" max="11015" width="11.1796875" style="8" customWidth="1"/>
    <col min="11016" max="11016" width="2.81640625" style="8" customWidth="1"/>
    <col min="11017" max="11017" width="3.54296875" style="8" customWidth="1"/>
    <col min="11018" max="11262" width="9.1796875" style="8"/>
    <col min="11263" max="11263" width="8.81640625" style="8" customWidth="1"/>
    <col min="11264" max="11264" width="9.81640625" style="8" customWidth="1"/>
    <col min="11265" max="11265" width="14.453125" style="8" customWidth="1"/>
    <col min="11266" max="11266" width="7.1796875" style="8" customWidth="1"/>
    <col min="11267" max="11267" width="5.54296875" style="8" customWidth="1"/>
    <col min="11268" max="11268" width="9" style="8" customWidth="1"/>
    <col min="11269" max="11270" width="9.81640625" style="8" customWidth="1"/>
    <col min="11271" max="11271" width="11.1796875" style="8" customWidth="1"/>
    <col min="11272" max="11272" width="2.81640625" style="8" customWidth="1"/>
    <col min="11273" max="11273" width="3.54296875" style="8" customWidth="1"/>
    <col min="11274" max="11518" width="9.1796875" style="8"/>
    <col min="11519" max="11519" width="8.81640625" style="8" customWidth="1"/>
    <col min="11520" max="11520" width="9.81640625" style="8" customWidth="1"/>
    <col min="11521" max="11521" width="14.453125" style="8" customWidth="1"/>
    <col min="11522" max="11522" width="7.1796875" style="8" customWidth="1"/>
    <col min="11523" max="11523" width="5.54296875" style="8" customWidth="1"/>
    <col min="11524" max="11524" width="9" style="8" customWidth="1"/>
    <col min="11525" max="11526" width="9.81640625" style="8" customWidth="1"/>
    <col min="11527" max="11527" width="11.1796875" style="8" customWidth="1"/>
    <col min="11528" max="11528" width="2.81640625" style="8" customWidth="1"/>
    <col min="11529" max="11529" width="3.54296875" style="8" customWidth="1"/>
    <col min="11530" max="11774" width="9.1796875" style="8"/>
    <col min="11775" max="11775" width="8.81640625" style="8" customWidth="1"/>
    <col min="11776" max="11776" width="9.81640625" style="8" customWidth="1"/>
    <col min="11777" max="11777" width="14.453125" style="8" customWidth="1"/>
    <col min="11778" max="11778" width="7.1796875" style="8" customWidth="1"/>
    <col min="11779" max="11779" width="5.54296875" style="8" customWidth="1"/>
    <col min="11780" max="11780" width="9" style="8" customWidth="1"/>
    <col min="11781" max="11782" width="9.81640625" style="8" customWidth="1"/>
    <col min="11783" max="11783" width="11.1796875" style="8" customWidth="1"/>
    <col min="11784" max="11784" width="2.81640625" style="8" customWidth="1"/>
    <col min="11785" max="11785" width="3.54296875" style="8" customWidth="1"/>
    <col min="11786" max="12030" width="9.1796875" style="8"/>
    <col min="12031" max="12031" width="8.81640625" style="8" customWidth="1"/>
    <col min="12032" max="12032" width="9.81640625" style="8" customWidth="1"/>
    <col min="12033" max="12033" width="14.453125" style="8" customWidth="1"/>
    <col min="12034" max="12034" width="7.1796875" style="8" customWidth="1"/>
    <col min="12035" max="12035" width="5.54296875" style="8" customWidth="1"/>
    <col min="12036" max="12036" width="9" style="8" customWidth="1"/>
    <col min="12037" max="12038" width="9.81640625" style="8" customWidth="1"/>
    <col min="12039" max="12039" width="11.1796875" style="8" customWidth="1"/>
    <col min="12040" max="12040" width="2.81640625" style="8" customWidth="1"/>
    <col min="12041" max="12041" width="3.54296875" style="8" customWidth="1"/>
    <col min="12042" max="12286" width="9.1796875" style="8"/>
    <col min="12287" max="12287" width="8.81640625" style="8" customWidth="1"/>
    <col min="12288" max="12288" width="9.81640625" style="8" customWidth="1"/>
    <col min="12289" max="12289" width="14.453125" style="8" customWidth="1"/>
    <col min="12290" max="12290" width="7.1796875" style="8" customWidth="1"/>
    <col min="12291" max="12291" width="5.54296875" style="8" customWidth="1"/>
    <col min="12292" max="12292" width="9" style="8" customWidth="1"/>
    <col min="12293" max="12294" width="9.81640625" style="8" customWidth="1"/>
    <col min="12295" max="12295" width="11.1796875" style="8" customWidth="1"/>
    <col min="12296" max="12296" width="2.81640625" style="8" customWidth="1"/>
    <col min="12297" max="12297" width="3.54296875" style="8" customWidth="1"/>
    <col min="12298" max="12542" width="9.1796875" style="8"/>
    <col min="12543" max="12543" width="8.81640625" style="8" customWidth="1"/>
    <col min="12544" max="12544" width="9.81640625" style="8" customWidth="1"/>
    <col min="12545" max="12545" width="14.453125" style="8" customWidth="1"/>
    <col min="12546" max="12546" width="7.1796875" style="8" customWidth="1"/>
    <col min="12547" max="12547" width="5.54296875" style="8" customWidth="1"/>
    <col min="12548" max="12548" width="9" style="8" customWidth="1"/>
    <col min="12549" max="12550" width="9.81640625" style="8" customWidth="1"/>
    <col min="12551" max="12551" width="11.1796875" style="8" customWidth="1"/>
    <col min="12552" max="12552" width="2.81640625" style="8" customWidth="1"/>
    <col min="12553" max="12553" width="3.54296875" style="8" customWidth="1"/>
    <col min="12554" max="12798" width="9.1796875" style="8"/>
    <col min="12799" max="12799" width="8.81640625" style="8" customWidth="1"/>
    <col min="12800" max="12800" width="9.81640625" style="8" customWidth="1"/>
    <col min="12801" max="12801" width="14.453125" style="8" customWidth="1"/>
    <col min="12802" max="12802" width="7.1796875" style="8" customWidth="1"/>
    <col min="12803" max="12803" width="5.54296875" style="8" customWidth="1"/>
    <col min="12804" max="12804" width="9" style="8" customWidth="1"/>
    <col min="12805" max="12806" width="9.81640625" style="8" customWidth="1"/>
    <col min="12807" max="12807" width="11.1796875" style="8" customWidth="1"/>
    <col min="12808" max="12808" width="2.81640625" style="8" customWidth="1"/>
    <col min="12809" max="12809" width="3.54296875" style="8" customWidth="1"/>
    <col min="12810" max="13054" width="9.1796875" style="8"/>
    <col min="13055" max="13055" width="8.81640625" style="8" customWidth="1"/>
    <col min="13056" max="13056" width="9.81640625" style="8" customWidth="1"/>
    <col min="13057" max="13057" width="14.453125" style="8" customWidth="1"/>
    <col min="13058" max="13058" width="7.1796875" style="8" customWidth="1"/>
    <col min="13059" max="13059" width="5.54296875" style="8" customWidth="1"/>
    <col min="13060" max="13060" width="9" style="8" customWidth="1"/>
    <col min="13061" max="13062" width="9.81640625" style="8" customWidth="1"/>
    <col min="13063" max="13063" width="11.1796875" style="8" customWidth="1"/>
    <col min="13064" max="13064" width="2.81640625" style="8" customWidth="1"/>
    <col min="13065" max="13065" width="3.54296875" style="8" customWidth="1"/>
    <col min="13066" max="13310" width="9.1796875" style="8"/>
    <col min="13311" max="13311" width="8.81640625" style="8" customWidth="1"/>
    <col min="13312" max="13312" width="9.81640625" style="8" customWidth="1"/>
    <col min="13313" max="13313" width="14.453125" style="8" customWidth="1"/>
    <col min="13314" max="13314" width="7.1796875" style="8" customWidth="1"/>
    <col min="13315" max="13315" width="5.54296875" style="8" customWidth="1"/>
    <col min="13316" max="13316" width="9" style="8" customWidth="1"/>
    <col min="13317" max="13318" width="9.81640625" style="8" customWidth="1"/>
    <col min="13319" max="13319" width="11.1796875" style="8" customWidth="1"/>
    <col min="13320" max="13320" width="2.81640625" style="8" customWidth="1"/>
    <col min="13321" max="13321" width="3.54296875" style="8" customWidth="1"/>
    <col min="13322" max="13566" width="9.1796875" style="8"/>
    <col min="13567" max="13567" width="8.81640625" style="8" customWidth="1"/>
    <col min="13568" max="13568" width="9.81640625" style="8" customWidth="1"/>
    <col min="13569" max="13569" width="14.453125" style="8" customWidth="1"/>
    <col min="13570" max="13570" width="7.1796875" style="8" customWidth="1"/>
    <col min="13571" max="13571" width="5.54296875" style="8" customWidth="1"/>
    <col min="13572" max="13572" width="9" style="8" customWidth="1"/>
    <col min="13573" max="13574" width="9.81640625" style="8" customWidth="1"/>
    <col min="13575" max="13575" width="11.1796875" style="8" customWidth="1"/>
    <col min="13576" max="13576" width="2.81640625" style="8" customWidth="1"/>
    <col min="13577" max="13577" width="3.54296875" style="8" customWidth="1"/>
    <col min="13578" max="13822" width="9.1796875" style="8"/>
    <col min="13823" max="13823" width="8.81640625" style="8" customWidth="1"/>
    <col min="13824" max="13824" width="9.81640625" style="8" customWidth="1"/>
    <col min="13825" max="13825" width="14.453125" style="8" customWidth="1"/>
    <col min="13826" max="13826" width="7.1796875" style="8" customWidth="1"/>
    <col min="13827" max="13827" width="5.54296875" style="8" customWidth="1"/>
    <col min="13828" max="13828" width="9" style="8" customWidth="1"/>
    <col min="13829" max="13830" width="9.81640625" style="8" customWidth="1"/>
    <col min="13831" max="13831" width="11.1796875" style="8" customWidth="1"/>
    <col min="13832" max="13832" width="2.81640625" style="8" customWidth="1"/>
    <col min="13833" max="13833" width="3.54296875" style="8" customWidth="1"/>
    <col min="13834" max="14078" width="9.1796875" style="8"/>
    <col min="14079" max="14079" width="8.81640625" style="8" customWidth="1"/>
    <col min="14080" max="14080" width="9.81640625" style="8" customWidth="1"/>
    <col min="14081" max="14081" width="14.453125" style="8" customWidth="1"/>
    <col min="14082" max="14082" width="7.1796875" style="8" customWidth="1"/>
    <col min="14083" max="14083" width="5.54296875" style="8" customWidth="1"/>
    <col min="14084" max="14084" width="9" style="8" customWidth="1"/>
    <col min="14085" max="14086" width="9.81640625" style="8" customWidth="1"/>
    <col min="14087" max="14087" width="11.1796875" style="8" customWidth="1"/>
    <col min="14088" max="14088" width="2.81640625" style="8" customWidth="1"/>
    <col min="14089" max="14089" width="3.54296875" style="8" customWidth="1"/>
    <col min="14090" max="14334" width="9.1796875" style="8"/>
    <col min="14335" max="14335" width="8.81640625" style="8" customWidth="1"/>
    <col min="14336" max="14336" width="9.81640625" style="8" customWidth="1"/>
    <col min="14337" max="14337" width="14.453125" style="8" customWidth="1"/>
    <col min="14338" max="14338" width="7.1796875" style="8" customWidth="1"/>
    <col min="14339" max="14339" width="5.54296875" style="8" customWidth="1"/>
    <col min="14340" max="14340" width="9" style="8" customWidth="1"/>
    <col min="14341" max="14342" width="9.81640625" style="8" customWidth="1"/>
    <col min="14343" max="14343" width="11.1796875" style="8" customWidth="1"/>
    <col min="14344" max="14344" width="2.81640625" style="8" customWidth="1"/>
    <col min="14345" max="14345" width="3.54296875" style="8" customWidth="1"/>
    <col min="14346" max="14590" width="9.1796875" style="8"/>
    <col min="14591" max="14591" width="8.81640625" style="8" customWidth="1"/>
    <col min="14592" max="14592" width="9.81640625" style="8" customWidth="1"/>
    <col min="14593" max="14593" width="14.453125" style="8" customWidth="1"/>
    <col min="14594" max="14594" width="7.1796875" style="8" customWidth="1"/>
    <col min="14595" max="14595" width="5.54296875" style="8" customWidth="1"/>
    <col min="14596" max="14596" width="9" style="8" customWidth="1"/>
    <col min="14597" max="14598" width="9.81640625" style="8" customWidth="1"/>
    <col min="14599" max="14599" width="11.1796875" style="8" customWidth="1"/>
    <col min="14600" max="14600" width="2.81640625" style="8" customWidth="1"/>
    <col min="14601" max="14601" width="3.54296875" style="8" customWidth="1"/>
    <col min="14602" max="14846" width="9.1796875" style="8"/>
    <col min="14847" max="14847" width="8.81640625" style="8" customWidth="1"/>
    <col min="14848" max="14848" width="9.81640625" style="8" customWidth="1"/>
    <col min="14849" max="14849" width="14.453125" style="8" customWidth="1"/>
    <col min="14850" max="14850" width="7.1796875" style="8" customWidth="1"/>
    <col min="14851" max="14851" width="5.54296875" style="8" customWidth="1"/>
    <col min="14852" max="14852" width="9" style="8" customWidth="1"/>
    <col min="14853" max="14854" width="9.81640625" style="8" customWidth="1"/>
    <col min="14855" max="14855" width="11.1796875" style="8" customWidth="1"/>
    <col min="14856" max="14856" width="2.81640625" style="8" customWidth="1"/>
    <col min="14857" max="14857" width="3.54296875" style="8" customWidth="1"/>
    <col min="14858" max="15102" width="9.1796875" style="8"/>
    <col min="15103" max="15103" width="8.81640625" style="8" customWidth="1"/>
    <col min="15104" max="15104" width="9.81640625" style="8" customWidth="1"/>
    <col min="15105" max="15105" width="14.453125" style="8" customWidth="1"/>
    <col min="15106" max="15106" width="7.1796875" style="8" customWidth="1"/>
    <col min="15107" max="15107" width="5.54296875" style="8" customWidth="1"/>
    <col min="15108" max="15108" width="9" style="8" customWidth="1"/>
    <col min="15109" max="15110" width="9.81640625" style="8" customWidth="1"/>
    <col min="15111" max="15111" width="11.1796875" style="8" customWidth="1"/>
    <col min="15112" max="15112" width="2.81640625" style="8" customWidth="1"/>
    <col min="15113" max="15113" width="3.54296875" style="8" customWidth="1"/>
    <col min="15114" max="15358" width="9.1796875" style="8"/>
    <col min="15359" max="15359" width="8.81640625" style="8" customWidth="1"/>
    <col min="15360" max="15360" width="9.81640625" style="8" customWidth="1"/>
    <col min="15361" max="15361" width="14.453125" style="8" customWidth="1"/>
    <col min="15362" max="15362" width="7.1796875" style="8" customWidth="1"/>
    <col min="15363" max="15363" width="5.54296875" style="8" customWidth="1"/>
    <col min="15364" max="15364" width="9" style="8" customWidth="1"/>
    <col min="15365" max="15366" width="9.81640625" style="8" customWidth="1"/>
    <col min="15367" max="15367" width="11.1796875" style="8" customWidth="1"/>
    <col min="15368" max="15368" width="2.81640625" style="8" customWidth="1"/>
    <col min="15369" max="15369" width="3.54296875" style="8" customWidth="1"/>
    <col min="15370" max="15614" width="9.1796875" style="8"/>
    <col min="15615" max="15615" width="8.81640625" style="8" customWidth="1"/>
    <col min="15616" max="15616" width="9.81640625" style="8" customWidth="1"/>
    <col min="15617" max="15617" width="14.453125" style="8" customWidth="1"/>
    <col min="15618" max="15618" width="7.1796875" style="8" customWidth="1"/>
    <col min="15619" max="15619" width="5.54296875" style="8" customWidth="1"/>
    <col min="15620" max="15620" width="9" style="8" customWidth="1"/>
    <col min="15621" max="15622" width="9.81640625" style="8" customWidth="1"/>
    <col min="15623" max="15623" width="11.1796875" style="8" customWidth="1"/>
    <col min="15624" max="15624" width="2.81640625" style="8" customWidth="1"/>
    <col min="15625" max="15625" width="3.54296875" style="8" customWidth="1"/>
    <col min="15626" max="15870" width="9.1796875" style="8"/>
    <col min="15871" max="15871" width="8.81640625" style="8" customWidth="1"/>
    <col min="15872" max="15872" width="9.81640625" style="8" customWidth="1"/>
    <col min="15873" max="15873" width="14.453125" style="8" customWidth="1"/>
    <col min="15874" max="15874" width="7.1796875" style="8" customWidth="1"/>
    <col min="15875" max="15875" width="5.54296875" style="8" customWidth="1"/>
    <col min="15876" max="15876" width="9" style="8" customWidth="1"/>
    <col min="15877" max="15878" width="9.81640625" style="8" customWidth="1"/>
    <col min="15879" max="15879" width="11.1796875" style="8" customWidth="1"/>
    <col min="15880" max="15880" width="2.81640625" style="8" customWidth="1"/>
    <col min="15881" max="15881" width="3.54296875" style="8" customWidth="1"/>
    <col min="15882" max="16126" width="9.1796875" style="8"/>
    <col min="16127" max="16127" width="8.81640625" style="8" customWidth="1"/>
    <col min="16128" max="16128" width="9.81640625" style="8" customWidth="1"/>
    <col min="16129" max="16129" width="14.453125" style="8" customWidth="1"/>
    <col min="16130" max="16130" width="7.1796875" style="8" customWidth="1"/>
    <col min="16131" max="16131" width="5.54296875" style="8" customWidth="1"/>
    <col min="16132" max="16132" width="9" style="8" customWidth="1"/>
    <col min="16133" max="16134" width="9.81640625" style="8" customWidth="1"/>
    <col min="16135" max="16135" width="11.1796875" style="8" customWidth="1"/>
    <col min="16136" max="16136" width="2.81640625" style="8" customWidth="1"/>
    <col min="16137" max="16137" width="3.54296875" style="8" customWidth="1"/>
    <col min="16138" max="16384" width="9.1796875" style="8"/>
  </cols>
  <sheetData>
    <row r="1" spans="1:11" ht="46.5" customHeight="1" x14ac:dyDescent="0.35">
      <c r="A1" s="144" t="s">
        <v>258</v>
      </c>
      <c r="B1" s="144"/>
      <c r="C1" s="144"/>
      <c r="D1" s="144"/>
      <c r="E1" s="144"/>
      <c r="F1" s="144"/>
      <c r="G1" s="144"/>
      <c r="H1" s="144"/>
      <c r="I1" s="11"/>
      <c r="J1" s="11"/>
      <c r="K1" s="11"/>
    </row>
    <row r="2" spans="1:11" ht="16.5" customHeight="1" x14ac:dyDescent="0.35">
      <c r="A2" s="145" t="s">
        <v>0</v>
      </c>
      <c r="B2" s="145"/>
      <c r="C2" s="145"/>
      <c r="D2" s="145"/>
      <c r="E2" s="145"/>
      <c r="F2" s="145"/>
      <c r="G2" s="145"/>
      <c r="H2" s="145"/>
      <c r="I2" s="11"/>
      <c r="J2" s="11"/>
      <c r="K2" s="11"/>
    </row>
    <row r="3" spans="1:11" x14ac:dyDescent="0.35">
      <c r="A3" s="105" t="s">
        <v>1</v>
      </c>
      <c r="B3" s="105"/>
      <c r="C3" s="105"/>
      <c r="D3" s="105"/>
      <c r="E3" s="146" t="str">
        <f ca="1">TEXT(TODAY(),"DD/MM/YYYY")</f>
        <v>20/09/2025</v>
      </c>
      <c r="F3" s="146"/>
      <c r="G3" s="146"/>
      <c r="H3" s="146"/>
      <c r="I3" s="11"/>
      <c r="J3" s="11"/>
      <c r="K3" s="11"/>
    </row>
    <row r="4" spans="1:11" ht="15" customHeight="1" x14ac:dyDescent="0.35">
      <c r="A4" s="105" t="s">
        <v>2</v>
      </c>
      <c r="B4" s="105"/>
      <c r="C4" s="105"/>
      <c r="D4" s="105"/>
      <c r="E4" s="147" t="s">
        <v>174</v>
      </c>
      <c r="F4" s="147"/>
      <c r="G4" s="147"/>
      <c r="H4" s="147"/>
      <c r="I4" s="11"/>
      <c r="J4" s="11"/>
      <c r="K4" s="11"/>
    </row>
    <row r="5" spans="1:11" x14ac:dyDescent="0.35">
      <c r="A5" s="105" t="s">
        <v>3</v>
      </c>
      <c r="B5" s="105"/>
      <c r="C5" s="105"/>
      <c r="D5" s="105"/>
      <c r="E5" s="148">
        <v>45919</v>
      </c>
      <c r="F5" s="148"/>
      <c r="G5" s="148"/>
      <c r="H5" s="148"/>
      <c r="I5" s="11"/>
      <c r="J5" s="11"/>
      <c r="K5" s="11"/>
    </row>
    <row r="6" spans="1:11" ht="16.5" customHeight="1" x14ac:dyDescent="0.35">
      <c r="A6" s="105" t="s">
        <v>170</v>
      </c>
      <c r="B6" s="105"/>
      <c r="C6" s="105"/>
      <c r="D6" s="105"/>
      <c r="E6" s="126" t="s">
        <v>246</v>
      </c>
      <c r="F6" s="126"/>
      <c r="G6" s="126"/>
      <c r="H6" s="126"/>
      <c r="I6" s="11"/>
      <c r="J6" s="11"/>
      <c r="K6" s="11"/>
    </row>
    <row r="7" spans="1:11" ht="15" customHeight="1" x14ac:dyDescent="0.35">
      <c r="A7" s="105" t="s">
        <v>4</v>
      </c>
      <c r="B7" s="105"/>
      <c r="C7" s="105"/>
      <c r="D7" s="105"/>
      <c r="E7" s="126" t="s">
        <v>217</v>
      </c>
      <c r="F7" s="126"/>
      <c r="G7" s="126"/>
      <c r="H7" s="126"/>
      <c r="I7" s="11"/>
      <c r="J7" s="11"/>
      <c r="K7" s="11"/>
    </row>
    <row r="8" spans="1:11" x14ac:dyDescent="0.35">
      <c r="A8" s="105" t="s">
        <v>5</v>
      </c>
      <c r="B8" s="105"/>
      <c r="C8" s="105"/>
      <c r="D8" s="105"/>
      <c r="E8" s="98" t="s">
        <v>169</v>
      </c>
      <c r="F8" s="98"/>
      <c r="G8" s="98"/>
      <c r="H8" s="98"/>
      <c r="I8" s="11"/>
      <c r="J8" s="11"/>
      <c r="K8" s="11"/>
    </row>
    <row r="9" spans="1:11" x14ac:dyDescent="0.35">
      <c r="A9" s="105" t="s">
        <v>166</v>
      </c>
      <c r="B9" s="105"/>
      <c r="C9" s="105"/>
      <c r="D9" s="105"/>
      <c r="E9" s="105">
        <v>9892921207</v>
      </c>
      <c r="F9" s="105"/>
      <c r="G9" s="105"/>
      <c r="H9" s="105"/>
      <c r="I9" s="11"/>
      <c r="J9" s="11"/>
      <c r="K9" s="11"/>
    </row>
    <row r="10" spans="1:11" x14ac:dyDescent="0.35">
      <c r="A10" s="105" t="s">
        <v>254</v>
      </c>
      <c r="B10" s="105"/>
      <c r="C10" s="105"/>
      <c r="D10" s="105"/>
      <c r="E10" s="105" t="s">
        <v>259</v>
      </c>
      <c r="F10" s="105"/>
      <c r="G10" s="105"/>
      <c r="H10" s="105"/>
      <c r="I10" s="11"/>
      <c r="J10" s="11"/>
      <c r="K10" s="11"/>
    </row>
    <row r="11" spans="1:11" ht="49.5" customHeight="1" x14ac:dyDescent="0.35">
      <c r="A11" s="105" t="s">
        <v>6</v>
      </c>
      <c r="B11" s="105"/>
      <c r="C11" s="105"/>
      <c r="D11" s="105"/>
      <c r="E11" s="126" t="s">
        <v>242</v>
      </c>
      <c r="F11" s="105"/>
      <c r="G11" s="105"/>
      <c r="H11" s="105"/>
      <c r="I11" s="11"/>
      <c r="J11" s="11"/>
      <c r="K11" s="11"/>
    </row>
    <row r="12" spans="1:11" ht="32.25" customHeight="1" x14ac:dyDescent="0.35">
      <c r="A12" s="105" t="s">
        <v>7</v>
      </c>
      <c r="B12" s="105"/>
      <c r="C12" s="105"/>
      <c r="D12" s="105"/>
      <c r="E12" s="126" t="s">
        <v>147</v>
      </c>
      <c r="F12" s="126"/>
      <c r="G12" s="126"/>
      <c r="H12" s="126"/>
      <c r="I12" s="11"/>
      <c r="J12" s="11"/>
      <c r="K12" s="11"/>
    </row>
    <row r="13" spans="1:11" x14ac:dyDescent="0.35">
      <c r="A13" s="105" t="s">
        <v>8</v>
      </c>
      <c r="B13" s="105"/>
      <c r="C13" s="105"/>
      <c r="D13" s="105"/>
      <c r="E13" s="126" t="s">
        <v>168</v>
      </c>
      <c r="F13" s="105"/>
      <c r="G13" s="105"/>
      <c r="H13" s="105"/>
      <c r="I13" s="11"/>
      <c r="J13" s="11"/>
      <c r="K13" s="11"/>
    </row>
    <row r="14" spans="1:11" ht="32.25" customHeight="1" x14ac:dyDescent="0.35">
      <c r="A14" s="126" t="s">
        <v>9</v>
      </c>
      <c r="B14" s="126"/>
      <c r="C14" s="126" t="str">
        <f>CONCATENATE((IF(OR(E8="",E8="NA"),"",E8)),", ",(IF(OR(A15="",A15="NA"),"",A15)),".",(IF(OR(C15="",C15="NA"),"",C15)),", ",(IF(OR(C16="",C16="NA"),"",C16)),", Near",(IF(OR(C19="",C19="NA"),"",C19)),", ",(IF(OR(G16="",G16="NA"),"",G16)),", ",(IF(OR(C17="",C17="NA"),"",C17)),", ",(IF(OR(C18="",C18="NA"),"",C18)),", ",(IF(OR(G17="",G17="NA"),"",G17)),".")</f>
        <v>Shree Ganesh Residency, Survey No.2, H.No.9/1, 9/2, 9/3A, Internal Residency, NearSharda english School, Diksal, Bhivpuri, Karjat, Raigad.</v>
      </c>
      <c r="D14" s="126"/>
      <c r="E14" s="126"/>
      <c r="F14" s="126"/>
      <c r="G14" s="126"/>
      <c r="H14" s="126"/>
      <c r="I14" s="11"/>
      <c r="J14" s="11"/>
      <c r="K14" s="11"/>
    </row>
    <row r="15" spans="1:11" x14ac:dyDescent="0.35">
      <c r="A15" s="126" t="s">
        <v>215</v>
      </c>
      <c r="B15" s="126"/>
      <c r="C15" s="126" t="s">
        <v>176</v>
      </c>
      <c r="D15" s="126"/>
      <c r="E15" s="126"/>
      <c r="F15" s="126"/>
      <c r="G15" s="126"/>
      <c r="H15" s="126"/>
      <c r="I15" s="11"/>
      <c r="J15" s="11"/>
      <c r="K15" s="11"/>
    </row>
    <row r="16" spans="1:11" ht="15.75" customHeight="1" x14ac:dyDescent="0.35">
      <c r="A16" s="126" t="s">
        <v>10</v>
      </c>
      <c r="B16" s="126"/>
      <c r="C16" s="105" t="s">
        <v>212</v>
      </c>
      <c r="D16" s="105"/>
      <c r="E16" s="126" t="s">
        <v>106</v>
      </c>
      <c r="F16" s="126"/>
      <c r="G16" s="126" t="s">
        <v>171</v>
      </c>
      <c r="H16" s="126"/>
      <c r="I16" s="11"/>
      <c r="J16" s="11"/>
      <c r="K16" s="11"/>
    </row>
    <row r="17" spans="1:11" x14ac:dyDescent="0.35">
      <c r="A17" s="105" t="s">
        <v>12</v>
      </c>
      <c r="B17" s="105"/>
      <c r="C17" s="126" t="s">
        <v>214</v>
      </c>
      <c r="D17" s="126"/>
      <c r="E17" s="126" t="s">
        <v>11</v>
      </c>
      <c r="F17" s="126"/>
      <c r="G17" s="149" t="s">
        <v>172</v>
      </c>
      <c r="H17" s="149"/>
      <c r="I17" s="11"/>
      <c r="J17" s="11"/>
      <c r="K17" s="11"/>
    </row>
    <row r="18" spans="1:11" x14ac:dyDescent="0.35">
      <c r="A18" s="105" t="s">
        <v>107</v>
      </c>
      <c r="B18" s="105"/>
      <c r="C18" s="126" t="s">
        <v>173</v>
      </c>
      <c r="D18" s="126"/>
      <c r="E18" s="126" t="s">
        <v>13</v>
      </c>
      <c r="F18" s="126"/>
      <c r="G18" s="126">
        <v>410201</v>
      </c>
      <c r="H18" s="126"/>
      <c r="I18" s="11"/>
      <c r="J18" s="11"/>
      <c r="K18" s="11"/>
    </row>
    <row r="19" spans="1:11" ht="32.25" customHeight="1" x14ac:dyDescent="0.35">
      <c r="A19" s="105" t="s">
        <v>167</v>
      </c>
      <c r="B19" s="105"/>
      <c r="C19" s="126" t="s">
        <v>218</v>
      </c>
      <c r="D19" s="126"/>
      <c r="E19" s="126" t="s">
        <v>14</v>
      </c>
      <c r="F19" s="126"/>
      <c r="G19" s="126" t="s">
        <v>213</v>
      </c>
      <c r="H19" s="126"/>
      <c r="I19" s="11"/>
      <c r="J19" s="11"/>
      <c r="K19" s="11"/>
    </row>
    <row r="20" spans="1:11" ht="15" customHeight="1" x14ac:dyDescent="0.35">
      <c r="A20" s="126" t="s">
        <v>112</v>
      </c>
      <c r="B20" s="126"/>
      <c r="C20" s="126"/>
      <c r="D20" s="126"/>
      <c r="E20" s="105" t="s">
        <v>15</v>
      </c>
      <c r="F20" s="105"/>
      <c r="G20" s="105"/>
      <c r="H20" s="105"/>
      <c r="I20" s="11"/>
      <c r="J20" s="11"/>
      <c r="K20" s="11"/>
    </row>
    <row r="21" spans="1:11" ht="18.75" customHeight="1" x14ac:dyDescent="0.35">
      <c r="A21" s="126"/>
      <c r="B21" s="126"/>
      <c r="C21" s="126"/>
      <c r="D21" s="126"/>
      <c r="E21" s="105"/>
      <c r="F21" s="105"/>
      <c r="G21" s="105"/>
      <c r="H21" s="105"/>
      <c r="I21" s="11"/>
      <c r="J21" s="11"/>
      <c r="K21" s="11"/>
    </row>
    <row r="22" spans="1:11" ht="15" customHeight="1" x14ac:dyDescent="0.35">
      <c r="A22" s="126" t="s">
        <v>16</v>
      </c>
      <c r="B22" s="126"/>
      <c r="C22" s="126"/>
      <c r="D22" s="126"/>
      <c r="E22" s="126" t="s">
        <v>17</v>
      </c>
      <c r="F22" s="126"/>
      <c r="G22" s="126"/>
      <c r="H22" s="126"/>
      <c r="I22" s="11"/>
      <c r="J22" s="11"/>
      <c r="K22" s="11"/>
    </row>
    <row r="23" spans="1:11" ht="15" customHeight="1" x14ac:dyDescent="0.35">
      <c r="A23" s="105" t="s">
        <v>18</v>
      </c>
      <c r="B23" s="105"/>
      <c r="C23" s="105"/>
      <c r="D23" s="105"/>
      <c r="E23" s="126" t="str">
        <f>IF(AND(G17="Mumbai"),"Upper Class","Middle Class")</f>
        <v>Middle Class</v>
      </c>
      <c r="F23" s="126"/>
      <c r="G23" s="126"/>
      <c r="H23" s="126"/>
      <c r="I23" s="11"/>
      <c r="J23" s="11"/>
      <c r="K23" s="11"/>
    </row>
    <row r="24" spans="1:11" x14ac:dyDescent="0.35">
      <c r="A24" s="105" t="s">
        <v>19</v>
      </c>
      <c r="B24" s="105"/>
      <c r="C24" s="105"/>
      <c r="D24" s="105"/>
      <c r="E24" s="126" t="s">
        <v>20</v>
      </c>
      <c r="F24" s="126"/>
      <c r="G24" s="126"/>
      <c r="H24" s="126"/>
      <c r="I24" s="11"/>
      <c r="J24" s="11"/>
      <c r="K24" s="11"/>
    </row>
    <row r="25" spans="1:11" ht="15.75" customHeight="1" x14ac:dyDescent="0.35">
      <c r="A25" s="105" t="s">
        <v>21</v>
      </c>
      <c r="B25" s="105"/>
      <c r="C25" s="105"/>
      <c r="D25" s="105"/>
      <c r="E25" s="126" t="str">
        <f>IF(AND(G17="Mumbai"),"Developed","Developing")</f>
        <v>Developing</v>
      </c>
      <c r="F25" s="126"/>
      <c r="G25" s="126"/>
      <c r="H25" s="126"/>
      <c r="I25" s="11"/>
      <c r="J25" s="11"/>
      <c r="K25" s="11"/>
    </row>
    <row r="26" spans="1:11" x14ac:dyDescent="0.35">
      <c r="A26" s="105" t="s">
        <v>22</v>
      </c>
      <c r="B26" s="105"/>
      <c r="C26" s="105"/>
      <c r="D26" s="105"/>
      <c r="E26" s="126" t="s">
        <v>23</v>
      </c>
      <c r="F26" s="126"/>
      <c r="G26" s="126"/>
      <c r="H26" s="126"/>
      <c r="I26" s="11"/>
      <c r="J26" s="11"/>
      <c r="K26" s="11"/>
    </row>
    <row r="27" spans="1:11" x14ac:dyDescent="0.35">
      <c r="A27" s="105" t="s">
        <v>120</v>
      </c>
      <c r="B27" s="105"/>
      <c r="C27" s="105"/>
      <c r="D27" s="105"/>
      <c r="E27" s="126" t="s">
        <v>121</v>
      </c>
      <c r="F27" s="126"/>
      <c r="G27" s="126"/>
      <c r="H27" s="126"/>
      <c r="I27" s="11"/>
      <c r="J27" s="11"/>
      <c r="K27" s="11"/>
    </row>
    <row r="28" spans="1:11" ht="15" customHeight="1" x14ac:dyDescent="0.35">
      <c r="A28" s="126" t="s">
        <v>34</v>
      </c>
      <c r="B28" s="126"/>
      <c r="C28" s="126"/>
      <c r="D28" s="126"/>
      <c r="E28" s="147" t="s">
        <v>116</v>
      </c>
      <c r="F28" s="147"/>
      <c r="G28" s="147"/>
      <c r="H28" s="147"/>
      <c r="I28" s="11"/>
      <c r="J28" s="11"/>
      <c r="K28" s="11"/>
    </row>
    <row r="29" spans="1:11" x14ac:dyDescent="0.35">
      <c r="A29" s="126" t="s">
        <v>133</v>
      </c>
      <c r="B29" s="126"/>
      <c r="C29" s="126"/>
      <c r="D29" s="126"/>
      <c r="E29" s="126" t="s">
        <v>35</v>
      </c>
      <c r="F29" s="126"/>
      <c r="G29" s="126"/>
      <c r="H29" s="126"/>
      <c r="I29" s="11"/>
      <c r="J29" s="11"/>
      <c r="K29" s="11"/>
    </row>
    <row r="30" spans="1:11" s="12" customFormat="1" x14ac:dyDescent="0.35">
      <c r="A30" s="155" t="s">
        <v>134</v>
      </c>
      <c r="B30" s="155"/>
      <c r="C30" s="145" t="s">
        <v>28</v>
      </c>
      <c r="D30" s="145"/>
      <c r="E30" s="145"/>
      <c r="F30" s="145" t="s">
        <v>30</v>
      </c>
      <c r="G30" s="145"/>
      <c r="H30" s="145"/>
      <c r="I30" s="11"/>
      <c r="J30" s="11"/>
      <c r="K30" s="11"/>
    </row>
    <row r="31" spans="1:11" s="12" customFormat="1" x14ac:dyDescent="0.35">
      <c r="A31" s="151" t="s">
        <v>24</v>
      </c>
      <c r="B31" s="151" t="s">
        <v>29</v>
      </c>
      <c r="C31" s="152" t="s">
        <v>29</v>
      </c>
      <c r="D31" s="152"/>
      <c r="E31" s="152"/>
      <c r="F31" s="152" t="s">
        <v>209</v>
      </c>
      <c r="G31" s="152"/>
      <c r="H31" s="152"/>
      <c r="I31" s="11"/>
      <c r="J31" s="11"/>
      <c r="K31" s="11"/>
    </row>
    <row r="32" spans="1:11" x14ac:dyDescent="0.35">
      <c r="A32" s="151" t="s">
        <v>25</v>
      </c>
      <c r="B32" s="151" t="s">
        <v>29</v>
      </c>
      <c r="C32" s="152" t="s">
        <v>29</v>
      </c>
      <c r="D32" s="152"/>
      <c r="E32" s="152"/>
      <c r="F32" s="152" t="s">
        <v>210</v>
      </c>
      <c r="G32" s="152"/>
      <c r="H32" s="152"/>
      <c r="I32" s="11"/>
      <c r="J32" s="11"/>
      <c r="K32" s="11"/>
    </row>
    <row r="33" spans="1:11" s="12" customFormat="1" x14ac:dyDescent="0.35">
      <c r="A33" s="151" t="s">
        <v>27</v>
      </c>
      <c r="B33" s="151" t="s">
        <v>29</v>
      </c>
      <c r="C33" s="152" t="s">
        <v>29</v>
      </c>
      <c r="D33" s="152"/>
      <c r="E33" s="152"/>
      <c r="F33" s="152" t="s">
        <v>218</v>
      </c>
      <c r="G33" s="152"/>
      <c r="H33" s="152"/>
      <c r="I33" s="11"/>
      <c r="J33" s="11"/>
      <c r="K33" s="11"/>
    </row>
    <row r="34" spans="1:11" x14ac:dyDescent="0.35">
      <c r="A34" s="151" t="s">
        <v>26</v>
      </c>
      <c r="B34" s="151" t="s">
        <v>29</v>
      </c>
      <c r="C34" s="152" t="s">
        <v>29</v>
      </c>
      <c r="D34" s="152"/>
      <c r="E34" s="152"/>
      <c r="F34" s="152" t="s">
        <v>211</v>
      </c>
      <c r="G34" s="152"/>
      <c r="H34" s="152"/>
      <c r="I34" s="11"/>
      <c r="J34" s="11"/>
      <c r="K34" s="11"/>
    </row>
    <row r="35" spans="1:11" x14ac:dyDescent="0.35">
      <c r="A35" s="105" t="s">
        <v>31</v>
      </c>
      <c r="B35" s="105"/>
      <c r="C35" s="105"/>
      <c r="D35" s="105"/>
      <c r="E35" s="105"/>
      <c r="F35" s="105"/>
      <c r="G35" s="105"/>
      <c r="H35" s="105"/>
      <c r="I35" s="11"/>
      <c r="J35" s="11"/>
      <c r="K35" s="11"/>
    </row>
    <row r="36" spans="1:11" ht="15.75" customHeight="1" x14ac:dyDescent="0.35">
      <c r="A36" s="145" t="s">
        <v>32</v>
      </c>
      <c r="B36" s="145"/>
      <c r="C36" s="151">
        <v>18.965209000000002</v>
      </c>
      <c r="D36" s="151"/>
      <c r="E36" s="145" t="s">
        <v>33</v>
      </c>
      <c r="F36" s="145"/>
      <c r="G36" s="152">
        <v>73.330939000000001</v>
      </c>
      <c r="H36" s="152"/>
      <c r="I36" s="11"/>
      <c r="J36" s="11"/>
      <c r="K36" s="11"/>
    </row>
    <row r="37" spans="1:11" ht="15.75" customHeight="1" x14ac:dyDescent="0.35">
      <c r="A37" s="145" t="s">
        <v>255</v>
      </c>
      <c r="B37" s="145"/>
      <c r="C37" s="76" t="s">
        <v>256</v>
      </c>
      <c r="D37" s="77"/>
      <c r="E37" s="77"/>
      <c r="F37" s="77"/>
      <c r="G37" s="77"/>
      <c r="H37" s="78"/>
      <c r="I37" s="11"/>
      <c r="J37" s="11"/>
      <c r="K37" s="11"/>
    </row>
    <row r="38" spans="1:11" x14ac:dyDescent="0.35">
      <c r="A38" s="98" t="s">
        <v>36</v>
      </c>
      <c r="B38" s="98"/>
      <c r="C38" s="98"/>
      <c r="D38" s="98"/>
      <c r="E38" s="98"/>
      <c r="F38" s="98"/>
      <c r="G38" s="98"/>
      <c r="H38" s="98"/>
      <c r="I38" s="11"/>
      <c r="J38" s="11"/>
      <c r="K38" s="11"/>
    </row>
    <row r="39" spans="1:11" x14ac:dyDescent="0.35">
      <c r="A39" s="105" t="s">
        <v>37</v>
      </c>
      <c r="B39" s="105"/>
      <c r="C39" s="105"/>
      <c r="D39" s="105"/>
      <c r="E39" s="150">
        <v>2400</v>
      </c>
      <c r="F39" s="150"/>
      <c r="G39" s="150"/>
      <c r="H39" s="150"/>
      <c r="I39" s="11"/>
      <c r="J39" s="11"/>
      <c r="K39" s="11"/>
    </row>
    <row r="40" spans="1:11" x14ac:dyDescent="0.35">
      <c r="A40" s="105" t="s">
        <v>38</v>
      </c>
      <c r="B40" s="105"/>
      <c r="C40" s="105"/>
      <c r="D40" s="105"/>
      <c r="E40" s="153">
        <v>1</v>
      </c>
      <c r="F40" s="153"/>
      <c r="G40" s="153"/>
      <c r="H40" s="153"/>
      <c r="I40" s="11"/>
      <c r="J40" s="11"/>
      <c r="K40" s="11"/>
    </row>
    <row r="41" spans="1:11" x14ac:dyDescent="0.35">
      <c r="A41" s="105" t="s">
        <v>39</v>
      </c>
      <c r="B41" s="105"/>
      <c r="C41" s="105"/>
      <c r="D41" s="105"/>
      <c r="E41" s="153">
        <f>E43/E39-E40</f>
        <v>0</v>
      </c>
      <c r="F41" s="153"/>
      <c r="G41" s="153"/>
      <c r="H41" s="153"/>
      <c r="I41" s="11"/>
      <c r="J41" s="11"/>
      <c r="K41" s="11"/>
    </row>
    <row r="42" spans="1:11" x14ac:dyDescent="0.35">
      <c r="A42" s="105" t="s">
        <v>40</v>
      </c>
      <c r="B42" s="105"/>
      <c r="C42" s="105"/>
      <c r="D42" s="105"/>
      <c r="E42" s="153">
        <f>E40+E41</f>
        <v>1</v>
      </c>
      <c r="F42" s="153"/>
      <c r="G42" s="153"/>
      <c r="H42" s="153"/>
      <c r="I42" s="11"/>
      <c r="J42" s="11"/>
      <c r="K42" s="11"/>
    </row>
    <row r="43" spans="1:11" x14ac:dyDescent="0.35">
      <c r="A43" s="105" t="s">
        <v>132</v>
      </c>
      <c r="B43" s="105"/>
      <c r="C43" s="105"/>
      <c r="D43" s="105"/>
      <c r="E43" s="154">
        <v>2400</v>
      </c>
      <c r="F43" s="154"/>
      <c r="G43" s="154"/>
      <c r="H43" s="154"/>
      <c r="I43" s="11"/>
      <c r="J43" s="11"/>
      <c r="K43" s="11"/>
    </row>
    <row r="44" spans="1:11" x14ac:dyDescent="0.35">
      <c r="A44" s="105" t="s">
        <v>41</v>
      </c>
      <c r="B44" s="105"/>
      <c r="C44" s="105"/>
      <c r="D44" s="105"/>
      <c r="E44" s="105" t="s">
        <v>253</v>
      </c>
      <c r="F44" s="105"/>
      <c r="G44" s="105"/>
      <c r="H44" s="105"/>
      <c r="I44" s="11"/>
      <c r="J44" s="11"/>
      <c r="K44" s="11"/>
    </row>
    <row r="45" spans="1:11" x14ac:dyDescent="0.35">
      <c r="A45" s="98" t="s">
        <v>42</v>
      </c>
      <c r="B45" s="98"/>
      <c r="C45" s="98"/>
      <c r="D45" s="98"/>
      <c r="E45" s="98"/>
      <c r="F45" s="98"/>
      <c r="G45" s="98"/>
      <c r="H45" s="98"/>
      <c r="I45" s="11"/>
      <c r="J45" s="11"/>
      <c r="K45" s="11"/>
    </row>
    <row r="46" spans="1:11" x14ac:dyDescent="0.35">
      <c r="A46" s="126" t="s">
        <v>43</v>
      </c>
      <c r="B46" s="126"/>
      <c r="C46" s="126" t="s">
        <v>219</v>
      </c>
      <c r="D46" s="126"/>
      <c r="E46" s="126"/>
      <c r="F46" s="56" t="s">
        <v>44</v>
      </c>
      <c r="G46" s="133" t="s">
        <v>175</v>
      </c>
      <c r="H46" s="133"/>
      <c r="I46" s="11"/>
      <c r="J46" s="11"/>
      <c r="K46" s="11"/>
    </row>
    <row r="47" spans="1:11" x14ac:dyDescent="0.35">
      <c r="A47" s="126" t="s">
        <v>45</v>
      </c>
      <c r="B47" s="126"/>
      <c r="C47" s="126" t="str">
        <f>C46</f>
        <v>MS/ALANA-1/A.K.199/2018</v>
      </c>
      <c r="D47" s="126"/>
      <c r="E47" s="126"/>
      <c r="F47" s="56" t="s">
        <v>44</v>
      </c>
      <c r="G47" s="133" t="str">
        <f>G46</f>
        <v>25/11/2020.</v>
      </c>
      <c r="H47" s="133"/>
      <c r="I47" s="11"/>
      <c r="J47" s="11"/>
      <c r="K47" s="11"/>
    </row>
    <row r="48" spans="1:11" s="11" customFormat="1" ht="15.65" customHeight="1" x14ac:dyDescent="0.35">
      <c r="A48" s="126" t="s">
        <v>46</v>
      </c>
      <c r="B48" s="126"/>
      <c r="C48" s="126" t="s">
        <v>220</v>
      </c>
      <c r="D48" s="126"/>
      <c r="E48" s="126"/>
      <c r="F48" s="62" t="s">
        <v>44</v>
      </c>
      <c r="G48" s="133" t="s">
        <v>175</v>
      </c>
      <c r="H48" s="133"/>
    </row>
    <row r="49" spans="1:11" s="11" customFormat="1" x14ac:dyDescent="0.35">
      <c r="A49" s="126"/>
      <c r="B49" s="126"/>
      <c r="C49" s="127" t="s">
        <v>243</v>
      </c>
      <c r="D49" s="128"/>
      <c r="E49" s="128"/>
      <c r="F49" s="128"/>
      <c r="G49" s="128"/>
      <c r="H49" s="129"/>
    </row>
    <row r="50" spans="1:11" x14ac:dyDescent="0.35">
      <c r="A50" s="122" t="s">
        <v>47</v>
      </c>
      <c r="B50" s="122"/>
      <c r="C50" s="122" t="s">
        <v>148</v>
      </c>
      <c r="D50" s="98"/>
      <c r="E50" s="98" t="s">
        <v>48</v>
      </c>
      <c r="F50" s="57" t="s">
        <v>44</v>
      </c>
      <c r="G50" s="134" t="s">
        <v>29</v>
      </c>
      <c r="H50" s="134"/>
      <c r="I50" s="11"/>
      <c r="J50" s="11"/>
      <c r="K50" s="11"/>
    </row>
    <row r="51" spans="1:11" x14ac:dyDescent="0.35">
      <c r="A51" s="137" t="s">
        <v>50</v>
      </c>
      <c r="B51" s="137"/>
      <c r="C51" s="137"/>
      <c r="D51" s="137"/>
      <c r="E51" s="137"/>
      <c r="F51" s="137"/>
      <c r="G51" s="137"/>
      <c r="H51" s="137"/>
      <c r="I51" s="11"/>
      <c r="J51" s="11"/>
      <c r="K51" s="11"/>
    </row>
    <row r="52" spans="1:11" x14ac:dyDescent="0.35">
      <c r="A52" s="126" t="s">
        <v>131</v>
      </c>
      <c r="B52" s="126"/>
      <c r="C52" s="126"/>
      <c r="D52" s="105">
        <f>E43</f>
        <v>2400</v>
      </c>
      <c r="E52" s="105"/>
      <c r="F52" s="105"/>
      <c r="G52" s="105"/>
      <c r="H52" s="105"/>
      <c r="I52" s="11"/>
      <c r="J52" s="11"/>
      <c r="K52" s="11"/>
    </row>
    <row r="53" spans="1:11" x14ac:dyDescent="0.35">
      <c r="A53" s="126" t="s">
        <v>51</v>
      </c>
      <c r="B53" s="105"/>
      <c r="C53" s="105"/>
      <c r="D53" s="105" t="s">
        <v>200</v>
      </c>
      <c r="E53" s="105"/>
      <c r="F53" s="105"/>
      <c r="G53" s="105"/>
      <c r="H53" s="105"/>
      <c r="I53" s="11"/>
      <c r="J53" s="11"/>
      <c r="K53" s="11"/>
    </row>
    <row r="54" spans="1:11" x14ac:dyDescent="0.35">
      <c r="A54" s="126" t="s">
        <v>52</v>
      </c>
      <c r="B54" s="105"/>
      <c r="C54" s="105"/>
      <c r="D54" s="105" t="s">
        <v>201</v>
      </c>
      <c r="E54" s="105"/>
      <c r="F54" s="105"/>
      <c r="G54" s="105"/>
      <c r="H54" s="105"/>
      <c r="I54" s="11"/>
      <c r="J54" s="11"/>
      <c r="K54" s="11"/>
    </row>
    <row r="55" spans="1:11" ht="30.75" customHeight="1" x14ac:dyDescent="0.35">
      <c r="A55" s="126" t="s">
        <v>129</v>
      </c>
      <c r="B55" s="105"/>
      <c r="C55" s="105"/>
      <c r="D55" s="126" t="s">
        <v>252</v>
      </c>
      <c r="E55" s="105"/>
      <c r="F55" s="105"/>
      <c r="G55" s="105"/>
      <c r="H55" s="105"/>
      <c r="I55" s="11"/>
      <c r="J55" s="11"/>
      <c r="K55" s="11"/>
    </row>
    <row r="56" spans="1:11" ht="15.75" customHeight="1" x14ac:dyDescent="0.35">
      <c r="A56" s="105" t="s">
        <v>49</v>
      </c>
      <c r="B56" s="105"/>
      <c r="C56" s="105"/>
      <c r="D56" s="126" t="s">
        <v>261</v>
      </c>
      <c r="E56" s="126"/>
      <c r="F56" s="126"/>
      <c r="G56" s="126"/>
      <c r="H56" s="126"/>
      <c r="I56" s="11"/>
      <c r="J56" s="11"/>
      <c r="K56" s="11"/>
    </row>
    <row r="57" spans="1:11" ht="15.75" customHeight="1" x14ac:dyDescent="0.35">
      <c r="A57" s="105" t="s">
        <v>126</v>
      </c>
      <c r="B57" s="105"/>
      <c r="C57" s="105"/>
      <c r="D57" s="126" t="s">
        <v>127</v>
      </c>
      <c r="E57" s="126"/>
      <c r="F57" s="126"/>
      <c r="G57" s="126"/>
      <c r="H57" s="126"/>
      <c r="I57" s="11"/>
      <c r="J57" s="11"/>
      <c r="K57" s="11"/>
    </row>
    <row r="58" spans="1:11" ht="15.75" customHeight="1" x14ac:dyDescent="0.35">
      <c r="A58" s="105" t="s">
        <v>128</v>
      </c>
      <c r="B58" s="105"/>
      <c r="C58" s="105"/>
      <c r="D58" s="126" t="s">
        <v>23</v>
      </c>
      <c r="E58" s="126"/>
      <c r="F58" s="126"/>
      <c r="G58" s="126"/>
      <c r="H58" s="126"/>
      <c r="I58" s="11"/>
      <c r="J58" s="30"/>
      <c r="K58" s="30"/>
    </row>
    <row r="59" spans="1:11" ht="15.75" customHeight="1" thickBot="1" x14ac:dyDescent="0.4">
      <c r="A59" s="135" t="s">
        <v>125</v>
      </c>
      <c r="B59" s="135"/>
      <c r="C59" s="135"/>
      <c r="D59" s="136" t="str">
        <f ca="1">(IF(G64&gt;95%,"Nothing",IF(G64&gt;0%,"Cement, Aggregate, Steel, etc",IF(G64=0%,"Work not yet Started"))))</f>
        <v>Cement, Aggregate, Steel, etc</v>
      </c>
      <c r="E59" s="136"/>
      <c r="F59" s="136"/>
      <c r="G59" s="136"/>
      <c r="H59" s="136"/>
      <c r="I59" s="11"/>
      <c r="J59" s="30"/>
      <c r="K59" s="30"/>
    </row>
    <row r="60" spans="1:11" customFormat="1" x14ac:dyDescent="0.35">
      <c r="A60" s="92" t="s">
        <v>223</v>
      </c>
      <c r="B60" s="93"/>
      <c r="C60" s="94" t="s">
        <v>251</v>
      </c>
      <c r="D60" s="95"/>
      <c r="E60" s="95"/>
      <c r="F60" s="95"/>
      <c r="G60" s="95"/>
      <c r="H60" s="96"/>
      <c r="I60" s="41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Excavation work Completed. Plinth work completed, RCC upto 5 Slab, Brickwork upto 4 Floor, External Plaster upto 2 Floor, Painting upto 1 Floor Completed</v>
      </c>
      <c r="J60" s="42"/>
    </row>
    <row r="61" spans="1:11" customFormat="1" x14ac:dyDescent="0.35">
      <c r="A61" s="15" t="s">
        <v>103</v>
      </c>
      <c r="B61" s="58">
        <v>0</v>
      </c>
      <c r="C61" s="58" t="s">
        <v>105</v>
      </c>
      <c r="D61" s="58">
        <v>1</v>
      </c>
      <c r="E61" s="58" t="s">
        <v>104</v>
      </c>
      <c r="F61" s="58">
        <v>0</v>
      </c>
      <c r="G61" s="58" t="s">
        <v>119</v>
      </c>
      <c r="H61" s="29">
        <f ca="1">--TRIM(RIGHT(SUBSTITUTE(LEFT(C60,_xlfn.AGGREGATE(16,6,FIND({0,1,2,3,4,5,6,7,8,9},C60,ROW(INDIRECT("1:"&amp;LEN(C60)))),1))," ",REPT(" ",LEN(C60))),LEN(C60)))</f>
        <v>5</v>
      </c>
      <c r="I61" s="43"/>
      <c r="J61" s="44"/>
    </row>
    <row r="62" spans="1:11" customFormat="1" ht="53" customHeight="1" x14ac:dyDescent="0.35">
      <c r="A62" s="97" t="s">
        <v>130</v>
      </c>
      <c r="B62" s="98"/>
      <c r="C62" s="99" t="str">
        <f ca="1">I60</f>
        <v>Excavation work Completed. Plinth work completed, RCC upto 5 Slab, Brickwork upto 4 Floor, External Plaster upto 2 Floor, Painting upto 1 Floor Completed</v>
      </c>
      <c r="D62" s="100"/>
      <c r="E62" s="100"/>
      <c r="F62" s="100"/>
      <c r="G62" s="100"/>
      <c r="H62" s="101"/>
      <c r="I62" s="43" t="s">
        <v>146</v>
      </c>
      <c r="J62" s="44"/>
    </row>
    <row r="63" spans="1:11" customFormat="1" ht="16.5" customHeight="1" x14ac:dyDescent="0.35">
      <c r="A63" s="79" t="s">
        <v>53</v>
      </c>
      <c r="B63" s="80"/>
      <c r="C63" s="55" t="s">
        <v>224</v>
      </c>
      <c r="D63" s="55" t="s">
        <v>122</v>
      </c>
      <c r="E63" s="102" t="s">
        <v>124</v>
      </c>
      <c r="F63" s="103"/>
      <c r="G63" s="102" t="s">
        <v>123</v>
      </c>
      <c r="H63" s="104"/>
      <c r="I63" s="45" t="s">
        <v>225</v>
      </c>
      <c r="J63" s="46">
        <f ca="1">H61*25%</f>
        <v>1.25</v>
      </c>
    </row>
    <row r="64" spans="1:11" customFormat="1" x14ac:dyDescent="0.35">
      <c r="A64" s="80" t="s">
        <v>226</v>
      </c>
      <c r="B64" s="80"/>
      <c r="C64" s="63">
        <f ca="1">J65</f>
        <v>5</v>
      </c>
      <c r="D64" s="64">
        <f ca="1">((100/H61)*C64)/100</f>
        <v>1</v>
      </c>
      <c r="E64" s="172">
        <f ca="1">(((C65/H61*10)+(40/(D61+F61+H61)*C66)+(7.5/(H61)*C67)+(7.5/(H61)*C68)+(10/H61*C69)+(10/H61*C70)+(5/H61*C71)+(5/H61*C72)+(5/H61*C73))/100)</f>
        <v>0.54333333333333333</v>
      </c>
      <c r="F64" s="172"/>
      <c r="G64" s="172">
        <f ca="1">((((C64/H61)*20)+((C65/H61)*25)+(30/(H61+F61+D61)*C66)+(5/H61*C67)+(5/H61*C68)+(5/H61*C69)+(5/H61*C70)+(0/H61*C71)+(0/H61*C72)+(5/H61*C73))/100)</f>
        <v>0.76</v>
      </c>
      <c r="H64" s="172"/>
      <c r="I64" s="45" t="s">
        <v>140</v>
      </c>
      <c r="J64" s="47">
        <f ca="1">H61*50%</f>
        <v>2.5</v>
      </c>
    </row>
    <row r="65" spans="1:14" customFormat="1" x14ac:dyDescent="0.35">
      <c r="A65" s="80" t="s">
        <v>54</v>
      </c>
      <c r="B65" s="80"/>
      <c r="C65" s="65">
        <f ca="1">J73</f>
        <v>5</v>
      </c>
      <c r="D65" s="64">
        <f ca="1">((100/H61)*C65)/100</f>
        <v>1</v>
      </c>
      <c r="E65" s="172"/>
      <c r="F65" s="172"/>
      <c r="G65" s="172"/>
      <c r="H65" s="172"/>
      <c r="I65" s="45" t="s">
        <v>141</v>
      </c>
      <c r="J65" s="47">
        <f ca="1">H61</f>
        <v>5</v>
      </c>
    </row>
    <row r="66" spans="1:14" customFormat="1" x14ac:dyDescent="0.35">
      <c r="A66" s="80" t="s">
        <v>227</v>
      </c>
      <c r="B66" s="80"/>
      <c r="C66" s="65">
        <v>5</v>
      </c>
      <c r="D66" s="64">
        <f ca="1">((100/(D61+F61+H61))*C66)/100</f>
        <v>0.83333333333333348</v>
      </c>
      <c r="E66" s="172"/>
      <c r="F66" s="172"/>
      <c r="G66" s="172"/>
      <c r="H66" s="172"/>
      <c r="I66" s="45" t="s">
        <v>142</v>
      </c>
      <c r="J66" s="48">
        <f ca="1">(IF(B61&gt;1,(H61/(B61+2)),H61/4))</f>
        <v>1.25</v>
      </c>
      <c r="L66" s="49"/>
    </row>
    <row r="67" spans="1:14" customFormat="1" ht="15.75" customHeight="1" x14ac:dyDescent="0.35">
      <c r="A67" s="80" t="s">
        <v>228</v>
      </c>
      <c r="B67" s="80" t="s">
        <v>229</v>
      </c>
      <c r="C67" s="63">
        <v>4</v>
      </c>
      <c r="D67" s="64">
        <f ca="1">((100/H61)*C67)/100</f>
        <v>0.8</v>
      </c>
      <c r="E67" s="172"/>
      <c r="F67" s="172"/>
      <c r="G67" s="172"/>
      <c r="H67" s="172"/>
      <c r="I67" s="45" t="s">
        <v>143</v>
      </c>
      <c r="J67" s="48">
        <f ca="1">(IF(B61&gt;1,(H61/(B61+2)+J66),H61/4+J66))</f>
        <v>2.5</v>
      </c>
      <c r="L67" s="49"/>
    </row>
    <row r="68" spans="1:14" customFormat="1" ht="15.75" customHeight="1" x14ac:dyDescent="0.35">
      <c r="A68" s="80" t="s">
        <v>230</v>
      </c>
      <c r="B68" s="80" t="s">
        <v>229</v>
      </c>
      <c r="C68" s="63">
        <v>0</v>
      </c>
      <c r="D68" s="64">
        <f ca="1">((100/H61)*C68)/100</f>
        <v>0</v>
      </c>
      <c r="E68" s="172"/>
      <c r="F68" s="172"/>
      <c r="G68" s="172"/>
      <c r="H68" s="172"/>
      <c r="I68" s="45" t="s">
        <v>231</v>
      </c>
      <c r="J68" s="48">
        <f>(IF(B61&gt;1,(H61/(B61+2)+J67),0))</f>
        <v>0</v>
      </c>
      <c r="L68" s="50"/>
      <c r="N68" s="49"/>
    </row>
    <row r="69" spans="1:14" customFormat="1" ht="15.75" customHeight="1" x14ac:dyDescent="0.35">
      <c r="A69" s="80" t="s">
        <v>232</v>
      </c>
      <c r="B69" s="80" t="s">
        <v>233</v>
      </c>
      <c r="C69" s="63">
        <v>2</v>
      </c>
      <c r="D69" s="64">
        <f ca="1">((100/(H61))*C69)/100</f>
        <v>0.4</v>
      </c>
      <c r="E69" s="172"/>
      <c r="F69" s="172"/>
      <c r="G69" s="172"/>
      <c r="H69" s="172"/>
      <c r="I69" s="45" t="s">
        <v>234</v>
      </c>
      <c r="J69" s="48">
        <f>(IF(B61&gt;2,(H61/(B61+2)+J68),0))</f>
        <v>0</v>
      </c>
      <c r="K69" s="51"/>
      <c r="L69" s="50"/>
    </row>
    <row r="70" spans="1:14" customFormat="1" ht="15.75" customHeight="1" x14ac:dyDescent="0.35">
      <c r="A70" s="80" t="s">
        <v>235</v>
      </c>
      <c r="B70" s="80" t="s">
        <v>235</v>
      </c>
      <c r="C70" s="63">
        <v>0</v>
      </c>
      <c r="D70" s="64">
        <f ca="1">((100/H61)*C70)/100</f>
        <v>0</v>
      </c>
      <c r="E70" s="172"/>
      <c r="F70" s="172"/>
      <c r="G70" s="172"/>
      <c r="H70" s="172"/>
      <c r="I70" s="45" t="s">
        <v>236</v>
      </c>
      <c r="J70" s="52">
        <f>(IF(B61&gt;3,(H61/(B61+2)+J69),0))</f>
        <v>0</v>
      </c>
      <c r="K70" s="51"/>
      <c r="L70" s="50"/>
    </row>
    <row r="71" spans="1:14" customFormat="1" ht="15.75" customHeight="1" x14ac:dyDescent="0.35">
      <c r="A71" s="80" t="s">
        <v>237</v>
      </c>
      <c r="B71" s="80"/>
      <c r="C71" s="63">
        <v>1</v>
      </c>
      <c r="D71" s="64">
        <f ca="1">((100/H61)*C71)/100</f>
        <v>0.2</v>
      </c>
      <c r="E71" s="172"/>
      <c r="F71" s="172"/>
      <c r="G71" s="172"/>
      <c r="H71" s="172"/>
      <c r="I71" s="45" t="s">
        <v>238</v>
      </c>
      <c r="J71" s="48">
        <f>(IF(B61&gt;4,(H61/(B61+2)+J70),0))</f>
        <v>0</v>
      </c>
      <c r="K71" s="49"/>
      <c r="L71" s="50"/>
    </row>
    <row r="72" spans="1:14" customFormat="1" ht="15.75" customHeight="1" x14ac:dyDescent="0.35">
      <c r="A72" s="80" t="s">
        <v>239</v>
      </c>
      <c r="B72" s="80" t="s">
        <v>239</v>
      </c>
      <c r="C72" s="63">
        <v>0</v>
      </c>
      <c r="D72" s="64">
        <f ca="1">((100/(H61))*C72)/100</f>
        <v>0</v>
      </c>
      <c r="E72" s="172"/>
      <c r="F72" s="172"/>
      <c r="G72" s="172"/>
      <c r="H72" s="172"/>
      <c r="I72" s="45" t="s">
        <v>144</v>
      </c>
      <c r="J72" s="48">
        <f ca="1">(IF(B61=1,(H61/(B61+3)+J67),IF(B61=0,(H61/4+J67),IF(B61&gt;1,0))))</f>
        <v>3.75</v>
      </c>
      <c r="K72" s="51"/>
      <c r="L72" s="50"/>
    </row>
    <row r="73" spans="1:14" customFormat="1" ht="16" thickBot="1" x14ac:dyDescent="0.4">
      <c r="A73" s="80" t="s">
        <v>240</v>
      </c>
      <c r="B73" s="80"/>
      <c r="C73" s="63">
        <v>0</v>
      </c>
      <c r="D73" s="64">
        <f ca="1">((100/(H61))*C73)/100</f>
        <v>0</v>
      </c>
      <c r="E73" s="172"/>
      <c r="F73" s="172"/>
      <c r="G73" s="172"/>
      <c r="H73" s="172"/>
      <c r="I73" s="53" t="s">
        <v>145</v>
      </c>
      <c r="J73" s="54">
        <f ca="1">(IF(B61&gt;1.5,(H61/(B61+2)+J67+MAX(0,J68-J67)+MAX(0,J69-J68)+MAX(0,J70-J69)+MAX(0,J71-J70)+MAX(0,J72-J71)),IF(B61=1,(H61/(B61+3)+J72),IF(B61=0,H61/4+J72))))</f>
        <v>5</v>
      </c>
      <c r="K73" s="51"/>
      <c r="L73" s="50"/>
    </row>
    <row r="74" spans="1:14" customFormat="1" x14ac:dyDescent="0.35">
      <c r="A74" s="122" t="s">
        <v>223</v>
      </c>
      <c r="B74" s="122"/>
      <c r="C74" s="122" t="s">
        <v>247</v>
      </c>
      <c r="D74" s="122"/>
      <c r="E74" s="122"/>
      <c r="F74" s="122"/>
      <c r="G74" s="122"/>
      <c r="H74" s="122"/>
      <c r="I74" s="41" t="str">
        <f ca="1">(IF(E78&gt;99%,"All work completed. Please provide OC.",IF(E78&gt;89.8%,"Plinth, RCC, Brick, Plaster, Flooring, Painting work Completed. Finishing work is in process.",IF(E78&lt;94%,(IF(C78=0,"Work not yet Started.",IF(D78=25%,"Piling work in process",IF(D78=50%,"Excavation work in process",IF(D78=100%,"Excavation work Completed. ","0")))&amp;(IF(C79=0%,"",IF(C79=J80,"Footing work is process",IF(C79=J81,"Footing work Completed",IF(C79=J82,"1st Basement Completed",IF(C79=J83,"1st &amp; 2nd Basement Completed",IF(C79=J84,"1st to 3rd Basement Completed",IF(C79=J85,"1st to 4th Basement Completed",IF(C79=J86,"Plinth work is process",IF(C79=J87,"Plinth work completed","0")))))))))))&amp;(IF(C80=(D75+F75+H75),", RCC Slab",IF(C80&gt;0,", RCC upto "&amp;C80&amp;" Slab",""))&amp;(IF(C81=H75,", Brickwork",IF(C81&gt;0,", Brickwork upto "&amp;C81&amp;" Floor",""))&amp;(IF(C82=H75,", Internal Plaster",IF(C82&gt;0,", Internal Plaster upto "&amp;C82&amp;" Floor",""))&amp;(IF(C83=H75,", External Plaster",IF(C83&gt;0,", External Plaster upto "&amp;C83&amp;" Floor",""))&amp;(IF(C84=H75,", Flooring",IF(C84&gt;0,", Flooring upto "&amp;C84&amp;" Floor",""))&amp;(IF(C85=H75,", Painting",IF(C85&gt;0,", Painting upto "&amp;C85&amp;" Floor",""))&amp;(IF(C86&gt;0,", Finishing upto "&amp;C86&amp;" Floor","")&amp;(IF(C80&gt;0.5," Completed",""))))))))))))))</f>
        <v>Work not yet Started.</v>
      </c>
      <c r="J74" s="42"/>
    </row>
    <row r="75" spans="1:14" customFormat="1" x14ac:dyDescent="0.35">
      <c r="A75" s="75" t="s">
        <v>103</v>
      </c>
      <c r="B75" s="75">
        <v>0</v>
      </c>
      <c r="C75" s="75" t="s">
        <v>105</v>
      </c>
      <c r="D75" s="75">
        <v>1</v>
      </c>
      <c r="E75" s="75" t="s">
        <v>104</v>
      </c>
      <c r="F75" s="75">
        <v>0</v>
      </c>
      <c r="G75" s="75" t="s">
        <v>119</v>
      </c>
      <c r="H75" s="75">
        <f ca="1">--TRIM(RIGHT(SUBSTITUTE(LEFT(C74,_xlfn.AGGREGATE(16,6,FIND({0,1,2,3,4,5,6,7,8,9},C74,ROW(INDIRECT("1:"&amp;LEN(C74)))),1))," ",REPT(" ",LEN(C74))),LEN(C74)))</f>
        <v>4</v>
      </c>
      <c r="I75" s="43"/>
      <c r="J75" s="44"/>
    </row>
    <row r="76" spans="1:14" customFormat="1" x14ac:dyDescent="0.35">
      <c r="A76" s="98" t="s">
        <v>130</v>
      </c>
      <c r="B76" s="98"/>
      <c r="C76" s="122" t="str">
        <f ca="1">I74</f>
        <v>Work not yet Started.</v>
      </c>
      <c r="D76" s="122"/>
      <c r="E76" s="122"/>
      <c r="F76" s="122"/>
      <c r="G76" s="122"/>
      <c r="H76" s="122"/>
      <c r="I76" s="43" t="s">
        <v>146</v>
      </c>
      <c r="J76" s="44"/>
    </row>
    <row r="77" spans="1:14" customFormat="1" ht="16.5" customHeight="1" x14ac:dyDescent="0.35">
      <c r="A77" s="80" t="s">
        <v>53</v>
      </c>
      <c r="B77" s="80"/>
      <c r="C77" s="74" t="s">
        <v>224</v>
      </c>
      <c r="D77" s="74" t="s">
        <v>122</v>
      </c>
      <c r="E77" s="80" t="s">
        <v>124</v>
      </c>
      <c r="F77" s="80"/>
      <c r="G77" s="80" t="s">
        <v>123</v>
      </c>
      <c r="H77" s="80"/>
      <c r="I77" s="45" t="s">
        <v>225</v>
      </c>
      <c r="J77" s="46">
        <f ca="1">H75*25%</f>
        <v>1</v>
      </c>
    </row>
    <row r="78" spans="1:14" customFormat="1" x14ac:dyDescent="0.35">
      <c r="A78" s="80" t="s">
        <v>226</v>
      </c>
      <c r="B78" s="80"/>
      <c r="C78" s="63">
        <v>0</v>
      </c>
      <c r="D78" s="64">
        <f ca="1">((100/H75)*C78)/100</f>
        <v>0</v>
      </c>
      <c r="E78" s="172">
        <f ca="1">(((C79/H75*10)+(40/(D75+F75+H75)*C80)+(7.5/(H75)*C81)+(7.5/(H75)*C82)+(10/H75*C83)+(10/H75*C84)+(5/H75*C85)+(5/H75*C86)+(5/H75*C87))/100)</f>
        <v>0</v>
      </c>
      <c r="F78" s="172"/>
      <c r="G78" s="172">
        <f ca="1">((((C78/H75)*20)+((C79/H75)*25)+(30/(H75+F75+D75)*C80)+(5/H75*C81)+(5/H75*C82)+(5/H75*C83)+(5/H75*C84)+(0/H75*C85)+(0/H75*C86)+(5/H75*C87))/100)</f>
        <v>0</v>
      </c>
      <c r="H78" s="172"/>
      <c r="I78" s="45" t="s">
        <v>140</v>
      </c>
      <c r="J78" s="47">
        <f ca="1">H75*50%</f>
        <v>2</v>
      </c>
    </row>
    <row r="79" spans="1:14" customFormat="1" x14ac:dyDescent="0.35">
      <c r="A79" s="80" t="s">
        <v>54</v>
      </c>
      <c r="B79" s="80"/>
      <c r="C79" s="65">
        <v>0</v>
      </c>
      <c r="D79" s="64">
        <f ca="1">((100/H75)*C79)/100</f>
        <v>0</v>
      </c>
      <c r="E79" s="172"/>
      <c r="F79" s="172"/>
      <c r="G79" s="172"/>
      <c r="H79" s="172"/>
      <c r="I79" s="45" t="s">
        <v>141</v>
      </c>
      <c r="J79" s="47">
        <f ca="1">H75</f>
        <v>4</v>
      </c>
    </row>
    <row r="80" spans="1:14" customFormat="1" x14ac:dyDescent="0.35">
      <c r="A80" s="80" t="s">
        <v>227</v>
      </c>
      <c r="B80" s="80"/>
      <c r="C80" s="65">
        <v>0</v>
      </c>
      <c r="D80" s="64">
        <f ca="1">((100/(D75+F75+H75))*C80)/100</f>
        <v>0</v>
      </c>
      <c r="E80" s="172"/>
      <c r="F80" s="172"/>
      <c r="G80" s="172"/>
      <c r="H80" s="172"/>
      <c r="I80" s="45" t="s">
        <v>142</v>
      </c>
      <c r="J80" s="48">
        <f ca="1">(IF(B75&gt;1,(H75/(B75+2)),H75/4))</f>
        <v>1</v>
      </c>
      <c r="L80" s="49"/>
    </row>
    <row r="81" spans="1:14" customFormat="1" ht="15.75" customHeight="1" x14ac:dyDescent="0.35">
      <c r="A81" s="80" t="s">
        <v>228</v>
      </c>
      <c r="B81" s="80" t="s">
        <v>229</v>
      </c>
      <c r="C81" s="63">
        <v>0</v>
      </c>
      <c r="D81" s="64">
        <f ca="1">((100/H75)*C81)/100</f>
        <v>0</v>
      </c>
      <c r="E81" s="172"/>
      <c r="F81" s="172"/>
      <c r="G81" s="172"/>
      <c r="H81" s="172"/>
      <c r="I81" s="45" t="s">
        <v>143</v>
      </c>
      <c r="J81" s="48">
        <f ca="1">(IF(B75&gt;1,(H75/(B75+2)+J80),H75/4+J80))</f>
        <v>2</v>
      </c>
      <c r="L81" s="49"/>
    </row>
    <row r="82" spans="1:14" customFormat="1" ht="15.75" customHeight="1" x14ac:dyDescent="0.35">
      <c r="A82" s="80" t="s">
        <v>230</v>
      </c>
      <c r="B82" s="80" t="s">
        <v>229</v>
      </c>
      <c r="C82" s="63">
        <v>0</v>
      </c>
      <c r="D82" s="64">
        <f ca="1">((100/H75)*C82)/100</f>
        <v>0</v>
      </c>
      <c r="E82" s="172"/>
      <c r="F82" s="172"/>
      <c r="G82" s="172"/>
      <c r="H82" s="172"/>
      <c r="I82" s="45" t="s">
        <v>231</v>
      </c>
      <c r="J82" s="48">
        <f>(IF(B75&gt;1,(H75/(B75+2)+J81),0))</f>
        <v>0</v>
      </c>
      <c r="L82" s="50"/>
      <c r="N82" s="49"/>
    </row>
    <row r="83" spans="1:14" customFormat="1" ht="15.75" customHeight="1" x14ac:dyDescent="0.35">
      <c r="A83" s="80" t="s">
        <v>232</v>
      </c>
      <c r="B83" s="80" t="s">
        <v>233</v>
      </c>
      <c r="C83" s="63">
        <v>0</v>
      </c>
      <c r="D83" s="64">
        <f ca="1">((100/(H75))*C83)/100</f>
        <v>0</v>
      </c>
      <c r="E83" s="172"/>
      <c r="F83" s="172"/>
      <c r="G83" s="172"/>
      <c r="H83" s="172"/>
      <c r="I83" s="45" t="s">
        <v>234</v>
      </c>
      <c r="J83" s="48">
        <f>(IF(B75&gt;2,(H75/(B75+2)+J82),0))</f>
        <v>0</v>
      </c>
      <c r="K83" s="51"/>
      <c r="L83" s="50"/>
    </row>
    <row r="84" spans="1:14" customFormat="1" ht="15.75" customHeight="1" x14ac:dyDescent="0.35">
      <c r="A84" s="80" t="s">
        <v>235</v>
      </c>
      <c r="B84" s="80" t="s">
        <v>235</v>
      </c>
      <c r="C84" s="63">
        <v>0</v>
      </c>
      <c r="D84" s="64">
        <f ca="1">((100/H75)*C84)/100</f>
        <v>0</v>
      </c>
      <c r="E84" s="172"/>
      <c r="F84" s="172"/>
      <c r="G84" s="172"/>
      <c r="H84" s="172"/>
      <c r="I84" s="45" t="s">
        <v>236</v>
      </c>
      <c r="J84" s="52">
        <f>(IF(B75&gt;3,(H75/(B75+2)+J83),0))</f>
        <v>0</v>
      </c>
      <c r="K84" s="51"/>
      <c r="L84" s="50"/>
    </row>
    <row r="85" spans="1:14" customFormat="1" ht="15.75" customHeight="1" x14ac:dyDescent="0.35">
      <c r="A85" s="80" t="s">
        <v>237</v>
      </c>
      <c r="B85" s="80"/>
      <c r="C85" s="63">
        <v>0</v>
      </c>
      <c r="D85" s="64">
        <f ca="1">((100/H75)*C85)/100</f>
        <v>0</v>
      </c>
      <c r="E85" s="172"/>
      <c r="F85" s="172"/>
      <c r="G85" s="172"/>
      <c r="H85" s="172"/>
      <c r="I85" s="45" t="s">
        <v>238</v>
      </c>
      <c r="J85" s="48">
        <f>(IF(B75&gt;4,(H75/(B75+2)+J84),0))</f>
        <v>0</v>
      </c>
      <c r="K85" s="49"/>
      <c r="L85" s="50"/>
    </row>
    <row r="86" spans="1:14" customFormat="1" ht="15.75" customHeight="1" x14ac:dyDescent="0.35">
      <c r="A86" s="80" t="s">
        <v>239</v>
      </c>
      <c r="B86" s="80" t="s">
        <v>239</v>
      </c>
      <c r="C86" s="63">
        <v>0</v>
      </c>
      <c r="D86" s="64">
        <f ca="1">((100/(H75))*C86)/100</f>
        <v>0</v>
      </c>
      <c r="E86" s="172"/>
      <c r="F86" s="172"/>
      <c r="G86" s="172"/>
      <c r="H86" s="172"/>
      <c r="I86" s="45" t="s">
        <v>144</v>
      </c>
      <c r="J86" s="48">
        <f ca="1">(IF(B75=1,(H75/(B75+3)+J81),IF(B75=0,(H75/4+J81),IF(B75&gt;1,0))))</f>
        <v>3</v>
      </c>
      <c r="K86" s="51"/>
      <c r="L86" s="50"/>
    </row>
    <row r="87" spans="1:14" customFormat="1" ht="16" thickBot="1" x14ac:dyDescent="0.4">
      <c r="A87" s="80" t="s">
        <v>240</v>
      </c>
      <c r="B87" s="80"/>
      <c r="C87" s="63">
        <v>0</v>
      </c>
      <c r="D87" s="64">
        <f ca="1">((100/(H75))*C87)/100</f>
        <v>0</v>
      </c>
      <c r="E87" s="172"/>
      <c r="F87" s="172"/>
      <c r="G87" s="172"/>
      <c r="H87" s="172"/>
      <c r="I87" s="53" t="s">
        <v>145</v>
      </c>
      <c r="J87" s="54">
        <f ca="1">(IF(B75&gt;1.5,(H75/(B75+2)+J81+MAX(0,J82-J81)+MAX(0,J83-J82)+MAX(0,J84-J83)+MAX(0,J85-J84)+MAX(0,J86-J85)),IF(B75=1,(H75/(B75+3)+J86),IF(B75=0,H75/4+J86))))</f>
        <v>4</v>
      </c>
      <c r="K87" s="51"/>
      <c r="L87" s="50"/>
    </row>
    <row r="88" spans="1:14" customFormat="1" ht="15.75" customHeight="1" x14ac:dyDescent="0.35">
      <c r="A88" s="167" t="s">
        <v>223</v>
      </c>
      <c r="B88" s="168"/>
      <c r="C88" s="169" t="s">
        <v>241</v>
      </c>
      <c r="D88" s="170"/>
      <c r="E88" s="170"/>
      <c r="F88" s="170"/>
      <c r="G88" s="170"/>
      <c r="H88" s="171"/>
      <c r="I88" s="41" t="str">
        <f ca="1">(IF(E92&gt;99%,"All work completed. Please provide OC.",IF(E92&gt;89.8%,"Plinth, RCC, Brick, Plaster, Flooring, Painting work Completed. Finishing work is in process.",IF(E92&lt;94%,(IF(C92=0,"Work not yet Started.",IF(D92=25%,"Piling work in process",IF(D92=50%,"Excavation work in process",IF(D92=100%,"Excavation work Completed. ","0")))&amp;(IF(C93=0%,"",IF(C93=J94,"Footing work is process",IF(C93=J95,"Footing work Completed",IF(C93=J96,"1st Basement Completed",IF(C93=J97,"1st &amp; 2nd Basement Completed",IF(C93=J98,"1st to 3rd Basement Completed",IF(C93=J99,"1st to 4th Basement Completed",IF(C93=J100,"Plinth work is process",IF(C93=J101,"Plinth work completed","0")))))))))))&amp;(IF(C94=(D89+F89+H89),", RCC Slab",IF(C94&gt;0,", RCC upto "&amp;C94&amp;" Slab",""))&amp;(IF(C95=H89,", Brickwork",IF(C95&gt;0,", Brickwork upto "&amp;C95&amp;" Floor",""))&amp;(IF(C96=H89,", Internal Plaster",IF(C96&gt;0,", Internal Plaster upto "&amp;C96&amp;" Floor",""))&amp;(IF(C97=H89,", External Plaster",IF(C97&gt;0,", External Plaster upto "&amp;C97&amp;" Floor",""))&amp;(IF(C98=H89,", Flooring",IF(C98&gt;0,", Flooring upto "&amp;C98&amp;" Floor",""))&amp;(IF(C99=H89,", Painting",IF(C99&gt;0,", Painting upto "&amp;C99&amp;" Floor",""))&amp;(IF(C100&gt;0,", Finishing upto "&amp;C100&amp;" Floor","")&amp;(IF(C94&gt;0.5," Completed",""))))))))))))))</f>
        <v>Excavation work in process</v>
      </c>
      <c r="J88" s="42"/>
    </row>
    <row r="89" spans="1:14" customFormat="1" x14ac:dyDescent="0.35">
      <c r="A89" s="15" t="s">
        <v>103</v>
      </c>
      <c r="B89" s="58">
        <v>0</v>
      </c>
      <c r="C89" s="58" t="s">
        <v>105</v>
      </c>
      <c r="D89" s="58">
        <v>1</v>
      </c>
      <c r="E89" s="58" t="s">
        <v>104</v>
      </c>
      <c r="F89" s="58">
        <v>0</v>
      </c>
      <c r="G89" s="58" t="s">
        <v>119</v>
      </c>
      <c r="H89" s="29">
        <f ca="1">--TRIM(RIGHT(SUBSTITUTE(LEFT(C88,_xlfn.AGGREGATE(16,6,FIND({0,1,2,3,4,5,6,7,8,9},C88,ROW(INDIRECT("1:"&amp;LEN(C88)))),1))," ",REPT(" ",LEN(C88))),LEN(C88)))</f>
        <v>4</v>
      </c>
      <c r="I89" s="43"/>
      <c r="J89" s="44"/>
    </row>
    <row r="90" spans="1:14" customFormat="1" x14ac:dyDescent="0.35">
      <c r="A90" s="97" t="s">
        <v>130</v>
      </c>
      <c r="B90" s="98"/>
      <c r="C90" s="99" t="str">
        <f ca="1">I88</f>
        <v>Excavation work in process</v>
      </c>
      <c r="D90" s="100"/>
      <c r="E90" s="100"/>
      <c r="F90" s="100"/>
      <c r="G90" s="100"/>
      <c r="H90" s="101"/>
      <c r="I90" s="43" t="s">
        <v>146</v>
      </c>
      <c r="J90" s="44"/>
    </row>
    <row r="91" spans="1:14" customFormat="1" ht="18" customHeight="1" x14ac:dyDescent="0.35">
      <c r="A91" s="79" t="s">
        <v>53</v>
      </c>
      <c r="B91" s="80"/>
      <c r="C91" s="55" t="s">
        <v>224</v>
      </c>
      <c r="D91" s="55" t="s">
        <v>122</v>
      </c>
      <c r="E91" s="102" t="s">
        <v>124</v>
      </c>
      <c r="F91" s="103"/>
      <c r="G91" s="102" t="s">
        <v>123</v>
      </c>
      <c r="H91" s="104"/>
      <c r="I91" s="45" t="s">
        <v>225</v>
      </c>
      <c r="J91" s="46">
        <f ca="1">H89*25%</f>
        <v>1</v>
      </c>
    </row>
    <row r="92" spans="1:14" customFormat="1" x14ac:dyDescent="0.35">
      <c r="A92" s="79" t="s">
        <v>226</v>
      </c>
      <c r="B92" s="80"/>
      <c r="C92" s="63">
        <f ca="1">J92</f>
        <v>2</v>
      </c>
      <c r="D92" s="64">
        <f ca="1">((100/H89)*C92)/100</f>
        <v>0.5</v>
      </c>
      <c r="E92" s="83">
        <v>0.01</v>
      </c>
      <c r="F92" s="84"/>
      <c r="G92" s="83">
        <v>0.02</v>
      </c>
      <c r="H92" s="89"/>
      <c r="I92" s="45" t="s">
        <v>140</v>
      </c>
      <c r="J92" s="47">
        <f ca="1">H89*50%</f>
        <v>2</v>
      </c>
    </row>
    <row r="93" spans="1:14" customFormat="1" x14ac:dyDescent="0.35">
      <c r="A93" s="79" t="s">
        <v>54</v>
      </c>
      <c r="B93" s="80"/>
      <c r="C93" s="65">
        <v>0</v>
      </c>
      <c r="D93" s="64">
        <f ca="1">((100/H89)*C93)/100</f>
        <v>0</v>
      </c>
      <c r="E93" s="85"/>
      <c r="F93" s="86"/>
      <c r="G93" s="85"/>
      <c r="H93" s="90"/>
      <c r="I93" s="45" t="s">
        <v>141</v>
      </c>
      <c r="J93" s="47">
        <f ca="1">H89</f>
        <v>4</v>
      </c>
    </row>
    <row r="94" spans="1:14" customFormat="1" x14ac:dyDescent="0.35">
      <c r="A94" s="79" t="s">
        <v>227</v>
      </c>
      <c r="B94" s="80"/>
      <c r="C94" s="65">
        <v>0</v>
      </c>
      <c r="D94" s="64">
        <f ca="1">((100/(D89+F89+H89))*C94)/100</f>
        <v>0</v>
      </c>
      <c r="E94" s="85"/>
      <c r="F94" s="86"/>
      <c r="G94" s="85"/>
      <c r="H94" s="90"/>
      <c r="I94" s="45" t="s">
        <v>142</v>
      </c>
      <c r="J94" s="48">
        <f ca="1">(IF(B89&gt;1,(H89/(B89+2)),H89/4))</f>
        <v>1</v>
      </c>
      <c r="L94" s="49"/>
    </row>
    <row r="95" spans="1:14" customFormat="1" ht="15.75" customHeight="1" x14ac:dyDescent="0.35">
      <c r="A95" s="79" t="s">
        <v>228</v>
      </c>
      <c r="B95" s="80" t="s">
        <v>229</v>
      </c>
      <c r="C95" s="63">
        <v>0</v>
      </c>
      <c r="D95" s="64">
        <f ca="1">((100/H89)*C95)/100</f>
        <v>0</v>
      </c>
      <c r="E95" s="85"/>
      <c r="F95" s="86"/>
      <c r="G95" s="85"/>
      <c r="H95" s="90"/>
      <c r="I95" s="45" t="s">
        <v>143</v>
      </c>
      <c r="J95" s="48">
        <f ca="1">(IF(B89&gt;1,(H89/(B89+2)+J94),H89/4+J94))</f>
        <v>2</v>
      </c>
      <c r="L95" s="49"/>
    </row>
    <row r="96" spans="1:14" customFormat="1" ht="15.75" customHeight="1" x14ac:dyDescent="0.35">
      <c r="A96" s="79" t="s">
        <v>230</v>
      </c>
      <c r="B96" s="80" t="s">
        <v>229</v>
      </c>
      <c r="C96" s="63">
        <v>0</v>
      </c>
      <c r="D96" s="64">
        <f ca="1">((100/H89)*C96)/100</f>
        <v>0</v>
      </c>
      <c r="E96" s="85"/>
      <c r="F96" s="86"/>
      <c r="G96" s="85"/>
      <c r="H96" s="90"/>
      <c r="I96" s="45" t="s">
        <v>231</v>
      </c>
      <c r="J96" s="48">
        <f>(IF(B89&gt;1,(H89/(B89+2)+J95),0))</f>
        <v>0</v>
      </c>
      <c r="L96" s="50"/>
      <c r="N96" s="49"/>
    </row>
    <row r="97" spans="1:12" customFormat="1" ht="15.75" customHeight="1" x14ac:dyDescent="0.35">
      <c r="A97" s="79" t="s">
        <v>232</v>
      </c>
      <c r="B97" s="80" t="s">
        <v>233</v>
      </c>
      <c r="C97" s="63">
        <v>0</v>
      </c>
      <c r="D97" s="64">
        <f ca="1">((100/(H89))*C97)/100</f>
        <v>0</v>
      </c>
      <c r="E97" s="85"/>
      <c r="F97" s="86"/>
      <c r="G97" s="85"/>
      <c r="H97" s="90"/>
      <c r="I97" s="45" t="s">
        <v>234</v>
      </c>
      <c r="J97" s="48">
        <f>(IF(B89&gt;2,(H89/(B89+2)+J96),0))</f>
        <v>0</v>
      </c>
      <c r="K97" s="51"/>
      <c r="L97" s="50"/>
    </row>
    <row r="98" spans="1:12" customFormat="1" ht="15.75" customHeight="1" x14ac:dyDescent="0.35">
      <c r="A98" s="79" t="s">
        <v>235</v>
      </c>
      <c r="B98" s="80" t="s">
        <v>235</v>
      </c>
      <c r="C98" s="63">
        <v>0</v>
      </c>
      <c r="D98" s="64">
        <f ca="1">((100/H89)*C98)/100</f>
        <v>0</v>
      </c>
      <c r="E98" s="85"/>
      <c r="F98" s="86"/>
      <c r="G98" s="85"/>
      <c r="H98" s="90"/>
      <c r="I98" s="45" t="s">
        <v>236</v>
      </c>
      <c r="J98" s="52">
        <f>(IF(B89&gt;3,(H89/(B89+2)+J97),0))</f>
        <v>0</v>
      </c>
      <c r="K98" s="51"/>
      <c r="L98" s="50"/>
    </row>
    <row r="99" spans="1:12" customFormat="1" ht="15.75" customHeight="1" x14ac:dyDescent="0.35">
      <c r="A99" s="79" t="s">
        <v>237</v>
      </c>
      <c r="B99" s="80"/>
      <c r="C99" s="63">
        <v>0</v>
      </c>
      <c r="D99" s="64">
        <f ca="1">((100/H89)*C99)/100</f>
        <v>0</v>
      </c>
      <c r="E99" s="85"/>
      <c r="F99" s="86"/>
      <c r="G99" s="85"/>
      <c r="H99" s="90"/>
      <c r="I99" s="45" t="s">
        <v>238</v>
      </c>
      <c r="J99" s="48">
        <f>(IF(B89&gt;4,(H89/(B89+2)+J98),0))</f>
        <v>0</v>
      </c>
      <c r="K99" s="49"/>
      <c r="L99" s="50"/>
    </row>
    <row r="100" spans="1:12" customFormat="1" ht="15.75" customHeight="1" x14ac:dyDescent="0.35">
      <c r="A100" s="79" t="s">
        <v>239</v>
      </c>
      <c r="B100" s="80" t="s">
        <v>239</v>
      </c>
      <c r="C100" s="63">
        <v>0</v>
      </c>
      <c r="D100" s="64">
        <f ca="1">((100/(H89))*C100)/100</f>
        <v>0</v>
      </c>
      <c r="E100" s="85"/>
      <c r="F100" s="86"/>
      <c r="G100" s="85"/>
      <c r="H100" s="90"/>
      <c r="I100" s="45" t="s">
        <v>144</v>
      </c>
      <c r="J100" s="48">
        <f ca="1">(IF(B89=1,(H89/(B89+3)+J95),IF(B89=0,(H89/4+J95),IF(B89&gt;1,0))))</f>
        <v>3</v>
      </c>
      <c r="K100" s="51"/>
      <c r="L100" s="50"/>
    </row>
    <row r="101" spans="1:12" customFormat="1" ht="16" thickBot="1" x14ac:dyDescent="0.4">
      <c r="A101" s="81" t="s">
        <v>240</v>
      </c>
      <c r="B101" s="82"/>
      <c r="C101" s="66">
        <v>0</v>
      </c>
      <c r="D101" s="67">
        <f ca="1">((100/(H89))*C101)/100</f>
        <v>0</v>
      </c>
      <c r="E101" s="87"/>
      <c r="F101" s="88"/>
      <c r="G101" s="87"/>
      <c r="H101" s="91"/>
      <c r="I101" s="53" t="s">
        <v>145</v>
      </c>
      <c r="J101" s="54">
        <f ca="1">(IF(B89&gt;1.5,(H89/(B89+2)+J95+MAX(0,J96-J95)+MAX(0,J97-J96)+MAX(0,J98-J97)+MAX(0,J99-J98)+MAX(0,J100-J99)),IF(B89=1,(H89/(B89+3)+J100),IF(B89=0,H89/4+J100))))</f>
        <v>4</v>
      </c>
      <c r="K101" s="51"/>
      <c r="L101" s="50"/>
    </row>
    <row r="102" spans="1:12" x14ac:dyDescent="0.35">
      <c r="A102" s="130" t="s">
        <v>162</v>
      </c>
      <c r="B102" s="131"/>
      <c r="C102" s="131"/>
      <c r="D102" s="131"/>
      <c r="E102" s="132"/>
      <c r="F102" s="130" t="str">
        <f ca="1">(IF(D59="100%","Yes",IF(D59&gt;0%,"Under Construction",IF(D59=0%,"Work not yet Started"))))</f>
        <v>Under Construction</v>
      </c>
      <c r="G102" s="131"/>
      <c r="H102" s="132"/>
      <c r="I102" s="11"/>
      <c r="J102" s="11"/>
      <c r="K102" s="11"/>
    </row>
    <row r="103" spans="1:12" x14ac:dyDescent="0.35">
      <c r="A103" s="105" t="s">
        <v>55</v>
      </c>
      <c r="B103" s="105"/>
      <c r="C103" s="105"/>
      <c r="D103" s="105"/>
      <c r="E103" s="105"/>
      <c r="F103" s="105"/>
      <c r="G103" s="105"/>
      <c r="H103" s="105"/>
      <c r="I103" s="11"/>
      <c r="J103" s="11"/>
      <c r="K103" s="11"/>
    </row>
    <row r="104" spans="1:12" ht="19.5" customHeight="1" x14ac:dyDescent="0.35">
      <c r="A104" s="98" t="s">
        <v>108</v>
      </c>
      <c r="B104" s="98"/>
      <c r="C104" s="122" t="s">
        <v>109</v>
      </c>
      <c r="D104" s="122"/>
      <c r="E104" s="122"/>
      <c r="F104" s="122"/>
      <c r="G104" s="122"/>
      <c r="H104" s="122"/>
      <c r="I104" s="11"/>
      <c r="J104" s="11"/>
      <c r="K104" s="11"/>
    </row>
    <row r="105" spans="1:12" x14ac:dyDescent="0.35">
      <c r="A105" s="98" t="s">
        <v>56</v>
      </c>
      <c r="B105" s="98"/>
      <c r="C105" s="98"/>
      <c r="D105" s="98"/>
      <c r="E105" s="98"/>
      <c r="F105" s="98"/>
      <c r="G105" s="98"/>
      <c r="H105" s="98"/>
      <c r="I105" s="11"/>
      <c r="J105" s="11"/>
      <c r="K105" s="11"/>
    </row>
    <row r="106" spans="1:12" x14ac:dyDescent="0.35">
      <c r="A106" s="105" t="s">
        <v>110</v>
      </c>
      <c r="B106" s="105"/>
      <c r="C106" s="105"/>
      <c r="D106" s="105"/>
      <c r="E106" s="105"/>
      <c r="F106" s="105">
        <v>3800</v>
      </c>
      <c r="G106" s="105"/>
      <c r="H106" s="105"/>
      <c r="I106" s="59" t="s">
        <v>248</v>
      </c>
      <c r="J106" s="59" t="s">
        <v>249</v>
      </c>
      <c r="K106" s="60">
        <v>44881</v>
      </c>
      <c r="L106" s="61" t="s">
        <v>250</v>
      </c>
    </row>
    <row r="107" spans="1:12" x14ac:dyDescent="0.35">
      <c r="A107" s="105" t="s">
        <v>117</v>
      </c>
      <c r="B107" s="105"/>
      <c r="C107" s="105"/>
      <c r="D107" s="105"/>
      <c r="E107" s="105"/>
      <c r="F107" s="105" t="s">
        <v>208</v>
      </c>
      <c r="G107" s="105"/>
      <c r="H107" s="105"/>
      <c r="I107" s="11"/>
      <c r="J107" s="11"/>
      <c r="K107" s="11"/>
    </row>
    <row r="108" spans="1:12" hidden="1" x14ac:dyDescent="0.35">
      <c r="A108" s="106" t="s">
        <v>118</v>
      </c>
      <c r="B108" s="107"/>
      <c r="C108" s="107"/>
      <c r="D108" s="107"/>
      <c r="E108" s="108"/>
      <c r="F108" s="106"/>
      <c r="G108" s="107"/>
      <c r="H108" s="108"/>
      <c r="I108" s="11"/>
      <c r="J108" s="11"/>
      <c r="K108" s="11"/>
    </row>
    <row r="109" spans="1:12" s="13" customFormat="1" hidden="1" x14ac:dyDescent="0.3">
      <c r="A109" s="106" t="s">
        <v>135</v>
      </c>
      <c r="B109" s="107"/>
      <c r="C109" s="107"/>
      <c r="D109" s="107"/>
      <c r="E109" s="108"/>
      <c r="F109" s="106" t="s">
        <v>29</v>
      </c>
      <c r="G109" s="107"/>
      <c r="H109" s="108"/>
      <c r="I109" s="31"/>
      <c r="J109" s="31"/>
      <c r="K109" s="31"/>
    </row>
    <row r="110" spans="1:12" s="13" customFormat="1" hidden="1" x14ac:dyDescent="0.3">
      <c r="A110" s="105" t="s">
        <v>136</v>
      </c>
      <c r="B110" s="105"/>
      <c r="C110" s="105"/>
      <c r="D110" s="105"/>
      <c r="E110" s="105"/>
      <c r="F110" s="105" t="s">
        <v>29</v>
      </c>
      <c r="G110" s="105"/>
      <c r="H110" s="105"/>
      <c r="I110" s="31"/>
      <c r="J110" s="31"/>
      <c r="K110" s="31"/>
    </row>
    <row r="111" spans="1:12" s="13" customFormat="1" x14ac:dyDescent="0.3">
      <c r="A111" s="105" t="s">
        <v>206</v>
      </c>
      <c r="B111" s="105"/>
      <c r="C111" s="105"/>
      <c r="D111" s="105"/>
      <c r="E111" s="105"/>
      <c r="F111" s="105" t="s">
        <v>207</v>
      </c>
      <c r="G111" s="105"/>
      <c r="H111" s="105"/>
      <c r="I111" s="31"/>
      <c r="J111" s="31"/>
      <c r="K111" s="31"/>
    </row>
    <row r="112" spans="1:12" s="13" customFormat="1" hidden="1" x14ac:dyDescent="0.3">
      <c r="A112" s="105" t="s">
        <v>137</v>
      </c>
      <c r="B112" s="105"/>
      <c r="C112" s="105"/>
      <c r="D112" s="105"/>
      <c r="E112" s="105"/>
      <c r="F112" s="105" t="s">
        <v>29</v>
      </c>
      <c r="G112" s="105"/>
      <c r="H112" s="105"/>
      <c r="I112" s="31"/>
      <c r="J112" s="31"/>
      <c r="K112" s="31"/>
    </row>
    <row r="113" spans="1:11" s="13" customFormat="1" hidden="1" x14ac:dyDescent="0.3">
      <c r="A113" s="105" t="s">
        <v>138</v>
      </c>
      <c r="B113" s="105"/>
      <c r="C113" s="105"/>
      <c r="D113" s="105"/>
      <c r="E113" s="105"/>
      <c r="F113" s="105" t="s">
        <v>29</v>
      </c>
      <c r="G113" s="105"/>
      <c r="H113" s="105"/>
      <c r="I113" s="31"/>
      <c r="J113" s="31"/>
      <c r="K113" s="31"/>
    </row>
    <row r="114" spans="1:11" s="13" customFormat="1" x14ac:dyDescent="0.3">
      <c r="A114" s="105" t="s">
        <v>204</v>
      </c>
      <c r="B114" s="105"/>
      <c r="C114" s="105"/>
      <c r="D114" s="105"/>
      <c r="E114" s="105"/>
      <c r="F114" s="105" t="s">
        <v>205</v>
      </c>
      <c r="G114" s="105"/>
      <c r="H114" s="105"/>
      <c r="I114" s="31"/>
      <c r="J114" s="31"/>
      <c r="K114" s="31"/>
    </row>
    <row r="115" spans="1:11" s="13" customFormat="1" x14ac:dyDescent="0.3">
      <c r="A115" s="105" t="s">
        <v>244</v>
      </c>
      <c r="B115" s="105"/>
      <c r="C115" s="105"/>
      <c r="D115" s="105"/>
      <c r="E115" s="105"/>
      <c r="F115" s="105" t="s">
        <v>245</v>
      </c>
      <c r="G115" s="105"/>
      <c r="H115" s="105"/>
      <c r="I115" s="31"/>
      <c r="J115" s="31"/>
      <c r="K115" s="31"/>
    </row>
    <row r="116" spans="1:11" s="13" customFormat="1" hidden="1" x14ac:dyDescent="0.3">
      <c r="A116" s="105" t="s">
        <v>139</v>
      </c>
      <c r="B116" s="105"/>
      <c r="C116" s="105"/>
      <c r="D116" s="105"/>
      <c r="E116" s="105"/>
      <c r="F116" s="105" t="s">
        <v>29</v>
      </c>
      <c r="G116" s="105"/>
      <c r="H116" s="105"/>
      <c r="I116" s="31"/>
      <c r="J116" s="31"/>
      <c r="K116" s="31"/>
    </row>
    <row r="117" spans="1:11" x14ac:dyDescent="0.35">
      <c r="A117" s="105" t="s">
        <v>57</v>
      </c>
      <c r="B117" s="105"/>
      <c r="C117" s="105"/>
      <c r="D117" s="105"/>
      <c r="E117" s="105"/>
      <c r="F117" s="126" t="s">
        <v>203</v>
      </c>
      <c r="G117" s="126"/>
      <c r="H117" s="126"/>
      <c r="I117" s="11"/>
      <c r="J117" s="11"/>
      <c r="K117" s="11"/>
    </row>
    <row r="118" spans="1:11" s="9" customFormat="1" x14ac:dyDescent="0.35">
      <c r="A118" s="98" t="s">
        <v>58</v>
      </c>
      <c r="B118" s="98"/>
      <c r="C118" s="98"/>
      <c r="D118" s="98"/>
      <c r="E118" s="98"/>
      <c r="F118" s="105">
        <f>F106*0.8</f>
        <v>3040</v>
      </c>
      <c r="G118" s="105"/>
      <c r="H118" s="105"/>
      <c r="I118" s="32"/>
      <c r="J118" s="32"/>
      <c r="K118" s="32"/>
    </row>
    <row r="119" spans="1:11" s="1" customFormat="1" ht="15.75" customHeight="1" x14ac:dyDescent="0.35">
      <c r="A119" s="140" t="s">
        <v>111</v>
      </c>
      <c r="B119" s="140"/>
      <c r="C119" s="140"/>
      <c r="D119" s="140"/>
      <c r="E119" s="140"/>
      <c r="F119" s="140"/>
      <c r="G119" s="140"/>
      <c r="H119" s="140"/>
      <c r="I119" s="33"/>
      <c r="J119" s="33"/>
      <c r="K119" s="33"/>
    </row>
    <row r="120" spans="1:11" s="1" customFormat="1" ht="15.75" customHeight="1" x14ac:dyDescent="0.35">
      <c r="A120" s="141" t="s">
        <v>59</v>
      </c>
      <c r="B120" s="141"/>
      <c r="C120" s="142" t="s">
        <v>114</v>
      </c>
      <c r="D120" s="142"/>
      <c r="E120" s="143" t="s">
        <v>60</v>
      </c>
      <c r="F120" s="143"/>
      <c r="G120" s="141" t="s">
        <v>61</v>
      </c>
      <c r="H120" s="141"/>
      <c r="I120" s="33"/>
      <c r="J120" s="33"/>
      <c r="K120" s="33"/>
    </row>
    <row r="121" spans="1:11" s="1" customFormat="1" ht="15.75" customHeight="1" x14ac:dyDescent="0.35">
      <c r="A121" s="109" t="s">
        <v>178</v>
      </c>
      <c r="B121" s="109"/>
      <c r="C121" s="110">
        <f>COUNT(D139:D150)</f>
        <v>12</v>
      </c>
      <c r="D121" s="110"/>
      <c r="E121" s="111">
        <f>SUM(D139:D150)</f>
        <v>1194.3734399999998</v>
      </c>
      <c r="F121" s="112"/>
      <c r="G121" s="111">
        <f>SUM(F139:F150)</f>
        <v>2388</v>
      </c>
      <c r="H121" s="112"/>
      <c r="I121" s="33"/>
      <c r="J121" s="33"/>
      <c r="K121" s="33"/>
    </row>
    <row r="122" spans="1:11" s="1" customFormat="1" ht="15.75" customHeight="1" x14ac:dyDescent="0.35">
      <c r="A122" s="109" t="s">
        <v>178</v>
      </c>
      <c r="B122" s="109"/>
      <c r="C122" s="110">
        <f>COUNT(D165:D168)</f>
        <v>4</v>
      </c>
      <c r="D122" s="110"/>
      <c r="E122" s="111">
        <f>SUM(D165:D168)</f>
        <v>332.86055399999998</v>
      </c>
      <c r="F122" s="112"/>
      <c r="G122" s="111">
        <f>SUM(F165:F168)</f>
        <v>678</v>
      </c>
      <c r="H122" s="112"/>
      <c r="I122" s="33"/>
      <c r="J122" s="33"/>
      <c r="K122" s="33"/>
    </row>
    <row r="123" spans="1:11" s="1" customFormat="1" ht="15.75" customHeight="1" x14ac:dyDescent="0.35">
      <c r="A123" s="109" t="s">
        <v>178</v>
      </c>
      <c r="B123" s="109"/>
      <c r="C123" s="110">
        <f>COUNT(D176:D181)</f>
        <v>6</v>
      </c>
      <c r="D123" s="110"/>
      <c r="E123" s="111">
        <f>SUM(D176:D181)</f>
        <v>718.97061600000006</v>
      </c>
      <c r="F123" s="112"/>
      <c r="G123" s="111">
        <f>SUM(F176:F181)</f>
        <v>1438</v>
      </c>
      <c r="H123" s="112"/>
      <c r="I123" s="33"/>
      <c r="J123" s="33"/>
      <c r="K123" s="33"/>
    </row>
    <row r="124" spans="1:11" s="1" customFormat="1" x14ac:dyDescent="0.35">
      <c r="A124" s="141" t="s">
        <v>63</v>
      </c>
      <c r="B124" s="141"/>
      <c r="C124" s="142">
        <f>SUM(C121:D123)</f>
        <v>22</v>
      </c>
      <c r="D124" s="142"/>
      <c r="E124" s="141">
        <f>SUM(E121:F123)</f>
        <v>2246.2046099999998</v>
      </c>
      <c r="F124" s="143"/>
      <c r="G124" s="141">
        <f>SUM(G121:H123)</f>
        <v>4504</v>
      </c>
      <c r="H124" s="141"/>
      <c r="I124" s="33"/>
      <c r="J124" s="73">
        <f>SUM(E124,E132)</f>
        <v>23070.561929999996</v>
      </c>
      <c r="K124" s="33"/>
    </row>
    <row r="125" spans="1:11" s="1" customFormat="1" x14ac:dyDescent="0.35">
      <c r="A125" s="140" t="s">
        <v>102</v>
      </c>
      <c r="B125" s="140"/>
      <c r="C125" s="140"/>
      <c r="D125" s="140"/>
      <c r="E125" s="140"/>
      <c r="F125" s="140"/>
      <c r="G125" s="140"/>
      <c r="H125" s="140"/>
      <c r="I125" s="33"/>
      <c r="J125" s="33"/>
      <c r="K125" s="33"/>
    </row>
    <row r="126" spans="1:11" s="1" customFormat="1" ht="15.75" customHeight="1" x14ac:dyDescent="0.35">
      <c r="A126" s="141" t="s">
        <v>257</v>
      </c>
      <c r="B126" s="141"/>
      <c r="C126" s="142" t="s">
        <v>114</v>
      </c>
      <c r="D126" s="142"/>
      <c r="E126" s="143" t="s">
        <v>60</v>
      </c>
      <c r="F126" s="143"/>
      <c r="G126" s="141" t="s">
        <v>61</v>
      </c>
      <c r="H126" s="141"/>
      <c r="I126" s="33"/>
      <c r="J126" s="33"/>
      <c r="K126" s="33"/>
    </row>
    <row r="127" spans="1:11" s="1" customFormat="1" ht="15.75" customHeight="1" x14ac:dyDescent="0.35">
      <c r="A127" s="109" t="s">
        <v>191</v>
      </c>
      <c r="B127" s="109"/>
      <c r="C127" s="110">
        <f>COUNT(D153:D156)*4</f>
        <v>16</v>
      </c>
      <c r="D127" s="110"/>
      <c r="E127" s="111">
        <f>SUM(D153:D156)*4</f>
        <v>5633.1456479999997</v>
      </c>
      <c r="F127" s="112"/>
      <c r="G127" s="111">
        <f>SUM(F153:F156)*4</f>
        <v>8872</v>
      </c>
      <c r="H127" s="112"/>
      <c r="I127" s="33"/>
      <c r="J127" s="33"/>
      <c r="K127" s="33"/>
    </row>
    <row r="128" spans="1:11" s="1" customFormat="1" ht="15.75" customHeight="1" x14ac:dyDescent="0.35">
      <c r="A128" s="109" t="s">
        <v>192</v>
      </c>
      <c r="B128" s="109"/>
      <c r="C128" s="110">
        <f>COUNT(D159:D162)*4</f>
        <v>16</v>
      </c>
      <c r="D128" s="110"/>
      <c r="E128" s="111">
        <f>SUM(D159:D162)*4</f>
        <v>5114.7514079999992</v>
      </c>
      <c r="F128" s="112"/>
      <c r="G128" s="111">
        <f>SUM(F159:F162)*4</f>
        <v>7824</v>
      </c>
      <c r="H128" s="112"/>
      <c r="I128" s="33"/>
      <c r="J128" s="33"/>
      <c r="K128" s="33"/>
    </row>
    <row r="129" spans="1:21" s="1" customFormat="1" ht="15.75" customHeight="1" x14ac:dyDescent="0.35">
      <c r="A129" s="109" t="s">
        <v>193</v>
      </c>
      <c r="B129" s="109"/>
      <c r="C129" s="110">
        <f>COUNT(D170:D172)*4</f>
        <v>12</v>
      </c>
      <c r="D129" s="110"/>
      <c r="E129" s="111">
        <f>SUM(D170:D172)*4</f>
        <v>2510.1647999999996</v>
      </c>
      <c r="F129" s="112"/>
      <c r="G129" s="111">
        <f>SUM(F170:F172)*4</f>
        <v>3600</v>
      </c>
      <c r="H129" s="112"/>
      <c r="I129" s="33"/>
      <c r="J129" s="33"/>
      <c r="K129" s="33"/>
    </row>
    <row r="130" spans="1:21" s="1" customFormat="1" x14ac:dyDescent="0.35">
      <c r="A130" s="111" t="s">
        <v>194</v>
      </c>
      <c r="B130" s="111"/>
      <c r="C130" s="110">
        <f>COUNT(D184:D187)*3+COUNT(D189:D192)</f>
        <v>16</v>
      </c>
      <c r="D130" s="110"/>
      <c r="E130" s="111">
        <f>SUM(D184:D187)*3+SUM(D189:D192)</f>
        <v>3660.5350079999994</v>
      </c>
      <c r="F130" s="112"/>
      <c r="G130" s="111">
        <f>SUM(F184:F187)*3+SUM(F189:F192)</f>
        <v>5376</v>
      </c>
      <c r="H130" s="112"/>
      <c r="I130" s="33"/>
      <c r="J130" s="33"/>
      <c r="K130" s="33"/>
    </row>
    <row r="131" spans="1:21" s="1" customFormat="1" x14ac:dyDescent="0.35">
      <c r="A131" s="111" t="s">
        <v>195</v>
      </c>
      <c r="B131" s="111"/>
      <c r="C131" s="110">
        <f>COUNT(D195:D198)*3+COUNT(D200:D201)+COUNT(D203)</f>
        <v>15</v>
      </c>
      <c r="D131" s="110"/>
      <c r="E131" s="111">
        <f>SUM(D195:D198)*3+SUM(D200:D201)+SUM(D203)</f>
        <v>3905.760456</v>
      </c>
      <c r="F131" s="112"/>
      <c r="G131" s="111">
        <f>SUM(F195:F198)*3+SUM(F200:F201)+SUM(F203)</f>
        <v>5747</v>
      </c>
      <c r="H131" s="112"/>
      <c r="I131" s="33"/>
      <c r="J131" s="33"/>
      <c r="K131" s="33"/>
    </row>
    <row r="132" spans="1:21" s="1" customFormat="1" x14ac:dyDescent="0.35">
      <c r="A132" s="141" t="s">
        <v>63</v>
      </c>
      <c r="B132" s="141"/>
      <c r="C132" s="142">
        <f>SUM(C127:D131)</f>
        <v>75</v>
      </c>
      <c r="D132" s="142"/>
      <c r="E132" s="141">
        <f>SUM(E127:F131)</f>
        <v>20824.357319999996</v>
      </c>
      <c r="F132" s="143"/>
      <c r="G132" s="141">
        <f>SUM(G127:H131)</f>
        <v>31419</v>
      </c>
      <c r="H132" s="141"/>
      <c r="I132" s="33"/>
      <c r="J132" s="33"/>
      <c r="K132" s="33"/>
    </row>
    <row r="133" spans="1:21" s="9" customFormat="1" x14ac:dyDescent="0.35">
      <c r="A133" s="145" t="s">
        <v>64</v>
      </c>
      <c r="B133" s="145"/>
      <c r="C133" s="145"/>
      <c r="D133" s="145"/>
      <c r="E133" s="145"/>
      <c r="F133" s="145"/>
      <c r="G133" s="145"/>
      <c r="H133" s="145"/>
      <c r="I133" s="32"/>
      <c r="J133" s="32"/>
      <c r="K133" s="32"/>
    </row>
    <row r="134" spans="1:21" x14ac:dyDescent="0.35">
      <c r="A134" s="145" t="s">
        <v>65</v>
      </c>
      <c r="B134" s="145"/>
      <c r="C134" s="145"/>
      <c r="D134" s="145"/>
      <c r="E134" s="145"/>
      <c r="F134" s="145"/>
      <c r="G134" s="145"/>
      <c r="H134" s="145"/>
      <c r="I134" s="11"/>
      <c r="J134" s="11"/>
      <c r="K134" s="11"/>
    </row>
    <row r="135" spans="1:21" ht="47.25" customHeight="1" x14ac:dyDescent="0.35">
      <c r="A135" s="35" t="s">
        <v>216</v>
      </c>
      <c r="B135" s="35" t="s">
        <v>164</v>
      </c>
      <c r="C135" s="35" t="s">
        <v>66</v>
      </c>
      <c r="D135" s="35" t="s">
        <v>67</v>
      </c>
      <c r="E135" s="34" t="s">
        <v>68</v>
      </c>
      <c r="F135" s="35" t="s">
        <v>202</v>
      </c>
      <c r="G135" s="159" t="s">
        <v>69</v>
      </c>
      <c r="H135" s="160"/>
      <c r="I135" s="11"/>
      <c r="J135" s="11"/>
      <c r="K135" s="11"/>
    </row>
    <row r="136" spans="1:21" s="2" customFormat="1" x14ac:dyDescent="0.35">
      <c r="A136" s="123" t="s">
        <v>177</v>
      </c>
      <c r="B136" s="124"/>
      <c r="C136" s="124"/>
      <c r="D136" s="124"/>
      <c r="E136" s="124"/>
      <c r="F136" s="124"/>
      <c r="G136" s="124"/>
      <c r="H136" s="125"/>
      <c r="I136" s="36"/>
      <c r="J136" s="36"/>
      <c r="K136" s="36"/>
    </row>
    <row r="137" spans="1:21" s="2" customFormat="1" x14ac:dyDescent="0.35">
      <c r="A137" s="123" t="s">
        <v>179</v>
      </c>
      <c r="B137" s="124"/>
      <c r="C137" s="124"/>
      <c r="D137" s="124"/>
      <c r="E137" s="124"/>
      <c r="F137" s="124"/>
      <c r="G137" s="124"/>
      <c r="H137" s="125"/>
      <c r="I137" s="36"/>
      <c r="J137" s="36"/>
      <c r="K137" s="36"/>
    </row>
    <row r="138" spans="1:21" s="2" customFormat="1" x14ac:dyDescent="0.35">
      <c r="A138" s="123" t="s">
        <v>221</v>
      </c>
      <c r="B138" s="124"/>
      <c r="C138" s="124"/>
      <c r="D138" s="124"/>
      <c r="E138" s="124"/>
      <c r="F138" s="124"/>
      <c r="G138" s="124"/>
      <c r="H138" s="125"/>
      <c r="I138" s="36"/>
      <c r="J138" s="36"/>
      <c r="K138" s="36"/>
    </row>
    <row r="139" spans="1:21" s="2" customFormat="1" ht="15.65" customHeight="1" x14ac:dyDescent="0.35">
      <c r="A139" s="114">
        <v>1</v>
      </c>
      <c r="B139" s="115"/>
      <c r="C139" s="38" t="s">
        <v>178</v>
      </c>
      <c r="D139" s="38">
        <f>2.75*3.65*10.764</f>
        <v>108.04364999999999</v>
      </c>
      <c r="E139" s="38">
        <v>0</v>
      </c>
      <c r="F139" s="38">
        <v>216</v>
      </c>
      <c r="G139" s="116" t="str">
        <f>A138</f>
        <v>Ground Floor for Commercial &amp; Parking</v>
      </c>
      <c r="H139" s="117"/>
      <c r="I139" s="37"/>
      <c r="J139" s="36"/>
      <c r="K139" s="36"/>
      <c r="S139" s="113"/>
      <c r="T139" s="113"/>
      <c r="U139" s="28"/>
    </row>
    <row r="140" spans="1:21" s="2" customFormat="1" x14ac:dyDescent="0.35">
      <c r="A140" s="114">
        <f>A139+1</f>
        <v>2</v>
      </c>
      <c r="B140" s="115"/>
      <c r="C140" s="38" t="s">
        <v>178</v>
      </c>
      <c r="D140" s="38">
        <f>2.1*3.65*10.764</f>
        <v>82.506059999999991</v>
      </c>
      <c r="E140" s="38">
        <v>0</v>
      </c>
      <c r="F140" s="38">
        <v>165</v>
      </c>
      <c r="G140" s="118"/>
      <c r="H140" s="119"/>
      <c r="I140" s="37"/>
      <c r="J140" s="36"/>
      <c r="K140" s="36"/>
      <c r="S140" s="113"/>
      <c r="T140" s="113"/>
      <c r="U140" s="28"/>
    </row>
    <row r="141" spans="1:21" s="2" customFormat="1" x14ac:dyDescent="0.35">
      <c r="A141" s="114">
        <f t="shared" ref="A141:A143" si="0">A140+1</f>
        <v>3</v>
      </c>
      <c r="B141" s="115"/>
      <c r="C141" s="38" t="s">
        <v>178</v>
      </c>
      <c r="D141" s="38">
        <f>2.75*3.65*10.764</f>
        <v>108.04364999999999</v>
      </c>
      <c r="E141" s="38">
        <v>0</v>
      </c>
      <c r="F141" s="38">
        <v>216</v>
      </c>
      <c r="G141" s="118"/>
      <c r="H141" s="119"/>
      <c r="I141" s="37"/>
      <c r="J141" s="36"/>
      <c r="K141" s="36"/>
      <c r="S141" s="113"/>
      <c r="T141" s="113"/>
      <c r="U141" s="28"/>
    </row>
    <row r="142" spans="1:21" s="2" customFormat="1" x14ac:dyDescent="0.35">
      <c r="A142" s="114">
        <f t="shared" si="0"/>
        <v>4</v>
      </c>
      <c r="B142" s="115"/>
      <c r="C142" s="38" t="s">
        <v>178</v>
      </c>
      <c r="D142" s="38">
        <f>2.75*3.65*10.764</f>
        <v>108.04364999999999</v>
      </c>
      <c r="E142" s="38">
        <v>0</v>
      </c>
      <c r="F142" s="38">
        <v>216</v>
      </c>
      <c r="G142" s="118"/>
      <c r="H142" s="119"/>
      <c r="I142" s="37"/>
      <c r="J142" s="36"/>
      <c r="K142" s="36"/>
      <c r="S142" s="113"/>
      <c r="T142" s="113"/>
      <c r="U142" s="28"/>
    </row>
    <row r="143" spans="1:21" s="2" customFormat="1" x14ac:dyDescent="0.35">
      <c r="A143" s="114">
        <f t="shared" si="0"/>
        <v>5</v>
      </c>
      <c r="B143" s="115"/>
      <c r="C143" s="38" t="s">
        <v>178</v>
      </c>
      <c r="D143" s="38">
        <f>2.1*3.65*10.764</f>
        <v>82.506059999999991</v>
      </c>
      <c r="E143" s="38">
        <v>0</v>
      </c>
      <c r="F143" s="38">
        <v>165</v>
      </c>
      <c r="G143" s="118"/>
      <c r="H143" s="119"/>
      <c r="I143" s="37"/>
      <c r="J143" s="36"/>
      <c r="K143" s="36"/>
      <c r="S143" s="113"/>
      <c r="T143" s="113"/>
      <c r="U143" s="28"/>
    </row>
    <row r="144" spans="1:21" s="2" customFormat="1" x14ac:dyDescent="0.35">
      <c r="A144" s="114">
        <f t="shared" ref="A144:A145" si="1">A143+1</f>
        <v>6</v>
      </c>
      <c r="B144" s="115"/>
      <c r="C144" s="38" t="s">
        <v>178</v>
      </c>
      <c r="D144" s="38">
        <f>2.75*3.65*10.764</f>
        <v>108.04364999999999</v>
      </c>
      <c r="E144" s="38">
        <v>0</v>
      </c>
      <c r="F144" s="38">
        <v>216</v>
      </c>
      <c r="G144" s="118"/>
      <c r="H144" s="119"/>
      <c r="I144" s="37"/>
      <c r="J144" s="36"/>
      <c r="K144" s="36"/>
      <c r="S144" s="113"/>
      <c r="T144" s="113"/>
      <c r="U144" s="28"/>
    </row>
    <row r="145" spans="1:23" s="2" customFormat="1" x14ac:dyDescent="0.35">
      <c r="A145" s="114">
        <f t="shared" si="1"/>
        <v>7</v>
      </c>
      <c r="B145" s="115"/>
      <c r="C145" s="38" t="s">
        <v>178</v>
      </c>
      <c r="D145" s="38">
        <f>2.75*3.65*10.764</f>
        <v>108.04364999999999</v>
      </c>
      <c r="E145" s="38">
        <v>0</v>
      </c>
      <c r="F145" s="38">
        <v>216</v>
      </c>
      <c r="G145" s="118"/>
      <c r="H145" s="119"/>
      <c r="I145" s="37"/>
      <c r="J145" s="36"/>
      <c r="K145" s="36"/>
      <c r="S145" s="113"/>
      <c r="T145" s="113"/>
      <c r="U145" s="28"/>
    </row>
    <row r="146" spans="1:23" s="2" customFormat="1" x14ac:dyDescent="0.35">
      <c r="A146" s="114">
        <f>A145+1</f>
        <v>8</v>
      </c>
      <c r="B146" s="115"/>
      <c r="C146" s="38" t="s">
        <v>178</v>
      </c>
      <c r="D146" s="38">
        <f>2.1*3.65*10.764</f>
        <v>82.506059999999991</v>
      </c>
      <c r="E146" s="38">
        <v>0</v>
      </c>
      <c r="F146" s="38">
        <v>165</v>
      </c>
      <c r="G146" s="118"/>
      <c r="H146" s="119"/>
      <c r="I146" s="37"/>
      <c r="J146" s="36"/>
      <c r="K146" s="36"/>
      <c r="S146" s="113"/>
      <c r="T146" s="113"/>
      <c r="U146" s="28"/>
    </row>
    <row r="147" spans="1:23" s="2" customFormat="1" x14ac:dyDescent="0.35">
      <c r="A147" s="114">
        <f t="shared" ref="A147:A150" si="2">A146+1</f>
        <v>9</v>
      </c>
      <c r="B147" s="115"/>
      <c r="C147" s="38" t="s">
        <v>178</v>
      </c>
      <c r="D147" s="38">
        <f>2.75*3.65*10.764</f>
        <v>108.04364999999999</v>
      </c>
      <c r="E147" s="38">
        <v>0</v>
      </c>
      <c r="F147" s="38">
        <v>216</v>
      </c>
      <c r="G147" s="118"/>
      <c r="H147" s="119"/>
      <c r="I147" s="37"/>
      <c r="J147" s="36"/>
      <c r="K147" s="36"/>
      <c r="S147" s="113"/>
      <c r="T147" s="113"/>
      <c r="U147" s="28"/>
    </row>
    <row r="148" spans="1:23" s="2" customFormat="1" x14ac:dyDescent="0.35">
      <c r="A148" s="114">
        <f t="shared" si="2"/>
        <v>10</v>
      </c>
      <c r="B148" s="115"/>
      <c r="C148" s="38" t="s">
        <v>178</v>
      </c>
      <c r="D148" s="38">
        <f>2.75*3.65*10.764</f>
        <v>108.04364999999999</v>
      </c>
      <c r="E148" s="38">
        <v>0</v>
      </c>
      <c r="F148" s="38">
        <v>216</v>
      </c>
      <c r="G148" s="118"/>
      <c r="H148" s="119"/>
      <c r="I148" s="37"/>
      <c r="J148" s="36"/>
      <c r="K148" s="36"/>
      <c r="S148" s="113"/>
      <c r="T148" s="113"/>
      <c r="U148" s="28"/>
    </row>
    <row r="149" spans="1:23" s="2" customFormat="1" x14ac:dyDescent="0.35">
      <c r="A149" s="114">
        <f t="shared" si="2"/>
        <v>11</v>
      </c>
      <c r="B149" s="115"/>
      <c r="C149" s="38" t="s">
        <v>178</v>
      </c>
      <c r="D149" s="38">
        <f>2.1*3.65*10.764</f>
        <v>82.506059999999991</v>
      </c>
      <c r="E149" s="38">
        <v>0</v>
      </c>
      <c r="F149" s="38">
        <v>165</v>
      </c>
      <c r="G149" s="118"/>
      <c r="H149" s="119"/>
      <c r="I149" s="37"/>
      <c r="J149" s="36"/>
      <c r="K149" s="36"/>
      <c r="S149" s="113"/>
      <c r="T149" s="113"/>
      <c r="U149" s="28"/>
    </row>
    <row r="150" spans="1:23" s="2" customFormat="1" x14ac:dyDescent="0.35">
      <c r="A150" s="114">
        <f t="shared" si="2"/>
        <v>12</v>
      </c>
      <c r="B150" s="115"/>
      <c r="C150" s="38" t="s">
        <v>178</v>
      </c>
      <c r="D150" s="38">
        <f>2.75*3.65*10.764</f>
        <v>108.04364999999999</v>
      </c>
      <c r="E150" s="38">
        <v>0</v>
      </c>
      <c r="F150" s="38">
        <v>216</v>
      </c>
      <c r="G150" s="120"/>
      <c r="H150" s="121"/>
      <c r="I150" s="37"/>
      <c r="J150" s="36"/>
      <c r="K150" s="36"/>
      <c r="S150" s="113"/>
      <c r="T150" s="113"/>
      <c r="U150" s="28"/>
    </row>
    <row r="151" spans="1:23" s="2" customFormat="1" x14ac:dyDescent="0.35">
      <c r="A151" s="161" t="s">
        <v>180</v>
      </c>
      <c r="B151" s="161"/>
      <c r="C151" s="161"/>
      <c r="D151" s="161"/>
      <c r="E151" s="161"/>
      <c r="F151" s="161"/>
      <c r="G151" s="161"/>
      <c r="H151" s="161"/>
      <c r="I151" s="37"/>
      <c r="J151" s="36"/>
      <c r="K151" s="36"/>
    </row>
    <row r="152" spans="1:23" s="2" customFormat="1" x14ac:dyDescent="0.35">
      <c r="A152" s="123" t="s">
        <v>189</v>
      </c>
      <c r="B152" s="124"/>
      <c r="C152" s="124"/>
      <c r="D152" s="124"/>
      <c r="E152" s="124"/>
      <c r="F152" s="124"/>
      <c r="G152" s="124"/>
      <c r="H152" s="125"/>
      <c r="I152" s="37"/>
      <c r="J152" s="36"/>
      <c r="K152" s="36"/>
      <c r="S152" s="113" t="s">
        <v>165</v>
      </c>
      <c r="T152" s="113"/>
      <c r="V152" s="2" t="str">
        <f>MID(A152,1,3)</f>
        <v>1st</v>
      </c>
      <c r="W152" s="2">
        <f ca="1">--TRIM(RIGHT(SUBSTITUTE(LEFT(A152,_xlfn.AGGREGATE(14,6,FIND({0,1,2,3,4,5,6,7,8,9},A152,ROW(INDIRECT("1:"&amp;LEN(A152)))),1))," ",REPT(" ",LEN(A152))),LEN(A152)))</f>
        <v>4</v>
      </c>
    </row>
    <row r="153" spans="1:23" s="2" customFormat="1" ht="15.65" customHeight="1" x14ac:dyDescent="0.35">
      <c r="A153" s="114" t="str">
        <f t="shared" ref="A153:A156" ca="1" si="3">S153</f>
        <v>101 to 401</v>
      </c>
      <c r="B153" s="115"/>
      <c r="C153" s="38" t="s">
        <v>181</v>
      </c>
      <c r="D153" s="38">
        <f>((2.75*3.27+2.1*1.75+2.75*2.75+1.2*0.9+1.5*1.1+0.9*0.9+1*0.8)+(2.75+2.1)*1+2.75*0.75+2.5*0.6)*10.764</f>
        <v>355.02362999999997</v>
      </c>
      <c r="E153" s="38">
        <v>0</v>
      </c>
      <c r="F153" s="38">
        <v>575</v>
      </c>
      <c r="G153" s="116" t="str">
        <f>A152</f>
        <v>1st to 4th Floor for Residential</v>
      </c>
      <c r="H153" s="117"/>
      <c r="I153" s="40">
        <f>F153/D153</f>
        <v>1.6196105031093284</v>
      </c>
      <c r="J153" s="36"/>
      <c r="K153" s="36"/>
      <c r="S153" s="113" t="str">
        <f ca="1">V153&amp;""&amp;$S$152&amp;""&amp;W153</f>
        <v>101 to 401</v>
      </c>
      <c r="T153" s="113"/>
      <c r="U153" s="28">
        <v>1</v>
      </c>
      <c r="V153" s="2">
        <f ca="1">(SUMPRODUCT(MID(0&amp;V152, LARGE(INDEX(ISNUMBER(--MID(V152, ROW(INDIRECT("1:"&amp;LEN(V152))), 1)) * ROW(INDIRECT("1:"&amp;LEN(V152))), 0), ROW(INDIRECT("1:"&amp;LEN(V152))))+1, 1) * 10^ROW(INDIRECT("1:"&amp;LEN(V152)))/10))*U153*100+1</f>
        <v>101</v>
      </c>
      <c r="W153" s="2">
        <f ca="1">(SUMPRODUCT(MID(0&amp;W152, LARGE(INDEX(ISNUMBER(--MID(W152, ROW(INDIRECT("1:"&amp;LEN(W152))), 1)) * ROW(INDIRECT("1:"&amp;LEN(W152))), 0), ROW(INDIRECT("1:"&amp;LEN(W152))))+1, 1) * 10^ROW(INDIRECT("1:"&amp;LEN(W152)))/10))*U153*100+1</f>
        <v>401</v>
      </c>
    </row>
    <row r="154" spans="1:23" s="2" customFormat="1" x14ac:dyDescent="0.35">
      <c r="A154" s="114" t="str">
        <f t="shared" ca="1" si="3"/>
        <v>102 to 402</v>
      </c>
      <c r="B154" s="115"/>
      <c r="C154" s="38" t="s">
        <v>181</v>
      </c>
      <c r="D154" s="38">
        <f>((2.75*3.27+2.1*1.75+2.75*2.75+1.8*1.1)+2.1*1+(2.75+2.75)*0.75+2.5*0.6)*10.764</f>
        <v>322.22034000000002</v>
      </c>
      <c r="E154" s="38">
        <v>0</v>
      </c>
      <c r="F154" s="38">
        <v>485</v>
      </c>
      <c r="G154" s="118"/>
      <c r="H154" s="119"/>
      <c r="I154" s="40">
        <f t="shared" ref="I154:I162" si="4">F154/D154</f>
        <v>1.5051812061274592</v>
      </c>
      <c r="J154" s="36"/>
      <c r="K154" s="36"/>
      <c r="S154" s="113" t="str">
        <f ca="1">V154&amp;""&amp;$S$152&amp;""&amp;W154</f>
        <v>102 to 402</v>
      </c>
      <c r="T154" s="113"/>
      <c r="U154" s="28">
        <f t="shared" ref="U154:W156" si="5">U153+1</f>
        <v>2</v>
      </c>
      <c r="V154" s="2">
        <f t="shared" ca="1" si="5"/>
        <v>102</v>
      </c>
      <c r="W154" s="2">
        <f t="shared" ca="1" si="5"/>
        <v>402</v>
      </c>
    </row>
    <row r="155" spans="1:23" s="2" customFormat="1" x14ac:dyDescent="0.35">
      <c r="A155" s="114" t="str">
        <f t="shared" ca="1" si="3"/>
        <v>103 to 403</v>
      </c>
      <c r="B155" s="115"/>
      <c r="C155" s="38" t="s">
        <v>222</v>
      </c>
      <c r="D155" s="38">
        <f>((2.75*3.27+2.1*1.75+2.75*2.75+2.4*1.97+1.5*1.5)+(2.75+2.75)*0.75+2.1*1+2.5*0.6)*10.764</f>
        <v>376.01881199999997</v>
      </c>
      <c r="E155" s="38">
        <v>0</v>
      </c>
      <c r="F155" s="38">
        <v>583</v>
      </c>
      <c r="G155" s="118"/>
      <c r="H155" s="119"/>
      <c r="I155" s="40">
        <f t="shared" si="4"/>
        <v>1.550454342693897</v>
      </c>
      <c r="J155" s="36"/>
      <c r="K155" s="36"/>
      <c r="S155" s="113" t="str">
        <f ca="1">V155&amp;""&amp;$S$152&amp;""&amp;W155</f>
        <v>103 to 403</v>
      </c>
      <c r="T155" s="113"/>
      <c r="U155" s="28">
        <f t="shared" si="5"/>
        <v>3</v>
      </c>
      <c r="V155" s="2">
        <f t="shared" ca="1" si="5"/>
        <v>103</v>
      </c>
      <c r="W155" s="2">
        <f t="shared" ca="1" si="5"/>
        <v>403</v>
      </c>
    </row>
    <row r="156" spans="1:23" s="2" customFormat="1" x14ac:dyDescent="0.35">
      <c r="A156" s="114" t="str">
        <f t="shared" ca="1" si="3"/>
        <v>104 to 404</v>
      </c>
      <c r="B156" s="115"/>
      <c r="C156" s="38" t="s">
        <v>181</v>
      </c>
      <c r="D156" s="38">
        <f>((2.75*3.27+2.1*1.75+2.75*2.75+1.2*0.9+1.5*1.1+0.9*0.9+1*0.8)+(2.75+2.1)*1+2.75*0.75+2.5*0.6)*10.764</f>
        <v>355.02362999999997</v>
      </c>
      <c r="E156" s="38">
        <v>0</v>
      </c>
      <c r="F156" s="38">
        <v>575</v>
      </c>
      <c r="G156" s="120"/>
      <c r="H156" s="121"/>
      <c r="I156" s="40">
        <f t="shared" si="4"/>
        <v>1.6196105031093284</v>
      </c>
      <c r="J156" s="36"/>
      <c r="K156" s="36"/>
      <c r="S156" s="113" t="str">
        <f ca="1">V156&amp;""&amp;$S$152&amp;""&amp;W156</f>
        <v>104 to 404</v>
      </c>
      <c r="T156" s="113"/>
      <c r="U156" s="28">
        <f t="shared" si="5"/>
        <v>4</v>
      </c>
      <c r="V156" s="2">
        <f t="shared" ca="1" si="5"/>
        <v>104</v>
      </c>
      <c r="W156" s="2">
        <f t="shared" ca="1" si="5"/>
        <v>404</v>
      </c>
    </row>
    <row r="157" spans="1:23" s="2" customFormat="1" x14ac:dyDescent="0.35">
      <c r="A157" s="123" t="s">
        <v>182</v>
      </c>
      <c r="B157" s="124"/>
      <c r="C157" s="124"/>
      <c r="D157" s="124"/>
      <c r="E157" s="124"/>
      <c r="F157" s="124"/>
      <c r="G157" s="124"/>
      <c r="H157" s="125"/>
      <c r="I157" s="40" t="e">
        <f t="shared" si="4"/>
        <v>#DIV/0!</v>
      </c>
      <c r="J157" s="36"/>
      <c r="K157" s="36"/>
      <c r="U157" s="28"/>
    </row>
    <row r="158" spans="1:23" s="2" customFormat="1" x14ac:dyDescent="0.35">
      <c r="A158" s="123" t="s">
        <v>189</v>
      </c>
      <c r="B158" s="124"/>
      <c r="C158" s="124"/>
      <c r="D158" s="124"/>
      <c r="E158" s="124"/>
      <c r="F158" s="124"/>
      <c r="G158" s="124"/>
      <c r="H158" s="125"/>
      <c r="I158" s="40" t="e">
        <f t="shared" si="4"/>
        <v>#DIV/0!</v>
      </c>
      <c r="J158" s="36"/>
      <c r="K158" s="36"/>
      <c r="S158" s="113" t="s">
        <v>165</v>
      </c>
      <c r="T158" s="113"/>
      <c r="V158" s="2" t="str">
        <f>MID(A158,1,3)</f>
        <v>1st</v>
      </c>
      <c r="W158" s="2">
        <f ca="1">--TRIM(RIGHT(SUBSTITUTE(LEFT(A158,_xlfn.AGGREGATE(14,6,FIND({0,1,2,3,4,5,6,7,8,9},A158,ROW(INDIRECT("1:"&amp;LEN(A158)))),1))," ",REPT(" ",LEN(A158))),LEN(A158)))</f>
        <v>4</v>
      </c>
    </row>
    <row r="159" spans="1:23" s="2" customFormat="1" ht="15.65" customHeight="1" x14ac:dyDescent="0.35">
      <c r="A159" s="114" t="str">
        <f t="shared" ref="A159:A162" ca="1" si="6">S159</f>
        <v>101 to 401</v>
      </c>
      <c r="B159" s="115"/>
      <c r="C159" s="38" t="s">
        <v>181</v>
      </c>
      <c r="D159" s="38">
        <f>((2.75*3.27+2.1*1.75+2.75*2.75+1.2*0.9+1.5*1.1+0.9*0.9+1*0.8)+(2.75+2.1)*1+2.75*0.75+2.5*0.6)*10.764</f>
        <v>355.02362999999997</v>
      </c>
      <c r="E159" s="38">
        <v>0</v>
      </c>
      <c r="F159" s="38">
        <v>575</v>
      </c>
      <c r="G159" s="116" t="str">
        <f>A158</f>
        <v>1st to 4th Floor for Residential</v>
      </c>
      <c r="H159" s="117"/>
      <c r="I159" s="40">
        <f t="shared" si="4"/>
        <v>1.6196105031093284</v>
      </c>
      <c r="J159" s="36"/>
      <c r="K159" s="36"/>
      <c r="S159" s="113" t="str">
        <f ca="1">V159&amp;""&amp;$S$152&amp;""&amp;W159</f>
        <v>101 to 401</v>
      </c>
      <c r="T159" s="113"/>
      <c r="U159" s="28">
        <v>1</v>
      </c>
      <c r="V159" s="2">
        <f ca="1">(SUMPRODUCT(MID(0&amp;V158, LARGE(INDEX(ISNUMBER(--MID(V158, ROW(INDIRECT("1:"&amp;LEN(V158))), 1)) * ROW(INDIRECT("1:"&amp;LEN(V158))), 0), ROW(INDIRECT("1:"&amp;LEN(V158))))+1, 1) * 10^ROW(INDIRECT("1:"&amp;LEN(V158)))/10))*U159*100+1</f>
        <v>101</v>
      </c>
      <c r="W159" s="2">
        <f ca="1">(SUMPRODUCT(MID(0&amp;W158, LARGE(INDEX(ISNUMBER(--MID(W158, ROW(INDIRECT("1:"&amp;LEN(W158))), 1)) * ROW(INDIRECT("1:"&amp;LEN(W158))), 0), ROW(INDIRECT("1:"&amp;LEN(W158))))+1, 1) * 10^ROW(INDIRECT("1:"&amp;LEN(W158)))/10))*U159*100+1</f>
        <v>401</v>
      </c>
    </row>
    <row r="160" spans="1:23" s="2" customFormat="1" ht="15.65" customHeight="1" x14ac:dyDescent="0.35">
      <c r="A160" s="114" t="str">
        <f t="shared" ca="1" si="6"/>
        <v>102 to 402</v>
      </c>
      <c r="B160" s="115"/>
      <c r="C160" s="38" t="s">
        <v>222</v>
      </c>
      <c r="D160" s="38">
        <f>((2.75*3.27+2.1*1.75+2.75*2.75+2.4*1.97+1.5*1.5)+(2.75+2.75)*0.75+2.1*1+2.5*0.6)*10.764</f>
        <v>376.01881199999997</v>
      </c>
      <c r="E160" s="38">
        <v>0</v>
      </c>
      <c r="F160" s="38">
        <v>583</v>
      </c>
      <c r="G160" s="118"/>
      <c r="H160" s="119"/>
      <c r="I160" s="40">
        <f t="shared" si="4"/>
        <v>1.550454342693897</v>
      </c>
      <c r="J160" s="36"/>
      <c r="K160" s="36"/>
      <c r="S160" s="113" t="str">
        <f ca="1">V160&amp;""&amp;$S$152&amp;""&amp;W160</f>
        <v>102 to 402</v>
      </c>
      <c r="T160" s="113"/>
      <c r="U160" s="28">
        <f t="shared" ref="U160:W160" si="7">U159+1</f>
        <v>2</v>
      </c>
      <c r="V160" s="2">
        <f t="shared" ca="1" si="7"/>
        <v>102</v>
      </c>
      <c r="W160" s="2">
        <f t="shared" ca="1" si="7"/>
        <v>402</v>
      </c>
    </row>
    <row r="161" spans="1:23" s="2" customFormat="1" ht="15.65" customHeight="1" x14ac:dyDescent="0.35">
      <c r="A161" s="114" t="str">
        <f t="shared" ca="1" si="6"/>
        <v>103 to 403</v>
      </c>
      <c r="B161" s="115"/>
      <c r="C161" s="38" t="s">
        <v>183</v>
      </c>
      <c r="D161" s="38">
        <f>((2.75*3.27+1.8*1.95+1.8*1.1)+(2.75*0.75+1.8*0.75))*10.764</f>
        <v>192.62177999999997</v>
      </c>
      <c r="E161" s="38">
        <v>0</v>
      </c>
      <c r="F161" s="38">
        <v>303</v>
      </c>
      <c r="G161" s="118"/>
      <c r="H161" s="119"/>
      <c r="I161" s="40">
        <f t="shared" si="4"/>
        <v>1.5730308379457403</v>
      </c>
      <c r="J161" s="36"/>
      <c r="K161" s="36"/>
      <c r="S161" s="113" t="str">
        <f ca="1">V161&amp;""&amp;$S$152&amp;""&amp;W161</f>
        <v>103 to 403</v>
      </c>
      <c r="T161" s="113"/>
      <c r="U161" s="28">
        <f t="shared" ref="U161:W161" si="8">U160+1</f>
        <v>3</v>
      </c>
      <c r="V161" s="2">
        <f t="shared" ca="1" si="8"/>
        <v>103</v>
      </c>
      <c r="W161" s="2">
        <f t="shared" ca="1" si="8"/>
        <v>403</v>
      </c>
    </row>
    <row r="162" spans="1:23" s="2" customFormat="1" ht="15.65" customHeight="1" x14ac:dyDescent="0.35">
      <c r="A162" s="114" t="str">
        <f t="shared" ca="1" si="6"/>
        <v>104 to 404</v>
      </c>
      <c r="B162" s="115"/>
      <c r="C162" s="38" t="s">
        <v>181</v>
      </c>
      <c r="D162" s="38">
        <f>((2.75*3.27+2.1*1.75+2.75*2.75+1.2*0.9+1.5*1.1+0.9*0.9+1*0.8)+(2.75+2.1)*1+2.75*0.75+2.5*0.6)*10.764</f>
        <v>355.02362999999997</v>
      </c>
      <c r="E162" s="38">
        <v>0</v>
      </c>
      <c r="F162" s="38">
        <v>495</v>
      </c>
      <c r="G162" s="120"/>
      <c r="H162" s="121"/>
      <c r="I162" s="40">
        <f t="shared" si="4"/>
        <v>1.394273389633248</v>
      </c>
      <c r="J162" s="36"/>
      <c r="K162" s="36"/>
      <c r="S162" s="113" t="str">
        <f ca="1">V162&amp;""&amp;$S$152&amp;""&amp;W162</f>
        <v>104 to 404</v>
      </c>
      <c r="T162" s="113"/>
      <c r="U162" s="28">
        <f t="shared" ref="U162:W162" si="9">U161+1</f>
        <v>4</v>
      </c>
      <c r="V162" s="2">
        <f t="shared" ca="1" si="9"/>
        <v>104</v>
      </c>
      <c r="W162" s="2">
        <f t="shared" ca="1" si="9"/>
        <v>404</v>
      </c>
    </row>
    <row r="163" spans="1:23" s="2" customFormat="1" x14ac:dyDescent="0.35">
      <c r="A163" s="161" t="s">
        <v>184</v>
      </c>
      <c r="B163" s="161"/>
      <c r="C163" s="161"/>
      <c r="D163" s="161"/>
      <c r="E163" s="161"/>
      <c r="F163" s="161"/>
      <c r="G163" s="161"/>
      <c r="H163" s="161"/>
      <c r="I163" s="37"/>
      <c r="J163" s="36"/>
      <c r="K163" s="36"/>
      <c r="U163" s="28"/>
    </row>
    <row r="164" spans="1:23" s="2" customFormat="1" ht="15.65" customHeight="1" x14ac:dyDescent="0.35">
      <c r="A164" s="123" t="s">
        <v>221</v>
      </c>
      <c r="B164" s="124"/>
      <c r="C164" s="124"/>
      <c r="D164" s="124"/>
      <c r="E164" s="124"/>
      <c r="F164" s="124"/>
      <c r="G164" s="124"/>
      <c r="H164" s="125"/>
      <c r="I164" s="37"/>
      <c r="J164" s="36"/>
      <c r="K164" s="36"/>
      <c r="U164" s="28"/>
    </row>
    <row r="165" spans="1:23" s="2" customFormat="1" ht="15.65" customHeight="1" x14ac:dyDescent="0.35">
      <c r="A165" s="114">
        <v>1</v>
      </c>
      <c r="B165" s="115"/>
      <c r="C165" s="38" t="s">
        <v>178</v>
      </c>
      <c r="D165" s="38">
        <f>2.75*3.25*10.764</f>
        <v>96.203249999999997</v>
      </c>
      <c r="E165" s="38">
        <v>0</v>
      </c>
      <c r="F165" s="38">
        <v>192</v>
      </c>
      <c r="G165" s="116" t="str">
        <f>A164</f>
        <v>Ground Floor for Commercial &amp; Parking</v>
      </c>
      <c r="H165" s="117"/>
      <c r="I165" s="37"/>
      <c r="J165" s="36"/>
      <c r="K165" s="36"/>
      <c r="S165" s="113"/>
      <c r="T165" s="113"/>
      <c r="U165" s="28"/>
    </row>
    <row r="166" spans="1:23" s="2" customFormat="1" ht="15.65" customHeight="1" x14ac:dyDescent="0.35">
      <c r="A166" s="114">
        <f>A165+1</f>
        <v>2</v>
      </c>
      <c r="B166" s="115"/>
      <c r="C166" s="38" t="s">
        <v>178</v>
      </c>
      <c r="D166" s="38">
        <f>2.1*3.25*10.764</f>
        <v>73.464299999999994</v>
      </c>
      <c r="E166" s="38">
        <v>0</v>
      </c>
      <c r="F166" s="38">
        <v>147</v>
      </c>
      <c r="G166" s="118"/>
      <c r="H166" s="119"/>
      <c r="I166" s="37"/>
      <c r="J166" s="36"/>
      <c r="K166" s="36"/>
      <c r="S166" s="113"/>
      <c r="T166" s="113"/>
      <c r="U166" s="28"/>
    </row>
    <row r="167" spans="1:23" s="2" customFormat="1" ht="15.65" customHeight="1" x14ac:dyDescent="0.35">
      <c r="A167" s="114">
        <f t="shared" ref="A167:A168" si="10">A166+1</f>
        <v>3</v>
      </c>
      <c r="B167" s="115"/>
      <c r="C167" s="38" t="s">
        <v>178</v>
      </c>
      <c r="D167" s="38">
        <f>2.75*3.17*10.764</f>
        <v>93.835169999999991</v>
      </c>
      <c r="E167" s="38">
        <v>0</v>
      </c>
      <c r="F167" s="38">
        <v>192</v>
      </c>
      <c r="G167" s="118"/>
      <c r="H167" s="119"/>
      <c r="I167" s="37"/>
      <c r="J167" s="38">
        <f>2.75*3.17*10.764</f>
        <v>93.835169999999991</v>
      </c>
      <c r="K167" s="36"/>
      <c r="S167" s="113"/>
      <c r="T167" s="113"/>
      <c r="U167" s="28"/>
    </row>
    <row r="168" spans="1:23" s="2" customFormat="1" ht="15.65" customHeight="1" x14ac:dyDescent="0.35">
      <c r="A168" s="114">
        <f t="shared" si="10"/>
        <v>4</v>
      </c>
      <c r="B168" s="115"/>
      <c r="C168" s="38" t="s">
        <v>178</v>
      </c>
      <c r="D168" s="38">
        <f>2.45*2.63*10.764</f>
        <v>69.357833999999997</v>
      </c>
      <c r="E168" s="38">
        <v>0</v>
      </c>
      <c r="F168" s="38">
        <v>147</v>
      </c>
      <c r="G168" s="120"/>
      <c r="H168" s="121"/>
      <c r="I168" s="37"/>
      <c r="J168" s="36"/>
      <c r="K168" s="36"/>
      <c r="S168" s="113"/>
      <c r="T168" s="113"/>
      <c r="U168" s="28"/>
    </row>
    <row r="169" spans="1:23" s="2" customFormat="1" x14ac:dyDescent="0.35">
      <c r="A169" s="123" t="s">
        <v>189</v>
      </c>
      <c r="B169" s="124"/>
      <c r="C169" s="124"/>
      <c r="D169" s="124"/>
      <c r="E169" s="124"/>
      <c r="F169" s="124"/>
      <c r="G169" s="124"/>
      <c r="H169" s="125"/>
      <c r="I169" s="37"/>
      <c r="J169" s="36"/>
      <c r="K169" s="36"/>
      <c r="S169" s="113" t="s">
        <v>165</v>
      </c>
      <c r="T169" s="113"/>
      <c r="V169" s="2" t="str">
        <f>MID(A169,1,3)</f>
        <v>1st</v>
      </c>
      <c r="W169" s="2">
        <f ca="1">--TRIM(RIGHT(SUBSTITUTE(LEFT(A169,_xlfn.AGGREGATE(14,6,FIND({0,1,2,3,4,5,6,7,8,9},A169,ROW(INDIRECT("1:"&amp;LEN(A169)))),1))," ",REPT(" ",LEN(A169))),LEN(A169)))</f>
        <v>4</v>
      </c>
    </row>
    <row r="170" spans="1:23" s="2" customFormat="1" ht="15.65" customHeight="1" x14ac:dyDescent="0.35">
      <c r="A170" s="114" t="str">
        <f t="shared" ref="A170:A172" ca="1" si="11">S170</f>
        <v>101 to 401</v>
      </c>
      <c r="B170" s="115"/>
      <c r="C170" s="38" t="s">
        <v>183</v>
      </c>
      <c r="D170" s="38">
        <f>((2.75*3.25+2.1*2.6+1.8*1.1)+(2.75*0.75+1.8*0.45))*10.764</f>
        <v>207.20699999999999</v>
      </c>
      <c r="E170" s="38">
        <v>0</v>
      </c>
      <c r="F170" s="38">
        <v>295</v>
      </c>
      <c r="G170" s="116" t="str">
        <f>A169</f>
        <v>1st to 4th Floor for Residential</v>
      </c>
      <c r="H170" s="117"/>
      <c r="I170" s="37"/>
      <c r="J170" s="36"/>
      <c r="K170" s="36"/>
      <c r="S170" s="113" t="str">
        <f ca="1">V170&amp;""&amp;$S$152&amp;""&amp;W170</f>
        <v>101 to 401</v>
      </c>
      <c r="T170" s="113"/>
      <c r="U170" s="28">
        <v>1</v>
      </c>
      <c r="V170" s="2">
        <f ca="1">(SUMPRODUCT(MID(0&amp;V169, LARGE(INDEX(ISNUMBER(--MID(V169, ROW(INDIRECT("1:"&amp;LEN(V169))), 1)) * ROW(INDIRECT("1:"&amp;LEN(V169))), 0), ROW(INDIRECT("1:"&amp;LEN(V169))))+1, 1) * 10^ROW(INDIRECT("1:"&amp;LEN(V169)))/10))*U170*100+1</f>
        <v>101</v>
      </c>
      <c r="W170" s="2">
        <f ca="1">(SUMPRODUCT(MID(0&amp;W169, LARGE(INDEX(ISNUMBER(--MID(W169, ROW(INDIRECT("1:"&amp;LEN(W169))), 1)) * ROW(INDIRECT("1:"&amp;LEN(W169))), 0), ROW(INDIRECT("1:"&amp;LEN(W169))))+1, 1) * 10^ROW(INDIRECT("1:"&amp;LEN(W169)))/10))*U170*100+1</f>
        <v>401</v>
      </c>
    </row>
    <row r="171" spans="1:23" s="2" customFormat="1" ht="15.65" customHeight="1" x14ac:dyDescent="0.35">
      <c r="A171" s="114" t="str">
        <f t="shared" ca="1" si="11"/>
        <v>102 to 402</v>
      </c>
      <c r="B171" s="115"/>
      <c r="C171" s="38" t="s">
        <v>183</v>
      </c>
      <c r="D171" s="38">
        <f>((2.75*3.25+2.1*1.6+1.8*1.1+0.6)+(2.1)*1+2.75*0.75)*10.764</f>
        <v>204.94655999999998</v>
      </c>
      <c r="E171" s="38">
        <v>0</v>
      </c>
      <c r="F171" s="38">
        <v>293</v>
      </c>
      <c r="G171" s="118"/>
      <c r="H171" s="119"/>
      <c r="I171" s="37"/>
      <c r="J171" s="36"/>
      <c r="K171" s="36"/>
      <c r="S171" s="113" t="str">
        <f ca="1">V171&amp;""&amp;$S$152&amp;""&amp;W171</f>
        <v>102 to 402</v>
      </c>
      <c r="T171" s="113"/>
      <c r="U171" s="28">
        <f t="shared" ref="U171:W171" si="12">U170+1</f>
        <v>2</v>
      </c>
      <c r="V171" s="2">
        <f t="shared" ca="1" si="12"/>
        <v>102</v>
      </c>
      <c r="W171" s="2">
        <f t="shared" ca="1" si="12"/>
        <v>402</v>
      </c>
    </row>
    <row r="172" spans="1:23" s="2" customFormat="1" ht="15.65" customHeight="1" x14ac:dyDescent="0.35">
      <c r="A172" s="114" t="str">
        <f t="shared" ca="1" si="11"/>
        <v>103 to 403</v>
      </c>
      <c r="B172" s="115"/>
      <c r="C172" s="38" t="s">
        <v>183</v>
      </c>
      <c r="D172" s="38">
        <f>((2.75*3.25+1*0.8+2.1*1.6+1.8*1.1)+(2.1*1+2.75*0.75+2.2*0.35))*10.764</f>
        <v>215.38763999999998</v>
      </c>
      <c r="E172" s="38">
        <v>0</v>
      </c>
      <c r="F172" s="38">
        <v>312</v>
      </c>
      <c r="G172" s="120"/>
      <c r="H172" s="121"/>
      <c r="I172" s="37"/>
      <c r="J172" s="36">
        <f>1200000/F172</f>
        <v>3846.1538461538462</v>
      </c>
      <c r="K172" s="36"/>
      <c r="S172" s="113" t="str">
        <f ca="1">V172&amp;""&amp;$S$152&amp;""&amp;W172</f>
        <v>103 to 403</v>
      </c>
      <c r="T172" s="113"/>
      <c r="U172" s="28">
        <f t="shared" ref="U172:W172" si="13">U171+1</f>
        <v>3</v>
      </c>
      <c r="V172" s="2">
        <f t="shared" ca="1" si="13"/>
        <v>103</v>
      </c>
      <c r="W172" s="2">
        <f t="shared" ca="1" si="13"/>
        <v>403</v>
      </c>
    </row>
    <row r="173" spans="1:23" s="2" customFormat="1" x14ac:dyDescent="0.35">
      <c r="A173" s="161" t="s">
        <v>185</v>
      </c>
      <c r="B173" s="161"/>
      <c r="C173" s="161"/>
      <c r="D173" s="161"/>
      <c r="E173" s="161"/>
      <c r="F173" s="161"/>
      <c r="G173" s="161"/>
      <c r="H173" s="161"/>
      <c r="I173" s="37"/>
      <c r="J173" s="36"/>
      <c r="K173" s="36"/>
      <c r="U173" s="28"/>
    </row>
    <row r="174" spans="1:23" s="2" customFormat="1" x14ac:dyDescent="0.35">
      <c r="A174" s="123" t="s">
        <v>179</v>
      </c>
      <c r="B174" s="124"/>
      <c r="C174" s="124"/>
      <c r="D174" s="124"/>
      <c r="E174" s="124"/>
      <c r="F174" s="124"/>
      <c r="G174" s="124"/>
      <c r="H174" s="125"/>
      <c r="I174" s="37"/>
      <c r="J174" s="36"/>
      <c r="K174" s="36"/>
      <c r="U174" s="28"/>
    </row>
    <row r="175" spans="1:23" s="2" customFormat="1" ht="15.65" customHeight="1" x14ac:dyDescent="0.35">
      <c r="A175" s="123" t="s">
        <v>221</v>
      </c>
      <c r="B175" s="124"/>
      <c r="C175" s="124"/>
      <c r="D175" s="124"/>
      <c r="E175" s="124"/>
      <c r="F175" s="124"/>
      <c r="G175" s="124"/>
      <c r="H175" s="125"/>
      <c r="I175" s="36"/>
      <c r="J175" s="36"/>
      <c r="K175" s="36"/>
    </row>
    <row r="176" spans="1:23" s="2" customFormat="1" ht="15.65" customHeight="1" x14ac:dyDescent="0.35">
      <c r="A176" s="114">
        <v>1</v>
      </c>
      <c r="B176" s="115"/>
      <c r="C176" s="38" t="s">
        <v>178</v>
      </c>
      <c r="D176" s="38">
        <f>(2.9*3.93)*10.764</f>
        <v>122.677308</v>
      </c>
      <c r="E176" s="38">
        <v>0</v>
      </c>
      <c r="F176" s="38">
        <v>245</v>
      </c>
      <c r="G176" s="116" t="str">
        <f>A175</f>
        <v>Ground Floor for Commercial &amp; Parking</v>
      </c>
      <c r="H176" s="117"/>
      <c r="I176" s="37"/>
      <c r="J176" s="36"/>
      <c r="K176" s="36"/>
      <c r="S176" s="113"/>
      <c r="T176" s="113"/>
      <c r="U176" s="28"/>
    </row>
    <row r="177" spans="1:23" s="2" customFormat="1" ht="15.65" customHeight="1" x14ac:dyDescent="0.35">
      <c r="A177" s="114">
        <f>A176+1</f>
        <v>2</v>
      </c>
      <c r="B177" s="115"/>
      <c r="C177" s="38" t="s">
        <v>178</v>
      </c>
      <c r="D177" s="38">
        <f>(2.9*4.4)*10.764</f>
        <v>137.34863999999999</v>
      </c>
      <c r="E177" s="38">
        <v>0</v>
      </c>
      <c r="F177" s="38">
        <v>275</v>
      </c>
      <c r="G177" s="118"/>
      <c r="H177" s="119"/>
      <c r="I177" s="37"/>
      <c r="J177" s="36"/>
      <c r="K177" s="36"/>
      <c r="S177" s="113"/>
      <c r="T177" s="113"/>
      <c r="U177" s="28"/>
    </row>
    <row r="178" spans="1:23" s="2" customFormat="1" ht="15.65" customHeight="1" x14ac:dyDescent="0.35">
      <c r="A178" s="114">
        <f t="shared" ref="A178:A181" si="14">A177+1</f>
        <v>3</v>
      </c>
      <c r="B178" s="115"/>
      <c r="C178" s="38" t="s">
        <v>178</v>
      </c>
      <c r="D178" s="38">
        <f>(2.1*4.4)*10.764</f>
        <v>99.459360000000018</v>
      </c>
      <c r="E178" s="38">
        <v>0</v>
      </c>
      <c r="F178" s="38">
        <v>199</v>
      </c>
      <c r="G178" s="118"/>
      <c r="H178" s="119"/>
      <c r="I178" s="37"/>
      <c r="J178" s="36"/>
      <c r="K178" s="36"/>
      <c r="S178" s="113"/>
      <c r="T178" s="113"/>
      <c r="U178" s="28"/>
    </row>
    <row r="179" spans="1:23" s="2" customFormat="1" ht="15.65" customHeight="1" x14ac:dyDescent="0.35">
      <c r="A179" s="114">
        <f t="shared" si="14"/>
        <v>4</v>
      </c>
      <c r="B179" s="115"/>
      <c r="C179" s="38" t="s">
        <v>178</v>
      </c>
      <c r="D179" s="38">
        <f>(2.1*4.4)*10.764</f>
        <v>99.459360000000018</v>
      </c>
      <c r="E179" s="38">
        <v>0</v>
      </c>
      <c r="F179" s="38">
        <v>199</v>
      </c>
      <c r="G179" s="118"/>
      <c r="H179" s="119"/>
      <c r="I179" s="37"/>
      <c r="J179" s="36"/>
      <c r="K179" s="36"/>
      <c r="S179" s="113"/>
      <c r="T179" s="113"/>
      <c r="U179" s="28"/>
    </row>
    <row r="180" spans="1:23" s="2" customFormat="1" ht="15.65" customHeight="1" x14ac:dyDescent="0.35">
      <c r="A180" s="114">
        <f t="shared" si="14"/>
        <v>5</v>
      </c>
      <c r="B180" s="115"/>
      <c r="C180" s="38" t="s">
        <v>178</v>
      </c>
      <c r="D180" s="38">
        <f>(2.9*4.4)*10.764</f>
        <v>137.34863999999999</v>
      </c>
      <c r="E180" s="38">
        <v>0</v>
      </c>
      <c r="F180" s="38">
        <v>275</v>
      </c>
      <c r="G180" s="118"/>
      <c r="H180" s="119"/>
      <c r="I180" s="37"/>
      <c r="J180" s="36"/>
      <c r="K180" s="36"/>
      <c r="S180" s="113"/>
      <c r="T180" s="113"/>
      <c r="U180" s="28"/>
    </row>
    <row r="181" spans="1:23" s="2" customFormat="1" ht="15.65" customHeight="1" x14ac:dyDescent="0.35">
      <c r="A181" s="114">
        <f t="shared" si="14"/>
        <v>6</v>
      </c>
      <c r="B181" s="115"/>
      <c r="C181" s="38" t="s">
        <v>178</v>
      </c>
      <c r="D181" s="38">
        <f>(2.9*3.93)*10.764</f>
        <v>122.677308</v>
      </c>
      <c r="E181" s="38">
        <v>0</v>
      </c>
      <c r="F181" s="38">
        <v>245</v>
      </c>
      <c r="G181" s="120"/>
      <c r="H181" s="121"/>
      <c r="I181" s="37"/>
      <c r="J181" s="36"/>
      <c r="K181" s="36"/>
      <c r="S181" s="113"/>
      <c r="T181" s="113"/>
      <c r="U181" s="28"/>
    </row>
    <row r="182" spans="1:23" s="2" customFormat="1" x14ac:dyDescent="0.35">
      <c r="A182" s="123" t="s">
        <v>180</v>
      </c>
      <c r="B182" s="124"/>
      <c r="C182" s="124"/>
      <c r="D182" s="124"/>
      <c r="E182" s="124"/>
      <c r="F182" s="124"/>
      <c r="G182" s="124"/>
      <c r="H182" s="125"/>
      <c r="I182" s="37"/>
      <c r="J182" s="36"/>
      <c r="K182" s="36"/>
      <c r="U182" s="28"/>
    </row>
    <row r="183" spans="1:23" s="2" customFormat="1" ht="15.75" customHeight="1" x14ac:dyDescent="0.35">
      <c r="A183" s="123" t="s">
        <v>190</v>
      </c>
      <c r="B183" s="124"/>
      <c r="C183" s="124"/>
      <c r="D183" s="124"/>
      <c r="E183" s="124"/>
      <c r="F183" s="124"/>
      <c r="G183" s="124"/>
      <c r="H183" s="125"/>
      <c r="I183" s="37"/>
      <c r="J183" s="36"/>
      <c r="K183" s="36"/>
      <c r="S183" s="113" t="s">
        <v>163</v>
      </c>
      <c r="T183" s="113"/>
      <c r="V183" s="2" t="str">
        <f>LEFT(A183,SUM(LEN(A183)-LEN(SUBSTITUTE(A183,{"0","1","2","3","4","5","6","7","8","9"},""))))</f>
        <v>1st</v>
      </c>
      <c r="W183" s="2">
        <f ca="1">--TRIM(RIGHT(SUBSTITUTE(LEFT(A183,_xlfn.AGGREGATE(16,6,FIND({0,1,2,3,4,5,6,7,8,9},A183,ROW(INDIRECT("1:"&amp;LEN(A183)))),1))," ",REPT(" ",LEN(A183))),LEN(A183)))</f>
        <v>3</v>
      </c>
    </row>
    <row r="184" spans="1:23" s="2" customFormat="1" ht="15.65" customHeight="1" x14ac:dyDescent="0.35">
      <c r="A184" s="162" t="s">
        <v>196</v>
      </c>
      <c r="B184" s="162"/>
      <c r="C184" s="38" t="s">
        <v>183</v>
      </c>
      <c r="D184" s="38">
        <f>((2.9*3.11+2.1*1.7+1.95*1.1+0.8)+(2.9*1+2.1*0.75+1.7*0.6))*10.764</f>
        <v>226.356156</v>
      </c>
      <c r="E184" s="38">
        <v>0</v>
      </c>
      <c r="F184" s="38">
        <v>328</v>
      </c>
      <c r="G184" s="116" t="str">
        <f>A183</f>
        <v>1st , 2nd &amp; 3rd Floor for Residential</v>
      </c>
      <c r="H184" s="117"/>
      <c r="I184" s="37"/>
      <c r="J184" s="36"/>
      <c r="K184" s="36"/>
      <c r="S184" s="113" t="e">
        <f ca="1">V184&amp;""&amp;#REF!&amp;""&amp;W184</f>
        <v>#REF!</v>
      </c>
      <c r="T184" s="113"/>
      <c r="U184" s="28">
        <v>1</v>
      </c>
      <c r="V184" s="2">
        <f ca="1">(SUMPRODUCT(MID(0&amp;V183, LARGE(INDEX(ISNUMBER(--MID(V183, ROW(INDIRECT("1:"&amp;LEN(V183))), 1)) * ROW(INDIRECT("1:"&amp;LEN(V183))), 0), ROW(INDIRECT("1:"&amp;LEN(V183))))+1, 1) * 10^ROW(INDIRECT("1:"&amp;LEN(V183)))/10))*U184*100+1</f>
        <v>101</v>
      </c>
      <c r="W184" s="2">
        <f ca="1">(SUMPRODUCT(MID(0&amp;W183, LARGE(INDEX(ISNUMBER(--MID(W183, ROW(INDIRECT("1:"&amp;LEN(W183))), 1)) * ROW(INDIRECT("1:"&amp;LEN(W183))), 0), ROW(INDIRECT("1:"&amp;LEN(W183))))+1, 1) * 10^ROW(INDIRECT("1:"&amp;LEN(W183)))/10))*U184*100+1</f>
        <v>301</v>
      </c>
    </row>
    <row r="185" spans="1:23" s="2" customFormat="1" ht="15.65" customHeight="1" x14ac:dyDescent="0.35">
      <c r="A185" s="162" t="s">
        <v>197</v>
      </c>
      <c r="B185" s="162"/>
      <c r="C185" s="38" t="s">
        <v>183</v>
      </c>
      <c r="D185" s="38">
        <f>((2.9*3.25+2.1*1.7+1.95*1.1+0.8)+(2.9*1+2.1*0.75+1.7*0.6))*10.764</f>
        <v>230.72633999999996</v>
      </c>
      <c r="E185" s="38">
        <v>0</v>
      </c>
      <c r="F185" s="38">
        <v>344</v>
      </c>
      <c r="G185" s="118"/>
      <c r="H185" s="119"/>
      <c r="I185" s="37"/>
      <c r="J185" s="36"/>
      <c r="K185" s="36"/>
      <c r="S185" s="113" t="e">
        <f ca="1">V185&amp;""&amp;#REF!&amp;""&amp;W185</f>
        <v>#REF!</v>
      </c>
      <c r="T185" s="113"/>
      <c r="U185" s="28">
        <f t="shared" ref="U185:W185" si="15">U184+1</f>
        <v>2</v>
      </c>
      <c r="V185" s="2">
        <f t="shared" ca="1" si="15"/>
        <v>102</v>
      </c>
      <c r="W185" s="2">
        <f t="shared" ca="1" si="15"/>
        <v>302</v>
      </c>
    </row>
    <row r="186" spans="1:23" s="2" customFormat="1" ht="15.65" customHeight="1" x14ac:dyDescent="0.35">
      <c r="A186" s="162" t="s">
        <v>198</v>
      </c>
      <c r="B186" s="162"/>
      <c r="C186" s="38" t="s">
        <v>183</v>
      </c>
      <c r="D186" s="38">
        <f>((2.9*3.25+2.1*1.7+1.2*0.9+1.1*1.2+0.9*0.9+0.8)+(2.9*1+2.1*0.75))*10.764</f>
        <v>231.21071999999995</v>
      </c>
      <c r="E186" s="38">
        <v>0</v>
      </c>
      <c r="F186" s="38">
        <v>344</v>
      </c>
      <c r="G186" s="118"/>
      <c r="H186" s="119"/>
      <c r="I186" s="37"/>
      <c r="J186" s="36"/>
      <c r="K186" s="36"/>
      <c r="S186" s="113" t="e">
        <f ca="1">V186&amp;""&amp;#REF!&amp;""&amp;W186</f>
        <v>#REF!</v>
      </c>
      <c r="T186" s="113"/>
      <c r="U186" s="28">
        <f t="shared" ref="U186:W186" si="16">U185+1</f>
        <v>3</v>
      </c>
      <c r="V186" s="2">
        <f t="shared" ca="1" si="16"/>
        <v>103</v>
      </c>
      <c r="W186" s="2">
        <f t="shared" ca="1" si="16"/>
        <v>303</v>
      </c>
    </row>
    <row r="187" spans="1:23" s="2" customFormat="1" ht="15.65" customHeight="1" x14ac:dyDescent="0.35">
      <c r="A187" s="162" t="s">
        <v>199</v>
      </c>
      <c r="B187" s="162"/>
      <c r="C187" s="38" t="s">
        <v>183</v>
      </c>
      <c r="D187" s="38">
        <f>((2.9*3.11+2.1*1.7+1.2*0.9+1.1*1.2+0.9*0.9+0.8)+(2.9*1+2.1*0.75))*10.764</f>
        <v>226.84053599999996</v>
      </c>
      <c r="E187" s="38">
        <v>0</v>
      </c>
      <c r="F187" s="38">
        <v>328</v>
      </c>
      <c r="G187" s="120"/>
      <c r="H187" s="121"/>
      <c r="I187" s="37"/>
      <c r="J187" s="36"/>
      <c r="K187" s="36"/>
      <c r="S187" s="113" t="e">
        <f ca="1">V187&amp;""&amp;#REF!&amp;""&amp;W187</f>
        <v>#REF!</v>
      </c>
      <c r="T187" s="113"/>
      <c r="U187" s="28">
        <f t="shared" ref="U187:W187" si="17">U186+1</f>
        <v>4</v>
      </c>
      <c r="V187" s="2">
        <f t="shared" ca="1" si="17"/>
        <v>104</v>
      </c>
      <c r="W187" s="2">
        <f t="shared" ca="1" si="17"/>
        <v>304</v>
      </c>
    </row>
    <row r="188" spans="1:23" s="2" customFormat="1" x14ac:dyDescent="0.35">
      <c r="A188" s="161" t="s">
        <v>186</v>
      </c>
      <c r="B188" s="161"/>
      <c r="C188" s="161"/>
      <c r="D188" s="161"/>
      <c r="E188" s="161"/>
      <c r="F188" s="161"/>
      <c r="G188" s="161"/>
      <c r="H188" s="161"/>
      <c r="I188" s="37"/>
      <c r="J188" s="36"/>
      <c r="K188" s="36"/>
      <c r="S188" s="113"/>
      <c r="T188" s="113"/>
      <c r="V188" s="2" t="str">
        <f>LEFT(A188,SUM(LEN(A188)-LEN(SUBSTITUTE(A188,{"0","1","2","3","4","5","6","7","8","9"},""))))</f>
        <v>4</v>
      </c>
    </row>
    <row r="189" spans="1:23" s="2" customFormat="1" x14ac:dyDescent="0.35">
      <c r="A189" s="162">
        <f t="shared" ref="A189:A192" ca="1" si="18">S189</f>
        <v>401</v>
      </c>
      <c r="B189" s="162"/>
      <c r="C189" s="38" t="s">
        <v>183</v>
      </c>
      <c r="D189" s="38">
        <f>((2.9*3.11+2.1*1.7+1.95*1.1+0.8)+(2.9*1+2.1*0.75+1.7*0.6))*10.764</f>
        <v>226.356156</v>
      </c>
      <c r="E189" s="38">
        <v>0</v>
      </c>
      <c r="F189" s="38">
        <v>328</v>
      </c>
      <c r="G189" s="116" t="str">
        <f>A188</f>
        <v>4th Floor</v>
      </c>
      <c r="H189" s="117"/>
      <c r="I189" s="37"/>
      <c r="J189" s="36"/>
      <c r="K189" s="36"/>
      <c r="S189" s="113">
        <f t="shared" ref="S189:S192" ca="1" si="19">V189</f>
        <v>401</v>
      </c>
      <c r="T189" s="113"/>
      <c r="U189" s="28">
        <v>1</v>
      </c>
      <c r="V189" s="2">
        <f ca="1">(SUMPRODUCT(MID(0&amp;V188, LARGE(INDEX(ISNUMBER(--MID(V188, ROW(INDIRECT("1:"&amp;LEN(V188))), 1)) * ROW(INDIRECT("1:"&amp;LEN(V188))), 0), ROW(INDIRECT("1:"&amp;LEN(V188))))+1, 1) * 10^ROW(INDIRECT("1:"&amp;LEN(V188)))/10))*U189*100+1</f>
        <v>401</v>
      </c>
    </row>
    <row r="190" spans="1:23" s="2" customFormat="1" x14ac:dyDescent="0.35">
      <c r="A190" s="162">
        <f t="shared" ca="1" si="18"/>
        <v>402</v>
      </c>
      <c r="B190" s="162"/>
      <c r="C190" s="38" t="s">
        <v>183</v>
      </c>
      <c r="D190" s="38">
        <f>((2.9*3.25+2.1*1.7+1.95*1.1+0.8)+(2.9*1+2.1*0.75+1.7*0.6))*10.764</f>
        <v>230.72633999999996</v>
      </c>
      <c r="E190" s="38">
        <v>0</v>
      </c>
      <c r="F190" s="38">
        <v>344</v>
      </c>
      <c r="G190" s="118"/>
      <c r="H190" s="119"/>
      <c r="I190" s="37"/>
      <c r="J190" s="36"/>
      <c r="K190" s="36"/>
      <c r="S190" s="113">
        <f t="shared" ca="1" si="19"/>
        <v>402</v>
      </c>
      <c r="T190" s="113"/>
      <c r="U190" s="28">
        <f>U189+1</f>
        <v>2</v>
      </c>
      <c r="V190" s="2">
        <f ca="1">V189+1</f>
        <v>402</v>
      </c>
    </row>
    <row r="191" spans="1:23" s="2" customFormat="1" x14ac:dyDescent="0.35">
      <c r="A191" s="162">
        <f t="shared" ca="1" si="18"/>
        <v>403</v>
      </c>
      <c r="B191" s="162"/>
      <c r="C191" s="38" t="s">
        <v>183</v>
      </c>
      <c r="D191" s="38">
        <f>((2.9*3.25+2.1*1.7+1.2*0.9+1.1*1.2+0.9*0.9+0.8)+(2.9*1+2.1*0.75))*10.764</f>
        <v>231.21071999999995</v>
      </c>
      <c r="E191" s="38">
        <v>0</v>
      </c>
      <c r="F191" s="38">
        <v>344</v>
      </c>
      <c r="G191" s="118"/>
      <c r="H191" s="119"/>
      <c r="I191" s="37"/>
      <c r="J191" s="36"/>
      <c r="K191" s="36"/>
      <c r="S191" s="113">
        <f t="shared" ca="1" si="19"/>
        <v>403</v>
      </c>
      <c r="T191" s="113"/>
      <c r="U191" s="28">
        <f>U190+1</f>
        <v>3</v>
      </c>
      <c r="V191" s="2">
        <f ca="1">V190+1</f>
        <v>403</v>
      </c>
    </row>
    <row r="192" spans="1:23" s="2" customFormat="1" x14ac:dyDescent="0.35">
      <c r="A192" s="162">
        <f t="shared" ca="1" si="18"/>
        <v>404</v>
      </c>
      <c r="B192" s="162"/>
      <c r="C192" s="38" t="s">
        <v>183</v>
      </c>
      <c r="D192" s="38">
        <f>((2.9*3.11+2.1*1.7+1.2*0.9+1.1*1.2+0.9*0.9+0.8)+(2.9*1+2.1*0.75))*10.764</f>
        <v>226.84053599999996</v>
      </c>
      <c r="E192" s="38">
        <v>0</v>
      </c>
      <c r="F192" s="38">
        <v>328</v>
      </c>
      <c r="G192" s="120"/>
      <c r="H192" s="121"/>
      <c r="I192" s="37"/>
      <c r="J192" s="36"/>
      <c r="K192" s="36"/>
      <c r="S192" s="113">
        <f t="shared" ca="1" si="19"/>
        <v>404</v>
      </c>
      <c r="T192" s="113"/>
      <c r="U192" s="28">
        <f t="shared" ref="U192:V192" si="20">U191+1</f>
        <v>4</v>
      </c>
      <c r="V192" s="2">
        <f t="shared" ca="1" si="20"/>
        <v>404</v>
      </c>
    </row>
    <row r="193" spans="1:23" s="2" customFormat="1" x14ac:dyDescent="0.35">
      <c r="A193" s="123" t="s">
        <v>182</v>
      </c>
      <c r="B193" s="124"/>
      <c r="C193" s="124"/>
      <c r="D193" s="124"/>
      <c r="E193" s="124"/>
      <c r="F193" s="124"/>
      <c r="G193" s="124"/>
      <c r="H193" s="125"/>
      <c r="I193" s="37"/>
      <c r="J193" s="36"/>
      <c r="K193" s="36"/>
      <c r="U193" s="28"/>
    </row>
    <row r="194" spans="1:23" s="2" customFormat="1" ht="15.75" customHeight="1" x14ac:dyDescent="0.35">
      <c r="A194" s="123" t="s">
        <v>190</v>
      </c>
      <c r="B194" s="124"/>
      <c r="C194" s="124"/>
      <c r="D194" s="124"/>
      <c r="E194" s="124"/>
      <c r="F194" s="124"/>
      <c r="G194" s="124"/>
      <c r="H194" s="125"/>
      <c r="I194" s="37"/>
      <c r="J194" s="36"/>
      <c r="K194" s="36"/>
      <c r="S194" s="113" t="s">
        <v>163</v>
      </c>
      <c r="T194" s="113"/>
      <c r="V194" s="2" t="str">
        <f>LEFT(A194,SUM(LEN(A194)-LEN(SUBSTITUTE(A194,{"0","1","2","3","4","5","6","7","8","9"},""))))</f>
        <v>1st</v>
      </c>
      <c r="W194" s="2">
        <f ca="1">--TRIM(RIGHT(SUBSTITUTE(LEFT(A194,_xlfn.AGGREGATE(16,6,FIND({0,1,2,3,4,5,6,7,8,9},A194,ROW(INDIRECT("1:"&amp;LEN(A194)))),1))," ",REPT(" ",LEN(A194))),LEN(A194)))</f>
        <v>3</v>
      </c>
    </row>
    <row r="195" spans="1:23" s="2" customFormat="1" ht="15.65" customHeight="1" x14ac:dyDescent="0.35">
      <c r="A195" s="162" t="s">
        <v>196</v>
      </c>
      <c r="B195" s="162"/>
      <c r="C195" s="38" t="s">
        <v>183</v>
      </c>
      <c r="D195" s="38">
        <f>((2.9*3.11+2.1*1.7+1.2*0.9+1.1*1.2+0.9*0.9+0.8)+(2.9*1+2.1*0.75))*10.764</f>
        <v>226.84053599999996</v>
      </c>
      <c r="E195" s="38">
        <v>0</v>
      </c>
      <c r="F195" s="38">
        <v>344</v>
      </c>
      <c r="G195" s="116" t="str">
        <f>A194</f>
        <v>1st , 2nd &amp; 3rd Floor for Residential</v>
      </c>
      <c r="H195" s="117"/>
      <c r="I195" s="37"/>
      <c r="J195" s="36"/>
      <c r="K195" s="36"/>
      <c r="S195" s="113" t="e">
        <f ca="1">V195&amp;""&amp;#REF!&amp;""&amp;W195</f>
        <v>#REF!</v>
      </c>
      <c r="T195" s="113"/>
      <c r="U195" s="28">
        <v>1</v>
      </c>
      <c r="V195" s="2">
        <f ca="1">(SUMPRODUCT(MID(0&amp;V194, LARGE(INDEX(ISNUMBER(--MID(V194, ROW(INDIRECT("1:"&amp;LEN(V194))), 1)) * ROW(INDIRECT("1:"&amp;LEN(V194))), 0), ROW(INDIRECT("1:"&amp;LEN(V194))))+1, 1) * 10^ROW(INDIRECT("1:"&amp;LEN(V194)))/10))*U195*100+1</f>
        <v>101</v>
      </c>
      <c r="W195" s="2">
        <f ca="1">(SUMPRODUCT(MID(0&amp;W194, LARGE(INDEX(ISNUMBER(--MID(W194, ROW(INDIRECT("1:"&amp;LEN(W194))), 1)) * ROW(INDIRECT("1:"&amp;LEN(W194))), 0), ROW(INDIRECT("1:"&amp;LEN(W194))))+1, 1) * 10^ROW(INDIRECT("1:"&amp;LEN(W194)))/10))*U195*100+1</f>
        <v>301</v>
      </c>
    </row>
    <row r="196" spans="1:23" s="2" customFormat="1" ht="15.65" customHeight="1" x14ac:dyDescent="0.35">
      <c r="A196" s="162" t="s">
        <v>197</v>
      </c>
      <c r="B196" s="162"/>
      <c r="C196" s="38" t="s">
        <v>183</v>
      </c>
      <c r="D196" s="38">
        <f>((2.9*3.25+2.1*1.7+1.2*0.9+1.1*1.2+0.9*0.9+0.8)+(2.9*0.75+2.1*0.75))*10.764</f>
        <v>223.40681999999998</v>
      </c>
      <c r="E196" s="38">
        <v>0</v>
      </c>
      <c r="F196" s="38">
        <v>326</v>
      </c>
      <c r="G196" s="118"/>
      <c r="H196" s="119"/>
      <c r="I196" s="37"/>
      <c r="J196" s="36"/>
      <c r="K196" s="36"/>
      <c r="S196" s="113" t="e">
        <f ca="1">V196&amp;""&amp;#REF!&amp;""&amp;W196</f>
        <v>#REF!</v>
      </c>
      <c r="T196" s="113"/>
      <c r="U196" s="28">
        <f t="shared" ref="U196:W196" si="21">U195+1</f>
        <v>2</v>
      </c>
      <c r="V196" s="2">
        <f t="shared" ca="1" si="21"/>
        <v>102</v>
      </c>
      <c r="W196" s="2">
        <f t="shared" ca="1" si="21"/>
        <v>302</v>
      </c>
    </row>
    <row r="197" spans="1:23" s="2" customFormat="1" ht="15.65" customHeight="1" x14ac:dyDescent="0.35">
      <c r="A197" s="162" t="s">
        <v>198</v>
      </c>
      <c r="B197" s="162"/>
      <c r="C197" s="38" t="s">
        <v>183</v>
      </c>
      <c r="D197" s="38">
        <f>((2.9*3.11+2.1*1.7+1.95*1.1+0.8)+(2.9*0.75+2.1*0.75+1.7*0.6))*10.764</f>
        <v>218.552256</v>
      </c>
      <c r="E197" s="38">
        <v>0</v>
      </c>
      <c r="F197" s="38">
        <v>317</v>
      </c>
      <c r="G197" s="118"/>
      <c r="H197" s="119"/>
      <c r="I197" s="37"/>
      <c r="J197" s="36"/>
      <c r="K197" s="36"/>
      <c r="S197" s="113" t="e">
        <f ca="1">V197&amp;""&amp;#REF!&amp;""&amp;W197</f>
        <v>#REF!</v>
      </c>
      <c r="T197" s="113"/>
      <c r="U197" s="28">
        <f t="shared" ref="U197:W197" si="22">U196+1</f>
        <v>3</v>
      </c>
      <c r="V197" s="2">
        <f t="shared" ca="1" si="22"/>
        <v>103</v>
      </c>
      <c r="W197" s="2">
        <f t="shared" ca="1" si="22"/>
        <v>303</v>
      </c>
    </row>
    <row r="198" spans="1:23" s="2" customFormat="1" ht="15.65" customHeight="1" x14ac:dyDescent="0.35">
      <c r="A198" s="162" t="s">
        <v>199</v>
      </c>
      <c r="B198" s="162"/>
      <c r="C198" s="38" t="s">
        <v>181</v>
      </c>
      <c r="D198" s="38">
        <f>((2.9*3.11+2.1*2.1+2.75*3.1+1.95*1.2+0.8)+(2.9*1+2.1*1+2.5*0.6+2.75*0.75))*10.764</f>
        <v>362.27856600000001</v>
      </c>
      <c r="E198" s="38">
        <v>0</v>
      </c>
      <c r="F198" s="38">
        <v>529</v>
      </c>
      <c r="G198" s="120"/>
      <c r="H198" s="121"/>
      <c r="I198" s="37"/>
      <c r="J198" s="36"/>
      <c r="K198" s="36"/>
      <c r="S198" s="113" t="e">
        <f ca="1">V198&amp;""&amp;#REF!&amp;""&amp;W198</f>
        <v>#REF!</v>
      </c>
      <c r="T198" s="113"/>
      <c r="U198" s="28">
        <f t="shared" ref="U198:W198" si="23">U197+1</f>
        <v>4</v>
      </c>
      <c r="V198" s="2">
        <f t="shared" ca="1" si="23"/>
        <v>104</v>
      </c>
      <c r="W198" s="2">
        <f t="shared" ca="1" si="23"/>
        <v>304</v>
      </c>
    </row>
    <row r="199" spans="1:23" s="2" customFormat="1" x14ac:dyDescent="0.35">
      <c r="A199" s="161" t="s">
        <v>188</v>
      </c>
      <c r="B199" s="161"/>
      <c r="C199" s="161"/>
      <c r="D199" s="161"/>
      <c r="E199" s="161"/>
      <c r="F199" s="161"/>
      <c r="G199" s="161"/>
      <c r="H199" s="161"/>
      <c r="I199" s="37"/>
      <c r="J199" s="36"/>
      <c r="K199" s="36"/>
      <c r="S199" s="113"/>
      <c r="T199" s="113"/>
      <c r="V199" s="2" t="str">
        <f>LEFT(A199,SUM(LEN(A199)-LEN(SUBSTITUTE(A199,{"0","1","2","3","4","5","6","7","8","9"},""))))</f>
        <v>4</v>
      </c>
    </row>
    <row r="200" spans="1:23" s="2" customFormat="1" ht="15.65" customHeight="1" x14ac:dyDescent="0.35">
      <c r="A200" s="162">
        <f t="shared" ref="A200:A203" ca="1" si="24">S200</f>
        <v>401</v>
      </c>
      <c r="B200" s="162"/>
      <c r="C200" s="38" t="s">
        <v>183</v>
      </c>
      <c r="D200" s="38">
        <f>((2.9*3.11+2.1*1.7+1.2*0.9+1.1*1.2+0.9*0.9+0.8)+(2.9*1+2.1*0.75))*10.764</f>
        <v>226.84053599999996</v>
      </c>
      <c r="E200" s="38">
        <v>0</v>
      </c>
      <c r="F200" s="38">
        <v>344</v>
      </c>
      <c r="G200" s="116" t="str">
        <f>A199</f>
        <v>4th Floor(Part Terrace Floor)</v>
      </c>
      <c r="H200" s="117"/>
      <c r="I200" s="37"/>
      <c r="J200" s="36"/>
      <c r="K200" s="36"/>
      <c r="S200" s="113">
        <f t="shared" ref="S200:S203" ca="1" si="25">V200</f>
        <v>401</v>
      </c>
      <c r="T200" s="113"/>
      <c r="U200" s="28">
        <v>1</v>
      </c>
      <c r="V200" s="2">
        <f ca="1">(SUMPRODUCT(MID(0&amp;V199, LARGE(INDEX(ISNUMBER(--MID(V199, ROW(INDIRECT("1:"&amp;LEN(V199))), 1)) * ROW(INDIRECT("1:"&amp;LEN(V199))), 0), ROW(INDIRECT("1:"&amp;LEN(V199))))+1, 1) * 10^ROW(INDIRECT("1:"&amp;LEN(V199)))/10))*U200*100+1</f>
        <v>401</v>
      </c>
    </row>
    <row r="201" spans="1:23" s="2" customFormat="1" ht="15.65" customHeight="1" x14ac:dyDescent="0.35">
      <c r="A201" s="162">
        <f t="shared" ca="1" si="24"/>
        <v>402</v>
      </c>
      <c r="B201" s="162"/>
      <c r="C201" s="38" t="s">
        <v>183</v>
      </c>
      <c r="D201" s="38">
        <f>((2.9*3.25+2.1*1.7+1.2*0.9+1.1*1.2+0.9*0.9+0.8)+(2.9*0.75+2.1*0.75))*10.764</f>
        <v>223.40681999999998</v>
      </c>
      <c r="E201" s="38">
        <v>0</v>
      </c>
      <c r="F201" s="38">
        <v>326</v>
      </c>
      <c r="G201" s="118"/>
      <c r="H201" s="119"/>
      <c r="I201" s="37"/>
      <c r="J201" s="36"/>
      <c r="K201" s="36"/>
      <c r="S201" s="113">
        <f t="shared" ca="1" si="25"/>
        <v>402</v>
      </c>
      <c r="T201" s="113"/>
      <c r="U201" s="28">
        <f>U200+1</f>
        <v>2</v>
      </c>
      <c r="V201" s="2">
        <f ca="1">V200+1</f>
        <v>402</v>
      </c>
    </row>
    <row r="202" spans="1:23" s="2" customFormat="1" ht="15.65" customHeight="1" x14ac:dyDescent="0.35">
      <c r="A202" s="162">
        <f t="shared" ca="1" si="24"/>
        <v>403</v>
      </c>
      <c r="B202" s="162"/>
      <c r="C202" s="114" t="s">
        <v>187</v>
      </c>
      <c r="D202" s="163"/>
      <c r="E202" s="163"/>
      <c r="F202" s="115"/>
      <c r="G202" s="118"/>
      <c r="H202" s="119"/>
      <c r="I202" s="37"/>
      <c r="J202" s="36"/>
      <c r="K202" s="36"/>
      <c r="S202" s="113">
        <f t="shared" ca="1" si="25"/>
        <v>403</v>
      </c>
      <c r="T202" s="113"/>
      <c r="U202" s="28">
        <f>U201+1</f>
        <v>3</v>
      </c>
      <c r="V202" s="2">
        <f ca="1">V201+1</f>
        <v>403</v>
      </c>
    </row>
    <row r="203" spans="1:23" s="2" customFormat="1" ht="15.65" customHeight="1" x14ac:dyDescent="0.35">
      <c r="A203" s="162">
        <f t="shared" ca="1" si="24"/>
        <v>404</v>
      </c>
      <c r="B203" s="162"/>
      <c r="C203" s="38" t="s">
        <v>181</v>
      </c>
      <c r="D203" s="38">
        <f>((2.9*3.11+2.1*2.1+2.75*3.1+1.95*1.2+0.8)+(2.9*1+2.1*1+2.5*0.6+2.75*0.75))*10.764</f>
        <v>362.27856600000001</v>
      </c>
      <c r="E203" s="38">
        <v>0</v>
      </c>
      <c r="F203" s="38">
        <v>529</v>
      </c>
      <c r="G203" s="120"/>
      <c r="H203" s="121"/>
      <c r="I203" s="37"/>
      <c r="J203" s="36"/>
      <c r="K203" s="36"/>
      <c r="S203" s="113">
        <f t="shared" ca="1" si="25"/>
        <v>404</v>
      </c>
      <c r="T203" s="113"/>
      <c r="U203" s="28">
        <f t="shared" ref="U203:V203" si="26">U202+1</f>
        <v>4</v>
      </c>
      <c r="V203" s="2">
        <f t="shared" ca="1" si="26"/>
        <v>404</v>
      </c>
    </row>
    <row r="204" spans="1:23" s="1" customFormat="1" x14ac:dyDescent="0.35">
      <c r="A204" s="156" t="s">
        <v>79</v>
      </c>
      <c r="B204" s="156"/>
      <c r="C204" s="156"/>
      <c r="D204" s="156"/>
      <c r="E204" s="156"/>
      <c r="F204" s="156"/>
      <c r="G204" s="156"/>
      <c r="H204" s="156"/>
      <c r="I204" s="33"/>
      <c r="J204" s="33"/>
      <c r="K204" s="33"/>
    </row>
    <row r="205" spans="1:23" s="10" customFormat="1" ht="156" customHeight="1" x14ac:dyDescent="0.35">
      <c r="A205" s="157" t="s">
        <v>262</v>
      </c>
      <c r="B205" s="157"/>
      <c r="C205" s="157"/>
      <c r="D205" s="157"/>
      <c r="E205" s="157"/>
      <c r="F205" s="157"/>
      <c r="G205" s="157"/>
      <c r="H205" s="157"/>
      <c r="I205" s="39"/>
      <c r="J205" s="39"/>
      <c r="K205" s="39"/>
    </row>
    <row r="206" spans="1:23" x14ac:dyDescent="0.35">
      <c r="A206" s="158" t="s">
        <v>70</v>
      </c>
      <c r="B206" s="158"/>
      <c r="C206" s="158"/>
      <c r="D206" s="158"/>
      <c r="E206" s="158"/>
      <c r="F206" s="158"/>
      <c r="G206" s="158"/>
      <c r="H206" s="158"/>
      <c r="I206" s="11"/>
      <c r="J206" s="11"/>
      <c r="K206" s="11"/>
    </row>
    <row r="207" spans="1:23" x14ac:dyDescent="0.35">
      <c r="A207" s="105" t="s">
        <v>71</v>
      </c>
      <c r="B207" s="105"/>
      <c r="C207" s="105"/>
      <c r="D207" s="105"/>
      <c r="E207" s="105"/>
      <c r="F207" s="105"/>
      <c r="G207" s="105"/>
      <c r="H207" s="105"/>
      <c r="I207" s="11"/>
      <c r="J207" s="11"/>
      <c r="K207" s="11"/>
    </row>
    <row r="208" spans="1:23" ht="15.75" customHeight="1" x14ac:dyDescent="0.35">
      <c r="A208" s="158" t="s">
        <v>72</v>
      </c>
      <c r="B208" s="158"/>
      <c r="C208" s="158"/>
      <c r="D208" s="158"/>
      <c r="E208" s="158"/>
      <c r="F208" s="158"/>
      <c r="G208" s="158"/>
      <c r="H208" s="158"/>
      <c r="I208" s="11"/>
      <c r="J208" s="11"/>
      <c r="K208" s="11"/>
    </row>
    <row r="209" spans="1:11" x14ac:dyDescent="0.35">
      <c r="A209" s="105" t="s">
        <v>73</v>
      </c>
      <c r="B209" s="105"/>
      <c r="C209" s="105"/>
      <c r="D209" s="105"/>
      <c r="E209" s="105"/>
      <c r="F209" s="105"/>
      <c r="G209" s="105"/>
      <c r="H209" s="105"/>
      <c r="I209" s="11"/>
      <c r="J209" s="11"/>
      <c r="K209" s="11"/>
    </row>
    <row r="210" spans="1:11" x14ac:dyDescent="0.35">
      <c r="A210" s="105" t="s">
        <v>74</v>
      </c>
      <c r="B210" s="105"/>
      <c r="C210" s="105"/>
      <c r="D210" s="105"/>
      <c r="E210" s="105"/>
      <c r="F210" s="105"/>
      <c r="G210" s="105"/>
      <c r="H210" s="105"/>
      <c r="I210" s="11"/>
      <c r="J210" s="11"/>
      <c r="K210" s="11"/>
    </row>
    <row r="211" spans="1:11" x14ac:dyDescent="0.35">
      <c r="A211" s="105" t="s">
        <v>75</v>
      </c>
      <c r="B211" s="105"/>
      <c r="C211" s="105"/>
      <c r="D211" s="105"/>
      <c r="E211" s="105"/>
      <c r="F211" s="105"/>
      <c r="G211" s="105"/>
      <c r="H211" s="105"/>
      <c r="I211" s="11"/>
      <c r="J211" s="11"/>
      <c r="K211" s="11"/>
    </row>
    <row r="212" spans="1:11" ht="35.25" customHeight="1" x14ac:dyDescent="0.35">
      <c r="A212" s="126" t="s">
        <v>76</v>
      </c>
      <c r="B212" s="126"/>
      <c r="C212" s="126"/>
      <c r="D212" s="126"/>
      <c r="E212" s="126"/>
      <c r="F212" s="126"/>
      <c r="G212" s="126"/>
      <c r="H212" s="126"/>
      <c r="I212" s="11"/>
      <c r="J212" s="11"/>
      <c r="K212" s="11"/>
    </row>
    <row r="213" spans="1:11" x14ac:dyDescent="0.35">
      <c r="A213" s="139" t="s">
        <v>113</v>
      </c>
      <c r="B213" s="139"/>
      <c r="C213" s="139" t="s">
        <v>260</v>
      </c>
      <c r="D213" s="139"/>
      <c r="E213" s="139" t="s">
        <v>149</v>
      </c>
      <c r="F213" s="139"/>
      <c r="G213" s="139" t="s">
        <v>263</v>
      </c>
      <c r="H213" s="139"/>
      <c r="I213" s="11"/>
      <c r="J213" s="11"/>
      <c r="K213" s="11"/>
    </row>
    <row r="214" spans="1:11" x14ac:dyDescent="0.35">
      <c r="A214" s="138" t="s">
        <v>115</v>
      </c>
      <c r="B214" s="138"/>
      <c r="C214" s="138"/>
      <c r="D214" s="138"/>
      <c r="E214" s="138"/>
      <c r="F214" s="138"/>
      <c r="G214" s="138"/>
      <c r="H214" s="138"/>
      <c r="I214" s="11"/>
      <c r="J214" s="11"/>
      <c r="K214" s="11"/>
    </row>
    <row r="215" spans="1:11" x14ac:dyDescent="0.35">
      <c r="A215" s="138"/>
      <c r="B215" s="138"/>
      <c r="C215" s="138"/>
      <c r="D215" s="138"/>
      <c r="E215" s="138"/>
      <c r="F215" s="138"/>
      <c r="G215" s="138"/>
      <c r="H215" s="138"/>
      <c r="I215" s="11"/>
      <c r="J215" s="11"/>
      <c r="K215" s="11"/>
    </row>
    <row r="216" spans="1:11" x14ac:dyDescent="0.35">
      <c r="A216" s="138"/>
      <c r="B216" s="138"/>
      <c r="C216" s="138"/>
      <c r="D216" s="138"/>
      <c r="E216" s="138"/>
      <c r="F216" s="138"/>
      <c r="G216" s="138"/>
      <c r="H216" s="138"/>
      <c r="I216" s="11"/>
      <c r="J216" s="11"/>
      <c r="K216" s="11"/>
    </row>
    <row r="217" spans="1:11" x14ac:dyDescent="0.35">
      <c r="A217" s="138"/>
      <c r="B217" s="138"/>
      <c r="C217" s="138"/>
      <c r="D217" s="138"/>
      <c r="E217" s="138"/>
      <c r="F217" s="138"/>
      <c r="G217" s="138"/>
      <c r="H217" s="138"/>
      <c r="I217" s="11"/>
      <c r="J217" s="11"/>
      <c r="K217" s="11"/>
    </row>
    <row r="218" spans="1:11" x14ac:dyDescent="0.35">
      <c r="A218" s="68" t="s">
        <v>77</v>
      </c>
      <c r="B218" s="69"/>
      <c r="C218" s="69"/>
      <c r="D218" s="68" t="str">
        <f>E8</f>
        <v>Shree Ganesh Residency</v>
      </c>
      <c r="E218" s="70"/>
      <c r="F218" s="69"/>
      <c r="G218" s="69"/>
      <c r="H218" s="69"/>
      <c r="I218" s="11"/>
      <c r="J218" s="11"/>
      <c r="K218" s="11"/>
    </row>
    <row r="219" spans="1:11" x14ac:dyDescent="0.35">
      <c r="A219" s="71"/>
      <c r="B219" s="71"/>
      <c r="C219" s="71"/>
      <c r="D219" s="71"/>
      <c r="E219" s="71"/>
      <c r="F219" s="71"/>
      <c r="G219" s="71"/>
      <c r="H219" s="71"/>
    </row>
    <row r="220" spans="1:11" x14ac:dyDescent="0.35">
      <c r="A220" s="71"/>
      <c r="B220" s="71"/>
      <c r="C220" s="71"/>
      <c r="D220" s="71"/>
      <c r="E220" s="71"/>
      <c r="F220" s="71"/>
      <c r="G220" s="71"/>
      <c r="H220" s="71"/>
    </row>
    <row r="221" spans="1:11" ht="15" customHeight="1" x14ac:dyDescent="0.35"/>
    <row r="261" spans="1:1" x14ac:dyDescent="0.35">
      <c r="A261" s="72" t="s">
        <v>78</v>
      </c>
    </row>
  </sheetData>
  <mergeCells count="419">
    <mergeCell ref="A84:B84"/>
    <mergeCell ref="A85:B85"/>
    <mergeCell ref="A86:B86"/>
    <mergeCell ref="A87:B87"/>
    <mergeCell ref="A151:H151"/>
    <mergeCell ref="A141:B141"/>
    <mergeCell ref="A142:B142"/>
    <mergeCell ref="A143:B143"/>
    <mergeCell ref="A177:B177"/>
    <mergeCell ref="C128:D128"/>
    <mergeCell ref="E128:F128"/>
    <mergeCell ref="G128:H128"/>
    <mergeCell ref="E129:F129"/>
    <mergeCell ref="G153:H156"/>
    <mergeCell ref="G165:H168"/>
    <mergeCell ref="A138:H138"/>
    <mergeCell ref="A131:B131"/>
    <mergeCell ref="C131:D131"/>
    <mergeCell ref="E131:F131"/>
    <mergeCell ref="G131:H131"/>
    <mergeCell ref="A132:B132"/>
    <mergeCell ref="C132:D132"/>
    <mergeCell ref="E132:F132"/>
    <mergeCell ref="G132:H132"/>
    <mergeCell ref="A157:H157"/>
    <mergeCell ref="A158:H158"/>
    <mergeCell ref="A168:B168"/>
    <mergeCell ref="A193:H193"/>
    <mergeCell ref="A194:H194"/>
    <mergeCell ref="S194:T194"/>
    <mergeCell ref="S200:T200"/>
    <mergeCell ref="A201:B201"/>
    <mergeCell ref="S201:T201"/>
    <mergeCell ref="S188:T188"/>
    <mergeCell ref="A189:B189"/>
    <mergeCell ref="S189:T189"/>
    <mergeCell ref="A190:B190"/>
    <mergeCell ref="S190:T190"/>
    <mergeCell ref="A191:B191"/>
    <mergeCell ref="S191:T191"/>
    <mergeCell ref="G189:H192"/>
    <mergeCell ref="A199:H199"/>
    <mergeCell ref="A188:H188"/>
    <mergeCell ref="S183:T183"/>
    <mergeCell ref="A184:B184"/>
    <mergeCell ref="S184:T184"/>
    <mergeCell ref="A185:B185"/>
    <mergeCell ref="S185:T185"/>
    <mergeCell ref="A202:B202"/>
    <mergeCell ref="S202:T202"/>
    <mergeCell ref="A196:B196"/>
    <mergeCell ref="S196:T196"/>
    <mergeCell ref="A197:B197"/>
    <mergeCell ref="S197:T197"/>
    <mergeCell ref="A198:B198"/>
    <mergeCell ref="S198:T198"/>
    <mergeCell ref="G195:H198"/>
    <mergeCell ref="G200:H203"/>
    <mergeCell ref="S203:T203"/>
    <mergeCell ref="C202:F202"/>
    <mergeCell ref="A203:B203"/>
    <mergeCell ref="A200:B200"/>
    <mergeCell ref="A195:B195"/>
    <mergeCell ref="S195:T195"/>
    <mergeCell ref="S199:T199"/>
    <mergeCell ref="G184:H187"/>
    <mergeCell ref="S192:T192"/>
    <mergeCell ref="A192:B192"/>
    <mergeCell ref="S177:T177"/>
    <mergeCell ref="A178:B178"/>
    <mergeCell ref="S178:T178"/>
    <mergeCell ref="S186:T186"/>
    <mergeCell ref="A187:B187"/>
    <mergeCell ref="S187:T187"/>
    <mergeCell ref="A183:H183"/>
    <mergeCell ref="A186:B186"/>
    <mergeCell ref="A182:H182"/>
    <mergeCell ref="A179:B179"/>
    <mergeCell ref="S169:T169"/>
    <mergeCell ref="A170:B170"/>
    <mergeCell ref="S170:T170"/>
    <mergeCell ref="A171:B171"/>
    <mergeCell ref="S171:T171"/>
    <mergeCell ref="S172:T172"/>
    <mergeCell ref="A173:H173"/>
    <mergeCell ref="A175:H175"/>
    <mergeCell ref="A176:B176"/>
    <mergeCell ref="S176:T176"/>
    <mergeCell ref="G170:H172"/>
    <mergeCell ref="A172:B172"/>
    <mergeCell ref="G176:H181"/>
    <mergeCell ref="S168:T168"/>
    <mergeCell ref="S181:T181"/>
    <mergeCell ref="A174:H174"/>
    <mergeCell ref="S158:T158"/>
    <mergeCell ref="A159:B159"/>
    <mergeCell ref="S159:T159"/>
    <mergeCell ref="A160:B160"/>
    <mergeCell ref="S160:T160"/>
    <mergeCell ref="A161:B161"/>
    <mergeCell ref="S161:T161"/>
    <mergeCell ref="G159:H162"/>
    <mergeCell ref="S162:T162"/>
    <mergeCell ref="A163:H163"/>
    <mergeCell ref="A164:H164"/>
    <mergeCell ref="A165:B165"/>
    <mergeCell ref="S165:T165"/>
    <mergeCell ref="A166:B166"/>
    <mergeCell ref="S166:T166"/>
    <mergeCell ref="A167:B167"/>
    <mergeCell ref="S167:T167"/>
    <mergeCell ref="S179:T179"/>
    <mergeCell ref="A180:B180"/>
    <mergeCell ref="S180:T180"/>
    <mergeCell ref="A181:B181"/>
    <mergeCell ref="S155:T155"/>
    <mergeCell ref="S156:T156"/>
    <mergeCell ref="S153:T153"/>
    <mergeCell ref="S154:T154"/>
    <mergeCell ref="S152:T152"/>
    <mergeCell ref="C124:D124"/>
    <mergeCell ref="E124:F124"/>
    <mergeCell ref="G124:H124"/>
    <mergeCell ref="C126:D126"/>
    <mergeCell ref="E126:F126"/>
    <mergeCell ref="G126:H126"/>
    <mergeCell ref="G135:H135"/>
    <mergeCell ref="A136:H136"/>
    <mergeCell ref="A146:B146"/>
    <mergeCell ref="A150:B150"/>
    <mergeCell ref="A153:B153"/>
    <mergeCell ref="A154:B154"/>
    <mergeCell ref="A145:B145"/>
    <mergeCell ref="A139:B139"/>
    <mergeCell ref="A140:B140"/>
    <mergeCell ref="A155:B155"/>
    <mergeCell ref="A156:B156"/>
    <mergeCell ref="A127:B127"/>
    <mergeCell ref="C127:D127"/>
    <mergeCell ref="A211:H211"/>
    <mergeCell ref="A212:H212"/>
    <mergeCell ref="A58:C58"/>
    <mergeCell ref="D58:H58"/>
    <mergeCell ref="A204:H204"/>
    <mergeCell ref="A205:H205"/>
    <mergeCell ref="A206:H206"/>
    <mergeCell ref="A207:H207"/>
    <mergeCell ref="A134:H134"/>
    <mergeCell ref="A126:B126"/>
    <mergeCell ref="A133:H133"/>
    <mergeCell ref="A114:E114"/>
    <mergeCell ref="A116:E116"/>
    <mergeCell ref="F116:H116"/>
    <mergeCell ref="A169:H169"/>
    <mergeCell ref="A121:B121"/>
    <mergeCell ref="C121:D121"/>
    <mergeCell ref="E121:F121"/>
    <mergeCell ref="G121:H121"/>
    <mergeCell ref="A122:B122"/>
    <mergeCell ref="C122:D122"/>
    <mergeCell ref="A208:H208"/>
    <mergeCell ref="G120:H120"/>
    <mergeCell ref="A162:B162"/>
    <mergeCell ref="G46:H46"/>
    <mergeCell ref="G47:H47"/>
    <mergeCell ref="A41:D41"/>
    <mergeCell ref="E41:H41"/>
    <mergeCell ref="E42:H42"/>
    <mergeCell ref="E43:H43"/>
    <mergeCell ref="E44:H44"/>
    <mergeCell ref="A42:D42"/>
    <mergeCell ref="A27:D27"/>
    <mergeCell ref="E27:H27"/>
    <mergeCell ref="A28:D28"/>
    <mergeCell ref="A30:B30"/>
    <mergeCell ref="C31:E31"/>
    <mergeCell ref="A32:B32"/>
    <mergeCell ref="C32:E32"/>
    <mergeCell ref="A33:B33"/>
    <mergeCell ref="C33:E33"/>
    <mergeCell ref="C34:E34"/>
    <mergeCell ref="A40:D40"/>
    <mergeCell ref="E40:H40"/>
    <mergeCell ref="A44:D44"/>
    <mergeCell ref="A45:H45"/>
    <mergeCell ref="A43:D43"/>
    <mergeCell ref="A37:B37"/>
    <mergeCell ref="A25:D25"/>
    <mergeCell ref="E25:H25"/>
    <mergeCell ref="E24:H24"/>
    <mergeCell ref="A26:D26"/>
    <mergeCell ref="E26:H26"/>
    <mergeCell ref="A38:H38"/>
    <mergeCell ref="A39:D39"/>
    <mergeCell ref="E39:H39"/>
    <mergeCell ref="A36:B36"/>
    <mergeCell ref="E36:F36"/>
    <mergeCell ref="C36:D36"/>
    <mergeCell ref="G36:H36"/>
    <mergeCell ref="E28:H28"/>
    <mergeCell ref="A35:H35"/>
    <mergeCell ref="A34:B34"/>
    <mergeCell ref="A29:D29"/>
    <mergeCell ref="E29:H29"/>
    <mergeCell ref="F31:H31"/>
    <mergeCell ref="F32:H32"/>
    <mergeCell ref="C30:E30"/>
    <mergeCell ref="F33:H33"/>
    <mergeCell ref="F34:H34"/>
    <mergeCell ref="F30:H30"/>
    <mergeCell ref="A31:B31"/>
    <mergeCell ref="A22:D22"/>
    <mergeCell ref="E22:H22"/>
    <mergeCell ref="A16:B16"/>
    <mergeCell ref="C16:D16"/>
    <mergeCell ref="E16:F16"/>
    <mergeCell ref="G16:H16"/>
    <mergeCell ref="A24:D24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D21"/>
    <mergeCell ref="E20:H21"/>
    <mergeCell ref="A23:D23"/>
    <mergeCell ref="E23:H23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14:H217"/>
    <mergeCell ref="A213:B213"/>
    <mergeCell ref="E213:F213"/>
    <mergeCell ref="C213:D213"/>
    <mergeCell ref="G213:H213"/>
    <mergeCell ref="A119:H119"/>
    <mergeCell ref="A117:E117"/>
    <mergeCell ref="F117:H117"/>
    <mergeCell ref="A118:E118"/>
    <mergeCell ref="F118:H118"/>
    <mergeCell ref="A124:B124"/>
    <mergeCell ref="A209:H209"/>
    <mergeCell ref="A125:H125"/>
    <mergeCell ref="A152:H152"/>
    <mergeCell ref="C120:D120"/>
    <mergeCell ref="A120:B120"/>
    <mergeCell ref="E120:F120"/>
    <mergeCell ref="G123:H123"/>
    <mergeCell ref="E127:F127"/>
    <mergeCell ref="C130:D130"/>
    <mergeCell ref="E130:F130"/>
    <mergeCell ref="G130:H130"/>
    <mergeCell ref="A130:B130"/>
    <mergeCell ref="A210:H210"/>
    <mergeCell ref="A56:C56"/>
    <mergeCell ref="A57:C57"/>
    <mergeCell ref="F114:H114"/>
    <mergeCell ref="A46:B46"/>
    <mergeCell ref="C46:E46"/>
    <mergeCell ref="A48:B49"/>
    <mergeCell ref="G48:H48"/>
    <mergeCell ref="D54:H54"/>
    <mergeCell ref="A54:C54"/>
    <mergeCell ref="G50:H50"/>
    <mergeCell ref="A59:C59"/>
    <mergeCell ref="D59:H59"/>
    <mergeCell ref="D56:H56"/>
    <mergeCell ref="D57:H57"/>
    <mergeCell ref="C47:E47"/>
    <mergeCell ref="A50:B50"/>
    <mergeCell ref="C50:E50"/>
    <mergeCell ref="A47:B47"/>
    <mergeCell ref="A51:H51"/>
    <mergeCell ref="A52:C52"/>
    <mergeCell ref="A55:C55"/>
    <mergeCell ref="D55:H55"/>
    <mergeCell ref="A53:C53"/>
    <mergeCell ref="D53:H53"/>
    <mergeCell ref="D52:H52"/>
    <mergeCell ref="C48:E48"/>
    <mergeCell ref="C49:H49"/>
    <mergeCell ref="A102:E102"/>
    <mergeCell ref="F102:H102"/>
    <mergeCell ref="A108:E108"/>
    <mergeCell ref="A105:H105"/>
    <mergeCell ref="A106:E106"/>
    <mergeCell ref="A92:B92"/>
    <mergeCell ref="A93:B93"/>
    <mergeCell ref="A94:B94"/>
    <mergeCell ref="A95:B95"/>
    <mergeCell ref="A60:B60"/>
    <mergeCell ref="C60:H60"/>
    <mergeCell ref="A62:B62"/>
    <mergeCell ref="C62:H62"/>
    <mergeCell ref="A63:B63"/>
    <mergeCell ref="E63:F63"/>
    <mergeCell ref="G63:H63"/>
    <mergeCell ref="F108:H108"/>
    <mergeCell ref="A64:B64"/>
    <mergeCell ref="E64:F73"/>
    <mergeCell ref="G64:H73"/>
    <mergeCell ref="A65:B65"/>
    <mergeCell ref="A66:B66"/>
    <mergeCell ref="A97:B97"/>
    <mergeCell ref="S142:T142"/>
    <mergeCell ref="S141:T141"/>
    <mergeCell ref="S140:T140"/>
    <mergeCell ref="S139:T139"/>
    <mergeCell ref="F106:H106"/>
    <mergeCell ref="A103:H103"/>
    <mergeCell ref="A104:B104"/>
    <mergeCell ref="C104:H104"/>
    <mergeCell ref="F107:H107"/>
    <mergeCell ref="A107:E107"/>
    <mergeCell ref="F115:H115"/>
    <mergeCell ref="A111:E111"/>
    <mergeCell ref="F111:H111"/>
    <mergeCell ref="A112:E112"/>
    <mergeCell ref="F112:H112"/>
    <mergeCell ref="A113:E113"/>
    <mergeCell ref="A137:H137"/>
    <mergeCell ref="E122:F122"/>
    <mergeCell ref="G122:H122"/>
    <mergeCell ref="A123:B123"/>
    <mergeCell ref="C123:D123"/>
    <mergeCell ref="E123:F123"/>
    <mergeCell ref="S150:T150"/>
    <mergeCell ref="S146:T146"/>
    <mergeCell ref="A147:B147"/>
    <mergeCell ref="S147:T147"/>
    <mergeCell ref="A148:B148"/>
    <mergeCell ref="S148:T148"/>
    <mergeCell ref="A149:B149"/>
    <mergeCell ref="S149:T149"/>
    <mergeCell ref="S143:T143"/>
    <mergeCell ref="S145:T145"/>
    <mergeCell ref="S144:T144"/>
    <mergeCell ref="A144:B144"/>
    <mergeCell ref="G139:H150"/>
    <mergeCell ref="A76:B76"/>
    <mergeCell ref="F113:H113"/>
    <mergeCell ref="A109:E109"/>
    <mergeCell ref="F109:H109"/>
    <mergeCell ref="A110:E110"/>
    <mergeCell ref="F110:H110"/>
    <mergeCell ref="A129:B129"/>
    <mergeCell ref="C129:D129"/>
    <mergeCell ref="G127:H127"/>
    <mergeCell ref="A128:B128"/>
    <mergeCell ref="A115:E115"/>
    <mergeCell ref="G129:H129"/>
    <mergeCell ref="C76:H76"/>
    <mergeCell ref="A77:B77"/>
    <mergeCell ref="E77:F77"/>
    <mergeCell ref="G77:H77"/>
    <mergeCell ref="A78:B78"/>
    <mergeCell ref="E78:F87"/>
    <mergeCell ref="G78:H87"/>
    <mergeCell ref="A79:B79"/>
    <mergeCell ref="A80:B80"/>
    <mergeCell ref="A81:B81"/>
    <mergeCell ref="A82:B82"/>
    <mergeCell ref="A83:B83"/>
    <mergeCell ref="C37:H37"/>
    <mergeCell ref="A67:B67"/>
    <mergeCell ref="A68:B68"/>
    <mergeCell ref="A69:B69"/>
    <mergeCell ref="A70:B70"/>
    <mergeCell ref="A71:B71"/>
    <mergeCell ref="A72:B72"/>
    <mergeCell ref="A73:B73"/>
    <mergeCell ref="E92:F101"/>
    <mergeCell ref="G92:H101"/>
    <mergeCell ref="A96:B96"/>
    <mergeCell ref="A99:B99"/>
    <mergeCell ref="A100:B100"/>
    <mergeCell ref="A101:B101"/>
    <mergeCell ref="A98:B98"/>
    <mergeCell ref="A88:B88"/>
    <mergeCell ref="C88:H88"/>
    <mergeCell ref="A90:B90"/>
    <mergeCell ref="C90:H90"/>
    <mergeCell ref="A91:B91"/>
    <mergeCell ref="E91:F91"/>
    <mergeCell ref="G91:H91"/>
    <mergeCell ref="A74:B74"/>
    <mergeCell ref="C74:H74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orientation="portrait" r:id="rId2"/>
  <headerFooter>
    <oddHeader>&amp;C&amp;G</oddHeader>
    <oddFooter>&amp;L&amp;"Times New Roman,Bold"&amp;12Ref No: &amp;F&amp;C&amp;G&amp;R&amp;"Times New Roman,Bold"&amp;12                                          &amp;P</oddFooter>
  </headerFooter>
  <rowBreaks count="4" manualBreakCount="4">
    <brk id="73" max="16383" man="1"/>
    <brk id="118" max="16383" man="1"/>
    <brk id="217" max="16383" man="1"/>
    <brk id="26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workbookViewId="0">
      <selection activeCell="M197" sqref="M197"/>
    </sheetView>
  </sheetViews>
  <sheetFormatPr defaultRowHeight="14.5" x14ac:dyDescent="0.35"/>
  <cols>
    <col min="2" max="2" width="12.1796875" customWidth="1"/>
  </cols>
  <sheetData>
    <row r="2" spans="1:12" x14ac:dyDescent="0.35">
      <c r="B2" s="3" t="s">
        <v>80</v>
      </c>
      <c r="C2" s="164"/>
      <c r="D2" s="164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81</v>
      </c>
      <c r="B4" s="5" t="s">
        <v>82</v>
      </c>
      <c r="C4" s="165" t="s">
        <v>83</v>
      </c>
      <c r="D4" s="165"/>
      <c r="E4" s="165"/>
      <c r="F4" s="6"/>
      <c r="G4" s="165" t="s">
        <v>84</v>
      </c>
      <c r="H4" s="165"/>
      <c r="I4" s="165"/>
      <c r="J4" s="165" t="s">
        <v>85</v>
      </c>
      <c r="K4" s="165"/>
      <c r="L4" s="165"/>
    </row>
    <row r="5" spans="1:12" x14ac:dyDescent="0.35">
      <c r="A5" s="3">
        <v>202</v>
      </c>
      <c r="B5" s="5"/>
      <c r="C5" s="5" t="s">
        <v>86</v>
      </c>
      <c r="D5" s="5" t="s">
        <v>87</v>
      </c>
      <c r="E5" s="5" t="s">
        <v>62</v>
      </c>
      <c r="F5" s="5"/>
      <c r="G5" s="5" t="s">
        <v>86</v>
      </c>
      <c r="H5" s="5" t="s">
        <v>87</v>
      </c>
      <c r="I5" s="5" t="s">
        <v>62</v>
      </c>
      <c r="J5" s="5" t="s">
        <v>86</v>
      </c>
      <c r="K5" s="5" t="s">
        <v>87</v>
      </c>
      <c r="L5" s="5" t="s">
        <v>62</v>
      </c>
    </row>
    <row r="6" spans="1:12" x14ac:dyDescent="0.35">
      <c r="B6" s="7" t="s">
        <v>88</v>
      </c>
      <c r="C6" s="7">
        <v>4.5</v>
      </c>
      <c r="D6" s="7">
        <v>2.9</v>
      </c>
      <c r="E6" s="7">
        <f>C6*D6</f>
        <v>13.049999999999999</v>
      </c>
      <c r="F6" s="7" t="s">
        <v>89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90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91</v>
      </c>
      <c r="C9" s="7">
        <v>1.88</v>
      </c>
      <c r="D9" s="7">
        <v>2.13</v>
      </c>
      <c r="E9" s="7">
        <f t="shared" si="0"/>
        <v>4.0043999999999995</v>
      </c>
      <c r="F9" s="7" t="s">
        <v>89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90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92</v>
      </c>
      <c r="C13" s="7"/>
      <c r="D13" s="7"/>
      <c r="E13" s="7">
        <f t="shared" si="0"/>
        <v>0</v>
      </c>
      <c r="F13" s="7" t="s">
        <v>89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90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93</v>
      </c>
      <c r="C17" s="7"/>
      <c r="D17" s="7"/>
      <c r="E17" s="7">
        <f t="shared" si="0"/>
        <v>0</v>
      </c>
      <c r="F17" s="7" t="s">
        <v>89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90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93</v>
      </c>
      <c r="C20" s="7"/>
      <c r="D20" s="7"/>
      <c r="E20" s="7">
        <f t="shared" si="0"/>
        <v>0</v>
      </c>
      <c r="F20" s="7" t="s">
        <v>89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90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94</v>
      </c>
      <c r="C23" s="7">
        <v>1.9</v>
      </c>
      <c r="D23" s="7">
        <v>1.07</v>
      </c>
      <c r="E23" s="7">
        <f t="shared" si="0"/>
        <v>2.0329999999999999</v>
      </c>
      <c r="F23" s="7" t="s">
        <v>95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96</v>
      </c>
      <c r="C24" s="7"/>
      <c r="D24" s="7"/>
      <c r="E24" s="7">
        <f t="shared" si="0"/>
        <v>0</v>
      </c>
      <c r="F24" s="7" t="s">
        <v>95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97</v>
      </c>
      <c r="C25" s="7"/>
      <c r="D25" s="7"/>
      <c r="E25" s="7">
        <f t="shared" si="0"/>
        <v>0</v>
      </c>
      <c r="F25" s="7" t="s">
        <v>95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98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99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100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101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63</v>
      </c>
      <c r="C34" s="7"/>
      <c r="D34" s="7">
        <f>E34*10.764</f>
        <v>205.45677359999996</v>
      </c>
      <c r="E34" s="7">
        <f>SUM(E6:E33)</f>
        <v>19.087399999999999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16" sqref="C16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/>
  </sheetViews>
  <sheetFormatPr defaultColWidth="8.81640625" defaultRowHeight="14.5" x14ac:dyDescent="0.35"/>
  <cols>
    <col min="1" max="1" width="8.81640625" style="16"/>
    <col min="2" max="2" width="22.1796875" style="16" customWidth="1"/>
    <col min="3" max="3" width="37" style="16" customWidth="1"/>
    <col min="4" max="5" width="11.453125" style="16" customWidth="1"/>
    <col min="6" max="6" width="14" style="16" customWidth="1"/>
    <col min="7" max="7" width="20" style="16" customWidth="1"/>
    <col min="8" max="8" width="16.453125" style="16" customWidth="1"/>
    <col min="9" max="16384" width="8.81640625" style="16"/>
  </cols>
  <sheetData>
    <row r="1" spans="1:9" ht="15" customHeight="1" x14ac:dyDescent="0.35"/>
    <row r="2" spans="1:9" ht="15" customHeight="1" x14ac:dyDescent="0.35">
      <c r="A2" s="17"/>
      <c r="B2" s="17"/>
      <c r="C2" s="17"/>
      <c r="D2" s="17"/>
      <c r="E2" s="17"/>
      <c r="F2" s="17"/>
      <c r="G2" s="17"/>
      <c r="H2" s="17"/>
    </row>
    <row r="3" spans="1:9" ht="15.75" customHeight="1" x14ac:dyDescent="0.35">
      <c r="A3" s="17"/>
      <c r="B3" s="166" t="s">
        <v>150</v>
      </c>
      <c r="C3" s="166"/>
      <c r="D3" s="166"/>
      <c r="E3" s="166"/>
      <c r="F3" s="166"/>
      <c r="G3" s="166"/>
      <c r="H3" s="166"/>
    </row>
    <row r="4" spans="1:9" x14ac:dyDescent="0.35">
      <c r="A4" s="17"/>
      <c r="B4" s="18" t="s">
        <v>151</v>
      </c>
      <c r="C4" s="18" t="s">
        <v>152</v>
      </c>
      <c r="D4" s="18" t="s">
        <v>81</v>
      </c>
      <c r="E4" s="18" t="s">
        <v>153</v>
      </c>
      <c r="F4" s="18" t="s">
        <v>160</v>
      </c>
      <c r="G4" s="18" t="s">
        <v>161</v>
      </c>
      <c r="H4" s="18" t="s">
        <v>154</v>
      </c>
    </row>
    <row r="5" spans="1:9" ht="15" customHeight="1" x14ac:dyDescent="0.35">
      <c r="A5" s="17"/>
      <c r="B5" s="20" t="s">
        <v>155</v>
      </c>
      <c r="C5" s="21"/>
      <c r="D5" s="20" t="s">
        <v>156</v>
      </c>
      <c r="E5" s="20">
        <v>1106</v>
      </c>
      <c r="F5" s="22">
        <f>E5*1.6</f>
        <v>1769.6000000000001</v>
      </c>
      <c r="G5" s="22">
        <f>H5/F5</f>
        <v>31532.549728752259</v>
      </c>
      <c r="H5" s="23">
        <v>55800000</v>
      </c>
    </row>
    <row r="6" spans="1:9" x14ac:dyDescent="0.35">
      <c r="A6" s="17"/>
      <c r="B6" s="20" t="s">
        <v>155</v>
      </c>
      <c r="C6" s="24"/>
      <c r="D6" s="20"/>
      <c r="E6" s="20"/>
      <c r="F6" s="22">
        <f t="shared" ref="F6:F11" si="0">E6*1.6</f>
        <v>0</v>
      </c>
      <c r="G6" s="22" t="e">
        <f t="shared" ref="G6:G11" si="1">H6/F6</f>
        <v>#DIV/0!</v>
      </c>
      <c r="H6" s="23"/>
    </row>
    <row r="7" spans="1:9" ht="15" customHeight="1" x14ac:dyDescent="0.35">
      <c r="A7" s="17"/>
      <c r="B7" s="20" t="s">
        <v>155</v>
      </c>
      <c r="C7" s="21"/>
      <c r="D7" s="20"/>
      <c r="E7" s="20"/>
      <c r="F7" s="22">
        <f t="shared" si="0"/>
        <v>0</v>
      </c>
      <c r="G7" s="22" t="e">
        <f t="shared" si="1"/>
        <v>#DIV/0!</v>
      </c>
      <c r="H7" s="23"/>
    </row>
    <row r="8" spans="1:9" x14ac:dyDescent="0.35">
      <c r="A8" s="17"/>
      <c r="B8" s="20" t="s">
        <v>155</v>
      </c>
      <c r="C8" s="24"/>
      <c r="D8" s="20"/>
      <c r="E8" s="20"/>
      <c r="F8" s="22">
        <f t="shared" si="0"/>
        <v>0</v>
      </c>
      <c r="G8" s="22" t="e">
        <f t="shared" si="1"/>
        <v>#DIV/0!</v>
      </c>
      <c r="H8" s="23"/>
    </row>
    <row r="9" spans="1:9" ht="15" customHeight="1" x14ac:dyDescent="0.35">
      <c r="A9" s="17"/>
      <c r="B9" s="20" t="s">
        <v>155</v>
      </c>
      <c r="C9" s="24"/>
      <c r="D9" s="20"/>
      <c r="E9" s="20"/>
      <c r="F9" s="22">
        <f t="shared" si="0"/>
        <v>0</v>
      </c>
      <c r="G9" s="22" t="e">
        <f t="shared" si="1"/>
        <v>#DIV/0!</v>
      </c>
      <c r="H9" s="23"/>
    </row>
    <row r="10" spans="1:9" ht="15" customHeight="1" x14ac:dyDescent="0.35">
      <c r="A10" s="17"/>
      <c r="B10" s="20" t="s">
        <v>157</v>
      </c>
      <c r="C10" s="21"/>
      <c r="D10" s="20"/>
      <c r="E10" s="20"/>
      <c r="F10" s="22">
        <f t="shared" si="0"/>
        <v>0</v>
      </c>
      <c r="G10" s="22" t="e">
        <f t="shared" si="1"/>
        <v>#DIV/0!</v>
      </c>
      <c r="H10" s="23"/>
    </row>
    <row r="11" spans="1:9" ht="15" customHeight="1" x14ac:dyDescent="0.35">
      <c r="A11" s="17"/>
      <c r="B11" s="20" t="s">
        <v>157</v>
      </c>
      <c r="C11" s="21"/>
      <c r="D11" s="20"/>
      <c r="E11" s="20"/>
      <c r="F11" s="22">
        <f t="shared" si="0"/>
        <v>0</v>
      </c>
      <c r="G11" s="22" t="e">
        <f t="shared" si="1"/>
        <v>#DIV/0!</v>
      </c>
      <c r="H11" s="23"/>
    </row>
    <row r="12" spans="1:9" ht="15" customHeight="1" x14ac:dyDescent="0.35">
      <c r="A12" s="17"/>
      <c r="B12" s="25" t="s">
        <v>158</v>
      </c>
      <c r="C12" s="20"/>
      <c r="D12" s="20"/>
      <c r="E12" s="20"/>
      <c r="F12" s="20"/>
      <c r="G12" s="26" t="e">
        <f>AVERAGE(G5:G11)</f>
        <v>#DIV/0!</v>
      </c>
      <c r="H12" s="20"/>
    </row>
    <row r="13" spans="1:9" ht="15" customHeight="1" x14ac:dyDescent="0.35">
      <c r="B13" s="25" t="s">
        <v>159</v>
      </c>
      <c r="C13" s="20"/>
      <c r="D13" s="20"/>
      <c r="E13" s="20"/>
      <c r="F13" s="27"/>
      <c r="G13" s="25"/>
      <c r="H13" s="25"/>
      <c r="I13" s="19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2025-06-09T11:07:58Z</cp:lastPrinted>
  <dcterms:created xsi:type="dcterms:W3CDTF">2019-07-16T09:29:46Z</dcterms:created>
  <dcterms:modified xsi:type="dcterms:W3CDTF">2025-09-20T10:31:06Z</dcterms:modified>
</cp:coreProperties>
</file>