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PF\25-26\Sep 2025\Yes Bank\Gaurav\Shree Viraj Residency Wing D\Report\"/>
    </mc:Choice>
  </mc:AlternateContent>
  <bookViews>
    <workbookView xWindow="-105" yWindow="-105" windowWidth="23250" windowHeight="12450" tabRatio="745"/>
  </bookViews>
  <sheets>
    <sheet name="Report" sheetId="15" r:id="rId1"/>
    <sheet name="Valuation" sheetId="23" r:id="rId2"/>
  </sheets>
  <definedNames>
    <definedName name="_xlnm.Print_Area" localSheetId="0">Report!$A$1:$H$312</definedName>
  </definedNames>
  <calcPr calcId="162913"/>
</workbook>
</file>

<file path=xl/calcChain.xml><?xml version="1.0" encoding="utf-8"?>
<calcChain xmlns="http://schemas.openxmlformats.org/spreadsheetml/2006/main">
  <c r="G109" i="15" l="1"/>
  <c r="E109" i="15"/>
  <c r="C109" i="15"/>
  <c r="L126" i="15" l="1"/>
  <c r="M133" i="15"/>
  <c r="K126" i="15" l="1"/>
  <c r="M127" i="15"/>
  <c r="I131" i="15"/>
  <c r="I133" i="15"/>
  <c r="J152" i="15" l="1"/>
  <c r="I150" i="15"/>
  <c r="J150" i="15"/>
  <c r="I129" i="15"/>
  <c r="E41" i="15"/>
  <c r="I135" i="15" l="1"/>
  <c r="E136" i="15"/>
  <c r="E135" i="15"/>
  <c r="E134" i="15"/>
  <c r="E133" i="15"/>
  <c r="E132" i="15"/>
  <c r="E131" i="15"/>
  <c r="E130" i="15"/>
  <c r="E129" i="15"/>
  <c r="C136" i="15"/>
  <c r="C135" i="15"/>
  <c r="C134" i="15"/>
  <c r="C133" i="15"/>
  <c r="C132" i="15"/>
  <c r="C131" i="15"/>
  <c r="C130" i="15"/>
  <c r="C129" i="15"/>
  <c r="C92" i="15"/>
  <c r="G92" i="15"/>
  <c r="E45" i="15"/>
  <c r="E46" i="15"/>
  <c r="E44" i="15"/>
  <c r="E43" i="15"/>
  <c r="C110" i="15" l="1"/>
  <c r="E110" i="15"/>
  <c r="C65" i="15"/>
  <c r="B66" i="15" s="1"/>
  <c r="C51" i="15"/>
  <c r="J73" i="15" l="1"/>
  <c r="J75" i="15"/>
  <c r="J74" i="15"/>
  <c r="J76" i="15"/>
  <c r="H66" i="15"/>
  <c r="D74" i="15" l="1"/>
  <c r="D73" i="15"/>
  <c r="J71" i="15"/>
  <c r="J72" i="15" s="1"/>
  <c r="J77" i="15" s="1"/>
  <c r="J78" i="15" s="1"/>
  <c r="C70" i="15" s="1"/>
  <c r="E69" i="15" s="1"/>
  <c r="J68" i="15"/>
  <c r="D77" i="15"/>
  <c r="J69" i="15"/>
  <c r="D78" i="15"/>
  <c r="D75" i="15"/>
  <c r="D76" i="15"/>
  <c r="J70" i="15"/>
  <c r="C69" i="15" s="1"/>
  <c r="D72" i="15"/>
  <c r="D71" i="15"/>
  <c r="D69" i="15" l="1"/>
  <c r="I65" i="15" s="1"/>
  <c r="C67" i="15" s="1"/>
  <c r="G69" i="15"/>
  <c r="D70" i="15"/>
  <c r="E111" i="15"/>
  <c r="C111" i="15"/>
  <c r="F130" i="15" l="1"/>
  <c r="H130" i="15" s="1"/>
  <c r="F131" i="15"/>
  <c r="H131" i="15" s="1"/>
  <c r="K131" i="15" s="1"/>
  <c r="F132" i="15"/>
  <c r="H132" i="15" s="1"/>
  <c r="K132" i="15" s="1"/>
  <c r="F133" i="15"/>
  <c r="H133" i="15" s="1"/>
  <c r="F134" i="15"/>
  <c r="H134" i="15" s="1"/>
  <c r="K134" i="15" s="1"/>
  <c r="F135" i="15"/>
  <c r="H135" i="15" s="1"/>
  <c r="K135" i="15" s="1"/>
  <c r="F136" i="15"/>
  <c r="H136" i="15" s="1"/>
  <c r="F129" i="15"/>
  <c r="H129" i="15" s="1"/>
  <c r="K129" i="15" s="1"/>
  <c r="F117" i="15"/>
  <c r="H117" i="15" s="1"/>
  <c r="F118" i="15"/>
  <c r="H118" i="15" s="1"/>
  <c r="F119" i="15"/>
  <c r="H119" i="15" s="1"/>
  <c r="F120" i="15"/>
  <c r="H120" i="15" s="1"/>
  <c r="F121" i="15"/>
  <c r="H121" i="15" s="1"/>
  <c r="E13" i="15"/>
  <c r="E33" i="15"/>
  <c r="E35" i="15"/>
  <c r="E47" i="15"/>
  <c r="K133" i="15" l="1"/>
  <c r="I136" i="15"/>
  <c r="K136" i="15"/>
  <c r="K130" i="15"/>
  <c r="I130" i="15"/>
  <c r="G110" i="15"/>
  <c r="H145" i="15"/>
  <c r="I41" i="15" l="1"/>
  <c r="A172" i="15" l="1"/>
  <c r="A173" i="15" s="1"/>
  <c r="A174" i="15" s="1"/>
  <c r="A175" i="15" s="1"/>
  <c r="A176" i="15" s="1"/>
  <c r="A177" i="15" s="1"/>
  <c r="A178" i="15" s="1"/>
  <c r="A130" i="15" l="1"/>
  <c r="A131" i="15" s="1"/>
  <c r="A132" i="15" s="1"/>
  <c r="A133" i="15" s="1"/>
  <c r="A118" i="15"/>
  <c r="A119" i="15" s="1"/>
  <c r="A120" i="15" s="1"/>
  <c r="A121" i="15" s="1"/>
  <c r="P127" i="15"/>
  <c r="O127" i="15"/>
  <c r="N127" i="15" l="1"/>
  <c r="G111" i="15"/>
  <c r="A44" i="15" l="1"/>
  <c r="A45" i="15" s="1"/>
  <c r="A46" i="15" s="1"/>
  <c r="A47" i="15" s="1"/>
  <c r="D179" i="15" l="1"/>
  <c r="O128" i="15"/>
  <c r="P128" i="15"/>
  <c r="H52" i="15"/>
  <c r="D57" i="15" l="1"/>
  <c r="D64" i="15"/>
  <c r="D60" i="15"/>
  <c r="J56" i="15"/>
  <c r="C55" i="15" s="1"/>
  <c r="J54" i="15"/>
  <c r="D63" i="15"/>
  <c r="D59" i="15"/>
  <c r="J55" i="15"/>
  <c r="D62" i="15"/>
  <c r="D58" i="15"/>
  <c r="J57" i="15"/>
  <c r="J58" i="15" s="1"/>
  <c r="J63" i="15" s="1"/>
  <c r="D61" i="15"/>
  <c r="N128" i="15"/>
  <c r="P129" i="15"/>
  <c r="P130" i="15" s="1"/>
  <c r="P131" i="15" s="1"/>
  <c r="P132" i="15" s="1"/>
  <c r="P133" i="15" s="1"/>
  <c r="P134" i="15" s="1"/>
  <c r="P135" i="15" s="1"/>
  <c r="P136" i="15" s="1"/>
  <c r="O129" i="15"/>
  <c r="P115" i="15"/>
  <c r="O115" i="15"/>
  <c r="D55" i="15" l="1"/>
  <c r="J59" i="15"/>
  <c r="J60" i="15" s="1"/>
  <c r="J61" i="15" s="1"/>
  <c r="J62" i="15" s="1"/>
  <c r="N129" i="15"/>
  <c r="O130" i="15"/>
  <c r="N130" i="15" s="1"/>
  <c r="P116" i="15"/>
  <c r="P117" i="15" s="1"/>
  <c r="P118" i="15" s="1"/>
  <c r="P119" i="15" s="1"/>
  <c r="P120" i="15" s="1"/>
  <c r="P121" i="15" s="1"/>
  <c r="P122" i="15" s="1"/>
  <c r="P123" i="15" s="1"/>
  <c r="P124" i="15" s="1"/>
  <c r="O116" i="15"/>
  <c r="N115" i="15"/>
  <c r="A134" i="15"/>
  <c r="A135" i="15" s="1"/>
  <c r="A136" i="15" s="1"/>
  <c r="J64" i="15" l="1"/>
  <c r="C56" i="15" s="1"/>
  <c r="O131" i="15"/>
  <c r="N131" i="15" s="1"/>
  <c r="O117" i="15"/>
  <c r="N116" i="15"/>
  <c r="O132" i="15" l="1"/>
  <c r="N132" i="15" s="1"/>
  <c r="O118" i="15"/>
  <c r="N117" i="15"/>
  <c r="E55" i="15" l="1"/>
  <c r="I51" i="15" s="1"/>
  <c r="C53" i="15" s="1"/>
  <c r="G55" i="15"/>
  <c r="D56" i="15"/>
  <c r="O133" i="15"/>
  <c r="N133" i="15" s="1"/>
  <c r="O119" i="15"/>
  <c r="N118" i="15"/>
  <c r="O134" i="15" l="1"/>
  <c r="N134" i="15" s="1"/>
  <c r="O120" i="15"/>
  <c r="N119" i="15"/>
  <c r="O135" i="15" l="1"/>
  <c r="N135" i="15" s="1"/>
  <c r="O121" i="15"/>
  <c r="N120" i="15"/>
  <c r="O136" i="15" l="1"/>
  <c r="N136" i="15" s="1"/>
  <c r="O122" i="15"/>
  <c r="N121" i="15"/>
  <c r="O123" i="15" l="1"/>
  <c r="N122" i="15"/>
  <c r="O124" i="15" l="1"/>
  <c r="N123" i="15"/>
  <c r="N124" i="15" l="1"/>
  <c r="H162" i="15" l="1"/>
</calcChain>
</file>

<file path=xl/comments1.xml><?xml version="1.0" encoding="utf-8"?>
<comments xmlns="http://schemas.openxmlformats.org/spreadsheetml/2006/main">
  <authors>
    <author>SACHIN</author>
  </authors>
  <commentList>
    <comment ref="E22" authorId="0" shapeId="0">
      <text>
        <r>
          <rPr>
            <b/>
            <sz val="9"/>
            <color indexed="81"/>
            <rFont val="Tahoma"/>
            <family val="2"/>
          </rPr>
          <t xml:space="preserve">Visit Date 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</rPr>
          <t xml:space="preserve">Visitor Name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4" authorId="0" shapeId="0">
      <text>
        <r>
          <rPr>
            <b/>
            <sz val="9"/>
            <color indexed="81"/>
            <rFont val="Tahoma"/>
            <family val="2"/>
          </rPr>
          <t>Met person &amp; No</t>
        </r>
      </text>
    </comment>
    <comment ref="E26" authorId="0" shapeId="0">
      <text>
        <r>
          <rPr>
            <b/>
            <sz val="9"/>
            <color indexed="81"/>
            <rFont val="Tahoma"/>
            <family val="2"/>
          </rPr>
          <t>mention it if provided by builder or else NA</t>
        </r>
      </text>
    </comment>
    <comment ref="E82" authorId="0" shapeId="0">
      <text>
        <r>
          <rPr>
            <b/>
            <sz val="9"/>
            <color indexed="81"/>
            <rFont val="Tahoma"/>
            <family val="2"/>
          </rPr>
          <t>2 School
2 Shopping Centre or mall
2 Hospital</t>
        </r>
      </text>
    </comment>
    <comment ref="E138" authorId="0" shapeId="0">
      <text>
        <r>
          <rPr>
            <b/>
            <sz val="9"/>
            <color indexed="81"/>
            <rFont val="Tahoma"/>
            <family val="2"/>
          </rPr>
          <t>Proposed Structure</t>
        </r>
      </text>
    </comment>
  </commentList>
</comments>
</file>

<file path=xl/sharedStrings.xml><?xml version="1.0" encoding="utf-8"?>
<sst xmlns="http://schemas.openxmlformats.org/spreadsheetml/2006/main" count="324" uniqueCount="234">
  <si>
    <t>Undertaking :</t>
  </si>
  <si>
    <t>2) I/We have no direct or Indirect Interest in the property being valued</t>
  </si>
  <si>
    <t>Description</t>
  </si>
  <si>
    <t>1) We have personally visited the property &amp; identified the same based on the documents provided</t>
  </si>
  <si>
    <t>Type of Work</t>
  </si>
  <si>
    <t>Plinth</t>
  </si>
  <si>
    <t>3) The information furnished above is true and correct to my/our knowledge.</t>
  </si>
  <si>
    <t>5) Legal title of the property is not verified by us.</t>
  </si>
  <si>
    <t xml:space="preserve">Valuation Report </t>
  </si>
  <si>
    <t>Yes</t>
  </si>
  <si>
    <t>NA</t>
  </si>
  <si>
    <t xml:space="preserve">4)  The saleable area is as per Our Calculation.  </t>
  </si>
  <si>
    <t>Total</t>
  </si>
  <si>
    <t xml:space="preserve">Recommended rate of Parking </t>
  </si>
  <si>
    <t>Particulars</t>
  </si>
  <si>
    <t>Google Map :</t>
  </si>
  <si>
    <t>Sr.No.</t>
  </si>
  <si>
    <t>Details</t>
  </si>
  <si>
    <t>Name of the project</t>
  </si>
  <si>
    <t>Address as per the site visit</t>
  </si>
  <si>
    <t>Closest landmark</t>
  </si>
  <si>
    <t>Address as per the Sale brochure</t>
  </si>
  <si>
    <t>Address as per the plans &amp; permissions</t>
  </si>
  <si>
    <t>Address as per the legal documentation</t>
  </si>
  <si>
    <t>Date of APF initiation from YBL</t>
  </si>
  <si>
    <t>List of documents provided</t>
  </si>
  <si>
    <t>Queries communicated to YBL regarding discrepancies in documentation, details etc</t>
  </si>
  <si>
    <t>Date of query resolution from YBL</t>
  </si>
  <si>
    <t>Any further documentation that needs to be complied prior to start of disbursement in the project? Provide complete details.</t>
  </si>
  <si>
    <t>Date of contacting concerned developer personnel for site visit</t>
  </si>
  <si>
    <t>Date, day &amp; timing of Site visit</t>
  </si>
  <si>
    <t>Name of the person conducting the site visit &amp; contact details</t>
  </si>
  <si>
    <t>Details of Financial Institutions who's APF Approval Letters / Boards were displayed on site</t>
  </si>
  <si>
    <t>Details of sold v/s unsold units</t>
  </si>
  <si>
    <t>Has the developer availed any kind of construction / project finance? If yes, details are required.</t>
  </si>
  <si>
    <t>Developer name</t>
  </si>
  <si>
    <t>Developer group parent company</t>
  </si>
  <si>
    <t>Developer office address along with contact details</t>
  </si>
  <si>
    <t>Architect details ( Name, office address, mobile number, registration number )</t>
  </si>
  <si>
    <t>Authority jurisdiction for the project location</t>
  </si>
  <si>
    <t>Zoning Approval for the project location as per the MDP</t>
  </si>
  <si>
    <t>Does the proposed development match with the Zoning Approval? Detailed feedback</t>
  </si>
  <si>
    <t>Project type ( Residential / Mixed / Flats / Villas / Row Houses etc )</t>
  </si>
  <si>
    <t>Does the ongoing construction match with the Approved Site Layout? If no, details expected.</t>
  </si>
  <si>
    <t>Permissible TDR</t>
  </si>
  <si>
    <t>Project launch date</t>
  </si>
  <si>
    <t>Average weighted stage of construction for the project with construction stages of individual wings</t>
  </si>
  <si>
    <t>Phase, building &amp; wingwise naming &amp; numbering details</t>
  </si>
  <si>
    <t>Are there any deviations between the ongoing construction &amp; the available plans &amp; permissions. If yes, details are expected.</t>
  </si>
  <si>
    <t>Pricing comparisons ( Builder pricing v/s Resale v/s Nearby Projects with Rationale &amp; justification )</t>
  </si>
  <si>
    <t>Transaction documentation details ( Black / White percentages etc )</t>
  </si>
  <si>
    <t>Different types of payment schemes offered such as CLPP, TLPP, C &amp; TLPP, Interest Subvention Plans etc</t>
  </si>
  <si>
    <t>Schedule of Payment as per the developer</t>
  </si>
  <si>
    <t>Are there any discrepancies in the legal / technical documentation that may affect the business interests of YBL? If yes, please elaborate.</t>
  </si>
  <si>
    <t>Any evidences of social disturbances at the project site that may affect the business interests of YBL? If yes, please elaborate.</t>
  </si>
  <si>
    <t>Any notices or boards of litigation at project site / developer office that may affect the business interests of YBL? If yes, please elaborate.</t>
  </si>
  <si>
    <t>Any further documentation that needs to be tracked by the Financial Institution &amp; obtained from the customer / developer post project completion? Provide complete details.</t>
  </si>
  <si>
    <t>Declarations :-</t>
  </si>
  <si>
    <t>(a)</t>
  </si>
  <si>
    <t>Have you done APF technical for this project for any other Financial Institution?</t>
  </si>
  <si>
    <t>Have you done evaluation of this project for the Project / Construction Finance perspective for any Financial Insitution?</t>
  </si>
  <si>
    <t>(b)</t>
  </si>
  <si>
    <t>Physical &amp; social infrastructure availability details ( Bus stop, railway station, public park, main road, airport, hospital, public transport, school, market etc )</t>
  </si>
  <si>
    <t>Boundary details ( Are they matching as per the legal &amp; technical documentation )</t>
  </si>
  <si>
    <t>Phase, building &amp; wingwise structure details ( Approvals v/s proposed v/s constructed ( If 100 % complete ) ( Deviations to be pointed out )</t>
  </si>
  <si>
    <t>None</t>
  </si>
  <si>
    <t>As per Site Details :</t>
  </si>
  <si>
    <t>No</t>
  </si>
  <si>
    <t>Yes its comes under Residential zone</t>
  </si>
  <si>
    <t>Yes as per plan. But NA order not provided to verify.</t>
  </si>
  <si>
    <t>Permissions applicable v/s available (Detailed analysis)</t>
  </si>
  <si>
    <t>Building &amp; Wing</t>
  </si>
  <si>
    <t>No. of Units</t>
  </si>
  <si>
    <t>Total Carpet Area</t>
  </si>
  <si>
    <t>Total Saleable Area</t>
  </si>
  <si>
    <t xml:space="preserve">Approval Detail : Plan approval </t>
  </si>
  <si>
    <t>Dated</t>
  </si>
  <si>
    <t xml:space="preserve">O. Certificate No.: </t>
  </si>
  <si>
    <t>NA
Approved upto :</t>
  </si>
  <si>
    <t xml:space="preserve">Date of approval: </t>
  </si>
  <si>
    <t>Does the Plot Area match as per the legal documentation?</t>
  </si>
  <si>
    <t>Does the Plot Area match as per the Non Agriculture documentation?</t>
  </si>
  <si>
    <t>PHOTOGRAPHS OF PROPERTY :</t>
  </si>
  <si>
    <t>Residential Area Details :</t>
  </si>
  <si>
    <t>RERA Name &amp; No.</t>
  </si>
  <si>
    <t>Basement</t>
  </si>
  <si>
    <t>Podium</t>
  </si>
  <si>
    <t>Ground</t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</si>
  <si>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</si>
  <si>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</si>
  <si>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</si>
  <si>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</si>
  <si>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</si>
  <si>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</si>
  <si>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r>
      <rPr>
        <b/>
        <u/>
        <sz val="11"/>
        <rFont val="Times New Roman"/>
        <family val="1"/>
      </rPr>
      <t>Lifestyle Amenities :</t>
    </r>
    <r>
      <rPr>
        <sz val="11"/>
        <rFont val="Times New Roman"/>
        <family val="1"/>
      </rPr>
      <t xml:space="preserve">
Internal Paved roads.
Decorative compound Walls with security features
Power backup for lifts &amp; common areas
</t>
    </r>
    <r>
      <rPr>
        <b/>
        <u/>
        <sz val="11"/>
        <rFont val="Times New Roman"/>
        <family val="1"/>
      </rPr>
      <t>Modern Amenities ;</t>
    </r>
    <r>
      <rPr>
        <sz val="11"/>
        <rFont val="Times New Roman"/>
        <family val="1"/>
      </rPr>
      <t xml:space="preserve">
</t>
    </r>
    <r>
      <rPr>
        <b/>
        <sz val="11"/>
        <rFont val="Times New Roman"/>
        <family val="1"/>
      </rPr>
      <t>FLOORING</t>
    </r>
    <r>
      <rPr>
        <sz val="11"/>
        <rFont val="Times New Roman"/>
        <family val="1"/>
      </rPr>
      <t xml:space="preserve">
Vitrified flooring in all rooms
Anti-skid tiles in attached terrace area
</t>
    </r>
    <r>
      <rPr>
        <b/>
        <sz val="11"/>
        <rFont val="Times New Roman"/>
        <family val="1"/>
      </rPr>
      <t>KITCHEN</t>
    </r>
    <r>
      <rPr>
        <sz val="11"/>
        <rFont val="Times New Roman"/>
        <family val="1"/>
      </rPr>
      <t xml:space="preserve">
Granite kitchen platform
Stainless steel and sink mixture
</t>
    </r>
    <r>
      <rPr>
        <b/>
        <sz val="11"/>
        <rFont val="Times New Roman"/>
        <family val="1"/>
      </rPr>
      <t>TOILETS</t>
    </r>
    <r>
      <rPr>
        <sz val="11"/>
        <rFont val="Times New Roman"/>
        <family val="1"/>
      </rPr>
      <t xml:space="preserve">
Designer bathroom with branded sanitary ware
Concealed plumbing with premium C. P. fittings
Geyser connection to all bathrooms
</t>
    </r>
    <r>
      <rPr>
        <b/>
        <sz val="11"/>
        <rFont val="Times New Roman"/>
        <family val="1"/>
      </rPr>
      <t xml:space="preserve">WINDOWS
</t>
    </r>
    <r>
      <rPr>
        <sz val="11"/>
        <rFont val="Times New Roman"/>
        <family val="1"/>
      </rPr>
      <t xml:space="preserve">Powdered Aluminium Sliding windows
</t>
    </r>
    <r>
      <rPr>
        <b/>
        <sz val="11"/>
        <color indexed="8"/>
        <rFont val="Times New Roman"/>
        <family val="1"/>
      </rPr>
      <t/>
    </r>
  </si>
  <si>
    <r>
      <rPr>
        <b/>
        <sz val="11"/>
        <rFont val="Times New Roman"/>
        <family val="1"/>
      </rPr>
      <t>SECURITY</t>
    </r>
    <r>
      <rPr>
        <sz val="11"/>
        <rFont val="Times New Roman"/>
        <family val="1"/>
      </rPr>
      <t xml:space="preserve">
Modern security system with CCTV at security cabin
Intercom facility in each flat
</t>
    </r>
    <r>
      <rPr>
        <b/>
        <sz val="11"/>
        <rFont val="Times New Roman"/>
        <family val="1"/>
      </rPr>
      <t>ELECTRIFICATION</t>
    </r>
    <r>
      <rPr>
        <sz val="11"/>
        <rFont val="Times New Roman"/>
        <family val="1"/>
      </rPr>
      <t xml:space="preserve">
Branded concealed copper wiring with isolater / MCB TV, telephone &amp; internet points in all rooms
</t>
    </r>
    <r>
      <rPr>
        <b/>
        <sz val="11"/>
        <rFont val="Times New Roman"/>
        <family val="1"/>
      </rPr>
      <t>WALLS AND PAINTS</t>
    </r>
    <r>
      <rPr>
        <sz val="11"/>
        <rFont val="Times New Roman"/>
        <family val="1"/>
      </rPr>
      <t xml:space="preserve">
Gypsum finished internal walls with plastic paints</t>
    </r>
  </si>
  <si>
    <t>Shop</t>
  </si>
  <si>
    <t>Commercial Area Details :</t>
  </si>
  <si>
    <t>A.P Area</t>
  </si>
  <si>
    <t>At Booking</t>
  </si>
  <si>
    <t>1st Slab</t>
  </si>
  <si>
    <t>2nd Slab</t>
  </si>
  <si>
    <t>3rd Slab</t>
  </si>
  <si>
    <t>4th Slab</t>
  </si>
  <si>
    <t>5th Slab</t>
  </si>
  <si>
    <t>On Possession</t>
  </si>
  <si>
    <t>Name of developer personnel for site visit coordination with contact details (Mobile, landline, email)</t>
  </si>
  <si>
    <t>Name of person met at site (Full Name, Designation, Mobile Number, Landline Number, email id)</t>
  </si>
  <si>
    <t>Floors</t>
  </si>
  <si>
    <t xml:space="preserve">Stage of construction: </t>
  </si>
  <si>
    <t>All work Completed. OC Received.</t>
  </si>
  <si>
    <t>Slab/Floor</t>
  </si>
  <si>
    <t>Complition %</t>
  </si>
  <si>
    <t>Progress %</t>
  </si>
  <si>
    <t>Disbursement %</t>
  </si>
  <si>
    <t>Piling Work in process</t>
  </si>
  <si>
    <t>Excavation</t>
  </si>
  <si>
    <t>RCC (Including podiums)</t>
  </si>
  <si>
    <t>Brickwork</t>
  </si>
  <si>
    <t>Brickwork &amp; Internal Plaster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</si>
  <si>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</si>
  <si>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</si>
  <si>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</si>
  <si>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</si>
  <si>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</si>
  <si>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</si>
  <si>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</si>
  <si>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</si>
  <si>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</si>
  <si>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</si>
  <si>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Possession</t>
  </si>
  <si>
    <t>Name of Engineer Visited the property</t>
  </si>
  <si>
    <t>Phase, building, wing, unit wise pricing details (Base pricing, floor rise, location / view specific, etc)</t>
  </si>
  <si>
    <t xml:space="preserve">Same </t>
  </si>
  <si>
    <t>Location Link</t>
  </si>
  <si>
    <t>Layout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</si>
  <si>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</si>
  <si>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 :</t>
  </si>
  <si>
    <t xml:space="preserve">Permissible FSI / FAR
</t>
  </si>
  <si>
    <t xml:space="preserve">Premium FSI / FAR
</t>
  </si>
  <si>
    <t>Ancillary FSI / FAR</t>
  </si>
  <si>
    <t>Total FSI</t>
  </si>
  <si>
    <t>As per Market Enquiry :</t>
  </si>
  <si>
    <t xml:space="preserve">All details payable </t>
  </si>
  <si>
    <t>Name / No of the Existing Building</t>
  </si>
  <si>
    <t xml:space="preserve">Remarks:  </t>
  </si>
  <si>
    <t xml:space="preserve">We considered  Saleable area as per our calculation.
</t>
  </si>
  <si>
    <t xml:space="preserve">We considered Carpet area as per Approved Plan.
</t>
  </si>
  <si>
    <t xml:space="preserve">We have considered rate by verifying it from market inquire.
</t>
  </si>
  <si>
    <t xml:space="preserve">Car parking is subjected to authentic documentation.
</t>
  </si>
  <si>
    <t>Recommended rate should be considered as all inclusive rate if other charges are not mentioned. (Excluding GST &amp; other government Taxes)</t>
  </si>
  <si>
    <t>Realizable Rate of the flat Per Sq. Ft. (on Saleable area)</t>
  </si>
  <si>
    <t>Grand Total</t>
  </si>
  <si>
    <t>Otla
Area</t>
  </si>
  <si>
    <t>Balcony Area</t>
  </si>
  <si>
    <t>Building Details Floor Wise</t>
  </si>
  <si>
    <t>Project Construction Start date</t>
  </si>
  <si>
    <t>As projected by the Developer</t>
  </si>
  <si>
    <t>As projected by the RERA</t>
  </si>
  <si>
    <t>Construction Details:</t>
  </si>
  <si>
    <t>Loft Area</t>
  </si>
  <si>
    <t>Valid Upto 
Date</t>
  </si>
  <si>
    <t xml:space="preserve">Approved Floor </t>
  </si>
  <si>
    <t>Proposed Floor</t>
  </si>
  <si>
    <t xml:space="preserve">Commencement Certificate No. 
Valid Up to: 
</t>
  </si>
  <si>
    <t>Flat No. 
(Approved  Plan)</t>
  </si>
  <si>
    <t>Saleable Area
Loading :</t>
  </si>
  <si>
    <t>Gross Carpet Area</t>
  </si>
  <si>
    <t>Attached Terrace Area</t>
  </si>
  <si>
    <t>Carpet Area</t>
  </si>
  <si>
    <t>Net Plot Area (Sq.M)</t>
  </si>
  <si>
    <t>Plot Area (Sq.M)</t>
  </si>
  <si>
    <t>Ground Floor For Commercial &amp; Parking</t>
  </si>
  <si>
    <t xml:space="preserve">Details of Residential in Building     </t>
  </si>
  <si>
    <t xml:space="preserve">Details of Commercial in Building     </t>
  </si>
  <si>
    <t xml:space="preserve">Expected Completion Date </t>
  </si>
  <si>
    <t>Authorized Signatory
Name &amp; Seal of the Agency</t>
  </si>
  <si>
    <t>Date of documents delivery / Receipt</t>
  </si>
  <si>
    <t>Mr. Sudhir Bhosale</t>
  </si>
  <si>
    <t xml:space="preserve">Layout Plan No. </t>
  </si>
  <si>
    <t>Approved Floor Plan No</t>
  </si>
  <si>
    <t>Building No.6 (Wing B) = Stilt + 1st to 21st Floor</t>
  </si>
  <si>
    <t xml:space="preserve">Fire Noc No
Valid Up to: 
</t>
  </si>
  <si>
    <t xml:space="preserve">Airport Noc No
Valid Up for: 
</t>
  </si>
  <si>
    <t xml:space="preserve">Environmental Clearance Certificate (EC) No
Valid Up for: 
</t>
  </si>
  <si>
    <t>Shree Viraj Residency Wing-D Phase 3</t>
  </si>
  <si>
    <t>19.152785,73.235980</t>
  </si>
  <si>
    <t>https://maps.app.goo.gl/kowug88zke35nkyM9</t>
  </si>
  <si>
    <t>P51700080527</t>
  </si>
  <si>
    <t>Nisarg Samruddhi Heights</t>
  </si>
  <si>
    <t>Mr. Sudhir Bhosale 9096679149</t>
  </si>
  <si>
    <t>M/s. Shree Viraj Enterprises</t>
  </si>
  <si>
    <t>Unit No. 1-2, Shree Viraj House, 171, LBS Marg, Sarvodaya Hospital, Ghatkopar (West), Kurla, Mumbai - 400086</t>
  </si>
  <si>
    <t>Raj Associates, Office No. 102/103, 1st Floor, Vighnaharta Arcade, Near Spandan Hospital, New DP Road, Katrap, Badlapur (East) 421503
Reg No. CA/2001/27259</t>
  </si>
  <si>
    <t>Wing D = G + 1st to 7th Floor</t>
  </si>
  <si>
    <t>KBNP/NRV/BD/505-182</t>
  </si>
  <si>
    <t>Ground Floor For Entrance Lobby, Driver Room, Meter Room, Society Office &amp; Parking</t>
  </si>
  <si>
    <t>1st to 7th Floor For Residential</t>
  </si>
  <si>
    <t>1BHK</t>
  </si>
  <si>
    <t>2BHK</t>
  </si>
  <si>
    <t>RERA Carpet Area</t>
  </si>
  <si>
    <t>As per site person Ms. Pooja 7030002074</t>
  </si>
  <si>
    <t>Mr. Ganesh Rane 7767052456</t>
  </si>
  <si>
    <t>20/09/2025, Saturday at 02:18PM</t>
  </si>
  <si>
    <t>Ms. Pooja 7030002074</t>
  </si>
  <si>
    <t xml:space="preserve">We considered Gross carpet area = Net carpet + AP Area.
</t>
  </si>
  <si>
    <t xml:space="preserve">Construction work is in process at the time of Visit (labour found).
</t>
  </si>
  <si>
    <t>Shree Viraj Residency 
Wing-D Phase 3</t>
  </si>
  <si>
    <t>Shree Viraj Residency Wing-D Phase 3, Near Nisarg Samruddhi, Shirgaon Village, MIDC, Badlapur East</t>
  </si>
  <si>
    <t>Proposed Residential Building On Land Bearing S No. 63, H No.5A, P. No. 1 to 7, S. No. 63, H. No.6, 7 &amp; 8, S No. 62, H No.8, Village- Shirgaon, Tal. Ambernath, Dist. Thane</t>
  </si>
  <si>
    <t>Proposed Builtup Area of Wing D (Sq.M)</t>
  </si>
  <si>
    <t>Total Builtup Area (Sq.M)</t>
  </si>
  <si>
    <t>March 2023</t>
  </si>
  <si>
    <t>provided docs.</t>
  </si>
  <si>
    <t>Dec 2027</t>
  </si>
  <si>
    <t xml:space="preserve">Sale plan </t>
  </si>
  <si>
    <t xml:space="preserve">Proposed Amenities       </t>
  </si>
  <si>
    <t xml:space="preserve">Childerns play Area with outdoor Activity
Lift
Stilt Parking
Power backup for Lobby, Lift &amp; Common Areas
24 X 7 CCTV
Decorative Entrance Gate 
Attractive Entrance Lobby
</t>
  </si>
  <si>
    <t>KBNP/NRV/BP/505/2022-2023 Unique No.182</t>
  </si>
  <si>
    <t>Wing D = Stilt + 1st to 7th Floor</t>
  </si>
  <si>
    <t>Wing D</t>
  </si>
  <si>
    <t xml:space="preserve">SCHOOL :
Dwarkabai Ganesh Naik School - 1Km
Aniruddha High School &amp; Junior College - 1.7Km
SHOPPING :
Reliance SMART Bazaar - 0.75Km
BMart - 0.5Km
HOSPITALS :
Vaishnavi Multispeciality Hospital - 0.85Km
Shreeji Multispeciality Hospital  - 1.4Km
PETROL PUMP :
Nayana Energy Petrol Pump - 1.3Km
BP Petrol Pump - 1.5Km
</t>
  </si>
  <si>
    <t>Flat = 56</t>
  </si>
  <si>
    <t>Brick work</t>
  </si>
  <si>
    <t>Internal/External Plaster</t>
  </si>
  <si>
    <t>Flooring &amp; Tiling</t>
  </si>
  <si>
    <t>Electric &amp; Sliding Window</t>
  </si>
  <si>
    <t>Painting &amp; Sliding Window</t>
  </si>
  <si>
    <t>Vist</t>
  </si>
  <si>
    <t>Unsold = 56, Sold = 0</t>
  </si>
  <si>
    <t xml:space="preserve">Shree Viraj Residency Wing-D Phase 3, Near Nisarg Samruddhi Heights, Internal Road, At Village - Shirgaon, Badlapur East, Tal. Ambernath, Dist.Thane - 421503. </t>
  </si>
  <si>
    <t>Approved Plan
Builder Profile
Cost Sheet
Sale Plan</t>
  </si>
  <si>
    <t>We have referred approved CC from RERA site.</t>
  </si>
  <si>
    <t>Kulgaon Badlapur Municipal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</si>
</sst>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0.0"/>
    <numFmt numFmtId="166" formatCode="0.000"/>
    <numFmt numFmtId="167" formatCode="0.00000"/>
    <numFmt numFmtId="168" formatCode="0.0000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/>
      <sz val="1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Times New Roman"/>
      <family val="1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0" fontId="1" fillId="0" borderId="0"/>
    <xf numFmtId="0" fontId="6" fillId="0" borderId="0"/>
    <xf numFmtId="0" fontId="1" fillId="0" borderId="0"/>
    <xf numFmtId="0" fontId="6" fillId="0" borderId="0"/>
    <xf numFmtId="164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246">
    <xf numFmtId="0" fontId="0" fillId="0" borderId="0" xfId="0"/>
    <xf numFmtId="1" fontId="2" fillId="0" borderId="2" xfId="2" applyNumberFormat="1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center" wrapText="1"/>
    </xf>
    <xf numFmtId="0" fontId="8" fillId="0" borderId="0" xfId="0" applyFont="1" applyProtection="1">
      <protection hidden="1"/>
    </xf>
    <xf numFmtId="0" fontId="8" fillId="0" borderId="16" xfId="0" applyFont="1" applyBorder="1" applyProtection="1">
      <protection hidden="1"/>
    </xf>
    <xf numFmtId="0" fontId="9" fillId="0" borderId="10" xfId="2" applyFont="1" applyBorder="1" applyProtection="1">
      <protection hidden="1"/>
    </xf>
    <xf numFmtId="0" fontId="4" fillId="0" borderId="22" xfId="2" applyFont="1" applyBorder="1" applyAlignment="1" applyProtection="1">
      <alignment horizontal="center" vertical="top"/>
      <protection locked="0"/>
    </xf>
    <xf numFmtId="0" fontId="10" fillId="0" borderId="1" xfId="2" applyFont="1" applyBorder="1" applyAlignment="1" applyProtection="1">
      <alignment horizontal="center" vertical="top"/>
      <protection locked="0"/>
    </xf>
    <xf numFmtId="0" fontId="4" fillId="0" borderId="1" xfId="2" applyFont="1" applyBorder="1" applyAlignment="1" applyProtection="1">
      <alignment horizontal="center" vertical="top"/>
      <protection locked="0"/>
    </xf>
    <xf numFmtId="0" fontId="3" fillId="0" borderId="1" xfId="2" applyFont="1" applyBorder="1" applyAlignment="1" applyProtection="1">
      <alignment horizontal="center" vertical="top"/>
      <protection locked="0"/>
    </xf>
    <xf numFmtId="0" fontId="9" fillId="0" borderId="0" xfId="2" applyFont="1" applyProtection="1">
      <protection hidden="1"/>
    </xf>
    <xf numFmtId="0" fontId="9" fillId="0" borderId="0" xfId="0" applyFont="1"/>
    <xf numFmtId="0" fontId="5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9" fillId="0" borderId="21" xfId="2" applyFont="1" applyBorder="1" applyProtection="1">
      <protection hidden="1"/>
    </xf>
    <xf numFmtId="0" fontId="9" fillId="0" borderId="23" xfId="2" applyFont="1" applyBorder="1" applyProtection="1">
      <protection hidden="1"/>
    </xf>
    <xf numFmtId="0" fontId="9" fillId="0" borderId="23" xfId="2" applyFont="1" applyBorder="1"/>
    <xf numFmtId="0" fontId="10" fillId="0" borderId="1" xfId="2" applyFont="1" applyBorder="1" applyAlignment="1" applyProtection="1">
      <alignment horizontal="center" wrapText="1"/>
      <protection locked="0"/>
    </xf>
    <xf numFmtId="0" fontId="8" fillId="0" borderId="23" xfId="0" applyFont="1" applyBorder="1" applyProtection="1">
      <protection hidden="1"/>
    </xf>
    <xf numFmtId="1" fontId="10" fillId="0" borderId="1" xfId="2" applyNumberFormat="1" applyFont="1" applyBorder="1" applyAlignment="1" applyProtection="1">
      <alignment horizontal="center" wrapText="1"/>
      <protection locked="0"/>
    </xf>
    <xf numFmtId="1" fontId="6" fillId="0" borderId="23" xfId="0" applyNumberFormat="1" applyFont="1" applyBorder="1"/>
    <xf numFmtId="1" fontId="6" fillId="0" borderId="23" xfId="0" applyNumberFormat="1" applyFont="1" applyBorder="1" applyAlignment="1">
      <alignment horizontal="right"/>
    </xf>
    <xf numFmtId="0" fontId="10" fillId="0" borderId="18" xfId="2" applyFont="1" applyBorder="1" applyAlignment="1" applyProtection="1">
      <alignment horizontal="center" wrapText="1"/>
      <protection locked="0"/>
    </xf>
    <xf numFmtId="1" fontId="6" fillId="0" borderId="19" xfId="0" applyNumberFormat="1" applyFont="1" applyBorder="1"/>
    <xf numFmtId="0" fontId="4" fillId="0" borderId="1" xfId="2" applyFont="1" applyBorder="1" applyAlignment="1">
      <alignment horizontal="left" vertical="top"/>
    </xf>
    <xf numFmtId="0" fontId="4" fillId="0" borderId="1" xfId="2" applyFont="1" applyBorder="1" applyAlignment="1">
      <alignment vertical="top"/>
    </xf>
    <xf numFmtId="0" fontId="10" fillId="0" borderId="0" xfId="0" applyFont="1"/>
    <xf numFmtId="0" fontId="9" fillId="0" borderId="1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7" fillId="0" borderId="0" xfId="0" applyFont="1" applyAlignment="1">
      <alignment horizontal="center"/>
    </xf>
    <xf numFmtId="0" fontId="7" fillId="0" borderId="0" xfId="0" applyFont="1"/>
    <xf numFmtId="14" fontId="2" fillId="0" borderId="0" xfId="0" applyNumberFormat="1" applyFont="1" applyAlignment="1">
      <alignment vertical="top"/>
    </xf>
    <xf numFmtId="9" fontId="10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9" fillId="0" borderId="1" xfId="2" applyFont="1" applyBorder="1" applyAlignment="1" applyProtection="1">
      <alignment horizontal="center" vertical="top" wrapText="1"/>
      <protection locked="0"/>
    </xf>
    <xf numFmtId="9" fontId="9" fillId="0" borderId="3" xfId="2" applyNumberFormat="1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>
      <alignment horizontal="center" vertical="top"/>
    </xf>
    <xf numFmtId="0" fontId="4" fillId="0" borderId="6" xfId="2" applyFont="1" applyBorder="1" applyAlignment="1" applyProtection="1">
      <alignment horizontal="center" vertical="top"/>
      <protection locked="0"/>
    </xf>
    <xf numFmtId="9" fontId="9" fillId="0" borderId="17" xfId="2" applyNumberFormat="1" applyFont="1" applyBorder="1" applyAlignment="1" applyProtection="1">
      <alignment horizontal="center" vertical="center" wrapText="1"/>
      <protection hidden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25" xfId="2" applyFont="1" applyBorder="1" applyAlignment="1" applyProtection="1">
      <alignment horizontal="center" vertical="top"/>
      <protection locked="0"/>
    </xf>
    <xf numFmtId="14" fontId="4" fillId="0" borderId="5" xfId="0" applyNumberFormat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top"/>
    </xf>
    <xf numFmtId="9" fontId="14" fillId="0" borderId="5" xfId="6" applyFont="1" applyFill="1" applyBorder="1" applyAlignment="1" applyProtection="1">
      <alignment horizontal="center" vertical="top" wrapText="1"/>
      <protection locked="0"/>
    </xf>
    <xf numFmtId="0" fontId="10" fillId="0" borderId="1" xfId="2" applyFont="1" applyBorder="1" applyAlignment="1">
      <alignment vertical="top"/>
    </xf>
    <xf numFmtId="0" fontId="10" fillId="0" borderId="1" xfId="2" applyFont="1" applyBorder="1" applyAlignment="1">
      <alignment vertical="top" wrapText="1"/>
    </xf>
    <xf numFmtId="1" fontId="9" fillId="0" borderId="0" xfId="0" applyNumberFormat="1" applyFont="1"/>
    <xf numFmtId="9" fontId="7" fillId="0" borderId="5" xfId="6" applyFont="1" applyFill="1" applyBorder="1" applyAlignment="1" applyProtection="1">
      <alignment horizontal="center" vertical="top" wrapText="1"/>
      <protection locked="0"/>
    </xf>
    <xf numFmtId="0" fontId="9" fillId="0" borderId="1" xfId="2" applyFont="1" applyBorder="1" applyAlignment="1" applyProtection="1">
      <alignment horizontal="center" vertical="top"/>
      <protection locked="0"/>
    </xf>
    <xf numFmtId="0" fontId="9" fillId="0" borderId="1" xfId="2" applyFont="1" applyBorder="1" applyAlignment="1" applyProtection="1">
      <alignment horizontal="center" wrapText="1"/>
      <protection locked="0"/>
    </xf>
    <xf numFmtId="1" fontId="9" fillId="0" borderId="1" xfId="2" applyNumberFormat="1" applyFont="1" applyBorder="1" applyAlignment="1" applyProtection="1">
      <alignment horizontal="center" wrapText="1"/>
      <protection locked="0"/>
    </xf>
    <xf numFmtId="0" fontId="9" fillId="0" borderId="18" xfId="2" applyFont="1" applyBorder="1" applyAlignment="1" applyProtection="1">
      <alignment horizontal="center" wrapText="1"/>
      <protection locked="0"/>
    </xf>
    <xf numFmtId="165" fontId="9" fillId="0" borderId="0" xfId="0" applyNumberFormat="1" applyFont="1"/>
    <xf numFmtId="9" fontId="4" fillId="0" borderId="1" xfId="0" applyNumberFormat="1" applyFont="1" applyBorder="1" applyAlignment="1">
      <alignment horizontal="center" vertical="top" wrapText="1"/>
    </xf>
    <xf numFmtId="167" fontId="9" fillId="0" borderId="0" xfId="0" applyNumberFormat="1" applyFont="1"/>
    <xf numFmtId="168" fontId="9" fillId="0" borderId="0" xfId="0" applyNumberFormat="1" applyFont="1"/>
    <xf numFmtId="166" fontId="9" fillId="0" borderId="0" xfId="0" applyNumberFormat="1" applyFont="1"/>
    <xf numFmtId="9" fontId="10" fillId="0" borderId="1" xfId="0" applyNumberFormat="1" applyFont="1" applyFill="1" applyBorder="1" applyAlignment="1">
      <alignment horizontal="center" vertical="top" wrapText="1"/>
    </xf>
    <xf numFmtId="0" fontId="5" fillId="0" borderId="1" xfId="2" applyFont="1" applyBorder="1" applyAlignment="1">
      <alignment horizontal="center" vertical="top"/>
    </xf>
    <xf numFmtId="1" fontId="2" fillId="0" borderId="2" xfId="2" applyNumberFormat="1" applyFont="1" applyBorder="1" applyAlignment="1">
      <alignment horizontal="center" vertical="top" wrapText="1"/>
    </xf>
    <xf numFmtId="1" fontId="2" fillId="0" borderId="5" xfId="2" applyNumberFormat="1" applyFont="1" applyBorder="1" applyAlignment="1">
      <alignment horizontal="center" vertical="top" wrapText="1"/>
    </xf>
    <xf numFmtId="1" fontId="2" fillId="0" borderId="1" xfId="2" applyNumberFormat="1" applyFont="1" applyBorder="1" applyAlignment="1" applyProtection="1">
      <alignment horizontal="center" vertical="center" wrapText="1"/>
      <protection locked="0"/>
    </xf>
    <xf numFmtId="1" fontId="2" fillId="0" borderId="5" xfId="2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1" fontId="2" fillId="0" borderId="1" xfId="2" applyNumberFormat="1" applyFont="1" applyBorder="1" applyAlignment="1">
      <alignment horizontal="center" vertical="top" wrapText="1"/>
    </xf>
    <xf numFmtId="1" fontId="2" fillId="0" borderId="1" xfId="2" applyNumberFormat="1" applyFont="1" applyBorder="1" applyAlignment="1">
      <alignment horizontal="center" vertical="top"/>
    </xf>
    <xf numFmtId="1" fontId="5" fillId="0" borderId="34" xfId="0" applyNumberFormat="1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1" fontId="5" fillId="0" borderId="2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3" fillId="0" borderId="7" xfId="2" applyFont="1" applyBorder="1" applyAlignment="1">
      <alignment horizontal="left" vertical="top" wrapText="1"/>
    </xf>
    <xf numFmtId="0" fontId="3" fillId="0" borderId="28" xfId="2" applyFont="1" applyBorder="1" applyAlignment="1">
      <alignment horizontal="left" vertical="top" wrapText="1"/>
    </xf>
    <xf numFmtId="0" fontId="3" fillId="0" borderId="29" xfId="2" applyFont="1" applyBorder="1" applyAlignment="1">
      <alignment horizontal="left" vertical="top" wrapText="1"/>
    </xf>
    <xf numFmtId="0" fontId="3" fillId="0" borderId="31" xfId="2" applyFont="1" applyBorder="1" applyAlignment="1">
      <alignment horizontal="left" vertical="top" wrapText="1"/>
    </xf>
    <xf numFmtId="0" fontId="10" fillId="0" borderId="1" xfId="2" applyFont="1" applyBorder="1" applyAlignment="1">
      <alignment horizontal="left" vertical="top" wrapText="1"/>
    </xf>
    <xf numFmtId="0" fontId="10" fillId="0" borderId="7" xfId="2" applyFont="1" applyBorder="1" applyAlignment="1">
      <alignment horizontal="left" vertical="top" wrapText="1"/>
    </xf>
    <xf numFmtId="0" fontId="10" fillId="0" borderId="28" xfId="2" applyFont="1" applyBorder="1" applyAlignment="1">
      <alignment horizontal="left" vertical="top" wrapText="1"/>
    </xf>
    <xf numFmtId="0" fontId="10" fillId="0" borderId="29" xfId="2" applyFont="1" applyBorder="1" applyAlignment="1">
      <alignment horizontal="left" vertical="top" wrapText="1"/>
    </xf>
    <xf numFmtId="0" fontId="10" fillId="0" borderId="31" xfId="2" applyFont="1" applyBorder="1" applyAlignment="1">
      <alignment horizontal="left" vertical="top" wrapText="1"/>
    </xf>
    <xf numFmtId="0" fontId="10" fillId="0" borderId="9" xfId="2" applyFont="1" applyBorder="1" applyAlignment="1">
      <alignment horizontal="left" vertical="top" wrapText="1"/>
    </xf>
    <xf numFmtId="0" fontId="10" fillId="0" borderId="33" xfId="2" applyFont="1" applyBorder="1" applyAlignment="1">
      <alignment horizontal="left" vertical="top" wrapText="1"/>
    </xf>
    <xf numFmtId="0" fontId="10" fillId="0" borderId="3" xfId="2" applyFont="1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0" fontId="10" fillId="0" borderId="7" xfId="2" applyFont="1" applyBorder="1" applyAlignment="1">
      <alignment horizontal="center" vertical="top" wrapText="1"/>
    </xf>
    <xf numFmtId="0" fontId="10" fillId="0" borderId="8" xfId="2" applyFont="1" applyBorder="1" applyAlignment="1">
      <alignment horizontal="center" vertical="top" wrapText="1"/>
    </xf>
    <xf numFmtId="0" fontId="10" fillId="0" borderId="28" xfId="2" applyFont="1" applyBorder="1" applyAlignment="1">
      <alignment horizontal="center" vertical="top" wrapText="1"/>
    </xf>
    <xf numFmtId="0" fontId="10" fillId="0" borderId="29" xfId="2" applyFont="1" applyBorder="1" applyAlignment="1">
      <alignment horizontal="center" vertical="top" wrapText="1"/>
    </xf>
    <xf numFmtId="0" fontId="10" fillId="0" borderId="30" xfId="2" applyFont="1" applyBorder="1" applyAlignment="1">
      <alignment horizontal="center" vertical="top" wrapText="1"/>
    </xf>
    <xf numFmtId="0" fontId="10" fillId="0" borderId="31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/>
    </xf>
    <xf numFmtId="1" fontId="5" fillId="0" borderId="34" xfId="0" applyNumberFormat="1" applyFont="1" applyBorder="1" applyAlignment="1">
      <alignment horizontal="center" vertical="top" wrapText="1"/>
    </xf>
    <xf numFmtId="1" fontId="5" fillId="0" borderId="38" xfId="0" applyNumberFormat="1" applyFont="1" applyBorder="1" applyAlignment="1">
      <alignment horizontal="center" vertical="top" wrapText="1"/>
    </xf>
    <xf numFmtId="14" fontId="4" fillId="0" borderId="1" xfId="2" applyNumberFormat="1" applyFont="1" applyBorder="1" applyAlignment="1">
      <alignment horizontal="left" vertical="top" wrapText="1"/>
    </xf>
    <xf numFmtId="0" fontId="4" fillId="0" borderId="1" xfId="2" applyFont="1" applyBorder="1" applyAlignment="1">
      <alignment horizontal="left" vertical="top" wrapText="1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1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1" fontId="5" fillId="0" borderId="1" xfId="0" applyNumberFormat="1" applyFont="1" applyBorder="1" applyAlignment="1">
      <alignment horizontal="center" vertical="top" wrapText="1"/>
    </xf>
    <xf numFmtId="0" fontId="9" fillId="0" borderId="1" xfId="2" applyFont="1" applyBorder="1" applyAlignment="1" applyProtection="1">
      <alignment horizontal="center" vertical="top" wrapText="1"/>
      <protection locked="0"/>
    </xf>
    <xf numFmtId="0" fontId="9" fillId="0" borderId="25" xfId="2" applyFont="1" applyBorder="1" applyAlignment="1" applyProtection="1">
      <alignment horizontal="center" vertical="top" wrapText="1"/>
      <protection locked="0"/>
    </xf>
    <xf numFmtId="0" fontId="9" fillId="0" borderId="26" xfId="2" applyFont="1" applyBorder="1" applyAlignment="1" applyProtection="1">
      <alignment horizontal="center" vertical="top" wrapText="1"/>
      <protection locked="0"/>
    </xf>
    <xf numFmtId="0" fontId="9" fillId="0" borderId="18" xfId="2" applyFont="1" applyBorder="1" applyAlignment="1" applyProtection="1">
      <alignment horizontal="center" vertical="top" wrapText="1"/>
      <protection locked="0"/>
    </xf>
    <xf numFmtId="14" fontId="7" fillId="0" borderId="11" xfId="2" applyNumberFormat="1" applyFont="1" applyBorder="1" applyAlignment="1" applyProtection="1">
      <alignment horizontal="left" vertical="top" wrapText="1"/>
      <protection locked="0"/>
    </xf>
    <xf numFmtId="0" fontId="7" fillId="0" borderId="12" xfId="2" applyFont="1" applyBorder="1" applyAlignment="1" applyProtection="1">
      <alignment horizontal="left" vertical="top" wrapText="1"/>
      <protection locked="0"/>
    </xf>
    <xf numFmtId="0" fontId="7" fillId="0" borderId="14" xfId="2" applyFont="1" applyBorder="1" applyAlignment="1" applyProtection="1">
      <alignment horizontal="left" vertical="top" wrapText="1"/>
      <protection locked="0"/>
    </xf>
    <xf numFmtId="0" fontId="5" fillId="0" borderId="22" xfId="2" applyFont="1" applyBorder="1" applyAlignment="1" applyProtection="1">
      <alignment horizontal="left" vertical="top"/>
      <protection locked="0"/>
    </xf>
    <xf numFmtId="0" fontId="5" fillId="0" borderId="1" xfId="2" applyFont="1" applyBorder="1" applyAlignment="1" applyProtection="1">
      <alignment horizontal="left" vertical="top"/>
      <protection locked="0"/>
    </xf>
    <xf numFmtId="0" fontId="9" fillId="0" borderId="22" xfId="2" applyFont="1" applyBorder="1" applyAlignment="1" applyProtection="1">
      <alignment horizontal="center" vertical="top" wrapText="1"/>
      <protection locked="0"/>
    </xf>
    <xf numFmtId="9" fontId="9" fillId="0" borderId="1" xfId="2" applyNumberFormat="1" applyFont="1" applyBorder="1" applyAlignment="1" applyProtection="1">
      <alignment horizontal="center" vertical="center" wrapText="1"/>
      <protection hidden="1"/>
    </xf>
    <xf numFmtId="9" fontId="9" fillId="0" borderId="18" xfId="2" applyNumberFormat="1" applyFont="1" applyBorder="1" applyAlignment="1" applyProtection="1">
      <alignment horizontal="center" vertical="center" wrapText="1"/>
      <protection hidden="1"/>
    </xf>
    <xf numFmtId="9" fontId="9" fillId="0" borderId="7" xfId="2" applyNumberFormat="1" applyFont="1" applyBorder="1" applyAlignment="1" applyProtection="1">
      <alignment horizontal="center" vertical="center" wrapText="1"/>
      <protection hidden="1"/>
    </xf>
    <xf numFmtId="9" fontId="9" fillId="0" borderId="28" xfId="2" applyNumberFormat="1" applyFont="1" applyBorder="1" applyAlignment="1" applyProtection="1">
      <alignment horizontal="center" vertical="center" wrapText="1"/>
      <protection hidden="1"/>
    </xf>
    <xf numFmtId="9" fontId="9" fillId="0" borderId="9" xfId="2" applyNumberFormat="1" applyFont="1" applyBorder="1" applyAlignment="1" applyProtection="1">
      <alignment horizontal="center" vertical="center" wrapText="1"/>
      <protection hidden="1"/>
    </xf>
    <xf numFmtId="9" fontId="9" fillId="0" borderId="33" xfId="2" applyNumberFormat="1" applyFont="1" applyBorder="1" applyAlignment="1" applyProtection="1">
      <alignment horizontal="center" vertical="center" wrapText="1"/>
      <protection hidden="1"/>
    </xf>
    <xf numFmtId="9" fontId="9" fillId="0" borderId="27" xfId="2" applyNumberFormat="1" applyFont="1" applyBorder="1" applyAlignment="1" applyProtection="1">
      <alignment horizontal="center" vertical="center" wrapText="1"/>
      <protection hidden="1"/>
    </xf>
    <xf numFmtId="9" fontId="9" fillId="0" borderId="36" xfId="2" applyNumberFormat="1" applyFont="1" applyBorder="1" applyAlignment="1" applyProtection="1">
      <alignment horizontal="center" vertical="center" wrapText="1"/>
      <protection hidden="1"/>
    </xf>
    <xf numFmtId="49" fontId="4" fillId="0" borderId="1" xfId="0" applyNumberFormat="1" applyFont="1" applyBorder="1" applyAlignment="1">
      <alignment horizontal="left" vertical="top" wrapText="1"/>
    </xf>
    <xf numFmtId="0" fontId="2" fillId="0" borderId="20" xfId="2" applyFont="1" applyBorder="1" applyAlignment="1" applyProtection="1">
      <alignment horizontal="center" vertical="top"/>
      <protection locked="0"/>
    </xf>
    <xf numFmtId="0" fontId="2" fillId="0" borderId="13" xfId="2" applyFont="1" applyBorder="1" applyAlignment="1" applyProtection="1">
      <alignment horizontal="center" vertical="top"/>
      <protection locked="0"/>
    </xf>
    <xf numFmtId="14" fontId="2" fillId="0" borderId="1" xfId="0" applyNumberFormat="1" applyFont="1" applyBorder="1" applyAlignment="1">
      <alignment horizontal="center" vertical="top" wrapText="1"/>
    </xf>
    <xf numFmtId="14" fontId="4" fillId="0" borderId="3" xfId="0" applyNumberFormat="1" applyFont="1" applyBorder="1" applyAlignment="1">
      <alignment horizontal="left" vertical="top" wrapText="1"/>
    </xf>
    <xf numFmtId="14" fontId="4" fillId="0" borderId="4" xfId="0" applyNumberFormat="1" applyFont="1" applyBorder="1" applyAlignment="1">
      <alignment horizontal="left" vertical="top" wrapText="1"/>
    </xf>
    <xf numFmtId="14" fontId="4" fillId="0" borderId="6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/>
    </xf>
    <xf numFmtId="0" fontId="3" fillId="0" borderId="32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5" fillId="0" borderId="3" xfId="2" applyFont="1" applyBorder="1" applyAlignment="1" applyProtection="1">
      <alignment horizontal="left" vertical="top" wrapText="1"/>
      <protection locked="0"/>
    </xf>
    <xf numFmtId="0" fontId="5" fillId="0" borderId="4" xfId="2" applyFont="1" applyBorder="1" applyAlignment="1" applyProtection="1">
      <alignment horizontal="left" vertical="top" wrapText="1"/>
      <protection locked="0"/>
    </xf>
    <xf numFmtId="0" fontId="5" fillId="0" borderId="15" xfId="2" applyFont="1" applyBorder="1" applyAlignment="1" applyProtection="1">
      <alignment horizontal="left" vertical="top" wrapText="1"/>
      <protection locked="0"/>
    </xf>
    <xf numFmtId="14" fontId="2" fillId="0" borderId="1" xfId="0" applyNumberFormat="1" applyFont="1" applyBorder="1" applyAlignment="1">
      <alignment horizontal="left" vertical="top" wrapText="1"/>
    </xf>
    <xf numFmtId="14" fontId="3" fillId="0" borderId="1" xfId="0" applyNumberFormat="1" applyFont="1" applyFill="1" applyBorder="1" applyAlignment="1">
      <alignment horizontal="left" vertical="top" wrapText="1"/>
    </xf>
    <xf numFmtId="14" fontId="3" fillId="0" borderId="1" xfId="0" applyNumberFormat="1" applyFont="1" applyBorder="1" applyAlignment="1">
      <alignment horizontal="left" vertical="top" wrapText="1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 wrapText="1"/>
    </xf>
    <xf numFmtId="0" fontId="2" fillId="0" borderId="1" xfId="2" applyFont="1" applyBorder="1" applyAlignment="1">
      <alignment horizontal="left" vertical="top"/>
    </xf>
    <xf numFmtId="0" fontId="2" fillId="0" borderId="5" xfId="2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3" fillId="0" borderId="1" xfId="2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 applyProtection="1">
      <alignment horizontal="center" vertical="top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24" xfId="2" applyFont="1" applyBorder="1" applyAlignment="1" applyProtection="1">
      <alignment horizontal="center" vertical="top" wrapText="1"/>
      <protection locked="0"/>
    </xf>
    <xf numFmtId="0" fontId="9" fillId="0" borderId="6" xfId="2" applyFont="1" applyBorder="1" applyAlignment="1" applyProtection="1">
      <alignment horizontal="center" vertical="top" wrapText="1"/>
      <protection locked="0"/>
    </xf>
    <xf numFmtId="0" fontId="9" fillId="0" borderId="3" xfId="2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14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14" fontId="5" fillId="0" borderId="1" xfId="0" applyNumberFormat="1" applyFont="1" applyBorder="1" applyAlignment="1">
      <alignment horizontal="left" vertical="top" wrapText="1"/>
    </xf>
    <xf numFmtId="14" fontId="15" fillId="0" borderId="3" xfId="7" applyNumberFormat="1" applyBorder="1" applyAlignment="1">
      <alignment horizontal="left" vertical="top" wrapText="1"/>
    </xf>
    <xf numFmtId="14" fontId="4" fillId="0" borderId="3" xfId="0" applyNumberFormat="1" applyFont="1" applyBorder="1" applyAlignment="1">
      <alignment horizontal="center" vertical="top" wrapText="1"/>
    </xf>
    <xf numFmtId="14" fontId="4" fillId="0" borderId="6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14" fontId="4" fillId="0" borderId="1" xfId="0" applyNumberFormat="1" applyFont="1" applyBorder="1" applyAlignment="1">
      <alignment vertical="top" wrapText="1"/>
    </xf>
    <xf numFmtId="14" fontId="14" fillId="0" borderId="11" xfId="2" applyNumberFormat="1" applyFont="1" applyBorder="1" applyAlignment="1" applyProtection="1">
      <alignment horizontal="left" vertical="top" wrapText="1"/>
      <protection locked="0"/>
    </xf>
    <xf numFmtId="0" fontId="14" fillId="0" borderId="12" xfId="2" applyFont="1" applyBorder="1" applyAlignment="1" applyProtection="1">
      <alignment horizontal="left" vertical="top" wrapText="1"/>
      <protection locked="0"/>
    </xf>
    <xf numFmtId="0" fontId="14" fillId="0" borderId="14" xfId="2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center" vertical="top"/>
    </xf>
    <xf numFmtId="14" fontId="4" fillId="0" borderId="1" xfId="0" applyNumberFormat="1" applyFont="1" applyBorder="1" applyAlignment="1">
      <alignment horizontal="center" vertical="top" wrapText="1"/>
    </xf>
    <xf numFmtId="1" fontId="2" fillId="0" borderId="7" xfId="2" applyNumberFormat="1" applyFont="1" applyBorder="1" applyAlignment="1">
      <alignment horizontal="center" vertical="top" wrapText="1"/>
    </xf>
    <xf numFmtId="1" fontId="2" fillId="0" borderId="29" xfId="2" applyNumberFormat="1" applyFont="1" applyBorder="1" applyAlignment="1">
      <alignment horizontal="center" vertical="top" wrapText="1"/>
    </xf>
    <xf numFmtId="14" fontId="3" fillId="0" borderId="2" xfId="0" applyNumberFormat="1" applyFont="1" applyBorder="1" applyAlignment="1">
      <alignment horizontal="left" vertical="top" wrapText="1"/>
    </xf>
    <xf numFmtId="14" fontId="10" fillId="0" borderId="3" xfId="0" applyNumberFormat="1" applyFont="1" applyFill="1" applyBorder="1" applyAlignment="1">
      <alignment horizontal="left" vertical="top" wrapText="1"/>
    </xf>
    <xf numFmtId="14" fontId="10" fillId="0" borderId="4" xfId="0" applyNumberFormat="1" applyFont="1" applyFill="1" applyBorder="1" applyAlignment="1">
      <alignment horizontal="left" vertical="top" wrapText="1"/>
    </xf>
    <xf numFmtId="14" fontId="10" fillId="0" borderId="6" xfId="0" applyNumberFormat="1" applyFont="1" applyFill="1" applyBorder="1" applyAlignment="1">
      <alignment horizontal="left" vertical="top" wrapText="1"/>
    </xf>
    <xf numFmtId="14" fontId="10" fillId="0" borderId="3" xfId="0" applyNumberFormat="1" applyFont="1" applyBorder="1" applyAlignment="1">
      <alignment horizontal="left" vertical="top" wrapText="1"/>
    </xf>
    <xf numFmtId="14" fontId="10" fillId="0" borderId="4" xfId="0" applyNumberFormat="1" applyFont="1" applyBorder="1" applyAlignment="1">
      <alignment horizontal="left" vertical="top" wrapText="1"/>
    </xf>
    <xf numFmtId="14" fontId="10" fillId="0" borderId="6" xfId="0" applyNumberFormat="1" applyFont="1" applyBorder="1" applyAlignment="1">
      <alignment horizontal="left" vertical="top" wrapText="1"/>
    </xf>
    <xf numFmtId="14" fontId="10" fillId="0" borderId="1" xfId="0" applyNumberFormat="1" applyFont="1" applyBorder="1" applyAlignment="1">
      <alignment horizontal="left" vertical="top" wrapText="1"/>
    </xf>
    <xf numFmtId="1" fontId="4" fillId="0" borderId="1" xfId="0" applyNumberFormat="1" applyFont="1" applyBorder="1" applyAlignment="1">
      <alignment horizontal="center" vertical="top" wrapText="1"/>
    </xf>
    <xf numFmtId="14" fontId="9" fillId="0" borderId="1" xfId="0" applyNumberFormat="1" applyFont="1" applyBorder="1" applyAlignment="1">
      <alignment horizontal="left" vertical="top" wrapText="1"/>
    </xf>
    <xf numFmtId="14" fontId="2" fillId="0" borderId="7" xfId="0" applyNumberFormat="1" applyFont="1" applyBorder="1" applyAlignment="1">
      <alignment horizontal="center" vertical="top" wrapText="1"/>
    </xf>
    <xf numFmtId="14" fontId="2" fillId="0" borderId="8" xfId="0" applyNumberFormat="1" applyFont="1" applyBorder="1" applyAlignment="1">
      <alignment horizontal="center" vertical="top" wrapText="1"/>
    </xf>
    <xf numFmtId="14" fontId="2" fillId="0" borderId="28" xfId="0" applyNumberFormat="1" applyFont="1" applyBorder="1" applyAlignment="1">
      <alignment horizontal="center" vertical="top" wrapText="1"/>
    </xf>
    <xf numFmtId="14" fontId="9" fillId="0" borderId="3" xfId="0" applyNumberFormat="1" applyFont="1" applyBorder="1" applyAlignment="1">
      <alignment horizontal="left" vertical="top" wrapText="1"/>
    </xf>
    <xf numFmtId="14" fontId="9" fillId="0" borderId="4" xfId="0" applyNumberFormat="1" applyFont="1" applyBorder="1" applyAlignment="1">
      <alignment horizontal="left" vertical="top" wrapText="1"/>
    </xf>
    <xf numFmtId="14" fontId="9" fillId="0" borderId="6" xfId="0" applyNumberFormat="1" applyFont="1" applyBorder="1" applyAlignment="1">
      <alignment horizontal="left" vertical="top" wrapText="1"/>
    </xf>
    <xf numFmtId="0" fontId="5" fillId="0" borderId="1" xfId="1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14" fontId="10" fillId="0" borderId="1" xfId="0" applyNumberFormat="1" applyFont="1" applyFill="1" applyBorder="1" applyAlignment="1">
      <alignment horizontal="left" vertical="top" wrapText="1"/>
    </xf>
    <xf numFmtId="0" fontId="2" fillId="0" borderId="1" xfId="2" applyFont="1" applyBorder="1" applyAlignment="1">
      <alignment horizontal="left" vertical="top" wrapText="1"/>
    </xf>
    <xf numFmtId="0" fontId="5" fillId="0" borderId="1" xfId="2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4" fillId="0" borderId="3" xfId="2" applyFont="1" applyBorder="1" applyAlignment="1">
      <alignment horizontal="left" vertical="top" wrapText="1"/>
    </xf>
    <xf numFmtId="0" fontId="4" fillId="0" borderId="4" xfId="2" applyFont="1" applyBorder="1" applyAlignment="1">
      <alignment horizontal="left" vertical="top" wrapText="1"/>
    </xf>
    <xf numFmtId="0" fontId="4" fillId="0" borderId="6" xfId="2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1" fontId="2" fillId="2" borderId="1" xfId="2" applyNumberFormat="1" applyFont="1" applyFill="1" applyBorder="1" applyAlignment="1" applyProtection="1">
      <alignment horizontal="center" vertical="center" wrapText="1"/>
      <protection locked="0"/>
    </xf>
    <xf numFmtId="1" fontId="2" fillId="2" borderId="5" xfId="2" applyNumberFormat="1" applyFont="1" applyFill="1" applyBorder="1" applyAlignment="1" applyProtection="1">
      <alignment horizontal="center" vertical="center" wrapText="1"/>
      <protection locked="0"/>
    </xf>
    <xf numFmtId="1" fontId="5" fillId="0" borderId="2" xfId="0" applyNumberFormat="1" applyFont="1" applyBorder="1" applyAlignment="1" applyProtection="1">
      <alignment horizontal="center" vertical="center" wrapText="1"/>
      <protection locked="0"/>
    </xf>
    <xf numFmtId="1" fontId="5" fillId="0" borderId="37" xfId="0" applyNumberFormat="1" applyFont="1" applyBorder="1" applyAlignment="1" applyProtection="1">
      <alignment horizontal="center" vertical="center" wrapText="1"/>
      <protection locked="0"/>
    </xf>
    <xf numFmtId="1" fontId="5" fillId="0" borderId="34" xfId="0" applyNumberFormat="1" applyFont="1" applyBorder="1" applyAlignment="1" applyProtection="1">
      <alignment horizontal="center" vertical="center" wrapText="1"/>
      <protection locked="0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4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5" fillId="0" borderId="1" xfId="2" applyFont="1" applyBorder="1" applyAlignment="1">
      <alignment horizontal="left" vertical="top"/>
    </xf>
    <xf numFmtId="0" fontId="3" fillId="0" borderId="32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14" fontId="10" fillId="0" borderId="29" xfId="0" applyNumberFormat="1" applyFont="1" applyBorder="1" applyAlignment="1">
      <alignment horizontal="left" vertical="top" wrapText="1"/>
    </xf>
    <xf numFmtId="14" fontId="10" fillId="0" borderId="30" xfId="0" applyNumberFormat="1" applyFont="1" applyBorder="1" applyAlignment="1">
      <alignment horizontal="left" vertical="top" wrapText="1"/>
    </xf>
    <xf numFmtId="14" fontId="10" fillId="0" borderId="31" xfId="0" applyNumberFormat="1" applyFont="1" applyBorder="1" applyAlignment="1">
      <alignment horizontal="left" vertical="top" wrapText="1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14" fontId="4" fillId="0" borderId="35" xfId="0" applyNumberFormat="1" applyFont="1" applyBorder="1" applyAlignment="1">
      <alignment horizontal="left" vertical="top" wrapText="1"/>
    </xf>
    <xf numFmtId="14" fontId="4" fillId="0" borderId="10" xfId="0" applyNumberFormat="1" applyFont="1" applyBorder="1" applyAlignment="1">
      <alignment horizontal="left" vertical="top" wrapText="1"/>
    </xf>
    <xf numFmtId="14" fontId="4" fillId="0" borderId="33" xfId="0" applyNumberFormat="1" applyFont="1" applyBorder="1" applyAlignment="1">
      <alignment horizontal="left" vertical="top" wrapText="1"/>
    </xf>
  </cellXfs>
  <cellStyles count="8">
    <cellStyle name="Comma 2" xfId="5"/>
    <cellStyle name="Excel Built-in Normal" xfId="1"/>
    <cellStyle name="Excel Built-in Normal 2" xfId="3"/>
    <cellStyle name="Hyperlink" xfId="7" builtinId="8"/>
    <cellStyle name="Normal" xfId="0" builtinId="0"/>
    <cellStyle name="Normal 3" xfId="2"/>
    <cellStyle name="Normal 4" xfId="4"/>
    <cellStyle name="Percent" xfId="6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jp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409575</xdr:colOff>
      <xdr:row>4</xdr:row>
      <xdr:rowOff>657226</xdr:rowOff>
    </xdr:from>
    <xdr:to>
      <xdr:col>16</xdr:col>
      <xdr:colOff>398640</xdr:colOff>
      <xdr:row>10</xdr:row>
      <xdr:rowOff>115196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FD4ADF-EDB2-4458-8D60-6584B8E8C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1743076"/>
          <a:ext cx="3600000" cy="1277245"/>
        </a:xfrm>
        <a:prstGeom prst="rect">
          <a:avLst/>
        </a:prstGeom>
      </xdr:spPr>
    </xdr:pic>
    <xdr:clientData/>
  </xdr:twoCellAnchor>
  <xdr:twoCellAnchor editAs="oneCell">
    <xdr:from>
      <xdr:col>8</xdr:col>
      <xdr:colOff>927555</xdr:colOff>
      <xdr:row>11</xdr:row>
      <xdr:rowOff>472889</xdr:rowOff>
    </xdr:from>
    <xdr:to>
      <xdr:col>21</xdr:col>
      <xdr:colOff>354496</xdr:colOff>
      <xdr:row>15</xdr:row>
      <xdr:rowOff>324215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6762EC6-560C-4E2C-8756-3BEF24456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33130" y="3730439"/>
          <a:ext cx="6094441" cy="1422951"/>
        </a:xfrm>
        <a:prstGeom prst="rect">
          <a:avLst/>
        </a:prstGeom>
      </xdr:spPr>
    </xdr:pic>
    <xdr:clientData/>
  </xdr:twoCellAnchor>
  <xdr:twoCellAnchor editAs="oneCell">
    <xdr:from>
      <xdr:col>8</xdr:col>
      <xdr:colOff>933450</xdr:colOff>
      <xdr:row>23</xdr:row>
      <xdr:rowOff>304800</xdr:rowOff>
    </xdr:from>
    <xdr:to>
      <xdr:col>16</xdr:col>
      <xdr:colOff>195311</xdr:colOff>
      <xdr:row>29</xdr:row>
      <xdr:rowOff>484868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E5E6987-BB0E-4867-83E6-58A701986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39025" y="9067800"/>
          <a:ext cx="2880000" cy="2297979"/>
        </a:xfrm>
        <a:prstGeom prst="rect">
          <a:avLst/>
        </a:prstGeom>
      </xdr:spPr>
    </xdr:pic>
    <xdr:clientData/>
  </xdr:twoCellAnchor>
  <xdr:twoCellAnchor editAs="oneCell">
    <xdr:from>
      <xdr:col>12</xdr:col>
      <xdr:colOff>371474</xdr:colOff>
      <xdr:row>29</xdr:row>
      <xdr:rowOff>554432</xdr:rowOff>
    </xdr:from>
    <xdr:to>
      <xdr:col>22</xdr:col>
      <xdr:colOff>170999</xdr:colOff>
      <xdr:row>31</xdr:row>
      <xdr:rowOff>76199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BFD151B-5716-409E-B01D-4340A2666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667874" y="11412932"/>
          <a:ext cx="4066725" cy="874317"/>
        </a:xfrm>
        <a:prstGeom prst="rect">
          <a:avLst/>
        </a:prstGeom>
      </xdr:spPr>
    </xdr:pic>
    <xdr:clientData/>
  </xdr:twoCellAnchor>
  <xdr:twoCellAnchor editAs="oneCell">
    <xdr:from>
      <xdr:col>8</xdr:col>
      <xdr:colOff>580468</xdr:colOff>
      <xdr:row>28</xdr:row>
      <xdr:rowOff>133350</xdr:rowOff>
    </xdr:from>
    <xdr:to>
      <xdr:col>11</xdr:col>
      <xdr:colOff>518877</xdr:colOff>
      <xdr:row>32</xdr:row>
      <xdr:rowOff>190842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3DFE088-A594-4C2D-A53C-CAF3CE8BA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086043" y="11001375"/>
          <a:ext cx="2334627" cy="1791043"/>
        </a:xfrm>
        <a:prstGeom prst="rect">
          <a:avLst/>
        </a:prstGeom>
      </xdr:spPr>
    </xdr:pic>
    <xdr:clientData/>
  </xdr:twoCellAnchor>
  <xdr:twoCellAnchor editAs="oneCell">
    <xdr:from>
      <xdr:col>9</xdr:col>
      <xdr:colOff>104775</xdr:colOff>
      <xdr:row>92</xdr:row>
      <xdr:rowOff>333375</xdr:rowOff>
    </xdr:from>
    <xdr:to>
      <xdr:col>17</xdr:col>
      <xdr:colOff>441782</xdr:colOff>
      <xdr:row>108</xdr:row>
      <xdr:rowOff>46402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5209C10-234C-4027-922C-D013E8B04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572375" y="27079575"/>
          <a:ext cx="3600000" cy="846501"/>
        </a:xfrm>
        <a:prstGeom prst="rect">
          <a:avLst/>
        </a:prstGeom>
      </xdr:spPr>
    </xdr:pic>
    <xdr:clientData/>
  </xdr:twoCellAnchor>
  <xdr:twoCellAnchor editAs="oneCell">
    <xdr:from>
      <xdr:col>8</xdr:col>
      <xdr:colOff>581025</xdr:colOff>
      <xdr:row>109</xdr:row>
      <xdr:rowOff>9525</xdr:rowOff>
    </xdr:from>
    <xdr:to>
      <xdr:col>16</xdr:col>
      <xdr:colOff>565608</xdr:colOff>
      <xdr:row>123</xdr:row>
      <xdr:rowOff>553581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628FD89-74C1-4131-A32D-4B597A364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086600" y="28079700"/>
          <a:ext cx="3600000" cy="1115556"/>
        </a:xfrm>
        <a:prstGeom prst="rect">
          <a:avLst/>
        </a:prstGeom>
      </xdr:spPr>
    </xdr:pic>
    <xdr:clientData/>
  </xdr:twoCellAnchor>
  <xdr:twoCellAnchor editAs="oneCell">
    <xdr:from>
      <xdr:col>8</xdr:col>
      <xdr:colOff>333375</xdr:colOff>
      <xdr:row>83</xdr:row>
      <xdr:rowOff>57150</xdr:rowOff>
    </xdr:from>
    <xdr:to>
      <xdr:col>12</xdr:col>
      <xdr:colOff>204836</xdr:colOff>
      <xdr:row>92</xdr:row>
      <xdr:rowOff>278099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0444628-56F1-40D6-8F14-E1FC2F8A3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838950" y="24993600"/>
          <a:ext cx="2880000" cy="2030700"/>
        </a:xfrm>
        <a:prstGeom prst="rect">
          <a:avLst/>
        </a:prstGeom>
      </xdr:spPr>
    </xdr:pic>
    <xdr:clientData/>
  </xdr:twoCellAnchor>
  <xdr:twoCellAnchor editAs="oneCell">
    <xdr:from>
      <xdr:col>16</xdr:col>
      <xdr:colOff>571130</xdr:colOff>
      <xdr:row>111</xdr:row>
      <xdr:rowOff>36978</xdr:rowOff>
    </xdr:from>
    <xdr:to>
      <xdr:col>24</xdr:col>
      <xdr:colOff>48429</xdr:colOff>
      <xdr:row>130</xdr:row>
      <xdr:rowOff>189806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7107CD3-B5FF-4D7D-83E0-10554BFB8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465924" y="28320625"/>
          <a:ext cx="4318240" cy="2315564"/>
        </a:xfrm>
        <a:prstGeom prst="rect">
          <a:avLst/>
        </a:prstGeom>
      </xdr:spPr>
    </xdr:pic>
    <xdr:clientData/>
  </xdr:twoCellAnchor>
  <xdr:twoCellAnchor editAs="oneCell">
    <xdr:from>
      <xdr:col>8</xdr:col>
      <xdr:colOff>647700</xdr:colOff>
      <xdr:row>10</xdr:row>
      <xdr:rowOff>19051</xdr:rowOff>
    </xdr:from>
    <xdr:to>
      <xdr:col>17</xdr:col>
      <xdr:colOff>19961</xdr:colOff>
      <xdr:row>11</xdr:row>
      <xdr:rowOff>57145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F005E303-E08F-46F8-BD98-F881F96A0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153275" y="3190876"/>
          <a:ext cx="3600000" cy="447669"/>
        </a:xfrm>
        <a:prstGeom prst="rect">
          <a:avLst/>
        </a:prstGeom>
      </xdr:spPr>
    </xdr:pic>
    <xdr:clientData/>
  </xdr:twoCellAnchor>
  <xdr:twoCellAnchor>
    <xdr:from>
      <xdr:col>0</xdr:col>
      <xdr:colOff>160805</xdr:colOff>
      <xdr:row>180</xdr:row>
      <xdr:rowOff>47625</xdr:rowOff>
    </xdr:from>
    <xdr:to>
      <xdr:col>7</xdr:col>
      <xdr:colOff>578223</xdr:colOff>
      <xdr:row>215</xdr:row>
      <xdr:rowOff>184897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DCBFE6AF-EF6C-4885-A8A6-157CDA096C12}"/>
            </a:ext>
          </a:extLst>
        </xdr:cNvPr>
        <xdr:cNvGrpSpPr/>
      </xdr:nvGrpSpPr>
      <xdr:grpSpPr>
        <a:xfrm>
          <a:off x="160805" y="41767125"/>
          <a:ext cx="6132418" cy="6804772"/>
          <a:chOff x="-21284" y="572037"/>
          <a:chExt cx="6740124" cy="6970063"/>
        </a:xfrm>
      </xdr:grpSpPr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A41DC043-143E-4F91-AAF8-D204FE95EE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3702" y="572037"/>
            <a:ext cx="2166026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4CF3708B-52AA-45E5-B6AF-9FC0121BDB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81661" y="593909"/>
            <a:ext cx="3820517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D2C3A10E-3C15-4C70-B89F-D79459C46B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2029" y="3658720"/>
            <a:ext cx="1489142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40DCA12B-F6A3-4773-ABBE-230B04A8F2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96421" y="3658720"/>
            <a:ext cx="1489142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035FFC40-F877-466B-9E45-F243A35AD1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30813" y="3658720"/>
            <a:ext cx="1489142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F7463C29-013C-43EB-9E18-62AB77518B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65205" y="3658720"/>
            <a:ext cx="1489142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A9B9CA3A-337F-40E7-B746-787E209895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-21284" y="5742100"/>
            <a:ext cx="1353766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139A7054-6994-47AE-A747-F2D0314D69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46059" y="5742100"/>
            <a:ext cx="135376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F8DAB68E-FC41-437F-8B2D-AA43E998B3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891358" y="5742100"/>
            <a:ext cx="134812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732A062C-5379-48F1-95EB-98A6D7D160C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31017" y="5742100"/>
            <a:ext cx="2387823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177248</xdr:colOff>
      <xdr:row>226</xdr:row>
      <xdr:rowOff>123825</xdr:rowOff>
    </xdr:from>
    <xdr:to>
      <xdr:col>7</xdr:col>
      <xdr:colOff>635309</xdr:colOff>
      <xdr:row>268</xdr:row>
      <xdr:rowOff>42376</xdr:rowOff>
    </xdr:to>
    <xdr:grpSp>
      <xdr:nvGrpSpPr>
        <xdr:cNvPr id="24" name="Group 23">
          <a:extLst>
            <a:ext uri="{FF2B5EF4-FFF2-40B4-BE49-F238E27FC236}">
              <a16:creationId xmlns:a16="http://schemas.microsoft.com/office/drawing/2014/main" id="{898A91A8-18BB-47BB-A2EE-15195EE02557}"/>
            </a:ext>
          </a:extLst>
        </xdr:cNvPr>
        <xdr:cNvGrpSpPr/>
      </xdr:nvGrpSpPr>
      <xdr:grpSpPr>
        <a:xfrm>
          <a:off x="177248" y="50606325"/>
          <a:ext cx="6173061" cy="7919551"/>
          <a:chOff x="367317" y="563944"/>
          <a:chExt cx="6173061" cy="7919551"/>
        </a:xfrm>
      </xdr:grpSpPr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1BDCFEB3-A21A-4B59-AF14-16284DBFFDD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/>
          <a:stretch>
            <a:fillRect/>
          </a:stretch>
        </xdr:blipFill>
        <xdr:spPr>
          <a:xfrm>
            <a:off x="367317" y="563944"/>
            <a:ext cx="6173061" cy="451548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6" name="Rectangle 25">
            <a:extLst>
              <a:ext uri="{FF2B5EF4-FFF2-40B4-BE49-F238E27FC236}">
                <a16:creationId xmlns:a16="http://schemas.microsoft.com/office/drawing/2014/main" id="{539EEA7E-FC57-4C53-8CD9-B358274E64F0}"/>
              </a:ext>
            </a:extLst>
          </xdr:cNvPr>
          <xdr:cNvSpPr/>
        </xdr:nvSpPr>
        <xdr:spPr>
          <a:xfrm>
            <a:off x="4551343" y="1066119"/>
            <a:ext cx="1473013" cy="1237690"/>
          </a:xfrm>
          <a:prstGeom prst="rect">
            <a:avLst/>
          </a:prstGeom>
          <a:noFill/>
          <a:ln w="381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27" name="Rectangle 26">
            <a:extLst>
              <a:ext uri="{FF2B5EF4-FFF2-40B4-BE49-F238E27FC236}">
                <a16:creationId xmlns:a16="http://schemas.microsoft.com/office/drawing/2014/main" id="{2A99A3D7-2423-429C-B9EB-196AC0099047}"/>
              </a:ext>
            </a:extLst>
          </xdr:cNvPr>
          <xdr:cNvSpPr/>
        </xdr:nvSpPr>
        <xdr:spPr>
          <a:xfrm>
            <a:off x="3171825" y="1551728"/>
            <a:ext cx="1346387" cy="1237690"/>
          </a:xfrm>
          <a:prstGeom prst="rect">
            <a:avLst/>
          </a:prstGeom>
          <a:noFill/>
          <a:ln w="381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28" name="Rectangle 27">
            <a:extLst>
              <a:ext uri="{FF2B5EF4-FFF2-40B4-BE49-F238E27FC236}">
                <a16:creationId xmlns:a16="http://schemas.microsoft.com/office/drawing/2014/main" id="{CB85D6E7-71B0-4719-BE76-85E8DA3C96F6}"/>
              </a:ext>
            </a:extLst>
          </xdr:cNvPr>
          <xdr:cNvSpPr/>
        </xdr:nvSpPr>
        <xdr:spPr>
          <a:xfrm>
            <a:off x="1581150" y="1381684"/>
            <a:ext cx="1346387" cy="990042"/>
          </a:xfrm>
          <a:prstGeom prst="rect">
            <a:avLst/>
          </a:prstGeom>
          <a:noFill/>
          <a:ln w="381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29" name="Rectangle 28">
            <a:extLst>
              <a:ext uri="{FF2B5EF4-FFF2-40B4-BE49-F238E27FC236}">
                <a16:creationId xmlns:a16="http://schemas.microsoft.com/office/drawing/2014/main" id="{B009E054-8106-4485-938A-9F42DA82D08C}"/>
              </a:ext>
            </a:extLst>
          </xdr:cNvPr>
          <xdr:cNvSpPr/>
        </xdr:nvSpPr>
        <xdr:spPr>
          <a:xfrm>
            <a:off x="800099" y="1838035"/>
            <a:ext cx="781051" cy="857540"/>
          </a:xfrm>
          <a:prstGeom prst="rect">
            <a:avLst/>
          </a:prstGeom>
          <a:noFill/>
          <a:ln w="381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30" name="TextBox 42">
            <a:extLst>
              <a:ext uri="{FF2B5EF4-FFF2-40B4-BE49-F238E27FC236}">
                <a16:creationId xmlns:a16="http://schemas.microsoft.com/office/drawing/2014/main" id="{8ED0F0EC-E6AB-4F36-ACF3-4BC28635F500}"/>
              </a:ext>
            </a:extLst>
          </xdr:cNvPr>
          <xdr:cNvSpPr txBox="1"/>
        </xdr:nvSpPr>
        <xdr:spPr>
          <a:xfrm>
            <a:off x="758390" y="1566146"/>
            <a:ext cx="723275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/>
              <a:t>Wing A</a:t>
            </a:r>
            <a:endParaRPr lang="en-IN" sz="1400" b="1"/>
          </a:p>
        </xdr:txBody>
      </xdr:sp>
      <xdr:sp macro="" textlink="">
        <xdr:nvSpPr>
          <xdr:cNvPr id="31" name="TextBox 43">
            <a:extLst>
              <a:ext uri="{FF2B5EF4-FFF2-40B4-BE49-F238E27FC236}">
                <a16:creationId xmlns:a16="http://schemas.microsoft.com/office/drawing/2014/main" id="{24335A23-9303-4558-8B92-0029F3C5528F}"/>
              </a:ext>
            </a:extLst>
          </xdr:cNvPr>
          <xdr:cNvSpPr txBox="1"/>
        </xdr:nvSpPr>
        <xdr:spPr>
          <a:xfrm>
            <a:off x="1715081" y="1104480"/>
            <a:ext cx="715260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/>
              <a:t>Wing B</a:t>
            </a:r>
            <a:endParaRPr lang="en-IN" sz="1400" b="1"/>
          </a:p>
        </xdr:txBody>
      </xdr:sp>
      <xdr:sp macro="" textlink="">
        <xdr:nvSpPr>
          <xdr:cNvPr id="32" name="TextBox 44">
            <a:extLst>
              <a:ext uri="{FF2B5EF4-FFF2-40B4-BE49-F238E27FC236}">
                <a16:creationId xmlns:a16="http://schemas.microsoft.com/office/drawing/2014/main" id="{7BE2412D-35CF-40D3-90DE-7B7D9E4A32A3}"/>
              </a:ext>
            </a:extLst>
          </xdr:cNvPr>
          <xdr:cNvSpPr txBox="1"/>
        </xdr:nvSpPr>
        <xdr:spPr>
          <a:xfrm>
            <a:off x="3609427" y="1258369"/>
            <a:ext cx="708848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/>
              <a:t>Wing C</a:t>
            </a:r>
            <a:endParaRPr lang="en-IN" sz="1400" b="1"/>
          </a:p>
        </xdr:txBody>
      </xdr:sp>
      <xdr:sp macro="" textlink="">
        <xdr:nvSpPr>
          <xdr:cNvPr id="33" name="TextBox 45">
            <a:extLst>
              <a:ext uri="{FF2B5EF4-FFF2-40B4-BE49-F238E27FC236}">
                <a16:creationId xmlns:a16="http://schemas.microsoft.com/office/drawing/2014/main" id="{EF340E8B-302A-41CB-9232-5AAABE6E204E}"/>
              </a:ext>
            </a:extLst>
          </xdr:cNvPr>
          <xdr:cNvSpPr txBox="1"/>
        </xdr:nvSpPr>
        <xdr:spPr>
          <a:xfrm>
            <a:off x="4350383" y="750365"/>
            <a:ext cx="1882247" cy="37414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0000FF"/>
                </a:solidFill>
              </a:rPr>
              <a:t>Wing D (Phase III)</a:t>
            </a:r>
            <a:endParaRPr lang="en-IN" b="1">
              <a:solidFill>
                <a:srgbClr val="0000FF"/>
              </a:solidFill>
            </a:endParaRPr>
          </a:p>
        </xdr:txBody>
      </xdr:sp>
      <xdr:sp macro="" textlink="">
        <xdr:nvSpPr>
          <xdr:cNvPr id="34" name="Arrow: Right 33">
            <a:extLst>
              <a:ext uri="{FF2B5EF4-FFF2-40B4-BE49-F238E27FC236}">
                <a16:creationId xmlns:a16="http://schemas.microsoft.com/office/drawing/2014/main" id="{EB957C8F-2A7E-4E72-8871-D4951C4F0661}"/>
              </a:ext>
            </a:extLst>
          </xdr:cNvPr>
          <xdr:cNvSpPr/>
        </xdr:nvSpPr>
        <xdr:spPr>
          <a:xfrm rot="19955549">
            <a:off x="1364343" y="4151087"/>
            <a:ext cx="522514" cy="420914"/>
          </a:xfrm>
          <a:prstGeom prst="rightArrow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35" name="TextBox 47">
            <a:extLst>
              <a:ext uri="{FF2B5EF4-FFF2-40B4-BE49-F238E27FC236}">
                <a16:creationId xmlns:a16="http://schemas.microsoft.com/office/drawing/2014/main" id="{67D2CC36-21BE-4F40-9C46-C6E72A796640}"/>
              </a:ext>
            </a:extLst>
          </xdr:cNvPr>
          <xdr:cNvSpPr txBox="1"/>
        </xdr:nvSpPr>
        <xdr:spPr>
          <a:xfrm>
            <a:off x="1023751" y="4387334"/>
            <a:ext cx="333746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N</a:t>
            </a:r>
            <a:endParaRPr lang="en-IN" b="1"/>
          </a:p>
        </xdr:txBody>
      </xdr:sp>
      <xdr:pic>
        <xdr:nvPicPr>
          <xdr:cNvPr id="36" name="Picture 35">
            <a:extLst>
              <a:ext uri="{FF2B5EF4-FFF2-40B4-BE49-F238E27FC236}">
                <a16:creationId xmlns:a16="http://schemas.microsoft.com/office/drawing/2014/main" id="{F72F4773-70C6-495A-8FF6-AB66AAFD87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/>
          <a:stretch>
            <a:fillRect/>
          </a:stretch>
        </xdr:blipFill>
        <xdr:spPr>
          <a:xfrm>
            <a:off x="1840766" y="5223320"/>
            <a:ext cx="3035603" cy="3260175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361949</xdr:colOff>
      <xdr:row>270</xdr:row>
      <xdr:rowOff>123825</xdr:rowOff>
    </xdr:from>
    <xdr:to>
      <xdr:col>7</xdr:col>
      <xdr:colOff>514350</xdr:colOff>
      <xdr:row>304</xdr:row>
      <xdr:rowOff>47625</xdr:rowOff>
    </xdr:to>
    <xdr:grpSp>
      <xdr:nvGrpSpPr>
        <xdr:cNvPr id="37" name="Group 36">
          <a:extLst>
            <a:ext uri="{FF2B5EF4-FFF2-40B4-BE49-F238E27FC236}">
              <a16:creationId xmlns:a16="http://schemas.microsoft.com/office/drawing/2014/main" id="{FDE30603-EA26-4361-9259-D50ED83705D2}"/>
            </a:ext>
          </a:extLst>
        </xdr:cNvPr>
        <xdr:cNvGrpSpPr/>
      </xdr:nvGrpSpPr>
      <xdr:grpSpPr>
        <a:xfrm>
          <a:off x="361949" y="58988325"/>
          <a:ext cx="5867401" cy="6400800"/>
          <a:chOff x="948140" y="806825"/>
          <a:chExt cx="5040000" cy="7066676"/>
        </a:xfrm>
      </xdr:grpSpPr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532CA9E0-6EED-4AC5-BB7E-EAD9A68E78B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948140" y="806825"/>
            <a:ext cx="5040000" cy="3372877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9" name="Rectangle 38">
            <a:extLst>
              <a:ext uri="{FF2B5EF4-FFF2-40B4-BE49-F238E27FC236}">
                <a16:creationId xmlns:a16="http://schemas.microsoft.com/office/drawing/2014/main" id="{D077CD5D-283B-4500-A5B6-7C42C26E150C}"/>
              </a:ext>
            </a:extLst>
          </xdr:cNvPr>
          <xdr:cNvSpPr/>
        </xdr:nvSpPr>
        <xdr:spPr>
          <a:xfrm rot="20888437">
            <a:off x="2989649" y="1651007"/>
            <a:ext cx="495300" cy="597413"/>
          </a:xfrm>
          <a:prstGeom prst="rect">
            <a:avLst/>
          </a:prstGeom>
          <a:noFill/>
          <a:ln w="28575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40" name="TextBox 53">
            <a:extLst>
              <a:ext uri="{FF2B5EF4-FFF2-40B4-BE49-F238E27FC236}">
                <a16:creationId xmlns:a16="http://schemas.microsoft.com/office/drawing/2014/main" id="{DE15E47E-62AA-4821-9040-D45D9F825714}"/>
              </a:ext>
            </a:extLst>
          </xdr:cNvPr>
          <xdr:cNvSpPr txBox="1"/>
        </xdr:nvSpPr>
        <xdr:spPr>
          <a:xfrm>
            <a:off x="2456161" y="1094511"/>
            <a:ext cx="2284793" cy="52388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200" b="1">
                <a:solidFill>
                  <a:srgbClr val="FFFF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Shree Viraj Residency </a:t>
            </a:r>
          </a:p>
          <a:p>
            <a:pPr algn="ctr"/>
            <a:r>
              <a:rPr lang="en-US" sz="1200" b="1">
                <a:solidFill>
                  <a:srgbClr val="FFFF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Wing D Phase 3</a:t>
            </a:r>
            <a:endParaRPr lang="en-IN" sz="1200" b="1">
              <a:solidFill>
                <a:srgbClr val="FFFF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1" name="Rectangle 40">
            <a:extLst>
              <a:ext uri="{FF2B5EF4-FFF2-40B4-BE49-F238E27FC236}">
                <a16:creationId xmlns:a16="http://schemas.microsoft.com/office/drawing/2014/main" id="{9ABE340E-83A1-49FE-A1DD-42EC9B03A6A1}"/>
              </a:ext>
            </a:extLst>
          </xdr:cNvPr>
          <xdr:cNvSpPr/>
        </xdr:nvSpPr>
        <xdr:spPr>
          <a:xfrm rot="20888437">
            <a:off x="3150987" y="2230387"/>
            <a:ext cx="779961" cy="1596674"/>
          </a:xfrm>
          <a:prstGeom prst="rect">
            <a:avLst/>
          </a:prstGeom>
          <a:noFill/>
          <a:ln w="28575">
            <a:solidFill>
              <a:srgbClr val="FFC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42" name="TextBox 56">
            <a:extLst>
              <a:ext uri="{FF2B5EF4-FFF2-40B4-BE49-F238E27FC236}">
                <a16:creationId xmlns:a16="http://schemas.microsoft.com/office/drawing/2014/main" id="{6BF0AD55-A338-4546-9D74-72EBD21BFFE6}"/>
              </a:ext>
            </a:extLst>
          </xdr:cNvPr>
          <xdr:cNvSpPr txBox="1"/>
        </xdr:nvSpPr>
        <xdr:spPr>
          <a:xfrm>
            <a:off x="3302842" y="3345860"/>
            <a:ext cx="309700" cy="38649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600" b="1">
                <a:solidFill>
                  <a:srgbClr val="FFC000"/>
                </a:solidFill>
              </a:rPr>
              <a:t>A</a:t>
            </a:r>
            <a:endParaRPr lang="en-IN" sz="1600" b="1">
              <a:solidFill>
                <a:srgbClr val="FFC000"/>
              </a:solidFill>
            </a:endParaRPr>
          </a:p>
        </xdr:txBody>
      </xdr:sp>
      <xdr:sp macro="" textlink="">
        <xdr:nvSpPr>
          <xdr:cNvPr id="43" name="TextBox 57">
            <a:extLst>
              <a:ext uri="{FF2B5EF4-FFF2-40B4-BE49-F238E27FC236}">
                <a16:creationId xmlns:a16="http://schemas.microsoft.com/office/drawing/2014/main" id="{A1E860E3-4A12-4BB9-90A6-C6B82D88884E}"/>
              </a:ext>
            </a:extLst>
          </xdr:cNvPr>
          <xdr:cNvSpPr txBox="1"/>
        </xdr:nvSpPr>
        <xdr:spPr>
          <a:xfrm>
            <a:off x="3094215" y="2752330"/>
            <a:ext cx="309700" cy="38649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600" b="1">
                <a:solidFill>
                  <a:srgbClr val="FFC000"/>
                </a:solidFill>
              </a:rPr>
              <a:t>B</a:t>
            </a:r>
            <a:endParaRPr lang="en-IN" sz="1600" b="1">
              <a:solidFill>
                <a:srgbClr val="FFC000"/>
              </a:solidFill>
            </a:endParaRPr>
          </a:p>
        </xdr:txBody>
      </xdr:sp>
      <xdr:sp macro="" textlink="">
        <xdr:nvSpPr>
          <xdr:cNvPr id="44" name="TextBox 58">
            <a:extLst>
              <a:ext uri="{FF2B5EF4-FFF2-40B4-BE49-F238E27FC236}">
                <a16:creationId xmlns:a16="http://schemas.microsoft.com/office/drawing/2014/main" id="{C745E2C1-8E3D-4088-ACA3-8C1EEED1D3C2}"/>
              </a:ext>
            </a:extLst>
          </xdr:cNvPr>
          <xdr:cNvSpPr txBox="1"/>
        </xdr:nvSpPr>
        <xdr:spPr>
          <a:xfrm>
            <a:off x="3068446" y="2324759"/>
            <a:ext cx="293670" cy="38649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600" b="1">
                <a:solidFill>
                  <a:srgbClr val="FFC000"/>
                </a:solidFill>
              </a:rPr>
              <a:t>C</a:t>
            </a:r>
            <a:endParaRPr lang="en-IN" sz="1600" b="1">
              <a:solidFill>
                <a:srgbClr val="FFC000"/>
              </a:solidFill>
            </a:endParaRPr>
          </a:p>
        </xdr:txBody>
      </xdr:sp>
      <xdr:cxnSp macro="">
        <xdr:nvCxnSpPr>
          <xdr:cNvPr id="45" name="Straight Arrow Connector 44">
            <a:extLst>
              <a:ext uri="{FF2B5EF4-FFF2-40B4-BE49-F238E27FC236}">
                <a16:creationId xmlns:a16="http://schemas.microsoft.com/office/drawing/2014/main" id="{6A1AFD53-B440-476C-8229-25CE7171E507}"/>
              </a:ext>
            </a:extLst>
          </xdr:cNvPr>
          <xdr:cNvCxnSpPr>
            <a:cxnSpLocks/>
          </xdr:cNvCxnSpPr>
        </xdr:nvCxnSpPr>
        <xdr:spPr>
          <a:xfrm flipH="1">
            <a:off x="3464414" y="1571538"/>
            <a:ext cx="171451" cy="301899"/>
          </a:xfrm>
          <a:prstGeom prst="straightConnector1">
            <a:avLst/>
          </a:prstGeom>
          <a:ln w="19050">
            <a:solidFill>
              <a:srgbClr val="FFFF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46" name="Picture 45">
            <a:extLst>
              <a:ext uri="{FF2B5EF4-FFF2-40B4-BE49-F238E27FC236}">
                <a16:creationId xmlns:a16="http://schemas.microsoft.com/office/drawing/2014/main" id="{CA879DE0-17CA-46CE-9B2F-C500C4A6186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432988" y="4295865"/>
            <a:ext cx="3915702" cy="3577636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 editAs="oneCell">
    <xdr:from>
      <xdr:col>10</xdr:col>
      <xdr:colOff>15128</xdr:colOff>
      <xdr:row>15</xdr:row>
      <xdr:rowOff>499222</xdr:rowOff>
    </xdr:from>
    <xdr:to>
      <xdr:col>24</xdr:col>
      <xdr:colOff>264491</xdr:colOff>
      <xdr:row>19</xdr:row>
      <xdr:rowOff>459539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094569" y="5340163"/>
          <a:ext cx="7129775" cy="1910141"/>
        </a:xfrm>
        <a:prstGeom prst="rect">
          <a:avLst/>
        </a:prstGeom>
      </xdr:spPr>
    </xdr:pic>
    <xdr:clientData/>
  </xdr:twoCellAnchor>
  <xdr:twoCellAnchor editAs="oneCell">
    <xdr:from>
      <xdr:col>11</xdr:col>
      <xdr:colOff>482413</xdr:colOff>
      <xdr:row>4</xdr:row>
      <xdr:rowOff>491939</xdr:rowOff>
    </xdr:from>
    <xdr:to>
      <xdr:col>24</xdr:col>
      <xdr:colOff>579084</xdr:colOff>
      <xdr:row>10</xdr:row>
      <xdr:rowOff>85355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9169213" y="1577789"/>
          <a:ext cx="6192670" cy="1355541"/>
        </a:xfrm>
        <a:prstGeom prst="rect">
          <a:avLst/>
        </a:prstGeom>
      </xdr:spPr>
    </xdr:pic>
    <xdr:clientData/>
  </xdr:twoCellAnchor>
  <xdr:twoCellAnchor editAs="oneCell">
    <xdr:from>
      <xdr:col>16</xdr:col>
      <xdr:colOff>363899</xdr:colOff>
      <xdr:row>0</xdr:row>
      <xdr:rowOff>0</xdr:rowOff>
    </xdr:from>
    <xdr:to>
      <xdr:col>25</xdr:col>
      <xdr:colOff>62058</xdr:colOff>
      <xdr:row>11</xdr:row>
      <xdr:rowOff>406725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58693" y="0"/>
          <a:ext cx="5144218" cy="3667637"/>
        </a:xfrm>
        <a:prstGeom prst="rect">
          <a:avLst/>
        </a:prstGeom>
      </xdr:spPr>
    </xdr:pic>
    <xdr:clientData/>
  </xdr:twoCellAnchor>
  <xdr:twoCellAnchor editAs="oneCell">
    <xdr:from>
      <xdr:col>8</xdr:col>
      <xdr:colOff>369794</xdr:colOff>
      <xdr:row>107</xdr:row>
      <xdr:rowOff>44824</xdr:rowOff>
    </xdr:from>
    <xdr:to>
      <xdr:col>16</xdr:col>
      <xdr:colOff>16382</xdr:colOff>
      <xdr:row>124</xdr:row>
      <xdr:rowOff>25432</xdr:rowOff>
    </xdr:to>
    <xdr:pic>
      <xdr:nvPicPr>
        <xdr:cNvPr id="49" name="Picture 4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880412" y="27734559"/>
          <a:ext cx="3248478" cy="1571844"/>
        </a:xfrm>
        <a:prstGeom prst="rect">
          <a:avLst/>
        </a:prstGeom>
      </xdr:spPr>
    </xdr:pic>
    <xdr:clientData/>
  </xdr:twoCellAnchor>
  <xdr:twoCellAnchor editAs="oneCell">
    <xdr:from>
      <xdr:col>8</xdr:col>
      <xdr:colOff>425824</xdr:colOff>
      <xdr:row>63</xdr:row>
      <xdr:rowOff>33618</xdr:rowOff>
    </xdr:from>
    <xdr:to>
      <xdr:col>19</xdr:col>
      <xdr:colOff>371903</xdr:colOff>
      <xdr:row>81</xdr:row>
      <xdr:rowOff>636166</xdr:rowOff>
    </xdr:to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36442" y="20215412"/>
          <a:ext cx="5363323" cy="1667108"/>
        </a:xfrm>
        <a:prstGeom prst="rect">
          <a:avLst/>
        </a:prstGeom>
      </xdr:spPr>
    </xdr:pic>
    <xdr:clientData/>
  </xdr:twoCellAnchor>
  <xdr:twoCellAnchor editAs="oneCell">
    <xdr:from>
      <xdr:col>9</xdr:col>
      <xdr:colOff>313763</xdr:colOff>
      <xdr:row>143</xdr:row>
      <xdr:rowOff>156883</xdr:rowOff>
    </xdr:from>
    <xdr:to>
      <xdr:col>21</xdr:col>
      <xdr:colOff>127629</xdr:colOff>
      <xdr:row>166</xdr:row>
      <xdr:rowOff>84644</xdr:rowOff>
    </xdr:to>
    <xdr:pic>
      <xdr:nvPicPr>
        <xdr:cNvPr id="51" name="Picture 50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788087" y="34525324"/>
          <a:ext cx="5477639" cy="4286848"/>
        </a:xfrm>
        <a:prstGeom prst="rect">
          <a:avLst/>
        </a:prstGeom>
      </xdr:spPr>
    </xdr:pic>
    <xdr:clientData/>
  </xdr:twoCellAnchor>
  <xdr:twoCellAnchor editAs="oneCell">
    <xdr:from>
      <xdr:col>8</xdr:col>
      <xdr:colOff>580663</xdr:colOff>
      <xdr:row>92</xdr:row>
      <xdr:rowOff>141389</xdr:rowOff>
    </xdr:from>
    <xdr:to>
      <xdr:col>19</xdr:col>
      <xdr:colOff>375691</xdr:colOff>
      <xdr:row>124</xdr:row>
      <xdr:rowOff>44185</xdr:rowOff>
    </xdr:to>
    <xdr:pic>
      <xdr:nvPicPr>
        <xdr:cNvPr id="52" name="Picture 51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091281" y="26284713"/>
          <a:ext cx="5218675" cy="2435325"/>
        </a:xfrm>
        <a:prstGeom prst="rect">
          <a:avLst/>
        </a:prstGeom>
      </xdr:spPr>
    </xdr:pic>
    <xdr:clientData/>
  </xdr:twoCellAnchor>
  <xdr:twoCellAnchor editAs="oneCell">
    <xdr:from>
      <xdr:col>9</xdr:col>
      <xdr:colOff>11869</xdr:colOff>
      <xdr:row>138</xdr:row>
      <xdr:rowOff>541601</xdr:rowOff>
    </xdr:from>
    <xdr:to>
      <xdr:col>24</xdr:col>
      <xdr:colOff>100012</xdr:colOff>
      <xdr:row>144</xdr:row>
      <xdr:rowOff>134088</xdr:rowOff>
    </xdr:to>
    <xdr:pic>
      <xdr:nvPicPr>
        <xdr:cNvPr id="53" name="Picture 52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493324" y="32736101"/>
          <a:ext cx="7579493" cy="1982397"/>
        </a:xfrm>
        <a:prstGeom prst="rect">
          <a:avLst/>
        </a:prstGeom>
      </xdr:spPr>
    </xdr:pic>
    <xdr:clientData/>
  </xdr:twoCellAnchor>
  <xdr:twoCellAnchor editAs="oneCell">
    <xdr:from>
      <xdr:col>22</xdr:col>
      <xdr:colOff>97650</xdr:colOff>
      <xdr:row>89</xdr:row>
      <xdr:rowOff>48826</xdr:rowOff>
    </xdr:from>
    <xdr:to>
      <xdr:col>35</xdr:col>
      <xdr:colOff>264141</xdr:colOff>
      <xdr:row>131</xdr:row>
      <xdr:rowOff>175853</xdr:rowOff>
    </xdr:to>
    <xdr:pic>
      <xdr:nvPicPr>
        <xdr:cNvPr id="56" name="Picture 55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3623150" y="26248179"/>
          <a:ext cx="8033021" cy="4564556"/>
        </a:xfrm>
        <a:prstGeom prst="rect">
          <a:avLst/>
        </a:prstGeom>
      </xdr:spPr>
    </xdr:pic>
    <xdr:clientData/>
  </xdr:twoCellAnchor>
  <xdr:twoCellAnchor editAs="oneCell">
    <xdr:from>
      <xdr:col>22</xdr:col>
      <xdr:colOff>205907</xdr:colOff>
      <xdr:row>136</xdr:row>
      <xdr:rowOff>46515</xdr:rowOff>
    </xdr:from>
    <xdr:to>
      <xdr:col>31</xdr:col>
      <xdr:colOff>464006</xdr:colOff>
      <xdr:row>146</xdr:row>
      <xdr:rowOff>283438</xdr:rowOff>
    </xdr:to>
    <xdr:pic>
      <xdr:nvPicPr>
        <xdr:cNvPr id="57" name="Picture 56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3799443" y="31002765"/>
          <a:ext cx="5768992" cy="3801994"/>
        </a:xfrm>
        <a:prstGeom prst="rect">
          <a:avLst/>
        </a:prstGeom>
      </xdr:spPr>
    </xdr:pic>
    <xdr:clientData/>
  </xdr:twoCellAnchor>
  <xdr:twoCellAnchor editAs="oneCell">
    <xdr:from>
      <xdr:col>17</xdr:col>
      <xdr:colOff>22042</xdr:colOff>
      <xdr:row>125</xdr:row>
      <xdr:rowOff>171451</xdr:rowOff>
    </xdr:from>
    <xdr:to>
      <xdr:col>22</xdr:col>
      <xdr:colOff>454511</xdr:colOff>
      <xdr:row>139</xdr:row>
      <xdr:rowOff>313119</xdr:rowOff>
    </xdr:to>
    <xdr:pic>
      <xdr:nvPicPr>
        <xdr:cNvPr id="58" name="Picture 57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746071" y="29037804"/>
          <a:ext cx="3458058" cy="3391374"/>
        </a:xfrm>
        <a:prstGeom prst="rect">
          <a:avLst/>
        </a:prstGeom>
      </xdr:spPr>
    </xdr:pic>
    <xdr:clientData/>
  </xdr:twoCellAnchor>
  <xdr:twoCellAnchor editAs="oneCell">
    <xdr:from>
      <xdr:col>8</xdr:col>
      <xdr:colOff>324970</xdr:colOff>
      <xdr:row>22</xdr:row>
      <xdr:rowOff>246530</xdr:rowOff>
    </xdr:from>
    <xdr:to>
      <xdr:col>24</xdr:col>
      <xdr:colOff>131940</xdr:colOff>
      <xdr:row>26</xdr:row>
      <xdr:rowOff>87605</xdr:rowOff>
    </xdr:to>
    <xdr:pic>
      <xdr:nvPicPr>
        <xdr:cNvPr id="59" name="Picture 58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6835588" y="8830236"/>
          <a:ext cx="8249801" cy="1409897"/>
        </a:xfrm>
        <a:prstGeom prst="rect">
          <a:avLst/>
        </a:prstGeom>
      </xdr:spPr>
    </xdr:pic>
    <xdr:clientData/>
  </xdr:twoCellAnchor>
  <xdr:twoCellAnchor editAs="oneCell">
    <xdr:from>
      <xdr:col>28</xdr:col>
      <xdr:colOff>77166</xdr:colOff>
      <xdr:row>93</xdr:row>
      <xdr:rowOff>168834</xdr:rowOff>
    </xdr:from>
    <xdr:to>
      <xdr:col>42</xdr:col>
      <xdr:colOff>562335</xdr:colOff>
      <xdr:row>135</xdr:row>
      <xdr:rowOff>120616</xdr:rowOff>
    </xdr:to>
    <xdr:pic>
      <xdr:nvPicPr>
        <xdr:cNvPr id="61" name="Picture 60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7436479" y="27267459"/>
          <a:ext cx="9152919" cy="4214221"/>
        </a:xfrm>
        <a:prstGeom prst="rect">
          <a:avLst/>
        </a:prstGeom>
      </xdr:spPr>
    </xdr:pic>
    <xdr:clientData/>
  </xdr:twoCellAnchor>
  <xdr:twoCellAnchor editAs="oneCell">
    <xdr:from>
      <xdr:col>26</xdr:col>
      <xdr:colOff>348215</xdr:colOff>
      <xdr:row>108</xdr:row>
      <xdr:rowOff>25359</xdr:rowOff>
    </xdr:from>
    <xdr:to>
      <xdr:col>45</xdr:col>
      <xdr:colOff>587896</xdr:colOff>
      <xdr:row>139</xdr:row>
      <xdr:rowOff>321655</xdr:rowOff>
    </xdr:to>
    <xdr:pic>
      <xdr:nvPicPr>
        <xdr:cNvPr id="62" name="Picture 61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6315579" y="27318814"/>
          <a:ext cx="11756271" cy="5128068"/>
        </a:xfrm>
        <a:prstGeom prst="rect">
          <a:avLst/>
        </a:prstGeom>
      </xdr:spPr>
    </xdr:pic>
    <xdr:clientData/>
  </xdr:twoCellAnchor>
  <xdr:twoCellAnchor editAs="oneCell">
    <xdr:from>
      <xdr:col>11</xdr:col>
      <xdr:colOff>109785</xdr:colOff>
      <xdr:row>145</xdr:row>
      <xdr:rowOff>91848</xdr:rowOff>
    </xdr:from>
    <xdr:to>
      <xdr:col>22</xdr:col>
      <xdr:colOff>440551</xdr:colOff>
      <xdr:row>166</xdr:row>
      <xdr:rowOff>3230</xdr:rowOff>
    </xdr:to>
    <xdr:pic>
      <xdr:nvPicPr>
        <xdr:cNvPr id="63" name="Picture 62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8804749" y="35089419"/>
          <a:ext cx="5229337" cy="3680560"/>
        </a:xfrm>
        <a:prstGeom prst="rect">
          <a:avLst/>
        </a:prstGeom>
      </xdr:spPr>
    </xdr:pic>
    <xdr:clientData/>
  </xdr:twoCellAnchor>
  <xdr:twoCellAnchor editAs="oneCell">
    <xdr:from>
      <xdr:col>23</xdr:col>
      <xdr:colOff>242454</xdr:colOff>
      <xdr:row>144</xdr:row>
      <xdr:rowOff>311726</xdr:rowOff>
    </xdr:from>
    <xdr:to>
      <xdr:col>43</xdr:col>
      <xdr:colOff>313430</xdr:colOff>
      <xdr:row>169</xdr:row>
      <xdr:rowOff>38822</xdr:rowOff>
    </xdr:to>
    <xdr:pic>
      <xdr:nvPicPr>
        <xdr:cNvPr id="54" name="Picture 53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4616545" y="34272681"/>
          <a:ext cx="12193703" cy="5182323"/>
        </a:xfrm>
        <a:prstGeom prst="rect">
          <a:avLst/>
        </a:prstGeom>
      </xdr:spPr>
    </xdr:pic>
    <xdr:clientData/>
  </xdr:twoCellAnchor>
  <xdr:twoCellAnchor editAs="oneCell">
    <xdr:from>
      <xdr:col>16</xdr:col>
      <xdr:colOff>267932</xdr:colOff>
      <xdr:row>127</xdr:row>
      <xdr:rowOff>119780</xdr:rowOff>
    </xdr:from>
    <xdr:to>
      <xdr:col>31</xdr:col>
      <xdr:colOff>171228</xdr:colOff>
      <xdr:row>143</xdr:row>
      <xdr:rowOff>112243</xdr:rowOff>
    </xdr:to>
    <xdr:pic>
      <xdr:nvPicPr>
        <xdr:cNvPr id="55" name="Picture 54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0405253" y="29361530"/>
          <a:ext cx="9088118" cy="44964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kowug88zke35nkyM9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313"/>
  <sheetViews>
    <sheetView tabSelected="1" view="pageBreakPreview" topLeftCell="A94" zoomScale="85" zoomScaleNormal="85" zoomScaleSheetLayoutView="85" zoomScalePageLayoutView="85" workbookViewId="0">
      <selection activeCell="K132" sqref="K132"/>
    </sheetView>
  </sheetViews>
  <sheetFormatPr defaultColWidth="9.140625" defaultRowHeight="15" x14ac:dyDescent="0.25"/>
  <cols>
    <col min="1" max="1" width="11.28515625" style="11" customWidth="1"/>
    <col min="2" max="2" width="13.28515625" style="11" customWidth="1"/>
    <col min="3" max="3" width="12.140625" style="11" customWidth="1"/>
    <col min="4" max="4" width="12.42578125" style="11" customWidth="1"/>
    <col min="5" max="5" width="11.7109375" style="11" customWidth="1"/>
    <col min="6" max="6" width="13.28515625" style="11" customWidth="1"/>
    <col min="7" max="7" width="11.5703125" style="11" customWidth="1"/>
    <col min="8" max="8" width="11.85546875" style="11" customWidth="1"/>
    <col min="9" max="9" width="14.42578125" style="11" customWidth="1"/>
    <col min="10" max="10" width="9.140625" style="11"/>
    <col min="11" max="11" width="12.42578125" style="11" customWidth="1"/>
    <col min="12" max="13" width="9.140625" style="11"/>
    <col min="14" max="16" width="0" style="11" hidden="1" customWidth="1"/>
    <col min="17" max="16384" width="9.140625" style="11"/>
  </cols>
  <sheetData>
    <row r="1" spans="1:9" ht="43.9" customHeight="1" x14ac:dyDescent="0.25">
      <c r="A1" s="160" t="s">
        <v>136</v>
      </c>
      <c r="B1" s="160"/>
      <c r="C1" s="160"/>
      <c r="D1" s="160"/>
      <c r="E1" s="160"/>
      <c r="F1" s="160"/>
      <c r="G1" s="160"/>
      <c r="H1" s="160"/>
    </row>
    <row r="2" spans="1:9" ht="13.9" x14ac:dyDescent="0.25">
      <c r="A2" s="161" t="s">
        <v>8</v>
      </c>
      <c r="B2" s="161"/>
      <c r="C2" s="161"/>
      <c r="D2" s="161"/>
      <c r="E2" s="161"/>
      <c r="F2" s="161"/>
      <c r="G2" s="161"/>
      <c r="H2" s="161"/>
    </row>
    <row r="3" spans="1:9" ht="13.9" x14ac:dyDescent="0.25">
      <c r="A3" s="12" t="s">
        <v>16</v>
      </c>
      <c r="B3" s="164" t="s">
        <v>14</v>
      </c>
      <c r="C3" s="164"/>
      <c r="D3" s="164"/>
      <c r="E3" s="163" t="s">
        <v>17</v>
      </c>
      <c r="F3" s="163"/>
      <c r="G3" s="163"/>
      <c r="H3" s="163"/>
    </row>
    <row r="4" spans="1:9" ht="15" customHeight="1" x14ac:dyDescent="0.25">
      <c r="A4" s="13">
        <v>1</v>
      </c>
      <c r="B4" s="162" t="s">
        <v>18</v>
      </c>
      <c r="C4" s="162"/>
      <c r="D4" s="162"/>
      <c r="E4" s="165" t="s">
        <v>185</v>
      </c>
      <c r="F4" s="165"/>
      <c r="G4" s="165"/>
      <c r="H4" s="165"/>
    </row>
    <row r="5" spans="1:9" ht="47.25" customHeight="1" x14ac:dyDescent="0.25">
      <c r="A5" s="130">
        <v>2</v>
      </c>
      <c r="B5" s="162" t="s">
        <v>19</v>
      </c>
      <c r="C5" s="162"/>
      <c r="D5" s="162"/>
      <c r="E5" s="149" t="s">
        <v>230</v>
      </c>
      <c r="F5" s="149"/>
      <c r="G5" s="149"/>
      <c r="H5" s="149"/>
    </row>
    <row r="6" spans="1:9" ht="15.75" customHeight="1" x14ac:dyDescent="0.25">
      <c r="A6" s="131"/>
      <c r="B6" s="162"/>
      <c r="C6" s="162"/>
      <c r="D6" s="162"/>
      <c r="E6" s="167" t="s">
        <v>137</v>
      </c>
      <c r="F6" s="168"/>
      <c r="G6" s="176" t="s">
        <v>186</v>
      </c>
      <c r="H6" s="176"/>
    </row>
    <row r="7" spans="1:9" ht="15.75" customHeight="1" x14ac:dyDescent="0.25">
      <c r="A7" s="131"/>
      <c r="B7" s="169" t="s">
        <v>134</v>
      </c>
      <c r="C7" s="170"/>
      <c r="D7" s="170"/>
      <c r="E7" s="166" t="s">
        <v>187</v>
      </c>
      <c r="F7" s="126"/>
      <c r="G7" s="126"/>
      <c r="H7" s="127"/>
    </row>
    <row r="8" spans="1:9" ht="30" customHeight="1" x14ac:dyDescent="0.25">
      <c r="A8" s="131"/>
      <c r="B8" s="162" t="s">
        <v>84</v>
      </c>
      <c r="C8" s="162"/>
      <c r="D8" s="162"/>
      <c r="E8" s="219" t="s">
        <v>207</v>
      </c>
      <c r="F8" s="220"/>
      <c r="G8" s="219" t="s">
        <v>188</v>
      </c>
      <c r="H8" s="220"/>
    </row>
    <row r="9" spans="1:9" x14ac:dyDescent="0.25">
      <c r="A9" s="132"/>
      <c r="B9" s="162" t="s">
        <v>144</v>
      </c>
      <c r="C9" s="162"/>
      <c r="D9" s="162"/>
      <c r="E9" s="149" t="s">
        <v>10</v>
      </c>
      <c r="F9" s="149"/>
      <c r="G9" s="149"/>
      <c r="H9" s="149"/>
    </row>
    <row r="10" spans="1:9" x14ac:dyDescent="0.25">
      <c r="A10" s="13">
        <v>3</v>
      </c>
      <c r="B10" s="162" t="s">
        <v>20</v>
      </c>
      <c r="C10" s="162"/>
      <c r="D10" s="162"/>
      <c r="E10" s="149" t="s">
        <v>189</v>
      </c>
      <c r="F10" s="149"/>
      <c r="G10" s="149"/>
      <c r="H10" s="149"/>
    </row>
    <row r="11" spans="1:9" ht="32.25" customHeight="1" x14ac:dyDescent="0.25">
      <c r="A11" s="13">
        <v>4</v>
      </c>
      <c r="B11" s="162" t="s">
        <v>21</v>
      </c>
      <c r="C11" s="162"/>
      <c r="D11" s="162"/>
      <c r="E11" s="149" t="s">
        <v>208</v>
      </c>
      <c r="F11" s="149"/>
      <c r="G11" s="149"/>
      <c r="H11" s="149"/>
    </row>
    <row r="12" spans="1:9" ht="46.5" customHeight="1" x14ac:dyDescent="0.25">
      <c r="A12" s="13">
        <v>5</v>
      </c>
      <c r="B12" s="162" t="s">
        <v>22</v>
      </c>
      <c r="C12" s="162"/>
      <c r="D12" s="162"/>
      <c r="E12" s="149" t="s">
        <v>209</v>
      </c>
      <c r="F12" s="149"/>
      <c r="G12" s="149"/>
      <c r="H12" s="149"/>
      <c r="I12" s="221" t="s">
        <v>133</v>
      </c>
    </row>
    <row r="13" spans="1:9" ht="47.25" customHeight="1" x14ac:dyDescent="0.25">
      <c r="A13" s="13">
        <v>6</v>
      </c>
      <c r="B13" s="162" t="s">
        <v>23</v>
      </c>
      <c r="C13" s="162"/>
      <c r="D13" s="162"/>
      <c r="E13" s="129" t="str">
        <f>E12</f>
        <v>Proposed Residential Building On Land Bearing S No. 63, H No.5A, P. No. 1 to 7, S. No. 63, H. No.6, 7 &amp; 8, S No. 62, H No.8, Village- Shirgaon, Tal. Ambernath, Dist. Thane</v>
      </c>
      <c r="F13" s="129"/>
      <c r="G13" s="129"/>
      <c r="H13" s="129"/>
      <c r="I13" s="221"/>
    </row>
    <row r="14" spans="1:9" ht="15" customHeight="1" x14ac:dyDescent="0.25">
      <c r="A14" s="13">
        <v>7</v>
      </c>
      <c r="B14" s="133" t="s">
        <v>24</v>
      </c>
      <c r="C14" s="133"/>
      <c r="D14" s="133"/>
      <c r="E14" s="149">
        <v>45919</v>
      </c>
      <c r="F14" s="149"/>
      <c r="G14" s="149"/>
      <c r="H14" s="149"/>
    </row>
    <row r="15" spans="1:9" ht="15" customHeight="1" x14ac:dyDescent="0.25">
      <c r="A15" s="13">
        <v>8</v>
      </c>
      <c r="B15" s="133" t="s">
        <v>177</v>
      </c>
      <c r="C15" s="133"/>
      <c r="D15" s="133"/>
      <c r="E15" s="149">
        <v>45919</v>
      </c>
      <c r="F15" s="149"/>
      <c r="G15" s="149"/>
      <c r="H15" s="149"/>
    </row>
    <row r="16" spans="1:9" ht="60.75" customHeight="1" x14ac:dyDescent="0.25">
      <c r="A16" s="13">
        <v>9</v>
      </c>
      <c r="B16" s="133" t="s">
        <v>25</v>
      </c>
      <c r="C16" s="133"/>
      <c r="D16" s="133"/>
      <c r="E16" s="149" t="s">
        <v>231</v>
      </c>
      <c r="F16" s="149"/>
      <c r="G16" s="149"/>
      <c r="H16" s="149"/>
    </row>
    <row r="17" spans="1:10" ht="30.75" customHeight="1" x14ac:dyDescent="0.25">
      <c r="A17" s="13">
        <v>10</v>
      </c>
      <c r="B17" s="128" t="s">
        <v>26</v>
      </c>
      <c r="C17" s="128"/>
      <c r="D17" s="128"/>
      <c r="E17" s="145" t="s">
        <v>65</v>
      </c>
      <c r="F17" s="145"/>
      <c r="G17" s="145"/>
      <c r="H17" s="145"/>
    </row>
    <row r="18" spans="1:10" x14ac:dyDescent="0.25">
      <c r="A18" s="13">
        <v>11</v>
      </c>
      <c r="B18" s="162" t="s">
        <v>27</v>
      </c>
      <c r="C18" s="162"/>
      <c r="D18" s="162"/>
      <c r="E18" s="145" t="s">
        <v>65</v>
      </c>
      <c r="F18" s="145"/>
      <c r="G18" s="145"/>
      <c r="H18" s="145"/>
    </row>
    <row r="19" spans="1:10" ht="46.5" customHeight="1" x14ac:dyDescent="0.25">
      <c r="A19" s="13">
        <v>12</v>
      </c>
      <c r="B19" s="128" t="s">
        <v>28</v>
      </c>
      <c r="C19" s="128"/>
      <c r="D19" s="128"/>
      <c r="E19" s="145" t="s">
        <v>65</v>
      </c>
      <c r="F19" s="145"/>
      <c r="G19" s="145"/>
      <c r="H19" s="145"/>
    </row>
    <row r="20" spans="1:10" ht="47.25" customHeight="1" x14ac:dyDescent="0.25">
      <c r="A20" s="13">
        <v>13</v>
      </c>
      <c r="B20" s="128" t="s">
        <v>106</v>
      </c>
      <c r="C20" s="128"/>
      <c r="D20" s="128"/>
      <c r="E20" s="149" t="s">
        <v>202</v>
      </c>
      <c r="F20" s="149"/>
      <c r="G20" s="149"/>
      <c r="H20" s="149"/>
    </row>
    <row r="21" spans="1:10" ht="29.25" customHeight="1" x14ac:dyDescent="0.25">
      <c r="A21" s="13">
        <v>14</v>
      </c>
      <c r="B21" s="128" t="s">
        <v>29</v>
      </c>
      <c r="C21" s="128"/>
      <c r="D21" s="128"/>
      <c r="E21" s="149">
        <v>45920</v>
      </c>
      <c r="F21" s="149"/>
      <c r="G21" s="149"/>
      <c r="H21" s="149"/>
    </row>
    <row r="22" spans="1:10" ht="15" customHeight="1" x14ac:dyDescent="0.25">
      <c r="A22" s="13">
        <v>15</v>
      </c>
      <c r="B22" s="128" t="s">
        <v>30</v>
      </c>
      <c r="C22" s="128"/>
      <c r="D22" s="128"/>
      <c r="E22" s="171" t="s">
        <v>203</v>
      </c>
      <c r="F22" s="171"/>
      <c r="G22" s="171"/>
      <c r="H22" s="171"/>
      <c r="I22" s="222"/>
      <c r="J22" s="223"/>
    </row>
    <row r="23" spans="1:10" ht="30" customHeight="1" x14ac:dyDescent="0.25">
      <c r="A23" s="13">
        <v>16</v>
      </c>
      <c r="B23" s="128" t="s">
        <v>31</v>
      </c>
      <c r="C23" s="128"/>
      <c r="D23" s="128"/>
      <c r="E23" s="149" t="s">
        <v>190</v>
      </c>
      <c r="F23" s="149"/>
      <c r="G23" s="149"/>
      <c r="H23" s="149"/>
      <c r="I23" s="222"/>
      <c r="J23" s="223"/>
    </row>
    <row r="24" spans="1:10" ht="46.5" customHeight="1" x14ac:dyDescent="0.25">
      <c r="A24" s="13">
        <v>17</v>
      </c>
      <c r="B24" s="128" t="s">
        <v>107</v>
      </c>
      <c r="C24" s="128"/>
      <c r="D24" s="128"/>
      <c r="E24" s="149" t="s">
        <v>204</v>
      </c>
      <c r="F24" s="149"/>
      <c r="G24" s="149"/>
      <c r="H24" s="149"/>
      <c r="I24" s="222"/>
      <c r="J24" s="223"/>
    </row>
    <row r="25" spans="1:10" ht="31.5" customHeight="1" x14ac:dyDescent="0.25">
      <c r="A25" s="13">
        <v>18</v>
      </c>
      <c r="B25" s="128" t="s">
        <v>32</v>
      </c>
      <c r="C25" s="128"/>
      <c r="D25" s="128"/>
      <c r="E25" s="149" t="s">
        <v>65</v>
      </c>
      <c r="F25" s="149"/>
      <c r="G25" s="149"/>
      <c r="H25" s="149"/>
    </row>
    <row r="26" spans="1:10" x14ac:dyDescent="0.25">
      <c r="A26" s="13">
        <v>19</v>
      </c>
      <c r="B26" s="128" t="s">
        <v>33</v>
      </c>
      <c r="C26" s="128"/>
      <c r="D26" s="128"/>
      <c r="E26" s="149" t="s">
        <v>229</v>
      </c>
      <c r="F26" s="149"/>
      <c r="G26" s="149"/>
      <c r="H26" s="149"/>
    </row>
    <row r="27" spans="1:10" ht="45" customHeight="1" x14ac:dyDescent="0.25">
      <c r="A27" s="13">
        <v>20</v>
      </c>
      <c r="B27" s="128" t="s">
        <v>34</v>
      </c>
      <c r="C27" s="128"/>
      <c r="D27" s="128"/>
      <c r="E27" s="149" t="s">
        <v>65</v>
      </c>
      <c r="F27" s="149"/>
      <c r="G27" s="149"/>
      <c r="H27" s="149"/>
    </row>
    <row r="28" spans="1:10" ht="13.9" customHeight="1" x14ac:dyDescent="0.25">
      <c r="A28" s="13">
        <v>21</v>
      </c>
      <c r="B28" s="128" t="s">
        <v>35</v>
      </c>
      <c r="C28" s="128"/>
      <c r="D28" s="128"/>
      <c r="E28" s="149" t="s">
        <v>191</v>
      </c>
      <c r="F28" s="149"/>
      <c r="G28" s="149"/>
      <c r="H28" s="149"/>
    </row>
    <row r="29" spans="1:10" ht="15" customHeight="1" x14ac:dyDescent="0.25">
      <c r="A29" s="13">
        <v>22</v>
      </c>
      <c r="B29" s="128" t="s">
        <v>36</v>
      </c>
      <c r="C29" s="128"/>
      <c r="D29" s="128"/>
      <c r="E29" s="149" t="s">
        <v>191</v>
      </c>
      <c r="F29" s="149"/>
      <c r="G29" s="149"/>
      <c r="H29" s="149"/>
    </row>
    <row r="30" spans="1:10" ht="48.75" customHeight="1" x14ac:dyDescent="0.25">
      <c r="A30" s="13">
        <v>23</v>
      </c>
      <c r="B30" s="128" t="s">
        <v>37</v>
      </c>
      <c r="C30" s="128"/>
      <c r="D30" s="128"/>
      <c r="E30" s="149" t="s">
        <v>192</v>
      </c>
      <c r="F30" s="149"/>
      <c r="G30" s="149"/>
      <c r="H30" s="149"/>
    </row>
    <row r="31" spans="1:10" ht="57.75" customHeight="1" x14ac:dyDescent="0.25">
      <c r="A31" s="13">
        <v>24</v>
      </c>
      <c r="B31" s="128" t="s">
        <v>38</v>
      </c>
      <c r="C31" s="128"/>
      <c r="D31" s="128"/>
      <c r="E31" s="149" t="s">
        <v>193</v>
      </c>
      <c r="F31" s="149"/>
      <c r="G31" s="149"/>
      <c r="H31" s="149"/>
    </row>
    <row r="32" spans="1:10" x14ac:dyDescent="0.25">
      <c r="A32" s="13">
        <v>25</v>
      </c>
      <c r="B32" s="128" t="s">
        <v>39</v>
      </c>
      <c r="C32" s="128"/>
      <c r="D32" s="128"/>
      <c r="E32" s="149" t="s">
        <v>233</v>
      </c>
      <c r="F32" s="149"/>
      <c r="G32" s="149"/>
      <c r="H32" s="149"/>
      <c r="I32" s="224" t="s">
        <v>133</v>
      </c>
      <c r="J32" s="225"/>
    </row>
    <row r="33" spans="1:10" ht="30" customHeight="1" x14ac:dyDescent="0.25">
      <c r="A33" s="13">
        <v>26</v>
      </c>
      <c r="B33" s="128" t="s">
        <v>40</v>
      </c>
      <c r="C33" s="128"/>
      <c r="D33" s="128"/>
      <c r="E33" s="129" t="str">
        <f>E32</f>
        <v>Kulgaon Badlapur Municipal Council</v>
      </c>
      <c r="F33" s="129"/>
      <c r="G33" s="129"/>
      <c r="H33" s="129"/>
      <c r="I33" s="224"/>
      <c r="J33" s="225"/>
    </row>
    <row r="34" spans="1:10" ht="33.75" customHeight="1" x14ac:dyDescent="0.25">
      <c r="A34" s="13">
        <v>27</v>
      </c>
      <c r="B34" s="128" t="s">
        <v>41</v>
      </c>
      <c r="C34" s="128"/>
      <c r="D34" s="128"/>
      <c r="E34" s="145" t="s">
        <v>68</v>
      </c>
      <c r="F34" s="145"/>
      <c r="G34" s="145"/>
      <c r="H34" s="145"/>
    </row>
    <row r="35" spans="1:10" ht="29.25" customHeight="1" x14ac:dyDescent="0.25">
      <c r="A35" s="13">
        <v>28</v>
      </c>
      <c r="B35" s="128" t="s">
        <v>42</v>
      </c>
      <c r="C35" s="128"/>
      <c r="D35" s="128"/>
      <c r="E35" s="145" t="str">
        <f>IF(AND(ISNUMBER(SEARCH("Flat",E139)),ISNUMBER(SEARCH("Shop",E139)),ISNUMBER(SEARCH("Office",E139))),"Residential + Commercial",IF(AND(ISNUMBER(SEARCH("Flat",E139)),ISNUMBER(SEARCH("Shop",E139))),"Residential + Commercial",IF(AND(ISNUMBER(SEARCH("Flat",E139)),ISNUMBER(SEARCH("Office",E139))),"Residential + Commercial",IF(AND(ISNUMBER(SEARCH("Shop",E139)),ISNUMBER(SEARCH("Office",E139))),"Commercial",IF(ISNUMBER(SEARCH("Shop",E139)),"Commercial",IF(ISNUMBER(SEARCH("Office",E139)),"Commercial",IF(ISNUMBER(SEARCH("Flat",E139)),"Residential")))))))</f>
        <v>Residential</v>
      </c>
      <c r="F35" s="145"/>
      <c r="G35" s="145"/>
      <c r="H35" s="145"/>
    </row>
    <row r="36" spans="1:10" ht="15" customHeight="1" x14ac:dyDescent="0.25">
      <c r="A36" s="13">
        <v>29</v>
      </c>
      <c r="B36" s="128" t="s">
        <v>171</v>
      </c>
      <c r="C36" s="128"/>
      <c r="D36" s="128"/>
      <c r="E36" s="226">
        <v>3881.56</v>
      </c>
      <c r="F36" s="226"/>
      <c r="G36" s="226"/>
      <c r="H36" s="226"/>
    </row>
    <row r="37" spans="1:10" ht="31.5" customHeight="1" x14ac:dyDescent="0.25">
      <c r="A37" s="13">
        <v>30</v>
      </c>
      <c r="B37" s="128" t="s">
        <v>80</v>
      </c>
      <c r="C37" s="128"/>
      <c r="D37" s="128"/>
      <c r="E37" s="145" t="s">
        <v>9</v>
      </c>
      <c r="F37" s="145"/>
      <c r="G37" s="145"/>
      <c r="H37" s="145"/>
    </row>
    <row r="38" spans="1:10" ht="31.5" customHeight="1" x14ac:dyDescent="0.25">
      <c r="A38" s="13">
        <v>31</v>
      </c>
      <c r="B38" s="128" t="s">
        <v>81</v>
      </c>
      <c r="C38" s="128"/>
      <c r="D38" s="128"/>
      <c r="E38" s="145" t="s">
        <v>69</v>
      </c>
      <c r="F38" s="145"/>
      <c r="G38" s="145"/>
      <c r="H38" s="145"/>
    </row>
    <row r="39" spans="1:10" ht="47.25" customHeight="1" x14ac:dyDescent="0.25">
      <c r="A39" s="13">
        <v>32</v>
      </c>
      <c r="B39" s="128" t="s">
        <v>43</v>
      </c>
      <c r="C39" s="128"/>
      <c r="D39" s="128"/>
      <c r="E39" s="145" t="s">
        <v>9</v>
      </c>
      <c r="F39" s="145"/>
      <c r="G39" s="145"/>
      <c r="H39" s="145"/>
    </row>
    <row r="40" spans="1:10" x14ac:dyDescent="0.25">
      <c r="A40" s="134">
        <v>33</v>
      </c>
      <c r="B40" s="129" t="s">
        <v>170</v>
      </c>
      <c r="C40" s="129"/>
      <c r="D40" s="129"/>
      <c r="E40" s="129">
        <v>3881.56</v>
      </c>
      <c r="F40" s="129"/>
      <c r="G40" s="129"/>
      <c r="H40" s="129"/>
    </row>
    <row r="41" spans="1:10" x14ac:dyDescent="0.25">
      <c r="A41" s="234"/>
      <c r="B41" s="129" t="s">
        <v>211</v>
      </c>
      <c r="C41" s="129"/>
      <c r="D41" s="129"/>
      <c r="E41" s="129">
        <f>4627.03+2615.28</f>
        <v>7242.3099999999995</v>
      </c>
      <c r="F41" s="129"/>
      <c r="G41" s="129"/>
      <c r="H41" s="129"/>
      <c r="I41" s="55">
        <f>E41/E40</f>
        <v>1.8658245653809291</v>
      </c>
    </row>
    <row r="42" spans="1:10" ht="15" customHeight="1" x14ac:dyDescent="0.25">
      <c r="A42" s="135"/>
      <c r="B42" s="235" t="s">
        <v>210</v>
      </c>
      <c r="C42" s="235"/>
      <c r="D42" s="235"/>
      <c r="E42" s="129">
        <v>2615.2800000000002</v>
      </c>
      <c r="F42" s="129"/>
      <c r="G42" s="129"/>
      <c r="H42" s="129"/>
    </row>
    <row r="43" spans="1:10" x14ac:dyDescent="0.25">
      <c r="A43" s="13">
        <v>34</v>
      </c>
      <c r="B43" s="129" t="s">
        <v>138</v>
      </c>
      <c r="C43" s="129"/>
      <c r="D43" s="129"/>
      <c r="E43" s="136">
        <f>4269.71/E40</f>
        <v>1.0999984542297427</v>
      </c>
      <c r="F43" s="136"/>
      <c r="G43" s="136"/>
      <c r="H43" s="136"/>
    </row>
    <row r="44" spans="1:10" ht="15" customHeight="1" x14ac:dyDescent="0.25">
      <c r="A44" s="13">
        <f>A43+1</f>
        <v>35</v>
      </c>
      <c r="B44" s="137" t="s">
        <v>139</v>
      </c>
      <c r="C44" s="138"/>
      <c r="D44" s="139"/>
      <c r="E44" s="136">
        <f>1164.46/E40</f>
        <v>0.29999793897299026</v>
      </c>
      <c r="F44" s="136"/>
      <c r="G44" s="136"/>
      <c r="H44" s="136"/>
    </row>
    <row r="45" spans="1:10" x14ac:dyDescent="0.25">
      <c r="A45" s="13">
        <f t="shared" ref="A45:A47" si="0">A44+1</f>
        <v>36</v>
      </c>
      <c r="B45" s="129" t="s">
        <v>140</v>
      </c>
      <c r="C45" s="129"/>
      <c r="D45" s="129"/>
      <c r="E45" s="136">
        <f>986.26/E40</f>
        <v>0.25408856233060934</v>
      </c>
      <c r="F45" s="136"/>
      <c r="G45" s="136"/>
      <c r="H45" s="136"/>
    </row>
    <row r="46" spans="1:10" ht="16.5" customHeight="1" x14ac:dyDescent="0.25">
      <c r="A46" s="13">
        <f t="shared" si="0"/>
        <v>37</v>
      </c>
      <c r="B46" s="129" t="s">
        <v>44</v>
      </c>
      <c r="C46" s="129"/>
      <c r="D46" s="129"/>
      <c r="E46" s="136">
        <f>836.63/E40</f>
        <v>0.21553962839683014</v>
      </c>
      <c r="F46" s="136"/>
      <c r="G46" s="136"/>
      <c r="H46" s="136"/>
    </row>
    <row r="47" spans="1:10" ht="16.5" customHeight="1" x14ac:dyDescent="0.25">
      <c r="A47" s="13">
        <f t="shared" si="0"/>
        <v>38</v>
      </c>
      <c r="B47" s="129" t="s">
        <v>141</v>
      </c>
      <c r="C47" s="129"/>
      <c r="D47" s="129"/>
      <c r="E47" s="136">
        <f>SUM(E43:H46)</f>
        <v>1.8696245839301724</v>
      </c>
      <c r="F47" s="136"/>
      <c r="G47" s="136"/>
      <c r="H47" s="136"/>
    </row>
    <row r="48" spans="1:10" x14ac:dyDescent="0.25">
      <c r="A48" s="134">
        <v>39</v>
      </c>
      <c r="B48" s="128" t="s">
        <v>45</v>
      </c>
      <c r="C48" s="128"/>
      <c r="D48" s="128"/>
      <c r="E48" s="149">
        <v>45824</v>
      </c>
      <c r="F48" s="149"/>
      <c r="G48" s="149"/>
      <c r="H48" s="149"/>
      <c r="I48" s="26" t="s">
        <v>201</v>
      </c>
    </row>
    <row r="49" spans="1:10" x14ac:dyDescent="0.25">
      <c r="A49" s="135"/>
      <c r="B49" s="128" t="s">
        <v>156</v>
      </c>
      <c r="C49" s="128"/>
      <c r="D49" s="128"/>
      <c r="E49" s="121" t="s">
        <v>212</v>
      </c>
      <c r="F49" s="121"/>
      <c r="G49" s="121"/>
      <c r="H49" s="121"/>
      <c r="I49" s="11" t="s">
        <v>213</v>
      </c>
    </row>
    <row r="50" spans="1:10" ht="15.75" thickBot="1" x14ac:dyDescent="0.3">
      <c r="A50" s="38">
        <v>40</v>
      </c>
      <c r="B50" s="148" t="s">
        <v>46</v>
      </c>
      <c r="C50" s="148"/>
      <c r="D50" s="148"/>
      <c r="E50" s="148"/>
      <c r="F50" s="148"/>
      <c r="G50" s="148"/>
      <c r="H50" s="148"/>
    </row>
    <row r="51" spans="1:10" ht="15" customHeight="1" x14ac:dyDescent="0.25">
      <c r="A51" s="122" t="s">
        <v>159</v>
      </c>
      <c r="B51" s="123"/>
      <c r="C51" s="107" t="str">
        <f>E88</f>
        <v>Wing D = G + 1st to 7th Floor</v>
      </c>
      <c r="D51" s="108"/>
      <c r="E51" s="108"/>
      <c r="F51" s="108"/>
      <c r="G51" s="108"/>
      <c r="H51" s="109"/>
      <c r="I51" s="5" t="str">
        <f ca="1">(IF(E55&gt;99%,"All work completed. Please provide OC.",IF(E55&gt;89.8%,"Plinth, RCC, Brick, Plaster, Flooring, Painting work Completed. Finishing work is in process.",IF(E55&lt;94%,(IF(C55=0,"Work not yet Started.",IF(D55=25%,"Piling work in process",IF(D55=50%,"Excavation work in process",IF(D55=100%,"Excavation work Completed. ","0")))&amp;(IF(C56=0%,"",IF(C56=J57,"Footing work is process",IF(C56=J58,"Footing work Completed",IF(C56=J59,"1st Basement Completed",IF(C56=J60,"1st &amp; 2nd Basement Completed",IF(C56=J61,"1st to 3rd Basement Completed",IF(C56=J62,"1st to 4th Basement Completed",IF(C56=J63,"Plinth work is process",IF(C56=J64,"Plinth work completed","0")))))))))))&amp;(IF(C57=(D52+F52+H52),", RCC Slab",IF(C57&gt;0,", RCC upto "&amp;C57&amp;" Slab",""))&amp;(IF(C58=H52,", Brickwork",IF(C58&gt;0,", Brickwork upto "&amp;C58&amp;" Floor",""))&amp;(IF(C59=H52,", Internal Plaster",IF(C59&gt;0,", Internal Plaster upto "&amp;C59&amp;" Floor",""))&amp;(IF(C60=H52,", External Plaster",IF(C60&gt;0,", External Plaster upto "&amp;C60&amp;" Floor",""))&amp;(IF(C61=H52,", Flooring",IF(C61&gt;0,", Flooring upto "&amp;C61&amp;" Floor",""))&amp;(IF(C62=H52,", Painting",IF(C62&gt;0,", Painting upto "&amp;C62&amp;" Floor",""))&amp;(IF(C63&gt;0,", Finishing upto "&amp;C63&amp;" Floor","")&amp;(IF(C57&gt;0.5," Completed",""))))))))))))))</f>
        <v>Excavation work Completed. Plinth work completed, RCC Slab, Brickwork, Internal Plaster upto 5 Floor Completed</v>
      </c>
      <c r="J51" s="14"/>
    </row>
    <row r="52" spans="1:10" x14ac:dyDescent="0.25">
      <c r="A52" s="6" t="s">
        <v>85</v>
      </c>
      <c r="B52" s="51">
        <v>0</v>
      </c>
      <c r="C52" s="8" t="s">
        <v>87</v>
      </c>
      <c r="D52" s="8">
        <v>1</v>
      </c>
      <c r="E52" s="39" t="s">
        <v>86</v>
      </c>
      <c r="F52" s="51">
        <v>0</v>
      </c>
      <c r="G52" s="9" t="s">
        <v>108</v>
      </c>
      <c r="H52" s="42">
        <f ca="1">--TRIM(RIGHT(SUBSTITUTE(LEFT(C51,_xlfn.AGGREGATE(16,6,FIND({0,1,2,3,4,5,6,7,8,9},C51,ROW(INDIRECT("1:"&amp;LEN(C51)))),1))," ",REPT(" ",LEN(C51))),LEN(C51)))</f>
        <v>7</v>
      </c>
      <c r="I52" s="10"/>
      <c r="J52" s="15"/>
    </row>
    <row r="53" spans="1:10" ht="29.25" customHeight="1" x14ac:dyDescent="0.25">
      <c r="A53" s="110" t="s">
        <v>109</v>
      </c>
      <c r="B53" s="111"/>
      <c r="C53" s="140" t="str">
        <f ca="1">I51</f>
        <v>Excavation work Completed. Plinth work completed, RCC Slab, Brickwork, Internal Plaster upto 5 Floor Completed</v>
      </c>
      <c r="D53" s="141"/>
      <c r="E53" s="141"/>
      <c r="F53" s="141"/>
      <c r="G53" s="141"/>
      <c r="H53" s="142"/>
      <c r="I53" s="10" t="s">
        <v>110</v>
      </c>
      <c r="J53" s="15"/>
    </row>
    <row r="54" spans="1:10" ht="15" customHeight="1" x14ac:dyDescent="0.25">
      <c r="A54" s="157" t="s">
        <v>4</v>
      </c>
      <c r="B54" s="158"/>
      <c r="C54" s="36" t="s">
        <v>111</v>
      </c>
      <c r="D54" s="36" t="s">
        <v>112</v>
      </c>
      <c r="E54" s="159" t="s">
        <v>113</v>
      </c>
      <c r="F54" s="158"/>
      <c r="G54" s="103" t="s">
        <v>114</v>
      </c>
      <c r="H54" s="104"/>
      <c r="I54" s="3" t="s">
        <v>115</v>
      </c>
      <c r="J54" s="16">
        <f ca="1">H52*25%</f>
        <v>1.75</v>
      </c>
    </row>
    <row r="55" spans="1:10" ht="15" customHeight="1" x14ac:dyDescent="0.25">
      <c r="A55" s="112" t="s">
        <v>116</v>
      </c>
      <c r="B55" s="103"/>
      <c r="C55" s="52">
        <f ca="1">J56</f>
        <v>7</v>
      </c>
      <c r="D55" s="37">
        <f ca="1">((100/H52)*C55)/100</f>
        <v>1</v>
      </c>
      <c r="E55" s="113">
        <f ca="1">(((C56/H52*20)+(30/(D52+F52+H52)*C57)+(10/(H52)*C58)+(5/(H52)*C59)+(5/H52*C60)+(10/H52*C61)+(5/H52*C62)+(5/H52*C63)+(10/H52*C64))/100)</f>
        <v>0.63571428571428568</v>
      </c>
      <c r="F55" s="113"/>
      <c r="G55" s="115">
        <f ca="1">((((C55/H52)*10)+((C56/H52)*20)+(30/(H52+F52+D52)*C57)+(10/H52*C58)+(5/H52*C59)+(5/H52*C60)+(10/H52*C61)+(5/H52*C62)+(5/H52*C63)+(0/H52*C64))/100)</f>
        <v>0.73571428571428565</v>
      </c>
      <c r="H55" s="116"/>
      <c r="I55" s="3" t="s">
        <v>88</v>
      </c>
      <c r="J55" s="18">
        <f ca="1">H52*50%</f>
        <v>3.5</v>
      </c>
    </row>
    <row r="56" spans="1:10" x14ac:dyDescent="0.25">
      <c r="A56" s="112" t="s">
        <v>5</v>
      </c>
      <c r="B56" s="103"/>
      <c r="C56" s="53">
        <f ca="1">J64</f>
        <v>7</v>
      </c>
      <c r="D56" s="37">
        <f ca="1">((100/H52)*C56)/100</f>
        <v>1</v>
      </c>
      <c r="E56" s="113"/>
      <c r="F56" s="113"/>
      <c r="G56" s="117"/>
      <c r="H56" s="118"/>
      <c r="I56" s="3" t="s">
        <v>89</v>
      </c>
      <c r="J56" s="18">
        <f ca="1">H52</f>
        <v>7</v>
      </c>
    </row>
    <row r="57" spans="1:10" ht="15" customHeight="1" x14ac:dyDescent="0.25">
      <c r="A57" s="112" t="s">
        <v>117</v>
      </c>
      <c r="B57" s="103"/>
      <c r="C57" s="53">
        <v>8</v>
      </c>
      <c r="D57" s="37">
        <f ca="1">((100/(D52+F52+H52))*C57)/100</f>
        <v>1</v>
      </c>
      <c r="E57" s="113"/>
      <c r="F57" s="113"/>
      <c r="G57" s="117"/>
      <c r="H57" s="118"/>
      <c r="I57" s="3" t="s">
        <v>90</v>
      </c>
      <c r="J57" s="20">
        <f ca="1">(IF(B52&gt;1,(H52/(B52+2)),H52/4))</f>
        <v>1.75</v>
      </c>
    </row>
    <row r="58" spans="1:10" ht="15" customHeight="1" x14ac:dyDescent="0.25">
      <c r="A58" s="112" t="s">
        <v>118</v>
      </c>
      <c r="B58" s="103" t="s">
        <v>119</v>
      </c>
      <c r="C58" s="52">
        <v>7</v>
      </c>
      <c r="D58" s="37">
        <f ca="1">((100/H52)*C58)/100</f>
        <v>1</v>
      </c>
      <c r="E58" s="113"/>
      <c r="F58" s="113"/>
      <c r="G58" s="117"/>
      <c r="H58" s="118"/>
      <c r="I58" s="3" t="s">
        <v>91</v>
      </c>
      <c r="J58" s="20">
        <f ca="1">(IF(B52&gt;1,(H52/(B52+2)+J57),H52/4+J57))</f>
        <v>3.5</v>
      </c>
    </row>
    <row r="59" spans="1:10" ht="15" customHeight="1" x14ac:dyDescent="0.25">
      <c r="A59" s="112" t="s">
        <v>120</v>
      </c>
      <c r="B59" s="103" t="s">
        <v>119</v>
      </c>
      <c r="C59" s="52">
        <v>5</v>
      </c>
      <c r="D59" s="37">
        <f ca="1">((100/H52)*C59)/100</f>
        <v>0.7142857142857143</v>
      </c>
      <c r="E59" s="113"/>
      <c r="F59" s="113"/>
      <c r="G59" s="117"/>
      <c r="H59" s="118"/>
      <c r="I59" s="3" t="s">
        <v>121</v>
      </c>
      <c r="J59" s="20">
        <f>(IF(B52&gt;1,(H52/(B52+2)+J58),0))</f>
        <v>0</v>
      </c>
    </row>
    <row r="60" spans="1:10" ht="15" customHeight="1" x14ac:dyDescent="0.25">
      <c r="A60" s="112" t="s">
        <v>122</v>
      </c>
      <c r="B60" s="103" t="s">
        <v>123</v>
      </c>
      <c r="C60" s="52">
        <v>0</v>
      </c>
      <c r="D60" s="37">
        <f ca="1">((100/(H52))*C60)/100</f>
        <v>0</v>
      </c>
      <c r="E60" s="113"/>
      <c r="F60" s="113"/>
      <c r="G60" s="117"/>
      <c r="H60" s="118"/>
      <c r="I60" s="3" t="s">
        <v>124</v>
      </c>
      <c r="J60" s="20">
        <f>(IF(B52&gt;2,(H52/(B52+2)+J59),0))</f>
        <v>0</v>
      </c>
    </row>
    <row r="61" spans="1:10" ht="15" customHeight="1" x14ac:dyDescent="0.25">
      <c r="A61" s="112" t="s">
        <v>125</v>
      </c>
      <c r="B61" s="103" t="s">
        <v>125</v>
      </c>
      <c r="C61" s="52">
        <v>0</v>
      </c>
      <c r="D61" s="37">
        <f ca="1">((100/H52)*C61)/100</f>
        <v>0</v>
      </c>
      <c r="E61" s="113"/>
      <c r="F61" s="113"/>
      <c r="G61" s="117"/>
      <c r="H61" s="118"/>
      <c r="I61" s="3" t="s">
        <v>126</v>
      </c>
      <c r="J61" s="21">
        <f>(IF(B52&gt;3,(H52/(B52+2)+J60),0))</f>
        <v>0</v>
      </c>
    </row>
    <row r="62" spans="1:10" ht="15" customHeight="1" x14ac:dyDescent="0.25">
      <c r="A62" s="112" t="s">
        <v>127</v>
      </c>
      <c r="B62" s="103"/>
      <c r="C62" s="52">
        <v>0</v>
      </c>
      <c r="D62" s="37">
        <f ca="1">((100/H52)*C62)/100</f>
        <v>0</v>
      </c>
      <c r="E62" s="113"/>
      <c r="F62" s="113"/>
      <c r="G62" s="117"/>
      <c r="H62" s="118"/>
      <c r="I62" s="3" t="s">
        <v>128</v>
      </c>
      <c r="J62" s="20">
        <f>(IF(B52&gt;4,(H52/(B52+2)+J61),0))</f>
        <v>0</v>
      </c>
    </row>
    <row r="63" spans="1:10" ht="15" customHeight="1" x14ac:dyDescent="0.25">
      <c r="A63" s="112" t="s">
        <v>129</v>
      </c>
      <c r="B63" s="103" t="s">
        <v>129</v>
      </c>
      <c r="C63" s="52">
        <v>0</v>
      </c>
      <c r="D63" s="37">
        <f ca="1">((100/(H52))*C63)/100</f>
        <v>0</v>
      </c>
      <c r="E63" s="113"/>
      <c r="F63" s="113"/>
      <c r="G63" s="117"/>
      <c r="H63" s="118"/>
      <c r="I63" s="3" t="s">
        <v>92</v>
      </c>
      <c r="J63" s="20">
        <f ca="1">(IF(B52=1,(H52/(B52+3)+J58),IF(B52=0,(H52/4+J58),IF(B52&gt;1,0))))</f>
        <v>5.25</v>
      </c>
    </row>
    <row r="64" spans="1:10" ht="15.75" customHeight="1" thickBot="1" x14ac:dyDescent="0.3">
      <c r="A64" s="105" t="s">
        <v>130</v>
      </c>
      <c r="B64" s="106"/>
      <c r="C64" s="54">
        <v>0</v>
      </c>
      <c r="D64" s="40">
        <f ca="1">((100/(H52))*C64)/100</f>
        <v>0</v>
      </c>
      <c r="E64" s="114"/>
      <c r="F64" s="114"/>
      <c r="G64" s="119"/>
      <c r="H64" s="120"/>
      <c r="I64" s="4" t="s">
        <v>93</v>
      </c>
      <c r="J64" s="23">
        <f ca="1">(IF(B52&gt;1.5,(H52/(B52+2)+J58+MAX(0,J59-J58)+MAX(0,J60-J59)+MAX(0,J61-J60)+MAX(0,J62-J61)+MAX(0,J63-J62)),IF(B52=1,(H52/(B52+3)+J63),IF(B52=0,H52/4+J63))))</f>
        <v>7</v>
      </c>
    </row>
    <row r="65" spans="1:10" hidden="1" x14ac:dyDescent="0.25">
      <c r="A65" s="122" t="s">
        <v>159</v>
      </c>
      <c r="B65" s="123"/>
      <c r="C65" s="172" t="str">
        <f>E89</f>
        <v>Building No.6 (Wing B) = Stilt + 1st to 21st Floor</v>
      </c>
      <c r="D65" s="173"/>
      <c r="E65" s="173"/>
      <c r="F65" s="173"/>
      <c r="G65" s="173"/>
      <c r="H65" s="174"/>
      <c r="I65" s="5" t="str">
        <f ca="1">(IF(E69&gt;99%,"All work completed. Please provide OC.",IF(E69&gt;89.8%,"Plinth, RCC, Brick, Plaster, Flooring, Painting work Completed. Finishing work is in process.",IF(E69&lt;94%,(IF(C69=0,"Work not yet Started.",IF(D69=25%,"Piling work in process",IF(D69=50%,"Excavation work in process",IF(D69=100%,"Excavation work Completed. ","0")))&amp;(IF(C70=0%,"",IF(C70=J71,"Footing work is process",IF(C70=J72,"Footing work Completed",IF(C70=J73,"1st Basement Completed",IF(C70=J74,"1st &amp; 2nd Basement Completed",IF(C70=J75,"1st to 3rd Basement Completed",IF(C70=J76,"1st to 4th Basement Completed",IF(C70=J77,"Plinth work is process",IF(C70=J78,"Plinth work completed","0")))))))))))&amp;(IF(C71=(D66+F66+H66),", RCC Slab",IF(C71&gt;0,", RCC upto "&amp;C71&amp;" Slab",""))&amp;(IF(C72=H66,", Brickwork",IF(C72&gt;0,", Brickwork upto "&amp;C72&amp;" Floor",""))&amp;(IF(C73=H66,", Internal Plaster",IF(C73&gt;0,", Internal Plaster upto "&amp;C73&amp;" Floor",""))&amp;(IF(C74=H66,", External Plaster",IF(C74&gt;0,", External Plaster upto "&amp;C74&amp;" Floor",""))&amp;(IF(C75=H66,", Flooring",IF(C75&gt;0,", Flooring upto "&amp;C75&amp;" Floor",""))&amp;(IF(C76=H66,", Painting",IF(C76&gt;0,", Painting upto "&amp;C76&amp;" Floor",""))&amp;(IF(C77&gt;0,", Finishing upto "&amp;C77&amp;" Floor","")&amp;(IF(C71&gt;0.5," Completed",""))))))))))))))</f>
        <v>Excavation work Completed. Plinth work completed</v>
      </c>
      <c r="J65" s="14"/>
    </row>
    <row r="66" spans="1:10" hidden="1" x14ac:dyDescent="0.25">
      <c r="A66" s="6" t="s">
        <v>85</v>
      </c>
      <c r="B66" s="7">
        <f>IF(AND(ISNUMBER(SEARCH("1B",C65))),1,IF(AND(ISNUMBER(SEARCH("2B",C65))),2,IF(AND(ISNUMBER(SEARCH("3B",C65))),3,IF(AND(ISNUMBER(SEARCH("4B",C65))),4,IF(ISNUMBER(SEARCH("5B",C65)),5,0)))))</f>
        <v>0</v>
      </c>
      <c r="C66" s="8" t="s">
        <v>87</v>
      </c>
      <c r="D66" s="8">
        <v>1</v>
      </c>
      <c r="E66" s="39" t="s">
        <v>86</v>
      </c>
      <c r="F66" s="7">
        <v>0</v>
      </c>
      <c r="G66" s="9" t="s">
        <v>108</v>
      </c>
      <c r="H66" s="42">
        <f ca="1">--TRIM(RIGHT(SUBSTITUTE(LEFT(C65,_xlfn.AGGREGATE(16,6,FIND({0,1,2,3,4,5,6,7,8,9},C65,ROW(INDIRECT("1:"&amp;LEN(C65)))),1))," ",REPT(" ",LEN(C65))),LEN(C65)))</f>
        <v>21</v>
      </c>
      <c r="I66" s="10"/>
      <c r="J66" s="15"/>
    </row>
    <row r="67" spans="1:10" hidden="1" x14ac:dyDescent="0.25">
      <c r="A67" s="110" t="s">
        <v>109</v>
      </c>
      <c r="B67" s="111"/>
      <c r="C67" s="140" t="str">
        <f ca="1">I65</f>
        <v>Excavation work Completed. Plinth work completed</v>
      </c>
      <c r="D67" s="141"/>
      <c r="E67" s="141"/>
      <c r="F67" s="141"/>
      <c r="G67" s="141"/>
      <c r="H67" s="142"/>
      <c r="I67" s="10" t="s">
        <v>110</v>
      </c>
      <c r="J67" s="15"/>
    </row>
    <row r="68" spans="1:10" hidden="1" x14ac:dyDescent="0.25">
      <c r="A68" s="157" t="s">
        <v>4</v>
      </c>
      <c r="B68" s="158"/>
      <c r="C68" s="36" t="s">
        <v>111</v>
      </c>
      <c r="D68" s="36" t="s">
        <v>112</v>
      </c>
      <c r="E68" s="159" t="s">
        <v>113</v>
      </c>
      <c r="F68" s="158"/>
      <c r="G68" s="103" t="s">
        <v>114</v>
      </c>
      <c r="H68" s="104"/>
      <c r="I68" s="3" t="s">
        <v>115</v>
      </c>
      <c r="J68" s="16">
        <f ca="1">H66*25%</f>
        <v>5.25</v>
      </c>
    </row>
    <row r="69" spans="1:10" hidden="1" x14ac:dyDescent="0.25">
      <c r="A69" s="112" t="s">
        <v>116</v>
      </c>
      <c r="B69" s="103"/>
      <c r="C69" s="17">
        <f ca="1">J70</f>
        <v>21</v>
      </c>
      <c r="D69" s="37">
        <f ca="1">((100/H66)*C69)/100</f>
        <v>1</v>
      </c>
      <c r="E69" s="113">
        <f ca="1">(((C70/H66*20)+(30/(D66+F66+H66)*C71)+(10/(H66)*C72)+(5/(H66)*C73)+(5/H66*C74)+(10/H66*C75)+(5/H66*C76)+(5/H66*C77)+(10/H66*C78))/100)</f>
        <v>0.2</v>
      </c>
      <c r="F69" s="113"/>
      <c r="G69" s="115">
        <f ca="1">((((C69/H66)*10)+((C70/H66)*20)+(30/(H66+F66+D66)*C71)+(10/H66*C72)+(5/H66*C73)+(5/H66*C74)+(10/H66*C75)+(5/H66*C76)+(5/H66*C77)+(0/H66*C78))/100)</f>
        <v>0.3</v>
      </c>
      <c r="H69" s="116"/>
      <c r="I69" s="3" t="s">
        <v>88</v>
      </c>
      <c r="J69" s="18">
        <f ca="1">H66*50%</f>
        <v>10.5</v>
      </c>
    </row>
    <row r="70" spans="1:10" hidden="1" x14ac:dyDescent="0.25">
      <c r="A70" s="112" t="s">
        <v>5</v>
      </c>
      <c r="B70" s="103"/>
      <c r="C70" s="19">
        <f ca="1">J78</f>
        <v>21</v>
      </c>
      <c r="D70" s="37">
        <f ca="1">((100/H66)*C70)/100</f>
        <v>1</v>
      </c>
      <c r="E70" s="113"/>
      <c r="F70" s="113"/>
      <c r="G70" s="117"/>
      <c r="H70" s="118"/>
      <c r="I70" s="3" t="s">
        <v>89</v>
      </c>
      <c r="J70" s="18">
        <f ca="1">H66</f>
        <v>21</v>
      </c>
    </row>
    <row r="71" spans="1:10" hidden="1" x14ac:dyDescent="0.25">
      <c r="A71" s="112" t="s">
        <v>117</v>
      </c>
      <c r="B71" s="103"/>
      <c r="C71" s="19">
        <v>0</v>
      </c>
      <c r="D71" s="37">
        <f ca="1">((100/(D66+F66+H66))*C71)/100</f>
        <v>0</v>
      </c>
      <c r="E71" s="113"/>
      <c r="F71" s="113"/>
      <c r="G71" s="117"/>
      <c r="H71" s="118"/>
      <c r="I71" s="3" t="s">
        <v>90</v>
      </c>
      <c r="J71" s="20">
        <f ca="1">(IF(B66&gt;1,(H66/(B66+2)),H66/4))</f>
        <v>5.25</v>
      </c>
    </row>
    <row r="72" spans="1:10" hidden="1" x14ac:dyDescent="0.25">
      <c r="A72" s="112" t="s">
        <v>118</v>
      </c>
      <c r="B72" s="103" t="s">
        <v>119</v>
      </c>
      <c r="C72" s="17">
        <v>0</v>
      </c>
      <c r="D72" s="37">
        <f ca="1">((100/H66)*C72)/100</f>
        <v>0</v>
      </c>
      <c r="E72" s="113"/>
      <c r="F72" s="113"/>
      <c r="G72" s="117"/>
      <c r="H72" s="118"/>
      <c r="I72" s="3" t="s">
        <v>91</v>
      </c>
      <c r="J72" s="20">
        <f ca="1">(IF(B66&gt;1,(H66/(B66+2)+J71),H66/4+J71))</f>
        <v>10.5</v>
      </c>
    </row>
    <row r="73" spans="1:10" hidden="1" x14ac:dyDescent="0.25">
      <c r="A73" s="112" t="s">
        <v>120</v>
      </c>
      <c r="B73" s="103" t="s">
        <v>119</v>
      </c>
      <c r="C73" s="17">
        <v>0</v>
      </c>
      <c r="D73" s="37">
        <f ca="1">((100/H66)*C73)/100</f>
        <v>0</v>
      </c>
      <c r="E73" s="113"/>
      <c r="F73" s="113"/>
      <c r="G73" s="117"/>
      <c r="H73" s="118"/>
      <c r="I73" s="3" t="s">
        <v>121</v>
      </c>
      <c r="J73" s="20">
        <f>(IF(B66&gt;1,(H66/(B66+2)+J72),0))</f>
        <v>0</v>
      </c>
    </row>
    <row r="74" spans="1:10" hidden="1" x14ac:dyDescent="0.25">
      <c r="A74" s="112" t="s">
        <v>122</v>
      </c>
      <c r="B74" s="103" t="s">
        <v>123</v>
      </c>
      <c r="C74" s="17">
        <v>0</v>
      </c>
      <c r="D74" s="37">
        <f ca="1">((100/(H66))*C74)/100</f>
        <v>0</v>
      </c>
      <c r="E74" s="113"/>
      <c r="F74" s="113"/>
      <c r="G74" s="117"/>
      <c r="H74" s="118"/>
      <c r="I74" s="3" t="s">
        <v>124</v>
      </c>
      <c r="J74" s="20">
        <f>(IF(B66&gt;2,(H66/(B66+2)+J73),0))</f>
        <v>0</v>
      </c>
    </row>
    <row r="75" spans="1:10" hidden="1" x14ac:dyDescent="0.25">
      <c r="A75" s="112" t="s">
        <v>125</v>
      </c>
      <c r="B75" s="103" t="s">
        <v>125</v>
      </c>
      <c r="C75" s="17">
        <v>0</v>
      </c>
      <c r="D75" s="37">
        <f ca="1">((100/H66)*C75)/100</f>
        <v>0</v>
      </c>
      <c r="E75" s="113"/>
      <c r="F75" s="113"/>
      <c r="G75" s="117"/>
      <c r="H75" s="118"/>
      <c r="I75" s="3" t="s">
        <v>126</v>
      </c>
      <c r="J75" s="21">
        <f>(IF(B66&gt;3,(H66/(B66+2)+J74),0))</f>
        <v>0</v>
      </c>
    </row>
    <row r="76" spans="1:10" hidden="1" x14ac:dyDescent="0.25">
      <c r="A76" s="112" t="s">
        <v>127</v>
      </c>
      <c r="B76" s="103"/>
      <c r="C76" s="17">
        <v>0</v>
      </c>
      <c r="D76" s="37">
        <f ca="1">((100/H66)*C76)/100</f>
        <v>0</v>
      </c>
      <c r="E76" s="113"/>
      <c r="F76" s="113"/>
      <c r="G76" s="117"/>
      <c r="H76" s="118"/>
      <c r="I76" s="3" t="s">
        <v>128</v>
      </c>
      <c r="J76" s="20">
        <f>(IF(B66&gt;4,(H66/(B66+2)+J75),0))</f>
        <v>0</v>
      </c>
    </row>
    <row r="77" spans="1:10" hidden="1" x14ac:dyDescent="0.25">
      <c r="A77" s="112" t="s">
        <v>129</v>
      </c>
      <c r="B77" s="103" t="s">
        <v>129</v>
      </c>
      <c r="C77" s="17">
        <v>0</v>
      </c>
      <c r="D77" s="37">
        <f ca="1">((100/(H66))*C77)/100</f>
        <v>0</v>
      </c>
      <c r="E77" s="113"/>
      <c r="F77" s="113"/>
      <c r="G77" s="117"/>
      <c r="H77" s="118"/>
      <c r="I77" s="3" t="s">
        <v>92</v>
      </c>
      <c r="J77" s="20">
        <f ca="1">(IF(B66=1,(H66/(B66+3)+J72),IF(B66=0,(H66/4+J72),IF(B66&gt;1,0))))</f>
        <v>15.75</v>
      </c>
    </row>
    <row r="78" spans="1:10" ht="15.75" hidden="1" thickBot="1" x14ac:dyDescent="0.3">
      <c r="A78" s="105" t="s">
        <v>130</v>
      </c>
      <c r="B78" s="106"/>
      <c r="C78" s="22">
        <v>0</v>
      </c>
      <c r="D78" s="40">
        <f ca="1">((100/(H66))*C78)/100</f>
        <v>0</v>
      </c>
      <c r="E78" s="114"/>
      <c r="F78" s="114"/>
      <c r="G78" s="119"/>
      <c r="H78" s="120"/>
      <c r="I78" s="4" t="s">
        <v>93</v>
      </c>
      <c r="J78" s="23">
        <f ca="1">(IF(B66&gt;1.5,(H66/(B66+2)+J72+MAX(0,J73-J72)+MAX(0,J74-J73)+MAX(0,J75-J74)+MAX(0,J76-J75)+MAX(0,J77-J76)),IF(B66=1,(H66/(B66+3)+J77),IF(B66=0,H66/4+J77))))</f>
        <v>21</v>
      </c>
    </row>
    <row r="79" spans="1:10" x14ac:dyDescent="0.25">
      <c r="A79" s="240">
        <v>41</v>
      </c>
      <c r="B79" s="241" t="s">
        <v>175</v>
      </c>
      <c r="C79" s="242"/>
      <c r="D79" s="242"/>
      <c r="E79" s="243" t="s">
        <v>158</v>
      </c>
      <c r="F79" s="244"/>
      <c r="G79" s="245"/>
      <c r="H79" s="43">
        <v>46752</v>
      </c>
    </row>
    <row r="80" spans="1:10" x14ac:dyDescent="0.25">
      <c r="A80" s="135"/>
      <c r="B80" s="202"/>
      <c r="C80" s="203"/>
      <c r="D80" s="203"/>
      <c r="E80" s="149" t="s">
        <v>157</v>
      </c>
      <c r="F80" s="149"/>
      <c r="G80" s="149"/>
      <c r="H80" s="41" t="s">
        <v>214</v>
      </c>
      <c r="I80" s="26" t="s">
        <v>201</v>
      </c>
    </row>
    <row r="81" spans="1:11" ht="38.25" customHeight="1" x14ac:dyDescent="0.25">
      <c r="A81" s="13">
        <v>42</v>
      </c>
      <c r="B81" s="128" t="s">
        <v>70</v>
      </c>
      <c r="C81" s="128"/>
      <c r="D81" s="128"/>
      <c r="E81" s="145" t="s">
        <v>10</v>
      </c>
      <c r="F81" s="145"/>
      <c r="G81" s="145"/>
      <c r="H81" s="145"/>
    </row>
    <row r="82" spans="1:11" ht="183" customHeight="1" x14ac:dyDescent="0.25">
      <c r="A82" s="13">
        <v>43</v>
      </c>
      <c r="B82" s="128" t="s">
        <v>62</v>
      </c>
      <c r="C82" s="128"/>
      <c r="D82" s="128"/>
      <c r="E82" s="188" t="s">
        <v>221</v>
      </c>
      <c r="F82" s="188"/>
      <c r="G82" s="188"/>
      <c r="H82" s="188"/>
    </row>
    <row r="83" spans="1:11" s="26" customFormat="1" ht="108" customHeight="1" x14ac:dyDescent="0.25">
      <c r="A83" s="13">
        <v>44</v>
      </c>
      <c r="B83" s="129" t="s">
        <v>216</v>
      </c>
      <c r="C83" s="129"/>
      <c r="D83" s="129"/>
      <c r="E83" s="149" t="s">
        <v>217</v>
      </c>
      <c r="F83" s="149"/>
      <c r="G83" s="149"/>
      <c r="H83" s="149"/>
      <c r="I83" s="11" t="s">
        <v>215</v>
      </c>
      <c r="J83" s="11"/>
      <c r="K83" s="11"/>
    </row>
    <row r="84" spans="1:11" s="26" customFormat="1" ht="36" customHeight="1" x14ac:dyDescent="0.25">
      <c r="A84" s="13">
        <v>45</v>
      </c>
      <c r="B84" s="128" t="s">
        <v>63</v>
      </c>
      <c r="C84" s="128"/>
      <c r="D84" s="128"/>
      <c r="E84" s="145" t="s">
        <v>9</v>
      </c>
      <c r="F84" s="145"/>
      <c r="G84" s="145"/>
      <c r="H84" s="145"/>
      <c r="I84" s="11"/>
      <c r="J84" s="11"/>
      <c r="K84" s="11"/>
    </row>
    <row r="85" spans="1:11" ht="15.75" customHeight="1" x14ac:dyDescent="0.25">
      <c r="A85" s="130">
        <v>46</v>
      </c>
      <c r="B85" s="196" t="s">
        <v>64</v>
      </c>
      <c r="C85" s="197"/>
      <c r="D85" s="198"/>
      <c r="E85" s="124" t="s">
        <v>162</v>
      </c>
      <c r="F85" s="124"/>
      <c r="G85" s="124"/>
      <c r="H85" s="124"/>
    </row>
    <row r="86" spans="1:11" ht="15.75" customHeight="1" x14ac:dyDescent="0.25">
      <c r="A86" s="131"/>
      <c r="B86" s="199"/>
      <c r="C86" s="236"/>
      <c r="D86" s="201"/>
      <c r="E86" s="125" t="s">
        <v>194</v>
      </c>
      <c r="F86" s="126"/>
      <c r="G86" s="126"/>
      <c r="H86" s="127"/>
    </row>
    <row r="87" spans="1:11" s="26" customFormat="1" x14ac:dyDescent="0.25">
      <c r="A87" s="131"/>
      <c r="B87" s="199"/>
      <c r="C87" s="236"/>
      <c r="D87" s="201"/>
      <c r="E87" s="189" t="s">
        <v>163</v>
      </c>
      <c r="F87" s="190"/>
      <c r="G87" s="190"/>
      <c r="H87" s="191"/>
      <c r="I87" s="11"/>
      <c r="J87" s="11"/>
      <c r="K87" s="11"/>
    </row>
    <row r="88" spans="1:11" s="26" customFormat="1" x14ac:dyDescent="0.25">
      <c r="A88" s="131"/>
      <c r="B88" s="199"/>
      <c r="C88" s="236"/>
      <c r="D88" s="236"/>
      <c r="E88" s="192" t="s">
        <v>194</v>
      </c>
      <c r="F88" s="193"/>
      <c r="G88" s="193"/>
      <c r="H88" s="194"/>
      <c r="I88" s="11"/>
      <c r="J88" s="11"/>
      <c r="K88" s="11"/>
    </row>
    <row r="89" spans="1:11" s="26" customFormat="1" hidden="1" x14ac:dyDescent="0.25">
      <c r="A89" s="132"/>
      <c r="B89" s="202"/>
      <c r="C89" s="203"/>
      <c r="D89" s="203"/>
      <c r="E89" s="237" t="s">
        <v>181</v>
      </c>
      <c r="F89" s="238"/>
      <c r="G89" s="238"/>
      <c r="H89" s="239"/>
      <c r="I89" s="11"/>
      <c r="J89" s="11"/>
      <c r="K89" s="11"/>
    </row>
    <row r="90" spans="1:11" x14ac:dyDescent="0.25">
      <c r="A90" s="150" t="s">
        <v>75</v>
      </c>
      <c r="B90" s="150"/>
      <c r="C90" s="150"/>
      <c r="D90" s="150"/>
      <c r="E90" s="151"/>
      <c r="F90" s="151"/>
      <c r="G90" s="151"/>
      <c r="H90" s="151"/>
    </row>
    <row r="91" spans="1:11" x14ac:dyDescent="0.25">
      <c r="A91" s="153" t="s">
        <v>179</v>
      </c>
      <c r="B91" s="153"/>
      <c r="C91" s="98" t="s">
        <v>195</v>
      </c>
      <c r="D91" s="98"/>
      <c r="E91" s="98"/>
      <c r="F91" s="24" t="s">
        <v>76</v>
      </c>
      <c r="G91" s="97">
        <v>44991</v>
      </c>
      <c r="H91" s="98"/>
    </row>
    <row r="92" spans="1:11" x14ac:dyDescent="0.25">
      <c r="A92" s="153" t="s">
        <v>180</v>
      </c>
      <c r="B92" s="153"/>
      <c r="C92" s="98" t="str">
        <f>C91:C91</f>
        <v>KBNP/NRV/BD/505-182</v>
      </c>
      <c r="D92" s="98"/>
      <c r="E92" s="98"/>
      <c r="F92" s="24" t="s">
        <v>76</v>
      </c>
      <c r="G92" s="97">
        <f>G91</f>
        <v>44991</v>
      </c>
      <c r="H92" s="98"/>
    </row>
    <row r="93" spans="1:11" ht="29.25" customHeight="1" x14ac:dyDescent="0.25">
      <c r="A93" s="74" t="s">
        <v>164</v>
      </c>
      <c r="B93" s="75"/>
      <c r="C93" s="98" t="s">
        <v>218</v>
      </c>
      <c r="D93" s="98"/>
      <c r="E93" s="98"/>
      <c r="F93" s="25" t="s">
        <v>76</v>
      </c>
      <c r="G93" s="97">
        <v>44991</v>
      </c>
      <c r="H93" s="98"/>
    </row>
    <row r="94" spans="1:11" x14ac:dyDescent="0.25">
      <c r="A94" s="76"/>
      <c r="B94" s="77"/>
      <c r="C94" s="209" t="s">
        <v>219</v>
      </c>
      <c r="D94" s="210"/>
      <c r="E94" s="210"/>
      <c r="F94" s="210"/>
      <c r="G94" s="210"/>
      <c r="H94" s="211"/>
    </row>
    <row r="95" spans="1:11" hidden="1" x14ac:dyDescent="0.25">
      <c r="A95" s="79" t="s">
        <v>182</v>
      </c>
      <c r="B95" s="80"/>
      <c r="C95" s="78"/>
      <c r="D95" s="78"/>
      <c r="E95" s="78"/>
      <c r="F95" s="47" t="s">
        <v>76</v>
      </c>
      <c r="G95" s="78"/>
      <c r="H95" s="78"/>
    </row>
    <row r="96" spans="1:11" ht="15" hidden="1" customHeight="1" x14ac:dyDescent="0.25">
      <c r="A96" s="81"/>
      <c r="B96" s="82"/>
      <c r="C96" s="85"/>
      <c r="D96" s="86"/>
      <c r="E96" s="86"/>
      <c r="F96" s="86"/>
      <c r="G96" s="86"/>
      <c r="H96" s="87"/>
    </row>
    <row r="97" spans="1:11" ht="15" hidden="1" customHeight="1" x14ac:dyDescent="0.25">
      <c r="A97" s="79" t="s">
        <v>184</v>
      </c>
      <c r="B97" s="80"/>
      <c r="C97" s="78"/>
      <c r="D97" s="78"/>
      <c r="E97" s="78"/>
      <c r="F97" s="47" t="s">
        <v>76</v>
      </c>
      <c r="G97" s="78"/>
      <c r="H97" s="78"/>
    </row>
    <row r="98" spans="1:11" ht="15" hidden="1" customHeight="1" x14ac:dyDescent="0.25">
      <c r="A98" s="81"/>
      <c r="B98" s="82"/>
      <c r="C98" s="85"/>
      <c r="D98" s="86"/>
      <c r="E98" s="86"/>
      <c r="F98" s="86"/>
      <c r="G98" s="86"/>
      <c r="H98" s="87"/>
      <c r="I98" s="26"/>
      <c r="J98" s="26"/>
      <c r="K98" s="26"/>
    </row>
    <row r="99" spans="1:11" ht="15" hidden="1" customHeight="1" x14ac:dyDescent="0.25">
      <c r="A99" s="79" t="s">
        <v>183</v>
      </c>
      <c r="B99" s="80"/>
      <c r="C99" s="88"/>
      <c r="D99" s="89"/>
      <c r="E99" s="90"/>
      <c r="F99" s="47" t="s">
        <v>76</v>
      </c>
      <c r="G99" s="78"/>
      <c r="H99" s="78"/>
      <c r="I99" s="26"/>
      <c r="J99" s="26"/>
      <c r="K99" s="26"/>
    </row>
    <row r="100" spans="1:11" ht="34.5" hidden="1" customHeight="1" x14ac:dyDescent="0.25">
      <c r="A100" s="83"/>
      <c r="B100" s="84"/>
      <c r="C100" s="91"/>
      <c r="D100" s="92"/>
      <c r="E100" s="93"/>
      <c r="F100" s="48" t="s">
        <v>161</v>
      </c>
      <c r="G100" s="78"/>
      <c r="H100" s="78"/>
    </row>
    <row r="101" spans="1:11" ht="34.5" hidden="1" customHeight="1" x14ac:dyDescent="0.25">
      <c r="A101" s="81"/>
      <c r="B101" s="82"/>
      <c r="C101" s="85"/>
      <c r="D101" s="86"/>
      <c r="E101" s="86"/>
      <c r="F101" s="86"/>
      <c r="G101" s="86"/>
      <c r="H101" s="87"/>
    </row>
    <row r="102" spans="1:11" x14ac:dyDescent="0.25">
      <c r="A102" s="206" t="s">
        <v>77</v>
      </c>
      <c r="B102" s="206"/>
      <c r="C102" s="207" t="s">
        <v>78</v>
      </c>
      <c r="D102" s="233"/>
      <c r="E102" s="233" t="s">
        <v>79</v>
      </c>
      <c r="F102" s="45" t="s">
        <v>76</v>
      </c>
      <c r="G102" s="207" t="s">
        <v>10</v>
      </c>
      <c r="H102" s="207" t="s">
        <v>10</v>
      </c>
    </row>
    <row r="103" spans="1:11" hidden="1" x14ac:dyDescent="0.25">
      <c r="A103" s="154" t="s">
        <v>97</v>
      </c>
      <c r="B103" s="154"/>
      <c r="C103" s="154"/>
      <c r="D103" s="154"/>
      <c r="E103" s="154"/>
      <c r="F103" s="154"/>
      <c r="G103" s="154"/>
      <c r="H103" s="154"/>
      <c r="I103" s="26"/>
      <c r="J103" s="26"/>
      <c r="K103" s="26"/>
    </row>
    <row r="104" spans="1:11" hidden="1" x14ac:dyDescent="0.25">
      <c r="A104" s="155" t="s">
        <v>71</v>
      </c>
      <c r="B104" s="155"/>
      <c r="C104" s="101" t="s">
        <v>72</v>
      </c>
      <c r="D104" s="101"/>
      <c r="E104" s="102" t="s">
        <v>73</v>
      </c>
      <c r="F104" s="102"/>
      <c r="G104" s="102" t="s">
        <v>74</v>
      </c>
      <c r="H104" s="102"/>
      <c r="I104" s="26"/>
      <c r="J104" s="26"/>
      <c r="K104" s="26"/>
    </row>
    <row r="105" spans="1:11" ht="15" hidden="1" customHeight="1" x14ac:dyDescent="0.25">
      <c r="A105" s="156" t="s">
        <v>96</v>
      </c>
      <c r="B105" s="156"/>
      <c r="C105" s="146"/>
      <c r="D105" s="147"/>
      <c r="E105" s="187"/>
      <c r="F105" s="187"/>
      <c r="G105" s="187"/>
      <c r="H105" s="187"/>
    </row>
    <row r="106" spans="1:11" hidden="1" x14ac:dyDescent="0.25">
      <c r="A106" s="99" t="s">
        <v>12</v>
      </c>
      <c r="B106" s="99"/>
      <c r="C106" s="100"/>
      <c r="D106" s="101"/>
      <c r="E106" s="102"/>
      <c r="F106" s="102"/>
      <c r="G106" s="102"/>
      <c r="H106" s="102"/>
    </row>
    <row r="107" spans="1:11" x14ac:dyDescent="0.25">
      <c r="A107" s="154" t="s">
        <v>83</v>
      </c>
      <c r="B107" s="154"/>
      <c r="C107" s="154"/>
      <c r="D107" s="154"/>
      <c r="E107" s="154"/>
      <c r="F107" s="154"/>
      <c r="G107" s="154"/>
      <c r="H107" s="154"/>
    </row>
    <row r="108" spans="1:11" x14ac:dyDescent="0.25">
      <c r="A108" s="155" t="s">
        <v>71</v>
      </c>
      <c r="B108" s="155"/>
      <c r="C108" s="101" t="s">
        <v>72</v>
      </c>
      <c r="D108" s="101"/>
      <c r="E108" s="102" t="s">
        <v>73</v>
      </c>
      <c r="F108" s="102"/>
      <c r="G108" s="102" t="s">
        <v>74</v>
      </c>
      <c r="H108" s="102"/>
    </row>
    <row r="109" spans="1:11" x14ac:dyDescent="0.25">
      <c r="A109" s="156" t="s">
        <v>220</v>
      </c>
      <c r="B109" s="156"/>
      <c r="C109" s="146">
        <f>COUNT(C129:C136)*7</f>
        <v>56</v>
      </c>
      <c r="D109" s="147"/>
      <c r="E109" s="146">
        <f>SUM(F129:F136)*7</f>
        <v>26733.093659999999</v>
      </c>
      <c r="F109" s="147"/>
      <c r="G109" s="146">
        <f>SUM(H129:H136)*7</f>
        <v>38762.985806999997</v>
      </c>
      <c r="H109" s="147"/>
    </row>
    <row r="110" spans="1:11" x14ac:dyDescent="0.25">
      <c r="A110" s="216" t="s">
        <v>12</v>
      </c>
      <c r="B110" s="216"/>
      <c r="C110" s="72">
        <f>C109</f>
        <v>56</v>
      </c>
      <c r="D110" s="73"/>
      <c r="E110" s="72">
        <f t="shared" ref="E110" si="1">E109</f>
        <v>26733.093659999999</v>
      </c>
      <c r="F110" s="73"/>
      <c r="G110" s="72">
        <f t="shared" ref="G110" si="2">G109</f>
        <v>38762.985806999997</v>
      </c>
      <c r="H110" s="73"/>
    </row>
    <row r="111" spans="1:11" hidden="1" x14ac:dyDescent="0.25">
      <c r="A111" s="217" t="s">
        <v>152</v>
      </c>
      <c r="B111" s="218"/>
      <c r="C111" s="70">
        <f>C106+C110</f>
        <v>56</v>
      </c>
      <c r="D111" s="71"/>
      <c r="E111" s="95">
        <f>E106+E110</f>
        <v>26733.093659999999</v>
      </c>
      <c r="F111" s="95"/>
      <c r="G111" s="95">
        <f>G106+G110</f>
        <v>38762.985806999997</v>
      </c>
      <c r="H111" s="96"/>
    </row>
    <row r="112" spans="1:11" ht="15" customHeight="1" x14ac:dyDescent="0.25">
      <c r="A112" s="94" t="s">
        <v>155</v>
      </c>
      <c r="B112" s="94"/>
      <c r="C112" s="94"/>
      <c r="D112" s="94"/>
      <c r="E112" s="94"/>
      <c r="F112" s="94"/>
      <c r="G112" s="94"/>
      <c r="H112" s="94"/>
    </row>
    <row r="113" spans="1:16" ht="15" hidden="1" customHeight="1" x14ac:dyDescent="0.25">
      <c r="A113" s="61" t="s">
        <v>174</v>
      </c>
      <c r="B113" s="61"/>
      <c r="C113" s="61"/>
      <c r="D113" s="61"/>
      <c r="E113" s="61"/>
      <c r="F113" s="61"/>
      <c r="G113" s="61"/>
      <c r="H113" s="61"/>
    </row>
    <row r="114" spans="1:16" ht="42.75" hidden="1" x14ac:dyDescent="0.25">
      <c r="A114" s="68" t="s">
        <v>165</v>
      </c>
      <c r="B114" s="69" t="s">
        <v>2</v>
      </c>
      <c r="C114" s="68" t="s">
        <v>169</v>
      </c>
      <c r="D114" s="68" t="s">
        <v>153</v>
      </c>
      <c r="E114" s="62" t="s">
        <v>160</v>
      </c>
      <c r="F114" s="68" t="s">
        <v>167</v>
      </c>
      <c r="G114" s="62" t="s">
        <v>168</v>
      </c>
      <c r="H114" s="1" t="s">
        <v>166</v>
      </c>
    </row>
    <row r="115" spans="1:16" ht="15" hidden="1" customHeight="1" x14ac:dyDescent="0.25">
      <c r="A115" s="68"/>
      <c r="B115" s="69"/>
      <c r="C115" s="68"/>
      <c r="D115" s="68"/>
      <c r="E115" s="63"/>
      <c r="F115" s="68"/>
      <c r="G115" s="63"/>
      <c r="H115" s="46">
        <v>0.5</v>
      </c>
      <c r="N115" s="11" t="e">
        <f ca="1">O115&amp;" to "&amp;P115</f>
        <v>#REF!</v>
      </c>
      <c r="O115" s="11" t="e">
        <f ca="1">(SUMPRODUCT(MID(0&amp;(LEFT(#REF!,SUM(LEN(#REF!)-LEN(SUBSTITUTE(#REF!,{"0","1","2"},""))))), LARGE(INDEX(ISNUMBER(--MID((LEFT(#REF!,SUM(LEN(#REF!)-LEN(SUBSTITUTE(#REF!,{"0","1","2"},""))))), ROW(INDIRECT("1:"&amp;LEN((LEFT(#REF!,SUM(LEN(#REF!)-LEN(SUBSTITUTE(#REF!,{"0","1","2"},"")))))))), 1)) * ROW(INDIRECT("1:"&amp;LEN((LEFT(#REF!,SUM(LEN(#REF!)-LEN(SUBSTITUTE(#REF!,{"0","1","2"},"")))))))), 0), ROW(INDIRECT("1:"&amp;LEN((LEFT(#REF!,SUM(LEN(#REF!)-LEN(SUBSTITUTE(#REF!,{"0","1","2"},"")))))))))+1, 1) * 10^ROW(INDIRECT("1:"&amp;LEN((LEFT(#REF!,SUM(LEN(#REF!)-LEN(SUBSTITUTE(#REF!,{"0","1","2"},""))))))))/10))*100+1</f>
        <v>#REF!</v>
      </c>
      <c r="P115" s="11" t="e">
        <f ca="1">(SUMPRODUCT(MID(0&amp;(--TRIM(RIGHT(SUBSTITUTE(LEFT(#REF!,_xlfn.AGGREGATE(16,6,FIND({0,1,2,3,4,5,6,7,8,9},#REF!,ROW(INDIRECT("1:"&amp;LEN(#REF!)))),1))," ",REPT(" ",LEN(#REF!))),LEN(#REF!)))), LARGE(INDEX(ISNUMBER(--MID((--TRIM(RIGHT(SUBSTITUTE(LEFT(#REF!,_xlfn.AGGREGATE(16,6,FIND({0,1,2,3,4,5,6,7,8,9},#REF!,ROW(INDIRECT("1:"&amp;LEN(#REF!)))),1))," ",REPT(" ",LEN(#REF!))),LEN(#REF!)))), ROW(INDIRECT("1:"&amp;LEN((--TRIM(RIGHT(SUBSTITUTE(LEFT(#REF!,_xlfn.AGGREGATE(16,6,FIND({0,1,2,3,4,5,6,7,8,9},#REF!,ROW(INDIRECT("1:"&amp;LEN(#REF!)))),1))," ",REPT(" ",LEN(#REF!))),LEN(#REF!))))))), 1)) * ROW(INDIRECT("1:"&amp;LEN((--TRIM(RIGHT(SUBSTITUTE(LEFT(#REF!,_xlfn.AGGREGATE(16,6,FIND({0,1,2,3,4,5,6,7,8,9},#REF!,ROW(INDIRECT("1:"&amp;LEN(#REF!)))),1))," ",REPT(" ",LEN(#REF!))),LEN(#REF!))))))), 0), ROW(INDIRECT("1:"&amp;LEN((--TRIM(RIGHT(SUBSTITUTE(LEFT(#REF!,_xlfn.AGGREGATE(16,6,FIND({0,1,2,3,4,5,6,7,8,9},#REF!,ROW(INDIRECT("1:"&amp;LEN(#REF!)))),1))," ",REPT(" ",LEN(#REF!))),LEN(#REF!))))))))+1, 1) * 10^ROW(INDIRECT("1:"&amp;LEN((--TRIM(RIGHT(SUBSTITUTE(LEFT(#REF!,_xlfn.AGGREGATE(16,6,FIND({0,1,2,3,4,5,6,7,8,9},#REF!,ROW(INDIRECT("1:"&amp;LEN(#REF!)))),1))," ",REPT(" ",LEN(#REF!))),LEN(#REF!)))))))/10))*100+1</f>
        <v>#REF!</v>
      </c>
    </row>
    <row r="116" spans="1:16" ht="15" hidden="1" customHeight="1" x14ac:dyDescent="0.25">
      <c r="A116" s="64" t="s">
        <v>172</v>
      </c>
      <c r="B116" s="64"/>
      <c r="C116" s="64"/>
      <c r="D116" s="64"/>
      <c r="E116" s="64"/>
      <c r="F116" s="64"/>
      <c r="G116" s="65"/>
      <c r="H116" s="64"/>
      <c r="N116" s="11" t="e">
        <f t="shared" ref="N116:N124" ca="1" si="3">O116&amp;" to "&amp;P116</f>
        <v>#REF!</v>
      </c>
      <c r="O116" s="11" t="e">
        <f ca="1">O115+1</f>
        <v>#REF!</v>
      </c>
      <c r="P116" s="11" t="e">
        <f ca="1">P115+1</f>
        <v>#REF!</v>
      </c>
    </row>
    <row r="117" spans="1:16" ht="15" hidden="1" customHeight="1" x14ac:dyDescent="0.25">
      <c r="A117" s="27">
        <v>1</v>
      </c>
      <c r="B117" s="2"/>
      <c r="C117" s="2"/>
      <c r="D117" s="2"/>
      <c r="E117" s="2">
        <v>0</v>
      </c>
      <c r="F117" s="2">
        <f>C117+D117+E117</f>
        <v>0</v>
      </c>
      <c r="G117" s="2">
        <v>0</v>
      </c>
      <c r="H117" s="2">
        <f>F117*(($H$115)+1)+G117</f>
        <v>0</v>
      </c>
      <c r="N117" s="11" t="e">
        <f t="shared" ca="1" si="3"/>
        <v>#REF!</v>
      </c>
      <c r="O117" s="11" t="e">
        <f t="shared" ref="O117:O124" ca="1" si="4">O116+1</f>
        <v>#REF!</v>
      </c>
      <c r="P117" s="11" t="e">
        <f t="shared" ref="P117:P124" ca="1" si="5">P116+1</f>
        <v>#REF!</v>
      </c>
    </row>
    <row r="118" spans="1:16" ht="30.75" hidden="1" customHeight="1" x14ac:dyDescent="0.25">
      <c r="A118" s="27">
        <f>A117+1</f>
        <v>2</v>
      </c>
      <c r="B118" s="2"/>
      <c r="C118" s="2"/>
      <c r="D118" s="2"/>
      <c r="E118" s="2">
        <v>0</v>
      </c>
      <c r="F118" s="2">
        <f t="shared" ref="F118:F121" si="6">C118+D118+E118</f>
        <v>0</v>
      </c>
      <c r="G118" s="2">
        <v>0</v>
      </c>
      <c r="H118" s="2">
        <f>F118*(($H$115)+1)+G118</f>
        <v>0</v>
      </c>
      <c r="N118" s="11" t="e">
        <f t="shared" ca="1" si="3"/>
        <v>#REF!</v>
      </c>
      <c r="O118" s="11" t="e">
        <f t="shared" ca="1" si="4"/>
        <v>#REF!</v>
      </c>
      <c r="P118" s="11" t="e">
        <f t="shared" ca="1" si="5"/>
        <v>#REF!</v>
      </c>
    </row>
    <row r="119" spans="1:16" ht="15" hidden="1" customHeight="1" x14ac:dyDescent="0.25">
      <c r="A119" s="27">
        <f>A118+1</f>
        <v>3</v>
      </c>
      <c r="B119" s="2"/>
      <c r="C119" s="2"/>
      <c r="D119" s="2"/>
      <c r="E119" s="2">
        <v>0</v>
      </c>
      <c r="F119" s="2">
        <f t="shared" si="6"/>
        <v>0</v>
      </c>
      <c r="G119" s="2">
        <v>0</v>
      </c>
      <c r="H119" s="2">
        <f>F119*(($H$115)+1)+G119</f>
        <v>0</v>
      </c>
      <c r="N119" s="11" t="e">
        <f t="shared" ca="1" si="3"/>
        <v>#REF!</v>
      </c>
      <c r="O119" s="11" t="e">
        <f t="shared" ca="1" si="4"/>
        <v>#REF!</v>
      </c>
      <c r="P119" s="11" t="e">
        <f t="shared" ca="1" si="5"/>
        <v>#REF!</v>
      </c>
    </row>
    <row r="120" spans="1:16" ht="15" hidden="1" customHeight="1" x14ac:dyDescent="0.25">
      <c r="A120" s="27">
        <f>A119+1</f>
        <v>4</v>
      </c>
      <c r="B120" s="2"/>
      <c r="C120" s="2"/>
      <c r="D120" s="2"/>
      <c r="E120" s="2">
        <v>0</v>
      </c>
      <c r="F120" s="2">
        <f t="shared" si="6"/>
        <v>0</v>
      </c>
      <c r="G120" s="2">
        <v>0</v>
      </c>
      <c r="H120" s="2">
        <f>F120*(($H$115)+1)+G120</f>
        <v>0</v>
      </c>
      <c r="N120" s="11" t="e">
        <f t="shared" ca="1" si="3"/>
        <v>#REF!</v>
      </c>
      <c r="O120" s="11" t="e">
        <f t="shared" ca="1" si="4"/>
        <v>#REF!</v>
      </c>
      <c r="P120" s="11" t="e">
        <f t="shared" ca="1" si="5"/>
        <v>#REF!</v>
      </c>
    </row>
    <row r="121" spans="1:16" ht="15" hidden="1" customHeight="1" x14ac:dyDescent="0.25">
      <c r="A121" s="27">
        <f>A120+1</f>
        <v>5</v>
      </c>
      <c r="B121" s="2"/>
      <c r="C121" s="2"/>
      <c r="D121" s="2"/>
      <c r="E121" s="2">
        <v>0</v>
      </c>
      <c r="F121" s="2">
        <f t="shared" si="6"/>
        <v>0</v>
      </c>
      <c r="G121" s="2">
        <v>0</v>
      </c>
      <c r="H121" s="2">
        <f>F121*(($H$115)+1)+G121</f>
        <v>0</v>
      </c>
      <c r="N121" s="11" t="e">
        <f t="shared" ca="1" si="3"/>
        <v>#REF!</v>
      </c>
      <c r="O121" s="11" t="e">
        <f t="shared" ca="1" si="4"/>
        <v>#REF!</v>
      </c>
      <c r="P121" s="11" t="e">
        <f t="shared" ca="1" si="5"/>
        <v>#REF!</v>
      </c>
    </row>
    <row r="122" spans="1:16" ht="15" hidden="1" customHeight="1" x14ac:dyDescent="0.25">
      <c r="A122" s="66"/>
      <c r="B122" s="66"/>
      <c r="C122" s="66"/>
      <c r="D122" s="66"/>
      <c r="E122" s="66"/>
      <c r="F122" s="66"/>
      <c r="G122" s="67"/>
      <c r="H122" s="66"/>
      <c r="N122" s="11" t="e">
        <f t="shared" ca="1" si="3"/>
        <v>#REF!</v>
      </c>
      <c r="O122" s="11" t="e">
        <f t="shared" ca="1" si="4"/>
        <v>#REF!</v>
      </c>
      <c r="P122" s="11" t="e">
        <f t="shared" ca="1" si="5"/>
        <v>#REF!</v>
      </c>
    </row>
    <row r="123" spans="1:16" ht="15" customHeight="1" x14ac:dyDescent="0.25">
      <c r="A123" s="213" t="s">
        <v>173</v>
      </c>
      <c r="B123" s="213"/>
      <c r="C123" s="213"/>
      <c r="D123" s="213"/>
      <c r="E123" s="213"/>
      <c r="F123" s="213"/>
      <c r="G123" s="213"/>
      <c r="H123" s="213"/>
      <c r="N123" s="11" t="e">
        <f t="shared" ca="1" si="3"/>
        <v>#REF!</v>
      </c>
      <c r="O123" s="11" t="e">
        <f t="shared" ca="1" si="4"/>
        <v>#REF!</v>
      </c>
      <c r="P123" s="11" t="e">
        <f t="shared" ca="1" si="5"/>
        <v>#REF!</v>
      </c>
    </row>
    <row r="124" spans="1:16" ht="50.25" customHeight="1" x14ac:dyDescent="0.25">
      <c r="A124" s="68" t="s">
        <v>165</v>
      </c>
      <c r="B124" s="69" t="s">
        <v>2</v>
      </c>
      <c r="C124" s="68" t="s">
        <v>200</v>
      </c>
      <c r="D124" s="68" t="s">
        <v>154</v>
      </c>
      <c r="E124" s="68" t="s">
        <v>98</v>
      </c>
      <c r="F124" s="62" t="s">
        <v>167</v>
      </c>
      <c r="G124" s="177" t="s">
        <v>168</v>
      </c>
      <c r="H124" s="1" t="s">
        <v>166</v>
      </c>
      <c r="I124" s="2">
        <v>10.763999999999999</v>
      </c>
      <c r="N124" s="11" t="e">
        <f t="shared" ca="1" si="3"/>
        <v>#REF!</v>
      </c>
      <c r="O124" s="11" t="e">
        <f t="shared" ca="1" si="4"/>
        <v>#REF!</v>
      </c>
      <c r="P124" s="11" t="e">
        <f t="shared" ca="1" si="5"/>
        <v>#REF!</v>
      </c>
    </row>
    <row r="125" spans="1:16" x14ac:dyDescent="0.25">
      <c r="A125" s="68"/>
      <c r="B125" s="69"/>
      <c r="C125" s="68"/>
      <c r="D125" s="68"/>
      <c r="E125" s="68"/>
      <c r="F125" s="63"/>
      <c r="G125" s="178"/>
      <c r="H125" s="50">
        <v>0.45</v>
      </c>
    </row>
    <row r="126" spans="1:16" x14ac:dyDescent="0.25">
      <c r="A126" s="214" t="s">
        <v>220</v>
      </c>
      <c r="B126" s="214"/>
      <c r="C126" s="214"/>
      <c r="D126" s="214"/>
      <c r="E126" s="214"/>
      <c r="F126" s="214"/>
      <c r="G126" s="215"/>
      <c r="H126" s="215"/>
      <c r="J126" s="11" t="s">
        <v>228</v>
      </c>
      <c r="K126" s="32">
        <f>2700000-(2700000*0.08)</f>
        <v>2484000</v>
      </c>
      <c r="L126" s="32">
        <f>3700000-(3700000*0.08)</f>
        <v>3404000</v>
      </c>
    </row>
    <row r="127" spans="1:16" ht="15" customHeight="1" x14ac:dyDescent="0.25">
      <c r="A127" s="64" t="s">
        <v>196</v>
      </c>
      <c r="B127" s="64"/>
      <c r="C127" s="64"/>
      <c r="D127" s="64"/>
      <c r="E127" s="64"/>
      <c r="F127" s="64"/>
      <c r="G127" s="65"/>
      <c r="H127" s="65"/>
      <c r="M127" s="32">
        <f>3100000-(3100000*0.08)-200000-100000</f>
        <v>2552000</v>
      </c>
      <c r="N127" s="11" t="e">
        <f ca="1">O127&amp;" &amp; "&amp;P127</f>
        <v>#REF!</v>
      </c>
      <c r="O127" s="11" t="e">
        <f ca="1">(SUMPRODUCT(MID(0&amp;(LEFT(#REF!,SUM(LEN(#REF!)-LEN(SUBSTITUTE(#REF!,{"0","1","2"},""))))), LARGE(INDEX(ISNUMBER(--MID((LEFT(#REF!,SUM(LEN(#REF!)-LEN(SUBSTITUTE(#REF!,{"0","1","2"},""))))), ROW(INDIRECT("1:"&amp;LEN((LEFT(#REF!,SUM(LEN(#REF!)-LEN(SUBSTITUTE(#REF!,{"0","1","2"},"")))))))), 1)) * ROW(INDIRECT("1:"&amp;LEN((LEFT(#REF!,SUM(LEN(#REF!)-LEN(SUBSTITUTE(#REF!,{"0","1","2"},"")))))))), 0), ROW(INDIRECT("1:"&amp;LEN((LEFT(#REF!,SUM(LEN(#REF!)-LEN(SUBSTITUTE(#REF!,{"0","1","2"},"")))))))))+1, 1) * 10^ROW(INDIRECT("1:"&amp;LEN((LEFT(#REF!,SUM(LEN(#REF!)-LEN(SUBSTITUTE(#REF!,{"0","1","2"},""))))))))/10))*100+1</f>
        <v>#REF!</v>
      </c>
      <c r="P127" s="11" t="e">
        <f ca="1">(SUMPRODUCT(MID(0&amp;(--TRIM(RIGHT(SUBSTITUTE(LEFT(#REF!,_xlfn.AGGREGATE(16,6,FIND({0,1,2,3,4,5,6,7,8,9},#REF!,ROW(INDIRECT("1:"&amp;LEN(#REF!)))),1))," ",REPT(" ",LEN(#REF!))),LEN(#REF!)))), LARGE(INDEX(ISNUMBER(--MID((--TRIM(RIGHT(SUBSTITUTE(LEFT(#REF!,_xlfn.AGGREGATE(16,6,FIND({0,1,2,3,4,5,6,7,8,9},#REF!,ROW(INDIRECT("1:"&amp;LEN(#REF!)))),1))," ",REPT(" ",LEN(#REF!))),LEN(#REF!)))), ROW(INDIRECT("1:"&amp;LEN((--TRIM(RIGHT(SUBSTITUTE(LEFT(#REF!,_xlfn.AGGREGATE(16,6,FIND({0,1,2,3,4,5,6,7,8,9},#REF!,ROW(INDIRECT("1:"&amp;LEN(#REF!)))),1))," ",REPT(" ",LEN(#REF!))),LEN(#REF!))))))), 1)) * ROW(INDIRECT("1:"&amp;LEN((--TRIM(RIGHT(SUBSTITUTE(LEFT(#REF!,_xlfn.AGGREGATE(16,6,FIND({0,1,2,3,4,5,6,7,8,9},#REF!,ROW(INDIRECT("1:"&amp;LEN(#REF!)))),1))," ",REPT(" ",LEN(#REF!))),LEN(#REF!))))))), 0), ROW(INDIRECT("1:"&amp;LEN((--TRIM(RIGHT(SUBSTITUTE(LEFT(#REF!,_xlfn.AGGREGATE(16,6,FIND({0,1,2,3,4,5,6,7,8,9},#REF!,ROW(INDIRECT("1:"&amp;LEN(#REF!)))),1))," ",REPT(" ",LEN(#REF!))),LEN(#REF!))))))))+1, 1) * 10^ROW(INDIRECT("1:"&amp;LEN((--TRIM(RIGHT(SUBSTITUTE(LEFT(#REF!,_xlfn.AGGREGATE(16,6,FIND({0,1,2,3,4,5,6,7,8,9},#REF!,ROW(INDIRECT("1:"&amp;LEN(#REF!)))),1))," ",REPT(" ",LEN(#REF!))),LEN(#REF!)))))))/10))*100+1</f>
        <v>#REF!</v>
      </c>
    </row>
    <row r="128" spans="1:16" ht="15" customHeight="1" x14ac:dyDescent="0.25">
      <c r="A128" s="64" t="s">
        <v>197</v>
      </c>
      <c r="B128" s="64"/>
      <c r="C128" s="64"/>
      <c r="D128" s="64"/>
      <c r="E128" s="64"/>
      <c r="F128" s="64"/>
      <c r="G128" s="65"/>
      <c r="H128" s="65"/>
      <c r="I128" s="11">
        <v>7</v>
      </c>
      <c r="K128" s="11">
        <v>3700</v>
      </c>
      <c r="N128" s="11" t="e">
        <f ca="1">O128&amp;" &amp; "&amp;P128</f>
        <v>#REF!</v>
      </c>
      <c r="O128" s="11" t="e">
        <f ca="1">(SUMPRODUCT(MID(0&amp;(LEFT(#REF!,SUM(LEN(#REF!)-LEN(SUBSTITUTE(#REF!,{"0","1","2"},""))))), LARGE(INDEX(ISNUMBER(--MID((LEFT(#REF!,SUM(LEN(#REF!)-LEN(SUBSTITUTE(#REF!,{"0","1","2"},""))))), ROW(INDIRECT("1:"&amp;LEN((LEFT(#REF!,SUM(LEN(#REF!)-LEN(SUBSTITUTE(#REF!,{"0","1","2"},"")))))))), 1)) * ROW(INDIRECT("1:"&amp;LEN((LEFT(#REF!,SUM(LEN(#REF!)-LEN(SUBSTITUTE(#REF!,{"0","1","2"},"")))))))), 0), ROW(INDIRECT("1:"&amp;LEN((LEFT(#REF!,SUM(LEN(#REF!)-LEN(SUBSTITUTE(#REF!,{"0","1","2"},"")))))))))+1, 1) * 10^ROW(INDIRECT("1:"&amp;LEN((LEFT(#REF!,SUM(LEN(#REF!)-LEN(SUBSTITUTE(#REF!,{"0","1","2"},""))))))))/10))*100+1</f>
        <v>#REF!</v>
      </c>
      <c r="P128" s="11" t="e">
        <f ca="1">(SUMPRODUCT(MID(0&amp;(--TRIM(RIGHT(SUBSTITUTE(LEFT(#REF!,_xlfn.AGGREGATE(16,6,FIND({0,1,2,3,4,5,6,7,8,9},#REF!,ROW(INDIRECT("1:"&amp;LEN(#REF!)))),1))," ",REPT(" ",LEN(#REF!))),LEN(#REF!)))), LARGE(INDEX(ISNUMBER(--MID((--TRIM(RIGHT(SUBSTITUTE(LEFT(#REF!,_xlfn.AGGREGATE(16,6,FIND({0,1,2,3,4,5,6,7,8,9},#REF!,ROW(INDIRECT("1:"&amp;LEN(#REF!)))),1))," ",REPT(" ",LEN(#REF!))),LEN(#REF!)))), ROW(INDIRECT("1:"&amp;LEN((--TRIM(RIGHT(SUBSTITUTE(LEFT(#REF!,_xlfn.AGGREGATE(16,6,FIND({0,1,2,3,4,5,6,7,8,9},#REF!,ROW(INDIRECT("1:"&amp;LEN(#REF!)))),1))," ",REPT(" ",LEN(#REF!))),LEN(#REF!))))))), 1)) * ROW(INDIRECT("1:"&amp;LEN((--TRIM(RIGHT(SUBSTITUTE(LEFT(#REF!,_xlfn.AGGREGATE(16,6,FIND({0,1,2,3,4,5,6,7,8,9},#REF!,ROW(INDIRECT("1:"&amp;LEN(#REF!)))),1))," ",REPT(" ",LEN(#REF!))),LEN(#REF!))))))), 0), ROW(INDIRECT("1:"&amp;LEN((--TRIM(RIGHT(SUBSTITUTE(LEFT(#REF!,_xlfn.AGGREGATE(16,6,FIND({0,1,2,3,4,5,6,7,8,9},#REF!,ROW(INDIRECT("1:"&amp;LEN(#REF!)))),1))," ",REPT(" ",LEN(#REF!))),LEN(#REF!))))))))+1, 1) * 10^ROW(INDIRECT("1:"&amp;LEN((--TRIM(RIGHT(SUBSTITUTE(LEFT(#REF!,_xlfn.AGGREGATE(16,6,FIND({0,1,2,3,4,5,6,7,8,9},#REF!,ROW(INDIRECT("1:"&amp;LEN(#REF!)))),1))," ",REPT(" ",LEN(#REF!))),LEN(#REF!)))))))/10))*100+1</f>
        <v>#REF!</v>
      </c>
    </row>
    <row r="129" spans="1:16" ht="15" customHeight="1" x14ac:dyDescent="0.25">
      <c r="A129" s="27">
        <v>1</v>
      </c>
      <c r="B129" s="2" t="s">
        <v>198</v>
      </c>
      <c r="C129" s="2">
        <f>(35.88)*10.764</f>
        <v>386.21231999999998</v>
      </c>
      <c r="D129" s="2">
        <v>0</v>
      </c>
      <c r="E129" s="2">
        <f>(1.15*(1.8+2.1+2.75))*10.764</f>
        <v>82.317689999999999</v>
      </c>
      <c r="F129" s="2">
        <f t="shared" ref="F129:F136" si="7">C129+D129+E129</f>
        <v>468.53000999999995</v>
      </c>
      <c r="G129" s="2">
        <v>0</v>
      </c>
      <c r="H129" s="2">
        <f t="shared" ref="H129:H136" si="8">F129*(($H$125)+1)+(IF(G129&lt;101,G129,IF(G129&lt;201,G129/2,IF(G129&lt;=301,G129/3,G129/4))))</f>
        <v>679.36851449999995</v>
      </c>
      <c r="I129" s="49">
        <f>2.75*4.25+2.1*2.25+2.75*3.35+1.2*2.2+1.95*1.2+1.2*2</f>
        <v>33.005000000000003</v>
      </c>
      <c r="K129" s="11">
        <f>H129*$K$128</f>
        <v>2513663.5036499999</v>
      </c>
      <c r="N129" s="11" t="e">
        <f t="shared" ref="N129:N136" ca="1" si="9">O129&amp;" &amp; "&amp;P129</f>
        <v>#REF!</v>
      </c>
      <c r="O129" s="11" t="e">
        <f ca="1">O128+1</f>
        <v>#REF!</v>
      </c>
      <c r="P129" s="11" t="e">
        <f ca="1">P128+1</f>
        <v>#REF!</v>
      </c>
    </row>
    <row r="130" spans="1:16" ht="15" customHeight="1" x14ac:dyDescent="0.25">
      <c r="A130" s="27">
        <f>A129+1</f>
        <v>2</v>
      </c>
      <c r="B130" s="2" t="s">
        <v>198</v>
      </c>
      <c r="C130" s="2">
        <f>(34.69)*10.764</f>
        <v>373.40315999999996</v>
      </c>
      <c r="D130" s="2">
        <v>0</v>
      </c>
      <c r="E130" s="2">
        <f>(1.15*(1.85+2.1+2.75))*10.764</f>
        <v>82.936619999999991</v>
      </c>
      <c r="F130" s="2">
        <f t="shared" si="7"/>
        <v>456.33977999999996</v>
      </c>
      <c r="G130" s="2">
        <v>0</v>
      </c>
      <c r="H130" s="2">
        <f t="shared" si="8"/>
        <v>661.69268099999988</v>
      </c>
      <c r="I130" s="32">
        <f>2700000/H130</f>
        <v>4080.4441057434042</v>
      </c>
      <c r="K130" s="11">
        <f t="shared" ref="K130:K136" si="10">H130*$K$128</f>
        <v>2448262.9196999995</v>
      </c>
      <c r="N130" s="11" t="e">
        <f t="shared" ca="1" si="9"/>
        <v>#REF!</v>
      </c>
      <c r="O130" s="11" t="e">
        <f t="shared" ref="O130:O136" ca="1" si="11">O129+1</f>
        <v>#REF!</v>
      </c>
      <c r="P130" s="11" t="e">
        <f t="shared" ref="P130:P136" ca="1" si="12">P129+1</f>
        <v>#REF!</v>
      </c>
    </row>
    <row r="131" spans="1:16" ht="15" customHeight="1" x14ac:dyDescent="0.25">
      <c r="A131" s="27">
        <f>A130+1</f>
        <v>3</v>
      </c>
      <c r="B131" s="2" t="s">
        <v>198</v>
      </c>
      <c r="C131" s="2">
        <f>(34.69)*10.764</f>
        <v>373.40315999999996</v>
      </c>
      <c r="D131" s="2">
        <v>0</v>
      </c>
      <c r="E131" s="2">
        <f>(1.15*(1.85+2.1+2.75))*10.764</f>
        <v>82.936619999999991</v>
      </c>
      <c r="F131" s="2">
        <f t="shared" si="7"/>
        <v>456.33977999999996</v>
      </c>
      <c r="G131" s="2">
        <v>0</v>
      </c>
      <c r="H131" s="2">
        <f t="shared" si="8"/>
        <v>661.69268099999988</v>
      </c>
      <c r="I131" s="11">
        <f>2700000/H131</f>
        <v>4080.4441057434042</v>
      </c>
      <c r="K131" s="11">
        <f t="shared" si="10"/>
        <v>2448262.9196999995</v>
      </c>
      <c r="N131" s="11" t="e">
        <f t="shared" ca="1" si="9"/>
        <v>#REF!</v>
      </c>
      <c r="O131" s="11" t="e">
        <f t="shared" ca="1" si="11"/>
        <v>#REF!</v>
      </c>
      <c r="P131" s="11" t="e">
        <f t="shared" ca="1" si="12"/>
        <v>#REF!</v>
      </c>
    </row>
    <row r="132" spans="1:16" ht="15" customHeight="1" x14ac:dyDescent="0.25">
      <c r="A132" s="27">
        <f>A131+1</f>
        <v>4</v>
      </c>
      <c r="B132" s="2" t="s">
        <v>198</v>
      </c>
      <c r="C132" s="2">
        <f>(33.55)*10.764</f>
        <v>361.13219999999995</v>
      </c>
      <c r="D132" s="2">
        <v>0</v>
      </c>
      <c r="E132" s="2">
        <f>(1.15*(2.75+2.3+2.75))*10.764</f>
        <v>96.55307999999998</v>
      </c>
      <c r="F132" s="2">
        <f t="shared" si="7"/>
        <v>457.68527999999992</v>
      </c>
      <c r="G132" s="2">
        <v>0</v>
      </c>
      <c r="H132" s="2">
        <f t="shared" si="8"/>
        <v>663.64365599999985</v>
      </c>
      <c r="K132" s="11">
        <f t="shared" si="10"/>
        <v>2455481.5271999994</v>
      </c>
      <c r="N132" s="11" t="e">
        <f t="shared" ca="1" si="9"/>
        <v>#REF!</v>
      </c>
      <c r="O132" s="11" t="e">
        <f t="shared" ca="1" si="11"/>
        <v>#REF!</v>
      </c>
      <c r="P132" s="11" t="e">
        <f t="shared" ca="1" si="12"/>
        <v>#REF!</v>
      </c>
    </row>
    <row r="133" spans="1:16" ht="15" customHeight="1" x14ac:dyDescent="0.25">
      <c r="A133" s="27">
        <f>A132+1</f>
        <v>5</v>
      </c>
      <c r="B133" s="2" t="s">
        <v>198</v>
      </c>
      <c r="C133" s="2">
        <f>(34.69)*10.764</f>
        <v>373.40315999999996</v>
      </c>
      <c r="D133" s="2">
        <v>0</v>
      </c>
      <c r="E133" s="2">
        <f>(1.15*(1.8+2.1+2.75))*10.764</f>
        <v>82.317689999999999</v>
      </c>
      <c r="F133" s="2">
        <f t="shared" si="7"/>
        <v>455.72084999999993</v>
      </c>
      <c r="G133" s="2">
        <v>0</v>
      </c>
      <c r="H133" s="2">
        <f t="shared" si="8"/>
        <v>660.79523249999988</v>
      </c>
      <c r="I133" s="32">
        <f>2450000/H133</f>
        <v>3707.6538684016618</v>
      </c>
      <c r="K133" s="32">
        <f t="shared" si="10"/>
        <v>2444942.3602499994</v>
      </c>
      <c r="M133" s="11">
        <f>2700000/H133</f>
        <v>4085.9858957895863</v>
      </c>
      <c r="N133" s="11" t="e">
        <f t="shared" ca="1" si="9"/>
        <v>#REF!</v>
      </c>
      <c r="O133" s="11" t="e">
        <f t="shared" ca="1" si="11"/>
        <v>#REF!</v>
      </c>
      <c r="P133" s="11" t="e">
        <f t="shared" ca="1" si="12"/>
        <v>#REF!</v>
      </c>
    </row>
    <row r="134" spans="1:16" ht="15" customHeight="1" x14ac:dyDescent="0.25">
      <c r="A134" s="28">
        <f t="shared" ref="A134:A136" si="13">A133+1</f>
        <v>6</v>
      </c>
      <c r="B134" s="2" t="s">
        <v>198</v>
      </c>
      <c r="C134" s="2">
        <f>(34.69)*10.764</f>
        <v>373.40315999999996</v>
      </c>
      <c r="D134" s="2">
        <v>0</v>
      </c>
      <c r="E134" s="2">
        <f>(1.15*(1.8+2.1+2.75))*10.764</f>
        <v>82.317689999999999</v>
      </c>
      <c r="F134" s="2">
        <f t="shared" si="7"/>
        <v>455.72084999999993</v>
      </c>
      <c r="G134" s="2">
        <v>0</v>
      </c>
      <c r="H134" s="2">
        <f t="shared" si="8"/>
        <v>660.79523249999988</v>
      </c>
      <c r="K134" s="11">
        <f t="shared" si="10"/>
        <v>2444942.3602499994</v>
      </c>
      <c r="N134" s="11" t="e">
        <f t="shared" ca="1" si="9"/>
        <v>#REF!</v>
      </c>
      <c r="O134" s="11" t="e">
        <f t="shared" ca="1" si="11"/>
        <v>#REF!</v>
      </c>
      <c r="P134" s="11" t="e">
        <f t="shared" ca="1" si="12"/>
        <v>#REF!</v>
      </c>
    </row>
    <row r="135" spans="1:16" ht="15" customHeight="1" x14ac:dyDescent="0.25">
      <c r="A135" s="28">
        <f t="shared" si="13"/>
        <v>7</v>
      </c>
      <c r="B135" s="2" t="s">
        <v>199</v>
      </c>
      <c r="C135" s="2">
        <f>(44.27)*10.764</f>
        <v>476.52228000000002</v>
      </c>
      <c r="D135" s="2">
        <v>0</v>
      </c>
      <c r="E135" s="2">
        <f>(1.15*(1.8+2.1+2.75+2.9))*10.764</f>
        <v>118.21562999999999</v>
      </c>
      <c r="F135" s="2">
        <f t="shared" si="7"/>
        <v>594.73791000000006</v>
      </c>
      <c r="G135" s="2">
        <v>0</v>
      </c>
      <c r="H135" s="2">
        <f t="shared" si="8"/>
        <v>862.36996950000002</v>
      </c>
      <c r="I135" s="49">
        <f>4.25*2.75+2.7*2.1+2.75*3.35+2.9*3.05+1.2*(1.9+1.8)+2.2*1.2</f>
        <v>42.494999999999997</v>
      </c>
      <c r="K135" s="11">
        <f t="shared" si="10"/>
        <v>3190768.8871500003</v>
      </c>
      <c r="N135" s="11" t="e">
        <f t="shared" ca="1" si="9"/>
        <v>#REF!</v>
      </c>
      <c r="O135" s="11" t="e">
        <f t="shared" ca="1" si="11"/>
        <v>#REF!</v>
      </c>
      <c r="P135" s="11" t="e">
        <f t="shared" ca="1" si="12"/>
        <v>#REF!</v>
      </c>
    </row>
    <row r="136" spans="1:16" ht="15" customHeight="1" x14ac:dyDescent="0.25">
      <c r="A136" s="28">
        <f t="shared" si="13"/>
        <v>8</v>
      </c>
      <c r="B136" s="2" t="s">
        <v>198</v>
      </c>
      <c r="C136" s="2">
        <f>(36.21)*10.764</f>
        <v>389.76443999999998</v>
      </c>
      <c r="D136" s="2">
        <v>0</v>
      </c>
      <c r="E136" s="2">
        <f>(1.15*(1.85+2.2+2.75))*10.764</f>
        <v>84.174480000000003</v>
      </c>
      <c r="F136" s="2">
        <f t="shared" si="7"/>
        <v>473.93892</v>
      </c>
      <c r="G136" s="2">
        <v>0</v>
      </c>
      <c r="H136" s="2">
        <f t="shared" si="8"/>
        <v>687.21143399999994</v>
      </c>
      <c r="I136" s="57">
        <f>2500000/H136</f>
        <v>3637.8905767740766</v>
      </c>
      <c r="K136" s="32">
        <f t="shared" si="10"/>
        <v>2542682.3057999997</v>
      </c>
      <c r="N136" s="11" t="e">
        <f t="shared" ca="1" si="9"/>
        <v>#REF!</v>
      </c>
      <c r="O136" s="11" t="e">
        <f t="shared" ca="1" si="11"/>
        <v>#REF!</v>
      </c>
      <c r="P136" s="11" t="e">
        <f t="shared" ca="1" si="12"/>
        <v>#REF!</v>
      </c>
    </row>
    <row r="137" spans="1:16" x14ac:dyDescent="0.25">
      <c r="A137" s="212"/>
      <c r="B137" s="212"/>
      <c r="C137" s="212"/>
      <c r="D137" s="212"/>
      <c r="E137" s="212"/>
      <c r="F137" s="212"/>
      <c r="G137" s="212"/>
      <c r="H137" s="212"/>
    </row>
    <row r="138" spans="1:16" ht="31.5" customHeight="1" x14ac:dyDescent="0.25">
      <c r="A138" s="13">
        <v>48</v>
      </c>
      <c r="B138" s="128" t="s">
        <v>47</v>
      </c>
      <c r="C138" s="128"/>
      <c r="D138" s="128"/>
      <c r="E138" s="149" t="s">
        <v>194</v>
      </c>
      <c r="F138" s="149"/>
      <c r="G138" s="149"/>
      <c r="H138" s="149"/>
    </row>
    <row r="139" spans="1:16" ht="44.25" customHeight="1" x14ac:dyDescent="0.25">
      <c r="A139" s="13">
        <v>49</v>
      </c>
      <c r="B139" s="128" t="s">
        <v>132</v>
      </c>
      <c r="C139" s="128"/>
      <c r="D139" s="128"/>
      <c r="E139" s="188" t="s">
        <v>222</v>
      </c>
      <c r="F139" s="188"/>
      <c r="G139" s="188"/>
      <c r="H139" s="188"/>
    </row>
    <row r="140" spans="1:16" ht="49.5" customHeight="1" x14ac:dyDescent="0.25">
      <c r="A140" s="13">
        <v>50</v>
      </c>
      <c r="B140" s="128" t="s">
        <v>48</v>
      </c>
      <c r="C140" s="128"/>
      <c r="D140" s="128"/>
      <c r="E140" s="145" t="s">
        <v>67</v>
      </c>
      <c r="F140" s="145"/>
      <c r="G140" s="145"/>
      <c r="H140" s="145"/>
    </row>
    <row r="141" spans="1:16" x14ac:dyDescent="0.25">
      <c r="A141" s="175">
        <v>51</v>
      </c>
      <c r="B141" s="128" t="s">
        <v>49</v>
      </c>
      <c r="C141" s="128"/>
      <c r="D141" s="128"/>
      <c r="E141" s="143" t="s">
        <v>66</v>
      </c>
      <c r="F141" s="143"/>
      <c r="G141" s="143"/>
      <c r="H141" s="143"/>
    </row>
    <row r="142" spans="1:16" ht="31.5" customHeight="1" x14ac:dyDescent="0.25">
      <c r="A142" s="175"/>
      <c r="B142" s="128"/>
      <c r="C142" s="128"/>
      <c r="D142" s="128"/>
      <c r="E142" s="129" t="s">
        <v>151</v>
      </c>
      <c r="F142" s="129"/>
      <c r="G142" s="129"/>
      <c r="H142" s="35">
        <v>3700</v>
      </c>
    </row>
    <row r="143" spans="1:16" ht="33.75" customHeight="1" x14ac:dyDescent="0.25">
      <c r="A143" s="13">
        <v>52</v>
      </c>
      <c r="B143" s="128" t="s">
        <v>50</v>
      </c>
      <c r="C143" s="128"/>
      <c r="D143" s="128"/>
      <c r="E143" s="149" t="s">
        <v>67</v>
      </c>
      <c r="F143" s="149"/>
      <c r="G143" s="149"/>
      <c r="H143" s="149"/>
    </row>
    <row r="144" spans="1:16" x14ac:dyDescent="0.25">
      <c r="A144" s="175">
        <v>53</v>
      </c>
      <c r="B144" s="128" t="s">
        <v>143</v>
      </c>
      <c r="C144" s="128"/>
      <c r="D144" s="128"/>
      <c r="E144" s="152" t="s">
        <v>142</v>
      </c>
      <c r="F144" s="152"/>
      <c r="G144" s="152"/>
      <c r="H144" s="152"/>
    </row>
    <row r="145" spans="1:10" ht="31.5" customHeight="1" x14ac:dyDescent="0.25">
      <c r="A145" s="175"/>
      <c r="B145" s="128"/>
      <c r="C145" s="128"/>
      <c r="D145" s="128"/>
      <c r="E145" s="129" t="s">
        <v>151</v>
      </c>
      <c r="F145" s="129"/>
      <c r="G145" s="129"/>
      <c r="H145" s="35">
        <f>H142</f>
        <v>3700</v>
      </c>
    </row>
    <row r="146" spans="1:10" x14ac:dyDescent="0.25">
      <c r="A146" s="175"/>
      <c r="B146" s="128"/>
      <c r="C146" s="128"/>
      <c r="D146" s="128"/>
      <c r="E146" s="128" t="s">
        <v>13</v>
      </c>
      <c r="F146" s="128"/>
      <c r="G146" s="128"/>
      <c r="H146" s="35">
        <v>200000</v>
      </c>
    </row>
    <row r="147" spans="1:10" ht="50.25" customHeight="1" x14ac:dyDescent="0.25">
      <c r="A147" s="13">
        <v>54</v>
      </c>
      <c r="B147" s="128" t="s">
        <v>51</v>
      </c>
      <c r="C147" s="128"/>
      <c r="D147" s="128"/>
      <c r="E147" s="144" t="s">
        <v>10</v>
      </c>
      <c r="F147" s="144"/>
      <c r="G147" s="144"/>
      <c r="H147" s="144"/>
    </row>
    <row r="148" spans="1:10" x14ac:dyDescent="0.25">
      <c r="A148" s="130">
        <v>55</v>
      </c>
      <c r="B148" s="196" t="s">
        <v>52</v>
      </c>
      <c r="C148" s="197"/>
      <c r="D148" s="198"/>
      <c r="E148" s="144" t="s">
        <v>10</v>
      </c>
      <c r="F148" s="144"/>
      <c r="G148" s="144"/>
      <c r="H148" s="144"/>
    </row>
    <row r="149" spans="1:10" ht="15" hidden="1" customHeight="1" x14ac:dyDescent="0.25">
      <c r="A149" s="131"/>
      <c r="B149" s="199"/>
      <c r="C149" s="200"/>
      <c r="D149" s="201"/>
      <c r="E149" s="205" t="s">
        <v>99</v>
      </c>
      <c r="F149" s="205"/>
      <c r="G149" s="205"/>
      <c r="H149" s="60">
        <v>0.1</v>
      </c>
    </row>
    <row r="150" spans="1:10" hidden="1" x14ac:dyDescent="0.25">
      <c r="A150" s="131"/>
      <c r="B150" s="199"/>
      <c r="C150" s="200"/>
      <c r="D150" s="201"/>
      <c r="E150" s="205" t="s">
        <v>5</v>
      </c>
      <c r="F150" s="205"/>
      <c r="G150" s="205"/>
      <c r="H150" s="60">
        <v>0.2</v>
      </c>
      <c r="I150" s="58">
        <f>51000/2450000</f>
        <v>2.0816326530612245E-2</v>
      </c>
      <c r="J150" s="59">
        <f>2450000/51000</f>
        <v>48.03921568627451</v>
      </c>
    </row>
    <row r="151" spans="1:10" hidden="1" x14ac:dyDescent="0.25">
      <c r="A151" s="131"/>
      <c r="B151" s="199"/>
      <c r="C151" s="200"/>
      <c r="D151" s="201"/>
      <c r="E151" s="180" t="s">
        <v>100</v>
      </c>
      <c r="F151" s="181"/>
      <c r="G151" s="182"/>
      <c r="H151" s="60">
        <v>0.05</v>
      </c>
    </row>
    <row r="152" spans="1:10" hidden="1" x14ac:dyDescent="0.25">
      <c r="A152" s="131"/>
      <c r="B152" s="199"/>
      <c r="C152" s="200"/>
      <c r="D152" s="201"/>
      <c r="E152" s="180" t="s">
        <v>101</v>
      </c>
      <c r="F152" s="181"/>
      <c r="G152" s="182"/>
      <c r="H152" s="60">
        <v>0.05</v>
      </c>
      <c r="J152" s="11">
        <f>20/100</f>
        <v>0.2</v>
      </c>
    </row>
    <row r="153" spans="1:10" hidden="1" x14ac:dyDescent="0.25">
      <c r="A153" s="131"/>
      <c r="B153" s="199"/>
      <c r="C153" s="200"/>
      <c r="D153" s="201"/>
      <c r="E153" s="183" t="s">
        <v>102</v>
      </c>
      <c r="F153" s="184"/>
      <c r="G153" s="185"/>
      <c r="H153" s="34">
        <v>0.05</v>
      </c>
    </row>
    <row r="154" spans="1:10" hidden="1" x14ac:dyDescent="0.25">
      <c r="A154" s="131"/>
      <c r="B154" s="199"/>
      <c r="C154" s="200"/>
      <c r="D154" s="201"/>
      <c r="E154" s="183" t="s">
        <v>103</v>
      </c>
      <c r="F154" s="184"/>
      <c r="G154" s="185"/>
      <c r="H154" s="34">
        <v>0.1</v>
      </c>
    </row>
    <row r="155" spans="1:10" hidden="1" x14ac:dyDescent="0.25">
      <c r="A155" s="131"/>
      <c r="B155" s="199"/>
      <c r="C155" s="200"/>
      <c r="D155" s="201"/>
      <c r="E155" s="186" t="s">
        <v>104</v>
      </c>
      <c r="F155" s="186"/>
      <c r="G155" s="186"/>
      <c r="H155" s="34">
        <v>0.1</v>
      </c>
    </row>
    <row r="156" spans="1:10" hidden="1" x14ac:dyDescent="0.25">
      <c r="A156" s="131"/>
      <c r="B156" s="199"/>
      <c r="C156" s="200"/>
      <c r="D156" s="201"/>
      <c r="E156" s="186" t="s">
        <v>223</v>
      </c>
      <c r="F156" s="186"/>
      <c r="G156" s="186"/>
      <c r="H156" s="34">
        <v>0.05</v>
      </c>
    </row>
    <row r="157" spans="1:10" hidden="1" x14ac:dyDescent="0.25">
      <c r="A157" s="131"/>
      <c r="B157" s="199"/>
      <c r="C157" s="200"/>
      <c r="D157" s="201"/>
      <c r="E157" s="186" t="s">
        <v>224</v>
      </c>
      <c r="F157" s="186"/>
      <c r="G157" s="186"/>
      <c r="H157" s="34">
        <v>0.1</v>
      </c>
    </row>
    <row r="158" spans="1:10" hidden="1" x14ac:dyDescent="0.25">
      <c r="A158" s="131"/>
      <c r="B158" s="199"/>
      <c r="C158" s="200"/>
      <c r="D158" s="201"/>
      <c r="E158" s="186" t="s">
        <v>225</v>
      </c>
      <c r="F158" s="186"/>
      <c r="G158" s="186"/>
      <c r="H158" s="34">
        <v>0.05</v>
      </c>
    </row>
    <row r="159" spans="1:10" ht="15" hidden="1" customHeight="1" x14ac:dyDescent="0.25">
      <c r="A159" s="131"/>
      <c r="B159" s="199"/>
      <c r="C159" s="200"/>
      <c r="D159" s="201"/>
      <c r="E159" s="186" t="s">
        <v>226</v>
      </c>
      <c r="F159" s="186"/>
      <c r="G159" s="186"/>
      <c r="H159" s="34">
        <v>0.05</v>
      </c>
    </row>
    <row r="160" spans="1:10" hidden="1" x14ac:dyDescent="0.25">
      <c r="A160" s="131"/>
      <c r="B160" s="199"/>
      <c r="C160" s="200"/>
      <c r="D160" s="201"/>
      <c r="E160" s="186" t="s">
        <v>227</v>
      </c>
      <c r="F160" s="186"/>
      <c r="G160" s="186"/>
      <c r="H160" s="34">
        <v>0.05</v>
      </c>
    </row>
    <row r="161" spans="1:8" hidden="1" x14ac:dyDescent="0.25">
      <c r="A161" s="131"/>
      <c r="B161" s="199"/>
      <c r="C161" s="200"/>
      <c r="D161" s="201"/>
      <c r="E161" s="186" t="s">
        <v>105</v>
      </c>
      <c r="F161" s="186"/>
      <c r="G161" s="186"/>
      <c r="H161" s="34">
        <v>0.05</v>
      </c>
    </row>
    <row r="162" spans="1:8" hidden="1" x14ac:dyDescent="0.25">
      <c r="A162" s="132"/>
      <c r="B162" s="202"/>
      <c r="C162" s="203"/>
      <c r="D162" s="204"/>
      <c r="E162" s="149" t="s">
        <v>12</v>
      </c>
      <c r="F162" s="149"/>
      <c r="G162" s="149"/>
      <c r="H162" s="56">
        <f>SUM(H149:H161)</f>
        <v>1.0000000000000002</v>
      </c>
    </row>
    <row r="163" spans="1:8" ht="49.5" customHeight="1" x14ac:dyDescent="0.25">
      <c r="A163" s="13">
        <v>56</v>
      </c>
      <c r="B163" s="128" t="s">
        <v>53</v>
      </c>
      <c r="C163" s="128"/>
      <c r="D163" s="128"/>
      <c r="E163" s="145" t="s">
        <v>65</v>
      </c>
      <c r="F163" s="145"/>
      <c r="G163" s="145"/>
      <c r="H163" s="145"/>
    </row>
    <row r="164" spans="1:8" ht="47.25" customHeight="1" x14ac:dyDescent="0.25">
      <c r="A164" s="13">
        <v>57</v>
      </c>
      <c r="B164" s="128" t="s">
        <v>54</v>
      </c>
      <c r="C164" s="128"/>
      <c r="D164" s="128"/>
      <c r="E164" s="145" t="s">
        <v>65</v>
      </c>
      <c r="F164" s="145"/>
      <c r="G164" s="145"/>
      <c r="H164" s="145"/>
    </row>
    <row r="165" spans="1:8" ht="60.75" customHeight="1" x14ac:dyDescent="0.25">
      <c r="A165" s="13">
        <v>58</v>
      </c>
      <c r="B165" s="128" t="s">
        <v>55</v>
      </c>
      <c r="C165" s="128"/>
      <c r="D165" s="128"/>
      <c r="E165" s="145" t="s">
        <v>65</v>
      </c>
      <c r="F165" s="145"/>
      <c r="G165" s="145"/>
      <c r="H165" s="145"/>
    </row>
    <row r="166" spans="1:8" ht="58.5" customHeight="1" x14ac:dyDescent="0.25">
      <c r="A166" s="13">
        <v>59</v>
      </c>
      <c r="B166" s="128" t="s">
        <v>56</v>
      </c>
      <c r="C166" s="128"/>
      <c r="D166" s="128"/>
      <c r="E166" s="145" t="s">
        <v>65</v>
      </c>
      <c r="F166" s="145"/>
      <c r="G166" s="145"/>
      <c r="H166" s="145"/>
    </row>
    <row r="167" spans="1:8" x14ac:dyDescent="0.25">
      <c r="A167" s="13">
        <v>60</v>
      </c>
      <c r="B167" s="128" t="s">
        <v>57</v>
      </c>
      <c r="C167" s="128"/>
      <c r="D167" s="128"/>
      <c r="E167" s="128"/>
      <c r="F167" s="128"/>
      <c r="G167" s="128"/>
      <c r="H167" s="128"/>
    </row>
    <row r="168" spans="1:8" ht="30.75" customHeight="1" x14ac:dyDescent="0.25">
      <c r="A168" s="13" t="s">
        <v>58</v>
      </c>
      <c r="B168" s="128" t="s">
        <v>59</v>
      </c>
      <c r="C168" s="128"/>
      <c r="D168" s="128"/>
      <c r="E168" s="145" t="s">
        <v>65</v>
      </c>
      <c r="F168" s="145"/>
      <c r="G168" s="145"/>
      <c r="H168" s="145"/>
    </row>
    <row r="169" spans="1:8" ht="54.75" customHeight="1" x14ac:dyDescent="0.25">
      <c r="A169" s="38" t="s">
        <v>61</v>
      </c>
      <c r="B169" s="148" t="s">
        <v>60</v>
      </c>
      <c r="C169" s="148"/>
      <c r="D169" s="148"/>
      <c r="E169" s="179" t="s">
        <v>67</v>
      </c>
      <c r="F169" s="179"/>
      <c r="G169" s="179"/>
      <c r="H169" s="179"/>
    </row>
    <row r="170" spans="1:8" x14ac:dyDescent="0.25">
      <c r="A170" s="195" t="s">
        <v>145</v>
      </c>
      <c r="B170" s="195"/>
      <c r="C170" s="195"/>
      <c r="D170" s="195"/>
      <c r="E170" s="195"/>
      <c r="F170" s="195"/>
      <c r="G170" s="195"/>
      <c r="H170" s="195"/>
    </row>
    <row r="171" spans="1:8" x14ac:dyDescent="0.25">
      <c r="A171" s="44">
        <v>1</v>
      </c>
      <c r="B171" s="231" t="s">
        <v>206</v>
      </c>
      <c r="C171" s="231"/>
      <c r="D171" s="231"/>
      <c r="E171" s="231"/>
      <c r="F171" s="231"/>
      <c r="G171" s="231"/>
      <c r="H171" s="231"/>
    </row>
    <row r="172" spans="1:8" x14ac:dyDescent="0.25">
      <c r="A172" s="44">
        <f t="shared" ref="A172:A178" si="14">A171+1</f>
        <v>2</v>
      </c>
      <c r="B172" s="195" t="s">
        <v>146</v>
      </c>
      <c r="C172" s="195"/>
      <c r="D172" s="195"/>
      <c r="E172" s="195"/>
      <c r="F172" s="195"/>
      <c r="G172" s="195"/>
      <c r="H172" s="195"/>
    </row>
    <row r="173" spans="1:8" x14ac:dyDescent="0.25">
      <c r="A173" s="44">
        <f t="shared" si="14"/>
        <v>3</v>
      </c>
      <c r="B173" s="195" t="s">
        <v>147</v>
      </c>
      <c r="C173" s="195"/>
      <c r="D173" s="195"/>
      <c r="E173" s="195"/>
      <c r="F173" s="195"/>
      <c r="G173" s="195"/>
      <c r="H173" s="195"/>
    </row>
    <row r="174" spans="1:8" x14ac:dyDescent="0.25">
      <c r="A174" s="44">
        <f t="shared" si="14"/>
        <v>4</v>
      </c>
      <c r="B174" s="231" t="s">
        <v>205</v>
      </c>
      <c r="C174" s="231"/>
      <c r="D174" s="231"/>
      <c r="E174" s="231"/>
      <c r="F174" s="231"/>
      <c r="G174" s="231"/>
      <c r="H174" s="231"/>
    </row>
    <row r="175" spans="1:8" x14ac:dyDescent="0.25">
      <c r="A175" s="44">
        <f t="shared" si="14"/>
        <v>5</v>
      </c>
      <c r="B175" s="195" t="s">
        <v>148</v>
      </c>
      <c r="C175" s="195"/>
      <c r="D175" s="195"/>
      <c r="E175" s="195"/>
      <c r="F175" s="195"/>
      <c r="G175" s="195"/>
      <c r="H175" s="195"/>
    </row>
    <row r="176" spans="1:8" x14ac:dyDescent="0.25">
      <c r="A176" s="44">
        <f t="shared" si="14"/>
        <v>6</v>
      </c>
      <c r="B176" s="195" t="s">
        <v>149</v>
      </c>
      <c r="C176" s="195"/>
      <c r="D176" s="195"/>
      <c r="E176" s="195"/>
      <c r="F176" s="195"/>
      <c r="G176" s="195"/>
      <c r="H176" s="195"/>
    </row>
    <row r="177" spans="1:8" ht="32.25" customHeight="1" x14ac:dyDescent="0.25">
      <c r="A177" s="44">
        <f t="shared" si="14"/>
        <v>7</v>
      </c>
      <c r="B177" s="195" t="s">
        <v>150</v>
      </c>
      <c r="C177" s="195"/>
      <c r="D177" s="195"/>
      <c r="E177" s="195"/>
      <c r="F177" s="195"/>
      <c r="G177" s="195"/>
      <c r="H177" s="195"/>
    </row>
    <row r="178" spans="1:8" x14ac:dyDescent="0.25">
      <c r="A178" s="44">
        <f t="shared" si="14"/>
        <v>8</v>
      </c>
      <c r="B178" s="195" t="s">
        <v>232</v>
      </c>
      <c r="C178" s="195"/>
      <c r="D178" s="195"/>
      <c r="E178" s="195"/>
      <c r="F178" s="195"/>
      <c r="G178" s="195"/>
      <c r="H178" s="195"/>
    </row>
    <row r="179" spans="1:8" x14ac:dyDescent="0.25">
      <c r="A179" s="29" t="s">
        <v>82</v>
      </c>
      <c r="B179" s="30"/>
      <c r="C179" s="30"/>
      <c r="D179" s="232" t="str">
        <f>E4</f>
        <v>Shree Viraj Residency Wing-D Phase 3</v>
      </c>
      <c r="E179" s="232"/>
      <c r="F179" s="232"/>
      <c r="G179" s="232"/>
      <c r="H179" s="232"/>
    </row>
    <row r="180" spans="1:8" x14ac:dyDescent="0.25">
      <c r="A180" s="30"/>
      <c r="B180" s="30"/>
      <c r="C180" s="30"/>
      <c r="D180" s="30"/>
      <c r="E180" s="30"/>
      <c r="F180" s="30"/>
      <c r="G180" s="30"/>
      <c r="H180" s="30"/>
    </row>
    <row r="181" spans="1:8" x14ac:dyDescent="0.25">
      <c r="A181" s="30"/>
      <c r="B181" s="30"/>
      <c r="C181" s="30"/>
      <c r="D181" s="30"/>
      <c r="E181" s="30"/>
      <c r="F181" s="30"/>
      <c r="G181" s="30"/>
      <c r="H181" s="30"/>
    </row>
    <row r="200" spans="3:7" x14ac:dyDescent="0.25">
      <c r="C200" s="31"/>
      <c r="F200" s="208"/>
      <c r="G200" s="208"/>
    </row>
    <row r="226" spans="1:1" x14ac:dyDescent="0.25">
      <c r="A226" s="32" t="s">
        <v>135</v>
      </c>
    </row>
    <row r="270" spans="1:8" x14ac:dyDescent="0.25">
      <c r="A270" s="32" t="s">
        <v>15</v>
      </c>
      <c r="B270" s="30"/>
      <c r="C270" s="30"/>
      <c r="D270" s="33"/>
      <c r="E270" s="29"/>
      <c r="F270" s="30"/>
      <c r="G270" s="30"/>
      <c r="H270" s="30"/>
    </row>
    <row r="271" spans="1:8" x14ac:dyDescent="0.25">
      <c r="A271" s="30"/>
      <c r="B271" s="30"/>
      <c r="C271" s="30"/>
      <c r="D271" s="30"/>
      <c r="E271" s="30"/>
      <c r="F271" s="30"/>
      <c r="G271" s="30"/>
      <c r="H271" s="30"/>
    </row>
    <row r="272" spans="1:8" x14ac:dyDescent="0.25">
      <c r="A272" s="30"/>
      <c r="B272" s="30"/>
      <c r="C272" s="30"/>
      <c r="D272" s="30"/>
      <c r="E272" s="30"/>
      <c r="F272" s="30"/>
      <c r="G272" s="30"/>
      <c r="H272" s="30"/>
    </row>
    <row r="291" spans="3:7" x14ac:dyDescent="0.25">
      <c r="C291" s="31"/>
      <c r="F291" s="208"/>
      <c r="G291" s="208"/>
    </row>
    <row r="306" spans="1:8" x14ac:dyDescent="0.25">
      <c r="A306" s="162" t="s">
        <v>0</v>
      </c>
      <c r="B306" s="162"/>
      <c r="C306" s="162"/>
      <c r="D306" s="162"/>
      <c r="E306" s="162"/>
      <c r="F306" s="162"/>
      <c r="G306" s="162"/>
      <c r="H306" s="162"/>
    </row>
    <row r="307" spans="1:8" x14ac:dyDescent="0.25">
      <c r="A307" s="162" t="s">
        <v>3</v>
      </c>
      <c r="B307" s="162"/>
      <c r="C307" s="162"/>
      <c r="D307" s="162"/>
      <c r="E307" s="162"/>
      <c r="F307" s="162"/>
      <c r="G307" s="162"/>
      <c r="H307" s="162"/>
    </row>
    <row r="308" spans="1:8" x14ac:dyDescent="0.25">
      <c r="A308" s="162" t="s">
        <v>1</v>
      </c>
      <c r="B308" s="162"/>
      <c r="C308" s="162"/>
      <c r="D308" s="162"/>
      <c r="E308" s="162"/>
      <c r="F308" s="162"/>
      <c r="G308" s="162"/>
      <c r="H308" s="162"/>
    </row>
    <row r="309" spans="1:8" x14ac:dyDescent="0.25">
      <c r="A309" s="162" t="s">
        <v>6</v>
      </c>
      <c r="B309" s="162"/>
      <c r="C309" s="162"/>
      <c r="D309" s="162"/>
      <c r="E309" s="162"/>
      <c r="F309" s="162"/>
      <c r="G309" s="162"/>
      <c r="H309" s="162"/>
    </row>
    <row r="310" spans="1:8" x14ac:dyDescent="0.25">
      <c r="A310" s="162" t="s">
        <v>11</v>
      </c>
      <c r="B310" s="162"/>
      <c r="C310" s="162"/>
      <c r="D310" s="162"/>
      <c r="E310" s="162"/>
      <c r="F310" s="162"/>
      <c r="G310" s="162"/>
      <c r="H310" s="162"/>
    </row>
    <row r="311" spans="1:8" x14ac:dyDescent="0.25">
      <c r="A311" s="162" t="s">
        <v>7</v>
      </c>
      <c r="B311" s="162"/>
      <c r="C311" s="162"/>
      <c r="D311" s="162"/>
      <c r="E311" s="162"/>
      <c r="F311" s="162"/>
      <c r="G311" s="162"/>
      <c r="H311" s="162"/>
    </row>
    <row r="312" spans="1:8" ht="59.25" customHeight="1" x14ac:dyDescent="0.25">
      <c r="A312" s="228" t="s">
        <v>131</v>
      </c>
      <c r="B312" s="229"/>
      <c r="C312" s="230" t="s">
        <v>178</v>
      </c>
      <c r="D312" s="230"/>
      <c r="E312" s="227" t="s">
        <v>176</v>
      </c>
      <c r="F312" s="227"/>
      <c r="G312" s="160"/>
      <c r="H312" s="160"/>
    </row>
    <row r="313" spans="1:8" x14ac:dyDescent="0.25">
      <c r="A313" s="32"/>
    </row>
  </sheetData>
  <mergeCells count="314">
    <mergeCell ref="B46:D46"/>
    <mergeCell ref="E46:H46"/>
    <mergeCell ref="B85:D89"/>
    <mergeCell ref="A85:A89"/>
    <mergeCell ref="E89:H89"/>
    <mergeCell ref="A69:B69"/>
    <mergeCell ref="E69:F78"/>
    <mergeCell ref="G69:H78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E82:H82"/>
    <mergeCell ref="A79:A80"/>
    <mergeCell ref="B79:D80"/>
    <mergeCell ref="E79:G79"/>
    <mergeCell ref="E80:G80"/>
    <mergeCell ref="A310:H310"/>
    <mergeCell ref="A308:H308"/>
    <mergeCell ref="E312:F312"/>
    <mergeCell ref="G312:H312"/>
    <mergeCell ref="E39:H39"/>
    <mergeCell ref="A312:B312"/>
    <mergeCell ref="C312:D312"/>
    <mergeCell ref="A170:H170"/>
    <mergeCell ref="B171:H171"/>
    <mergeCell ref="B172:H172"/>
    <mergeCell ref="B173:H173"/>
    <mergeCell ref="B174:H174"/>
    <mergeCell ref="B175:H175"/>
    <mergeCell ref="B176:H176"/>
    <mergeCell ref="B177:H177"/>
    <mergeCell ref="D179:H179"/>
    <mergeCell ref="A311:H311"/>
    <mergeCell ref="A306:H306"/>
    <mergeCell ref="A309:H309"/>
    <mergeCell ref="F200:G200"/>
    <mergeCell ref="C102:E102"/>
    <mergeCell ref="A144:A146"/>
    <mergeCell ref="A40:A42"/>
    <mergeCell ref="B42:D42"/>
    <mergeCell ref="I12:I13"/>
    <mergeCell ref="I23:J23"/>
    <mergeCell ref="I22:J22"/>
    <mergeCell ref="I24:J24"/>
    <mergeCell ref="I32:J33"/>
    <mergeCell ref="E29:H29"/>
    <mergeCell ref="E38:H38"/>
    <mergeCell ref="E25:H25"/>
    <mergeCell ref="E23:H23"/>
    <mergeCell ref="E30:H30"/>
    <mergeCell ref="E31:H31"/>
    <mergeCell ref="E32:H32"/>
    <mergeCell ref="E36:H36"/>
    <mergeCell ref="E37:H37"/>
    <mergeCell ref="E35:H35"/>
    <mergeCell ref="E27:H27"/>
    <mergeCell ref="E28:H28"/>
    <mergeCell ref="C93:E93"/>
    <mergeCell ref="C94:H94"/>
    <mergeCell ref="G99:H99"/>
    <mergeCell ref="G100:H100"/>
    <mergeCell ref="C96:H96"/>
    <mergeCell ref="C98:H98"/>
    <mergeCell ref="B143:D143"/>
    <mergeCell ref="C124:C125"/>
    <mergeCell ref="D124:D125"/>
    <mergeCell ref="C114:C115"/>
    <mergeCell ref="A137:H137"/>
    <mergeCell ref="D114:D115"/>
    <mergeCell ref="A114:A115"/>
    <mergeCell ref="B114:B115"/>
    <mergeCell ref="A123:H123"/>
    <mergeCell ref="A126:H126"/>
    <mergeCell ref="B140:D140"/>
    <mergeCell ref="A127:H127"/>
    <mergeCell ref="G106:H106"/>
    <mergeCell ref="A110:B110"/>
    <mergeCell ref="A111:B111"/>
    <mergeCell ref="A95:B96"/>
    <mergeCell ref="A108:B108"/>
    <mergeCell ref="G109:H109"/>
    <mergeCell ref="A102:B102"/>
    <mergeCell ref="G102:H102"/>
    <mergeCell ref="E108:F108"/>
    <mergeCell ref="A109:B109"/>
    <mergeCell ref="G108:H108"/>
    <mergeCell ref="A307:H307"/>
    <mergeCell ref="E164:H164"/>
    <mergeCell ref="E162:G162"/>
    <mergeCell ref="B168:D168"/>
    <mergeCell ref="E161:G161"/>
    <mergeCell ref="E165:H165"/>
    <mergeCell ref="B163:D163"/>
    <mergeCell ref="E163:H163"/>
    <mergeCell ref="E157:G157"/>
    <mergeCell ref="E160:G160"/>
    <mergeCell ref="A148:A162"/>
    <mergeCell ref="E152:G152"/>
    <mergeCell ref="B165:D165"/>
    <mergeCell ref="F291:G291"/>
    <mergeCell ref="E158:G158"/>
    <mergeCell ref="E150:G150"/>
    <mergeCell ref="E155:G155"/>
    <mergeCell ref="B164:D164"/>
    <mergeCell ref="B178:H178"/>
    <mergeCell ref="B148:D162"/>
    <mergeCell ref="E148:H148"/>
    <mergeCell ref="C91:E91"/>
    <mergeCell ref="A92:B92"/>
    <mergeCell ref="C92:E92"/>
    <mergeCell ref="E84:H84"/>
    <mergeCell ref="E81:H81"/>
    <mergeCell ref="B141:D142"/>
    <mergeCell ref="B169:D169"/>
    <mergeCell ref="B167:H167"/>
    <mergeCell ref="E159:G159"/>
    <mergeCell ref="E145:G145"/>
    <mergeCell ref="B144:D146"/>
    <mergeCell ref="E153:G153"/>
    <mergeCell ref="E149:G149"/>
    <mergeCell ref="C109:D109"/>
    <mergeCell ref="E109:F109"/>
    <mergeCell ref="C110:D110"/>
    <mergeCell ref="E146:G146"/>
    <mergeCell ref="G110:H110"/>
    <mergeCell ref="E124:E125"/>
    <mergeCell ref="F124:F125"/>
    <mergeCell ref="A107:H107"/>
    <mergeCell ref="B138:D138"/>
    <mergeCell ref="B139:D139"/>
    <mergeCell ref="E140:H140"/>
    <mergeCell ref="B47:D47"/>
    <mergeCell ref="E47:H47"/>
    <mergeCell ref="E169:H169"/>
    <mergeCell ref="E151:G151"/>
    <mergeCell ref="B166:D166"/>
    <mergeCell ref="E154:G154"/>
    <mergeCell ref="E156:G156"/>
    <mergeCell ref="E105:F105"/>
    <mergeCell ref="G105:H105"/>
    <mergeCell ref="F114:F115"/>
    <mergeCell ref="E138:H138"/>
    <mergeCell ref="E143:H143"/>
    <mergeCell ref="E139:H139"/>
    <mergeCell ref="E114:E115"/>
    <mergeCell ref="G92:H92"/>
    <mergeCell ref="E54:F54"/>
    <mergeCell ref="E87:H87"/>
    <mergeCell ref="E88:H88"/>
    <mergeCell ref="C53:H53"/>
    <mergeCell ref="A54:B54"/>
    <mergeCell ref="E168:H168"/>
    <mergeCell ref="E142:G142"/>
    <mergeCell ref="A128:H128"/>
    <mergeCell ref="A141:A142"/>
    <mergeCell ref="G6:H6"/>
    <mergeCell ref="B9:D9"/>
    <mergeCell ref="E9:H9"/>
    <mergeCell ref="B25:D25"/>
    <mergeCell ref="B23:D23"/>
    <mergeCell ref="E26:H26"/>
    <mergeCell ref="E15:H15"/>
    <mergeCell ref="A59:B59"/>
    <mergeCell ref="B28:D28"/>
    <mergeCell ref="E48:H48"/>
    <mergeCell ref="E33:H33"/>
    <mergeCell ref="B48:D48"/>
    <mergeCell ref="B35:D35"/>
    <mergeCell ref="B34:D34"/>
    <mergeCell ref="E34:H34"/>
    <mergeCell ref="B29:D29"/>
    <mergeCell ref="B30:D30"/>
    <mergeCell ref="B31:D31"/>
    <mergeCell ref="B32:D32"/>
    <mergeCell ref="B33:D33"/>
    <mergeCell ref="G124:G125"/>
    <mergeCell ref="B45:D45"/>
    <mergeCell ref="E16:H16"/>
    <mergeCell ref="B24:D24"/>
    <mergeCell ref="E24:H24"/>
    <mergeCell ref="B17:D17"/>
    <mergeCell ref="B20:D20"/>
    <mergeCell ref="B18:D18"/>
    <mergeCell ref="B19:D19"/>
    <mergeCell ref="B21:D21"/>
    <mergeCell ref="E21:H21"/>
    <mergeCell ref="B22:D22"/>
    <mergeCell ref="E22:H22"/>
    <mergeCell ref="E17:H17"/>
    <mergeCell ref="E18:H18"/>
    <mergeCell ref="E19:H19"/>
    <mergeCell ref="E20:H20"/>
    <mergeCell ref="E44:H44"/>
    <mergeCell ref="B36:D36"/>
    <mergeCell ref="B39:D39"/>
    <mergeCell ref="B38:D38"/>
    <mergeCell ref="B37:D37"/>
    <mergeCell ref="B43:D43"/>
    <mergeCell ref="E42:H42"/>
    <mergeCell ref="E45:H45"/>
    <mergeCell ref="A1:H1"/>
    <mergeCell ref="A2:H2"/>
    <mergeCell ref="E12:H12"/>
    <mergeCell ref="E13:H13"/>
    <mergeCell ref="E14:H14"/>
    <mergeCell ref="B13:D13"/>
    <mergeCell ref="B14:D14"/>
    <mergeCell ref="B5:D6"/>
    <mergeCell ref="B4:D4"/>
    <mergeCell ref="B10:D10"/>
    <mergeCell ref="B11:D11"/>
    <mergeCell ref="E10:H10"/>
    <mergeCell ref="E11:H11"/>
    <mergeCell ref="B8:D8"/>
    <mergeCell ref="E3:H3"/>
    <mergeCell ref="B3:D3"/>
    <mergeCell ref="B12:D12"/>
    <mergeCell ref="E4:H4"/>
    <mergeCell ref="E7:H7"/>
    <mergeCell ref="E6:F6"/>
    <mergeCell ref="E5:H5"/>
    <mergeCell ref="B7:D7"/>
    <mergeCell ref="E8:F8"/>
    <mergeCell ref="G8:H8"/>
    <mergeCell ref="E141:H141"/>
    <mergeCell ref="B147:D147"/>
    <mergeCell ref="E147:H147"/>
    <mergeCell ref="E166:H166"/>
    <mergeCell ref="B81:D81"/>
    <mergeCell ref="C105:D105"/>
    <mergeCell ref="B50:H50"/>
    <mergeCell ref="E83:H83"/>
    <mergeCell ref="A57:B57"/>
    <mergeCell ref="A58:B58"/>
    <mergeCell ref="A63:B63"/>
    <mergeCell ref="A90:H90"/>
    <mergeCell ref="E144:H144"/>
    <mergeCell ref="A91:B91"/>
    <mergeCell ref="G91:H91"/>
    <mergeCell ref="C108:D108"/>
    <mergeCell ref="A103:H103"/>
    <mergeCell ref="A104:B104"/>
    <mergeCell ref="C104:D104"/>
    <mergeCell ref="E104:F104"/>
    <mergeCell ref="G104:H104"/>
    <mergeCell ref="A105:B105"/>
    <mergeCell ref="A68:B68"/>
    <mergeCell ref="E68:F68"/>
    <mergeCell ref="E49:H49"/>
    <mergeCell ref="A51:B51"/>
    <mergeCell ref="A62:B62"/>
    <mergeCell ref="E85:H85"/>
    <mergeCell ref="E86:H86"/>
    <mergeCell ref="B84:D84"/>
    <mergeCell ref="B83:D83"/>
    <mergeCell ref="B82:D82"/>
    <mergeCell ref="A5:A9"/>
    <mergeCell ref="B27:D27"/>
    <mergeCell ref="B26:D26"/>
    <mergeCell ref="B15:D15"/>
    <mergeCell ref="B16:D16"/>
    <mergeCell ref="B40:D40"/>
    <mergeCell ref="E40:H40"/>
    <mergeCell ref="B41:D41"/>
    <mergeCell ref="E41:H41"/>
    <mergeCell ref="A48:A49"/>
    <mergeCell ref="B49:D49"/>
    <mergeCell ref="E43:H43"/>
    <mergeCell ref="B44:D44"/>
    <mergeCell ref="A65:B65"/>
    <mergeCell ref="A67:B67"/>
    <mergeCell ref="C67:H67"/>
    <mergeCell ref="G68:H68"/>
    <mergeCell ref="A64:B64"/>
    <mergeCell ref="C51:H51"/>
    <mergeCell ref="A53:B53"/>
    <mergeCell ref="A60:B60"/>
    <mergeCell ref="G54:H54"/>
    <mergeCell ref="A55:B55"/>
    <mergeCell ref="E55:F64"/>
    <mergeCell ref="A61:B61"/>
    <mergeCell ref="G55:H64"/>
    <mergeCell ref="A56:B56"/>
    <mergeCell ref="C65:H65"/>
    <mergeCell ref="A113:H113"/>
    <mergeCell ref="G114:G115"/>
    <mergeCell ref="A116:H116"/>
    <mergeCell ref="A122:H122"/>
    <mergeCell ref="A124:A125"/>
    <mergeCell ref="B124:B125"/>
    <mergeCell ref="C111:D111"/>
    <mergeCell ref="E110:F110"/>
    <mergeCell ref="A93:B94"/>
    <mergeCell ref="C95:E95"/>
    <mergeCell ref="G95:H95"/>
    <mergeCell ref="A97:B98"/>
    <mergeCell ref="C97:E97"/>
    <mergeCell ref="G97:H97"/>
    <mergeCell ref="A99:B101"/>
    <mergeCell ref="C101:H101"/>
    <mergeCell ref="C99:E100"/>
    <mergeCell ref="A112:H112"/>
    <mergeCell ref="E111:F111"/>
    <mergeCell ref="G111:H111"/>
    <mergeCell ref="G93:H93"/>
    <mergeCell ref="A106:B106"/>
    <mergeCell ref="C106:D106"/>
    <mergeCell ref="E106:F106"/>
  </mergeCells>
  <dataValidations disablePrompts="1" count="3">
    <dataValidation type="list" allowBlank="1" showInputMessage="1" showErrorMessage="1" sqref="H115 H125">
      <formula1>".45,.50,.55,.60"</formula1>
    </dataValidation>
    <dataValidation type="list" allowBlank="1" showInputMessage="1" showErrorMessage="1" sqref="E17:H17">
      <formula1>"None,Yes"</formula1>
    </dataValidation>
    <dataValidation type="list" allowBlank="1" showInputMessage="1" showErrorMessage="1" sqref="B177:H177">
      <formula1>"Recommended rate should be considered as all inclusive rate if other charges are not mentioned. (Excluding GST &amp; other government Taxes),Other charges can be considered from cost sheet. "</formula1>
    </dataValidation>
  </dataValidations>
  <hyperlinks>
    <hyperlink ref="E7" r:id="rId1"/>
  </hyperlinks>
  <printOptions horizontalCentered="1"/>
  <pageMargins left="0.23622047244094491" right="0.23622047244094491" top="0.74803149606299213" bottom="0.59055118110236227" header="0.19685039370078741" footer="0.19685039370078741"/>
  <pageSetup paperSize="2" fitToHeight="0" orientation="portrait" r:id="rId2"/>
  <headerFooter>
    <oddHeader>&amp;C&amp;"Times New Roman,Bold"&amp;20&amp;G</oddHeader>
    <oddFooter>&amp;L&amp;"Times New Roman,Bold"Ref No: &amp;F&amp;R&amp;P</oddFooter>
  </headerFooter>
  <rowBreaks count="5" manualBreakCount="5">
    <brk id="50" max="16383" man="1"/>
    <brk id="89" max="7" man="1"/>
    <brk id="178" max="7" man="1"/>
    <brk id="225" max="7" man="1"/>
    <brk id="269" max="7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9:O10"/>
  <sheetViews>
    <sheetView workbookViewId="0">
      <selection activeCell="L12" sqref="L12"/>
    </sheetView>
  </sheetViews>
  <sheetFormatPr defaultRowHeight="15" x14ac:dyDescent="0.25"/>
  <sheetData>
    <row r="9" spans="11:15" x14ac:dyDescent="0.25">
      <c r="K9" s="149" t="s">
        <v>94</v>
      </c>
      <c r="L9" s="149"/>
      <c r="M9" s="149"/>
      <c r="N9" s="149"/>
      <c r="O9" s="149"/>
    </row>
    <row r="10" spans="11:15" x14ac:dyDescent="0.25">
      <c r="K10" s="149" t="s">
        <v>95</v>
      </c>
      <c r="L10" s="149"/>
      <c r="M10" s="149"/>
      <c r="N10" s="149"/>
      <c r="O10" s="149"/>
    </row>
  </sheetData>
  <mergeCells count="2">
    <mergeCell ref="K9:O9"/>
    <mergeCell ref="K10:O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Valuation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VSJC-06</cp:lastModifiedBy>
  <cp:lastPrinted>2025-09-22T09:51:29Z</cp:lastPrinted>
  <dcterms:created xsi:type="dcterms:W3CDTF">2013-11-23T05:32:33Z</dcterms:created>
  <dcterms:modified xsi:type="dcterms:W3CDTF">2025-09-22T09:51:30Z</dcterms:modified>
</cp:coreProperties>
</file>