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23-09-2025\"/>
    </mc:Choice>
  </mc:AlternateContent>
  <bookViews>
    <workbookView xWindow="0" yWindow="0" windowWidth="19200" windowHeight="6640" tabRatio="725"/>
  </bookViews>
  <sheets>
    <sheet name="Report" sheetId="1" r:id="rId1"/>
    <sheet name="valuation" sheetId="5" r:id="rId2"/>
    <sheet name="Note" sheetId="4" r:id="rId3"/>
  </sheets>
  <definedNames>
    <definedName name="_xlnm.Print_Area" localSheetId="0">Report!$A$1:$H$395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4" i="1" l="1"/>
  <c r="C103" i="1"/>
  <c r="C90" i="1"/>
  <c r="C89" i="1"/>
  <c r="I60" i="1" l="1"/>
  <c r="J107" i="1" l="1"/>
  <c r="J106" i="1"/>
  <c r="J105" i="1"/>
  <c r="J104" i="1"/>
  <c r="H96" i="1"/>
  <c r="D102" i="1" l="1"/>
  <c r="J101" i="1"/>
  <c r="J102" i="1" s="1"/>
  <c r="D107" i="1"/>
  <c r="D105" i="1"/>
  <c r="D103" i="1"/>
  <c r="D101" i="1"/>
  <c r="J99" i="1"/>
  <c r="J95" i="1"/>
  <c r="J97" i="1" s="1"/>
  <c r="J100" i="1"/>
  <c r="C99" i="1" s="1"/>
  <c r="J98" i="1"/>
  <c r="D108" i="1"/>
  <c r="D106" i="1"/>
  <c r="D104" i="1"/>
  <c r="I237" i="1"/>
  <c r="I194" i="1"/>
  <c r="D255" i="1"/>
  <c r="F255" i="1" s="1"/>
  <c r="D254" i="1"/>
  <c r="D253" i="1"/>
  <c r="F253" i="1" s="1"/>
  <c r="D252" i="1"/>
  <c r="F252" i="1" s="1"/>
  <c r="F254" i="1"/>
  <c r="A253" i="1"/>
  <c r="A254" i="1" s="1"/>
  <c r="A255" i="1" s="1"/>
  <c r="G252" i="1"/>
  <c r="D248" i="1"/>
  <c r="F248" i="1" s="1"/>
  <c r="D247" i="1"/>
  <c r="F247" i="1" s="1"/>
  <c r="A248" i="1"/>
  <c r="A249" i="1" s="1"/>
  <c r="A250" i="1" s="1"/>
  <c r="G247" i="1"/>
  <c r="D243" i="1"/>
  <c r="D242" i="1"/>
  <c r="D240" i="1"/>
  <c r="D239" i="1"/>
  <c r="D238" i="1"/>
  <c r="D237" i="1"/>
  <c r="D211" i="1"/>
  <c r="F211" i="1" s="1"/>
  <c r="D210" i="1"/>
  <c r="F210" i="1" s="1"/>
  <c r="D209" i="1"/>
  <c r="F209" i="1" s="1"/>
  <c r="D208" i="1"/>
  <c r="F208" i="1" s="1"/>
  <c r="A209" i="1"/>
  <c r="A210" i="1" s="1"/>
  <c r="A211" i="1" s="1"/>
  <c r="G208" i="1"/>
  <c r="D206" i="1"/>
  <c r="F206" i="1" s="1"/>
  <c r="D205" i="1"/>
  <c r="F205" i="1" s="1"/>
  <c r="D204" i="1"/>
  <c r="F204" i="1" s="1"/>
  <c r="D201" i="1"/>
  <c r="D200" i="1"/>
  <c r="D199" i="1"/>
  <c r="A204" i="1"/>
  <c r="A205" i="1" s="1"/>
  <c r="A206" i="1" s="1"/>
  <c r="G203" i="1"/>
  <c r="D196" i="1"/>
  <c r="D195" i="1"/>
  <c r="D194" i="1"/>
  <c r="D193" i="1"/>
  <c r="D181" i="1"/>
  <c r="D180" i="1"/>
  <c r="D179" i="1"/>
  <c r="D178" i="1"/>
  <c r="J103" i="1" l="1"/>
  <c r="D99" i="1"/>
  <c r="C49" i="1"/>
  <c r="J108" i="1" l="1"/>
  <c r="J93" i="1"/>
  <c r="J92" i="1"/>
  <c r="J91" i="1"/>
  <c r="J90" i="1"/>
  <c r="F243" i="1"/>
  <c r="A243" i="1"/>
  <c r="A244" i="1" s="1"/>
  <c r="A245" i="1" s="1"/>
  <c r="F200" i="1"/>
  <c r="A238" i="1"/>
  <c r="A239" i="1" s="1"/>
  <c r="A240" i="1" s="1"/>
  <c r="F237" i="1"/>
  <c r="F240" i="1"/>
  <c r="F193" i="1"/>
  <c r="F196" i="1"/>
  <c r="A233" i="1"/>
  <c r="A234" i="1" s="1"/>
  <c r="A235" i="1" s="1"/>
  <c r="A228" i="1"/>
  <c r="A229" i="1" s="1"/>
  <c r="A230" i="1" s="1"/>
  <c r="D235" i="1"/>
  <c r="F235" i="1" s="1"/>
  <c r="D234" i="1"/>
  <c r="D233" i="1"/>
  <c r="F233" i="1" s="1"/>
  <c r="D232" i="1"/>
  <c r="F232" i="1" s="1"/>
  <c r="D191" i="1"/>
  <c r="F191" i="1" s="1"/>
  <c r="D190" i="1"/>
  <c r="F190" i="1" s="1"/>
  <c r="D189" i="1"/>
  <c r="F189" i="1" s="1"/>
  <c r="D188" i="1"/>
  <c r="F188" i="1" s="1"/>
  <c r="D230" i="1"/>
  <c r="F230" i="1" s="1"/>
  <c r="D229" i="1"/>
  <c r="F229" i="1" s="1"/>
  <c r="D228" i="1"/>
  <c r="F228" i="1" s="1"/>
  <c r="D227" i="1"/>
  <c r="F227" i="1" s="1"/>
  <c r="D186" i="1"/>
  <c r="F186" i="1" s="1"/>
  <c r="D185" i="1"/>
  <c r="F185" i="1" s="1"/>
  <c r="D184" i="1"/>
  <c r="D183" i="1"/>
  <c r="F183" i="1" s="1"/>
  <c r="A223" i="1"/>
  <c r="A224" i="1" s="1"/>
  <c r="A225" i="1" s="1"/>
  <c r="D225" i="1"/>
  <c r="F225" i="1" s="1"/>
  <c r="D224" i="1"/>
  <c r="F224" i="1" s="1"/>
  <c r="D223" i="1"/>
  <c r="F223" i="1" s="1"/>
  <c r="D222" i="1"/>
  <c r="F222" i="1" s="1"/>
  <c r="F179" i="1"/>
  <c r="F181" i="1"/>
  <c r="F180" i="1"/>
  <c r="D220" i="1"/>
  <c r="F220" i="1" s="1"/>
  <c r="D219" i="1"/>
  <c r="F219" i="1" s="1"/>
  <c r="D218" i="1"/>
  <c r="F218" i="1" s="1"/>
  <c r="D217" i="1"/>
  <c r="D176" i="1"/>
  <c r="F176" i="1" s="1"/>
  <c r="D175" i="1"/>
  <c r="F175" i="1" s="1"/>
  <c r="D174" i="1"/>
  <c r="F174" i="1" s="1"/>
  <c r="D173" i="1"/>
  <c r="F173" i="1" s="1"/>
  <c r="G242" i="1"/>
  <c r="F242" i="1"/>
  <c r="F239" i="1"/>
  <c r="F238" i="1"/>
  <c r="G237" i="1"/>
  <c r="F234" i="1"/>
  <c r="G232" i="1"/>
  <c r="G227" i="1"/>
  <c r="G222" i="1"/>
  <c r="A218" i="1"/>
  <c r="A219" i="1" s="1"/>
  <c r="A220" i="1" s="1"/>
  <c r="G217" i="1"/>
  <c r="F201" i="1"/>
  <c r="F199" i="1"/>
  <c r="A199" i="1"/>
  <c r="A200" i="1" s="1"/>
  <c r="A201" i="1" s="1"/>
  <c r="G198" i="1"/>
  <c r="F195" i="1"/>
  <c r="F194" i="1"/>
  <c r="A194" i="1"/>
  <c r="A195" i="1" s="1"/>
  <c r="A196" i="1" s="1"/>
  <c r="G193" i="1"/>
  <c r="G188" i="1"/>
  <c r="F184" i="1"/>
  <c r="G183" i="1"/>
  <c r="A179" i="1"/>
  <c r="A180" i="1" s="1"/>
  <c r="A181" i="1" s="1"/>
  <c r="G178" i="1"/>
  <c r="F178" i="1"/>
  <c r="A174" i="1"/>
  <c r="A175" i="1" s="1"/>
  <c r="A176" i="1" s="1"/>
  <c r="G173" i="1"/>
  <c r="D160" i="1"/>
  <c r="F160" i="1" s="1"/>
  <c r="D159" i="1"/>
  <c r="F159" i="1" s="1"/>
  <c r="D158" i="1"/>
  <c r="F158" i="1" s="1"/>
  <c r="I159" i="1" s="1"/>
  <c r="A159" i="1"/>
  <c r="A160" i="1" s="1"/>
  <c r="G158" i="1"/>
  <c r="I157" i="1"/>
  <c r="I142" i="1"/>
  <c r="I141" i="1"/>
  <c r="D141" i="1"/>
  <c r="D140" i="1"/>
  <c r="J138" i="1"/>
  <c r="G49" i="1"/>
  <c r="C100" i="1" l="1"/>
  <c r="E99" i="1" s="1"/>
  <c r="J141" i="1"/>
  <c r="G126" i="1"/>
  <c r="C126" i="1"/>
  <c r="E126" i="1"/>
  <c r="F217" i="1"/>
  <c r="G127" i="1" s="1"/>
  <c r="E127" i="1"/>
  <c r="C127" i="1"/>
  <c r="I160" i="1"/>
  <c r="I158" i="1"/>
  <c r="E3" i="1"/>
  <c r="G99" i="1" l="1"/>
  <c r="J96" i="1"/>
  <c r="D100" i="1"/>
  <c r="I96" i="1" s="1"/>
  <c r="I97" i="1" s="1"/>
  <c r="J117" i="1"/>
  <c r="J115" i="1"/>
  <c r="K102" i="1" s="1"/>
  <c r="K103" i="1" s="1"/>
  <c r="J111" i="1"/>
  <c r="I95" i="1" l="1"/>
  <c r="C97" i="1" s="1"/>
  <c r="I162" i="1"/>
  <c r="I155" i="1"/>
  <c r="D165" i="1" l="1"/>
  <c r="D164" i="1"/>
  <c r="D163" i="1"/>
  <c r="D162" i="1"/>
  <c r="D156" i="1"/>
  <c r="F156" i="1" s="1"/>
  <c r="D155" i="1"/>
  <c r="F155" i="1" s="1"/>
  <c r="D150" i="1"/>
  <c r="F150" i="1" s="1"/>
  <c r="D151" i="1"/>
  <c r="F151" i="1" s="1"/>
  <c r="D153" i="1"/>
  <c r="F153" i="1" s="1"/>
  <c r="A154" i="1"/>
  <c r="A155" i="1" s="1"/>
  <c r="A156" i="1" s="1"/>
  <c r="G153" i="1"/>
  <c r="D148" i="1"/>
  <c r="F148" i="1" s="1"/>
  <c r="D146" i="1"/>
  <c r="F146" i="1" s="1"/>
  <c r="D145" i="1"/>
  <c r="F145" i="1" s="1"/>
  <c r="D144" i="1"/>
  <c r="F144" i="1" s="1"/>
  <c r="D143" i="1"/>
  <c r="F143" i="1" s="1"/>
  <c r="A144" i="1"/>
  <c r="A145" i="1" s="1"/>
  <c r="A146" i="1" s="1"/>
  <c r="G143" i="1"/>
  <c r="A149" i="1"/>
  <c r="A150" i="1" s="1"/>
  <c r="A151" i="1" s="1"/>
  <c r="G148" i="1"/>
  <c r="F141" i="1"/>
  <c r="F140" i="1"/>
  <c r="D139" i="1"/>
  <c r="F139" i="1" s="1"/>
  <c r="D138" i="1"/>
  <c r="A139" i="1"/>
  <c r="A140" i="1" s="1"/>
  <c r="A141" i="1" s="1"/>
  <c r="G138" i="1"/>
  <c r="E125" i="1" l="1"/>
  <c r="E128" i="1" s="1"/>
  <c r="C125" i="1"/>
  <c r="C128" i="1" s="1"/>
  <c r="I145" i="1"/>
  <c r="I144" i="1"/>
  <c r="I143" i="1"/>
  <c r="I153" i="1"/>
  <c r="I150" i="1"/>
  <c r="F138" i="1"/>
  <c r="C14" i="1"/>
  <c r="J119" i="1" l="1"/>
  <c r="K105" i="1"/>
  <c r="I120" i="1"/>
  <c r="I119" i="1"/>
  <c r="I121" i="1" s="1"/>
  <c r="J120" i="1"/>
  <c r="K106" i="1"/>
  <c r="I138" i="1"/>
  <c r="E29" i="1"/>
  <c r="K107" i="1" l="1"/>
  <c r="J121" i="1"/>
  <c r="F163" i="1"/>
  <c r="F164" i="1"/>
  <c r="F165" i="1"/>
  <c r="F162" i="1"/>
  <c r="A163" i="1"/>
  <c r="A164" i="1" s="1"/>
  <c r="A165" i="1" s="1"/>
  <c r="G162" i="1"/>
  <c r="G125" i="1" l="1"/>
  <c r="G128" i="1" s="1"/>
  <c r="F122" i="1"/>
  <c r="B258" i="1" l="1"/>
  <c r="F11" i="5" l="1"/>
  <c r="G11" i="5" s="1"/>
  <c r="F10" i="5"/>
  <c r="G10" i="5" s="1"/>
  <c r="F9" i="5"/>
  <c r="G9" i="5" s="1"/>
  <c r="F8" i="5"/>
  <c r="G8" i="5" s="1"/>
  <c r="F7" i="5"/>
  <c r="G7" i="5" s="1"/>
  <c r="F6" i="5"/>
  <c r="G6" i="5" s="1"/>
  <c r="F5" i="5"/>
  <c r="G5" i="5" s="1"/>
  <c r="G12" i="5" s="1"/>
  <c r="D282" i="1"/>
  <c r="J78" i="1"/>
  <c r="J77" i="1"/>
  <c r="J76" i="1"/>
  <c r="D55" i="1"/>
  <c r="E42" i="1"/>
  <c r="E43" i="1" s="1"/>
  <c r="E26" i="1"/>
  <c r="E24" i="1"/>
  <c r="E7" i="1"/>
  <c r="D80" i="1" l="1"/>
  <c r="I66" i="1" s="1"/>
  <c r="D78" i="1"/>
  <c r="D77" i="1"/>
  <c r="D76" i="1"/>
  <c r="D74" i="1"/>
  <c r="J66" i="1"/>
  <c r="D79" i="1"/>
  <c r="D75" i="1"/>
  <c r="J71" i="1"/>
  <c r="J72" i="1"/>
  <c r="C71" i="1" s="1"/>
  <c r="J70" i="1"/>
  <c r="J73" i="1"/>
  <c r="J74" i="1" s="1"/>
  <c r="J79" i="1" s="1"/>
  <c r="J75" i="1" l="1"/>
  <c r="J80" i="1" s="1"/>
  <c r="C72" i="1" s="1"/>
  <c r="D73" i="1"/>
  <c r="J68" i="1"/>
  <c r="D71" i="1"/>
  <c r="E71" i="1" l="1"/>
  <c r="C69" i="1" s="1"/>
  <c r="D72" i="1"/>
  <c r="I67" i="1" s="1"/>
  <c r="G71" i="1"/>
  <c r="G69" i="1" s="1"/>
  <c r="J67" i="1"/>
  <c r="H82" i="1"/>
  <c r="J87" i="1" l="1"/>
  <c r="D93" i="1"/>
  <c r="D91" i="1"/>
  <c r="D89" i="1"/>
  <c r="D87" i="1"/>
  <c r="J85" i="1"/>
  <c r="J81" i="1"/>
  <c r="J83" i="1" s="1"/>
  <c r="J86" i="1"/>
  <c r="C85" i="1" s="1"/>
  <c r="J84" i="1"/>
  <c r="D94" i="1"/>
  <c r="D92" i="1"/>
  <c r="D90" i="1"/>
  <c r="D88" i="1"/>
  <c r="I68" i="1"/>
  <c r="C68" i="1" s="1"/>
  <c r="J88" i="1" l="1"/>
  <c r="D85" i="1"/>
  <c r="J89" i="1" l="1"/>
  <c r="J94" i="1" l="1"/>
  <c r="C86" i="1" s="1"/>
  <c r="G85" i="1" l="1"/>
  <c r="D64" i="1" s="1"/>
  <c r="J82" i="1" l="1"/>
  <c r="E85" i="1"/>
  <c r="D65" i="1"/>
  <c r="F65" i="1"/>
  <c r="D86" i="1"/>
  <c r="I82" i="1" s="1"/>
  <c r="I83" i="1" s="1"/>
  <c r="I81" i="1" l="1"/>
  <c r="C83" i="1" s="1"/>
</calcChain>
</file>

<file path=xl/sharedStrings.xml><?xml version="1.0" encoding="utf-8"?>
<sst xmlns="http://schemas.openxmlformats.org/spreadsheetml/2006/main" count="394" uniqueCount="258">
  <si>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</si>
  <si>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</si>
  <si>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</si>
  <si>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</si>
  <si>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</si>
  <si>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</si>
  <si>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</si>
  <si>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</si>
  <si>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</si>
  <si>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</si>
  <si>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</si>
  <si>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</si>
  <si>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</si>
  <si>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</si>
  <si>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</si>
  <si>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</si>
  <si>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</si>
  <si>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</si>
  <si>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</si>
  <si>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</si>
  <si>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</si>
  <si>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</si>
  <si>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</si>
  <si>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</si>
  <si>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</si>
  <si>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</si>
  <si>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</si>
  <si>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</si>
  <si>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</si>
  <si>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</si>
  <si>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</si>
  <si>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</si>
  <si>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</si>
  <si>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</si>
  <si>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</si>
  <si>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</si>
  <si>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</si>
  <si>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</si>
  <si>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</si>
  <si>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</si>
  <si>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</si>
  <si>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</si>
  <si>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</si>
  <si>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</si>
  <si>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</si>
  <si>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</si>
  <si>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</si>
  <si>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</si>
  <si>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</si>
  <si>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</si>
  <si>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</si>
  <si>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</si>
  <si>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</si>
  <si>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</si>
  <si>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</si>
  <si>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</si>
  <si>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</si>
  <si>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</si>
  <si>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</si>
  <si>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</si>
  <si>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</si>
  <si>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</si>
  <si>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</si>
  <si>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</si>
  <si>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</si>
  <si>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</si>
  <si>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</si>
  <si>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</si>
  <si>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</si>
  <si>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</si>
  <si>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</si>
  <si>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</si>
  <si>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</si>
  <si>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</si>
  <si>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</si>
  <si>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</si>
  <si>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</si>
  <si>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</si>
  <si>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</si>
  <si>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</si>
  <si>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</si>
  <si>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</si>
  <si>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</si>
  <si>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</si>
  <si>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</si>
  <si>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</si>
  <si>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</si>
  <si>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</si>
  <si>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</si>
  <si>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</si>
  <si>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</si>
  <si>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</si>
  <si>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</si>
  <si>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</si>
  <si>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</si>
  <si>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Society Formation Charges</t>
  </si>
  <si>
    <t>Excavation in process</t>
  </si>
  <si>
    <t>Excavation Completed</t>
  </si>
  <si>
    <t>Footing in Process</t>
  </si>
  <si>
    <t>Footing Completed</t>
  </si>
  <si>
    <t>Plinth completed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</si>
  <si>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</si>
  <si>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</si>
  <si>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</si>
  <si>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</si>
  <si>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</si>
  <si>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</si>
  <si>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</si>
  <si>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</si>
  <si>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</si>
  <si>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</si>
  <si>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</si>
  <si>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</si>
  <si>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</si>
  <si>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</si>
  <si>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Flat No.
(Sale Plan)</t>
  </si>
  <si>
    <t>Contact Details ( Name &amp; Contact No.)</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</si>
  <si>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</si>
  <si>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</si>
  <si>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</si>
  <si>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</si>
  <si>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</si>
  <si>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</si>
  <si>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</si>
  <si>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</si>
  <si>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</si>
  <si>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</si>
  <si>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</si>
  <si>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</si>
  <si>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</si>
  <si>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</si>
  <si>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</si>
  <si>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</si>
  <si>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</si>
  <si>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</si>
  <si>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</si>
  <si>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</si>
  <si>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</si>
  <si>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</si>
  <si>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</si>
  <si>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</si>
  <si>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</si>
  <si>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</si>
  <si>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</si>
  <si>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</si>
  <si>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</si>
  <si>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</si>
  <si>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</si>
  <si>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</si>
  <si>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</si>
  <si>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</si>
  <si>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</si>
  <si>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Flat Per Sq. Ft.</t>
  </si>
  <si>
    <t>On Saleable Area</t>
  </si>
  <si>
    <t>Legal Charges</t>
  </si>
  <si>
    <t>Location Link</t>
  </si>
  <si>
    <t>Locality</t>
  </si>
  <si>
    <t>Village</t>
  </si>
  <si>
    <t xml:space="preserve">O. Certificate No.: 
Approved upto : </t>
  </si>
  <si>
    <t>Axis Thane</t>
  </si>
  <si>
    <t>Shiv Krupa Enterprise</t>
  </si>
  <si>
    <t>Wing B</t>
  </si>
  <si>
    <t>CTS No</t>
  </si>
  <si>
    <t>479 (Part)</t>
  </si>
  <si>
    <t>Bhandup West</t>
  </si>
  <si>
    <t>https://goo.gl/maps/U3RDbNXx3ZBsH6AY6</t>
  </si>
  <si>
    <t>Bhandup Pipeline Road</t>
  </si>
  <si>
    <t>Mulund - Goregaon Link Road</t>
  </si>
  <si>
    <t>Slum Area</t>
  </si>
  <si>
    <t>Link Road</t>
  </si>
  <si>
    <t>Khindipada</t>
  </si>
  <si>
    <t>3.4KM from Nahur Railway Station</t>
  </si>
  <si>
    <t>Nahur</t>
  </si>
  <si>
    <t>Kurla</t>
  </si>
  <si>
    <t>CE/BPES/1101/AS</t>
  </si>
  <si>
    <t>22nd Floor</t>
  </si>
  <si>
    <t>Ground Floor For Parking</t>
  </si>
  <si>
    <t>1st Floor For Residential</t>
  </si>
  <si>
    <t>Refuge Area</t>
  </si>
  <si>
    <t>8th Floor (Part Refuge Area)</t>
  </si>
  <si>
    <t>15th Floor (Part Refuge Area)</t>
  </si>
  <si>
    <t>Approved Plans, CC, Sale Plans, Cost Sheet</t>
  </si>
  <si>
    <t xml:space="preserve">Mumbai </t>
  </si>
  <si>
    <t>Pooja Building</t>
  </si>
  <si>
    <t>Municipal Corporation of Greater Mumbai (MCGM)</t>
  </si>
  <si>
    <t>MSEB Meter / Cable Charges</t>
  </si>
  <si>
    <t>Share Money &amp; Entrance Fee</t>
  </si>
  <si>
    <t>Internal Work Charges</t>
  </si>
  <si>
    <t>Amenities Charges</t>
  </si>
  <si>
    <t>Infrastructure Charges</t>
  </si>
  <si>
    <t>Upper Basement Floor For Parking</t>
  </si>
  <si>
    <t>Lower Basement Floor For Parking</t>
  </si>
  <si>
    <t>rate sheet</t>
  </si>
  <si>
    <t>cost sheet</t>
  </si>
  <si>
    <t xml:space="preserve">visitor </t>
  </si>
  <si>
    <t>22000 - carpet</t>
  </si>
  <si>
    <t>14100 - SA</t>
  </si>
  <si>
    <t>99A</t>
  </si>
  <si>
    <t>MB</t>
  </si>
  <si>
    <t>Maintenance charges</t>
  </si>
  <si>
    <t>Floor Rise Rate (from 1st Floor)</t>
  </si>
  <si>
    <t>Vitrified tiles flooring, Kitchen Platform, Decorative Entrance, etc.</t>
  </si>
  <si>
    <t>Latitude,Longitude</t>
  </si>
  <si>
    <t>19.1664393,72.9326205</t>
  </si>
  <si>
    <t>Site Meet Person Contact Details ( Name &amp; Contact No.)</t>
  </si>
  <si>
    <t>Phase 2 - P51800005548
Phase 3 - P51800051004</t>
  </si>
  <si>
    <t>Srishti Oasis Phase 2 &amp; 3</t>
  </si>
  <si>
    <t>2nd to 7th, 9th to 14th &amp; 16th to 19th &amp; 21st Floor Plan</t>
  </si>
  <si>
    <t>20th Floor</t>
  </si>
  <si>
    <t>Wing C</t>
  </si>
  <si>
    <t>Total</t>
  </si>
  <si>
    <t>Wing B  (Sands)</t>
  </si>
  <si>
    <t>Zone (C1)</t>
  </si>
  <si>
    <t>Zone (C2)</t>
  </si>
  <si>
    <t>Zone C1</t>
  </si>
  <si>
    <t>1st to 3rd Podium Floor for Parking</t>
  </si>
  <si>
    <t>2nd Floor</t>
  </si>
  <si>
    <t>3rd Floor</t>
  </si>
  <si>
    <t>4th to 7th Floor</t>
  </si>
  <si>
    <t>Zone C2</t>
  </si>
  <si>
    <t>1RK</t>
  </si>
  <si>
    <r>
      <t xml:space="preserve">Proposed Amenities :                                                                                                                                                                                                                         </t>
    </r>
    <r>
      <rPr>
        <b/>
        <sz val="12"/>
        <rFont val="Times New Roman"/>
        <family val="1"/>
      </rPr>
      <t xml:space="preserve">                                               </t>
    </r>
  </si>
  <si>
    <t xml:space="preserve">Office No. 1031, Wing J, Akshar Business Park, Plot No. 03 Sector 25, Near APMC Market, Vashi, Navi Mumbai, Maharashtra 400703 TEL: 022-46090378/79/80                                                                       
E mail : vsjcapf@gmail.com. Web site : www.vsjadon.com
</t>
  </si>
  <si>
    <t xml:space="preserve">CE/1101/BPES/AS/OCC/2/New </t>
  </si>
  <si>
    <t>As per RERA - 31/12/2029</t>
  </si>
  <si>
    <t>We have updated approved OC of Wing B from MCGM site on 23/03/2024.</t>
  </si>
  <si>
    <t>2 Wings</t>
  </si>
  <si>
    <t>Part OCC i.e. Full OCC of Wing ‘B’ comprising two level common basement + common Stilt + 1st to 22nd upper floor.</t>
  </si>
  <si>
    <t>2nd to 1st Basement Floor for Parking</t>
  </si>
  <si>
    <t>2nd Basement Floor for Parking</t>
  </si>
  <si>
    <t>1st Basement Floor for Water Tank &amp; Parking</t>
  </si>
  <si>
    <t>Ground Floor for Parking</t>
  </si>
  <si>
    <t>Ground Floor for Fitness Center &amp; Parking</t>
  </si>
  <si>
    <t>9th to 14th &amp; 16th to 21st Floor</t>
  </si>
  <si>
    <t>8th &amp; 15th Floor (Part Refuge Area)</t>
  </si>
  <si>
    <t>22nd Floor (Part Refuge Area)</t>
  </si>
  <si>
    <t>23rd to 26th Floor</t>
  </si>
  <si>
    <t>Flats - 284</t>
  </si>
  <si>
    <t>We considered Gross carpet area = Net carpet.</t>
  </si>
  <si>
    <t>Layout :</t>
  </si>
  <si>
    <t>Wing B - Sands, 
Wing C - (Zone C1 &amp; C2)</t>
  </si>
  <si>
    <t>B Wing = LB + UB + Gr. + 1st to 22nd Floor
C Wing (Zone C1 &amp; C2) = 2B + 3P + Gr/St + 1st to 26th Floor</t>
  </si>
  <si>
    <t>B Wing = LB + UB + Gr. + 1st to 22nd Floor</t>
  </si>
  <si>
    <t>We have updated CC &amp; approved floor plans of Phase 2 Wing B &amp;  Phase 3 Wing C (Zone C1 &amp; C2) (on 08/06/2023)</t>
  </si>
  <si>
    <t>C Wing (Zone C1) = 2B + 3P + Gr + 1st to 35th Floor</t>
  </si>
  <si>
    <t>C Wing (Zone C2) = 2B + 3P + Gr + 1st to 35th Floor</t>
  </si>
  <si>
    <t>B Wing = LB + UB + Gr. + 1st to 22nd Floor
C Wing (Zone C1 &amp; C2) = 2B + 3P + Gr + 1st to 35th Floor</t>
  </si>
  <si>
    <t>Mr. Kuldeep Rathod : 9920692347</t>
  </si>
  <si>
    <t>Pooja</t>
  </si>
  <si>
    <t>CE/1101/BPES/AS/FCC/5/Amend</t>
  </si>
  <si>
    <t>Further C.C. is granted upto 22nd upper floors for wing ‘C1 &amp; C2 as per amended approved plan dated 08.05.2023 by restriction C.C. from 23rd floor to 26th floor for wing ‘C1 &amp; C2 and for wing ‘C3' for submission of revised MOEF NOC subject to timely renewal of B.G, SWM NOC, Workmen’s compensation policy and taking all sorts of precautions during construction and for air pollution.</t>
  </si>
  <si>
    <t>Validity of CC is expired on 15/06/2025. Please provide latest CC.</t>
  </si>
  <si>
    <t>We have updated latest approved floor plans &amp; CC (On 04/05/2024).</t>
  </si>
  <si>
    <t>60 Years After Completion</t>
  </si>
  <si>
    <t>We have updated latest CC from MCGM site (On 21/06/2025).</t>
  </si>
  <si>
    <t>Mr. Sarvesh : 9004991459</t>
  </si>
  <si>
    <t>Wing C (Zone C1 &amp; C2) = Construction work is in process at the time of Visit.
Wing B = All work Completed. OC Received.</t>
  </si>
  <si>
    <t>Pravin Mestri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</si>
</sst>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_(* #,##0.00_);_(* \(#,##0.00\);_(* &quot;-&quot;??_);_(@_)"/>
    <numFmt numFmtId="165" formatCode="0.0"/>
    <numFmt numFmtId="166" formatCode="_(* #,##0_);_(* \(#,##0\);_(* &quot;-&quot;??_);_(@_)"/>
    <numFmt numFmtId="167" formatCode="_ * #,##0_ ;_ * \-#,##0_ ;_ * &quot;-&quot;??_ ;_ @_ "/>
    <numFmt numFmtId="168" formatCode="[&gt;0]0&quot;BHK&quot;;&quot;1RK&quot;"/>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03">
    <xf numFmtId="0" fontId="0" fillId="0" borderId="0" xfId="0"/>
    <xf numFmtId="0" fontId="5" fillId="0" borderId="0" xfId="4" applyFont="1"/>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1" fillId="0" borderId="1" xfId="5" applyFont="1" applyBorder="1" applyAlignment="1">
      <alignment horizontal="center" vertical="center"/>
    </xf>
    <xf numFmtId="0" fontId="5" fillId="0" borderId="1" xfId="4" applyFont="1" applyBorder="1" applyAlignment="1">
      <alignment horizontal="center" vertical="center"/>
    </xf>
    <xf numFmtId="9" fontId="8" fillId="0" borderId="15" xfId="8" applyFont="1" applyFill="1" applyBorder="1" applyAlignment="1" applyProtection="1">
      <alignment horizontal="center" vertical="top" wrapText="1"/>
      <protection locked="0"/>
    </xf>
    <xf numFmtId="0" fontId="17" fillId="0" borderId="0" xfId="0" applyFont="1" applyFill="1" applyBorder="1" applyProtection="1">
      <protection hidden="1"/>
    </xf>
    <xf numFmtId="0" fontId="17" fillId="0" borderId="10" xfId="0" applyFont="1" applyFill="1" applyBorder="1" applyProtection="1">
      <protection hidden="1"/>
    </xf>
    <xf numFmtId="0" fontId="12" fillId="0" borderId="3" xfId="1" applyFont="1" applyFill="1" applyBorder="1" applyAlignment="1" applyProtection="1">
      <alignment horizontal="center" vertical="top"/>
      <protection locked="0"/>
    </xf>
    <xf numFmtId="0" fontId="12" fillId="0" borderId="4" xfId="1" applyFont="1" applyFill="1" applyBorder="1" applyAlignment="1" applyProtection="1">
      <alignment horizontal="center" vertical="top"/>
      <protection locked="0"/>
    </xf>
    <xf numFmtId="0" fontId="6" fillId="0" borderId="1" xfId="1" applyFont="1" applyFill="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applyFill="1"/>
    <xf numFmtId="0" fontId="15" fillId="0" borderId="0" xfId="1" applyFont="1" applyFill="1"/>
    <xf numFmtId="0" fontId="12" fillId="0" borderId="0" xfId="1" applyFont="1" applyFill="1"/>
    <xf numFmtId="1" fontId="7" fillId="0" borderId="0" xfId="1" applyNumberFormat="1" applyFont="1" applyFill="1"/>
    <xf numFmtId="0" fontId="7" fillId="0" borderId="0" xfId="1" applyNumberFormat="1" applyFont="1" applyFill="1"/>
    <xf numFmtId="14" fontId="7" fillId="0" borderId="0" xfId="1" applyNumberFormat="1" applyFont="1" applyFill="1"/>
    <xf numFmtId="0" fontId="7" fillId="0" borderId="0" xfId="1" applyFont="1" applyFill="1" applyProtection="1">
      <protection hidden="1"/>
    </xf>
    <xf numFmtId="0" fontId="23" fillId="0" borderId="0" xfId="1" applyFont="1" applyFill="1"/>
    <xf numFmtId="0" fontId="7" fillId="0" borderId="9" xfId="1" applyFont="1" applyFill="1" applyBorder="1"/>
    <xf numFmtId="0" fontId="17" fillId="0" borderId="9" xfId="0" applyNumberFormat="1" applyFont="1" applyFill="1" applyBorder="1" applyProtection="1">
      <protection hidden="1"/>
    </xf>
    <xf numFmtId="1" fontId="0" fillId="0" borderId="9" xfId="0" applyNumberFormat="1" applyFill="1" applyBorder="1"/>
    <xf numFmtId="1" fontId="0" fillId="0" borderId="9" xfId="0" applyNumberFormat="1" applyFill="1" applyBorder="1" applyAlignment="1">
      <alignment horizontal="right"/>
    </xf>
    <xf numFmtId="1" fontId="0" fillId="0" borderId="11" xfId="0" applyNumberFormat="1" applyFill="1" applyBorder="1"/>
    <xf numFmtId="0" fontId="16" fillId="0" borderId="0" xfId="1" applyFont="1" applyFill="1"/>
    <xf numFmtId="0" fontId="6" fillId="0" borderId="0" xfId="2" applyFont="1" applyFill="1"/>
    <xf numFmtId="0" fontId="7" fillId="0" borderId="0" xfId="0" applyFont="1" applyFill="1" applyAlignment="1">
      <alignment horizontal="center" vertical="center"/>
    </xf>
    <xf numFmtId="1" fontId="7" fillId="0" borderId="0" xfId="1" applyNumberFormat="1" applyFont="1" applyFill="1" applyAlignment="1">
      <alignment horizontal="center" vertical="center"/>
    </xf>
    <xf numFmtId="0" fontId="8" fillId="0" borderId="0" xfId="1" applyFont="1" applyFill="1" applyBorder="1" applyAlignment="1" applyProtection="1">
      <alignment vertical="top"/>
      <protection locked="0"/>
    </xf>
    <xf numFmtId="0" fontId="8" fillId="0" borderId="0" xfId="1" applyFont="1" applyFill="1" applyBorder="1" applyAlignment="1" applyProtection="1">
      <alignment vertical="top" wrapText="1"/>
      <protection locked="0"/>
    </xf>
    <xf numFmtId="0" fontId="7" fillId="0" borderId="0" xfId="1" applyFont="1" applyFill="1" applyProtection="1">
      <protection locked="0"/>
    </xf>
    <xf numFmtId="0" fontId="10" fillId="0" borderId="0" xfId="1" applyFont="1" applyFill="1" applyProtection="1">
      <protection locked="0"/>
    </xf>
    <xf numFmtId="0" fontId="25" fillId="0" borderId="30" xfId="0" applyFont="1" applyFill="1" applyBorder="1"/>
    <xf numFmtId="0" fontId="25" fillId="0" borderId="1" xfId="0" applyFont="1" applyFill="1" applyBorder="1"/>
    <xf numFmtId="0" fontId="25" fillId="0" borderId="4" xfId="0" applyFont="1" applyFill="1" applyBorder="1"/>
    <xf numFmtId="168" fontId="6" fillId="0" borderId="1" xfId="1" applyNumberFormat="1"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8" fillId="0" borderId="1" xfId="1" applyFont="1" applyFill="1" applyBorder="1" applyAlignment="1" applyProtection="1">
      <alignment vertical="top"/>
      <protection locked="0"/>
    </xf>
    <xf numFmtId="1" fontId="6" fillId="0" borderId="1" xfId="0" applyNumberFormat="1" applyFont="1" applyFill="1" applyBorder="1" applyAlignment="1" applyProtection="1">
      <alignment horizontal="center" vertical="center" wrapText="1"/>
      <protection locked="0"/>
    </xf>
    <xf numFmtId="1" fontId="8" fillId="0" borderId="2" xfId="1" applyNumberFormat="1" applyFont="1" applyFill="1" applyBorder="1" applyAlignment="1" applyProtection="1">
      <alignment horizontal="center" vertical="top" wrapText="1"/>
      <protection locked="0"/>
    </xf>
    <xf numFmtId="0" fontId="6" fillId="0" borderId="1" xfId="1" applyFont="1" applyFill="1" applyBorder="1" applyAlignment="1" applyProtection="1">
      <alignment horizontal="center" vertical="top"/>
      <protection locked="0"/>
    </xf>
    <xf numFmtId="0" fontId="7" fillId="0" borderId="0" xfId="1" applyFont="1" applyFill="1" applyAlignment="1">
      <alignment horizontal="center" vertical="center"/>
    </xf>
    <xf numFmtId="1" fontId="16" fillId="0" borderId="0" xfId="1" applyNumberFormat="1" applyFont="1" applyFill="1"/>
    <xf numFmtId="0" fontId="24" fillId="0" borderId="29" xfId="0" applyFont="1" applyFill="1" applyBorder="1"/>
    <xf numFmtId="0" fontId="7" fillId="0" borderId="1" xfId="1" applyFont="1" applyFill="1" applyBorder="1" applyAlignment="1" applyProtection="1">
      <alignment horizontal="center" vertical="top" wrapText="1"/>
      <protection locked="0"/>
    </xf>
    <xf numFmtId="0" fontId="7" fillId="0" borderId="0" xfId="1" applyFont="1" applyFill="1" applyAlignment="1">
      <alignment horizontal="center" vertical="center"/>
    </xf>
    <xf numFmtId="0" fontId="7" fillId="0" borderId="6" xfId="1" applyFont="1" applyFill="1" applyBorder="1" applyAlignment="1" applyProtection="1">
      <alignment horizontal="center" vertical="top" wrapText="1"/>
      <protection locked="0"/>
    </xf>
    <xf numFmtId="1" fontId="7" fillId="0" borderId="1" xfId="1" applyNumberFormat="1" applyFont="1" applyFill="1" applyBorder="1" applyAlignment="1" applyProtection="1">
      <alignment horizontal="center" vertical="top" wrapText="1"/>
      <protection locked="0"/>
    </xf>
    <xf numFmtId="1" fontId="6" fillId="0" borderId="1" xfId="0" applyNumberFormat="1" applyFont="1" applyFill="1" applyBorder="1" applyAlignment="1" applyProtection="1">
      <alignment horizontal="center" vertical="center" wrapText="1"/>
      <protection locked="0"/>
    </xf>
    <xf numFmtId="0" fontId="7" fillId="0" borderId="0" xfId="1" applyFont="1" applyFill="1" applyAlignment="1">
      <alignment horizontal="center" vertical="center"/>
    </xf>
    <xf numFmtId="0" fontId="7" fillId="0" borderId="0" xfId="1" applyFont="1" applyFill="1" applyAlignment="1">
      <alignment horizontal="center" vertical="center"/>
    </xf>
    <xf numFmtId="0" fontId="7" fillId="0" borderId="1" xfId="1" applyFont="1" applyFill="1" applyBorder="1" applyAlignment="1" applyProtection="1">
      <alignment horizontal="center" vertical="top" wrapText="1"/>
      <protection locked="0"/>
    </xf>
    <xf numFmtId="0" fontId="7" fillId="0" borderId="6" xfId="1" applyFont="1" applyFill="1" applyBorder="1" applyAlignment="1" applyProtection="1">
      <alignment horizontal="center" vertical="top" wrapText="1"/>
      <protection locked="0"/>
    </xf>
    <xf numFmtId="1" fontId="6" fillId="0" borderId="1" xfId="0" applyNumberFormat="1" applyFont="1" applyFill="1" applyBorder="1" applyAlignment="1" applyProtection="1">
      <alignment horizontal="center" vertical="center" wrapText="1"/>
      <protection locked="0"/>
    </xf>
    <xf numFmtId="0" fontId="12" fillId="0" borderId="1" xfId="1" applyFont="1" applyFill="1" applyBorder="1" applyAlignment="1" applyProtection="1">
      <alignment horizontal="center" vertical="top"/>
      <protection locked="0"/>
    </xf>
    <xf numFmtId="1" fontId="6" fillId="0" borderId="1" xfId="0" applyNumberFormat="1" applyFont="1" applyFill="1" applyBorder="1" applyAlignment="1" applyProtection="1">
      <alignment horizontal="center" vertical="center" wrapText="1"/>
      <protection locked="0"/>
    </xf>
    <xf numFmtId="0" fontId="7" fillId="0" borderId="1" xfId="1" applyFont="1" applyFill="1" applyBorder="1" applyAlignment="1" applyProtection="1">
      <alignment horizontal="center" vertical="top" wrapText="1"/>
      <protection locked="0"/>
    </xf>
    <xf numFmtId="0" fontId="12" fillId="0" borderId="1" xfId="1" applyFont="1" applyFill="1" applyBorder="1" applyAlignment="1" applyProtection="1">
      <alignment horizontal="center" vertical="top"/>
      <protection locked="0"/>
    </xf>
    <xf numFmtId="0" fontId="24" fillId="0" borderId="14" xfId="0" applyFont="1" applyFill="1" applyBorder="1"/>
    <xf numFmtId="0" fontId="25" fillId="0" borderId="8" xfId="0" applyFont="1" applyFill="1" applyBorder="1"/>
    <xf numFmtId="0" fontId="13" fillId="0" borderId="1" xfId="1" applyFont="1" applyFill="1" applyBorder="1" applyAlignment="1" applyProtection="1">
      <alignment horizontal="center" vertical="center"/>
      <protection locked="0"/>
    </xf>
    <xf numFmtId="1" fontId="13" fillId="0" borderId="7" xfId="0" applyNumberFormat="1" applyFont="1" applyFill="1" applyBorder="1" applyAlignment="1" applyProtection="1">
      <alignment vertical="top" wrapText="1"/>
      <protection locked="0"/>
    </xf>
    <xf numFmtId="1" fontId="13" fillId="0" borderId="20" xfId="0" applyNumberFormat="1" applyFont="1" applyFill="1" applyBorder="1" applyAlignment="1" applyProtection="1">
      <alignment vertical="top" wrapText="1"/>
      <protection locked="0"/>
    </xf>
    <xf numFmtId="1" fontId="13" fillId="0" borderId="8" xfId="0" applyNumberFormat="1" applyFont="1" applyFill="1" applyBorder="1" applyAlignment="1" applyProtection="1">
      <alignment vertical="top" wrapText="1"/>
      <protection locked="0"/>
    </xf>
    <xf numFmtId="1" fontId="12" fillId="0" borderId="1" xfId="1" applyNumberFormat="1" applyFont="1" applyFill="1" applyBorder="1" applyAlignment="1" applyProtection="1">
      <alignment horizontal="left" vertical="top" wrapText="1"/>
      <protection locked="0"/>
    </xf>
    <xf numFmtId="0" fontId="8" fillId="0" borderId="21" xfId="1" applyFont="1" applyFill="1" applyBorder="1" applyAlignment="1" applyProtection="1">
      <alignment horizontal="left" vertical="top" wrapText="1"/>
      <protection locked="0"/>
    </xf>
    <xf numFmtId="0" fontId="8" fillId="0" borderId="14" xfId="1" applyFont="1" applyFill="1" applyBorder="1" applyAlignment="1" applyProtection="1">
      <alignment horizontal="left" vertical="top" wrapText="1"/>
      <protection locked="0"/>
    </xf>
    <xf numFmtId="0" fontId="8" fillId="0" borderId="12" xfId="1" applyFont="1" applyFill="1" applyBorder="1" applyAlignment="1" applyProtection="1">
      <alignment horizontal="left" vertical="top" wrapText="1"/>
      <protection locked="0"/>
    </xf>
    <xf numFmtId="0" fontId="8" fillId="0" borderId="13" xfId="1" applyFont="1" applyFill="1" applyBorder="1" applyAlignment="1" applyProtection="1">
      <alignment horizontal="left" vertical="top" wrapText="1"/>
      <protection locked="0"/>
    </xf>
    <xf numFmtId="0" fontId="8" fillId="0" borderId="22" xfId="1" applyFont="1" applyFill="1" applyBorder="1" applyAlignment="1" applyProtection="1">
      <alignment horizontal="left" vertical="top" wrapText="1"/>
      <protection locked="0"/>
    </xf>
    <xf numFmtId="0" fontId="13" fillId="0" borderId="3" xfId="1" applyFont="1" applyFill="1" applyBorder="1" applyAlignment="1" applyProtection="1">
      <alignment horizontal="left" vertical="top"/>
      <protection locked="0"/>
    </xf>
    <xf numFmtId="0" fontId="13" fillId="0" borderId="1" xfId="1" applyFont="1" applyFill="1" applyBorder="1" applyAlignment="1" applyProtection="1">
      <alignment horizontal="left" vertical="top"/>
      <protection locked="0"/>
    </xf>
    <xf numFmtId="0" fontId="13" fillId="0" borderId="1" xfId="1" applyFont="1" applyFill="1" applyBorder="1" applyAlignment="1" applyProtection="1">
      <alignment horizontal="left" vertical="top" wrapText="1"/>
      <protection locked="0"/>
    </xf>
    <xf numFmtId="0" fontId="13" fillId="0" borderId="4" xfId="1" applyFont="1" applyFill="1" applyBorder="1" applyAlignment="1" applyProtection="1">
      <alignment horizontal="left" vertical="top" wrapText="1"/>
      <protection locked="0"/>
    </xf>
    <xf numFmtId="0" fontId="7" fillId="0" borderId="3" xfId="1" applyFont="1" applyFill="1" applyBorder="1" applyAlignment="1" applyProtection="1">
      <alignment horizontal="center" vertical="top" wrapText="1"/>
      <protection locked="0"/>
    </xf>
    <xf numFmtId="0" fontId="7" fillId="0" borderId="1" xfId="1" applyFont="1" applyFill="1" applyBorder="1" applyAlignment="1" applyProtection="1">
      <alignment horizontal="center" vertical="top" wrapText="1"/>
      <protection locked="0"/>
    </xf>
    <xf numFmtId="0" fontId="7" fillId="0" borderId="4" xfId="1" applyFont="1" applyFill="1" applyBorder="1" applyAlignment="1" applyProtection="1">
      <alignment horizontal="center" vertical="top" wrapText="1"/>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5" xfId="1" applyFont="1" applyFill="1" applyBorder="1" applyAlignment="1" applyProtection="1">
      <alignment horizontal="center" vertical="top" wrapText="1"/>
      <protection locked="0"/>
    </xf>
    <xf numFmtId="0" fontId="7" fillId="0" borderId="6" xfId="1" applyFont="1" applyFill="1" applyBorder="1" applyAlignment="1" applyProtection="1">
      <alignment horizontal="center" vertical="top" wrapText="1"/>
      <protection locked="0"/>
    </xf>
    <xf numFmtId="1" fontId="6" fillId="0" borderId="7" xfId="1" applyNumberFormat="1" applyFont="1" applyFill="1" applyBorder="1" applyAlignment="1" applyProtection="1">
      <alignment horizontal="center" vertical="center" wrapText="1"/>
      <protection locked="0"/>
    </xf>
    <xf numFmtId="1" fontId="6" fillId="0" borderId="8" xfId="1" applyNumberFormat="1" applyFont="1" applyFill="1" applyBorder="1" applyAlignment="1" applyProtection="1">
      <alignment horizontal="center" vertical="center" wrapText="1"/>
      <protection locked="0"/>
    </xf>
    <xf numFmtId="1" fontId="8" fillId="0" borderId="7" xfId="1" applyNumberFormat="1" applyFont="1" applyFill="1" applyBorder="1" applyAlignment="1" applyProtection="1">
      <alignment horizontal="center" vertical="center" wrapText="1"/>
      <protection locked="0"/>
    </xf>
    <xf numFmtId="1" fontId="8" fillId="0" borderId="20" xfId="1" applyNumberFormat="1" applyFont="1" applyFill="1" applyBorder="1" applyAlignment="1" applyProtection="1">
      <alignment horizontal="center" vertical="center" wrapText="1"/>
      <protection locked="0"/>
    </xf>
    <xf numFmtId="1" fontId="8" fillId="0" borderId="8" xfId="1" applyNumberFormat="1" applyFont="1" applyFill="1" applyBorder="1" applyAlignment="1" applyProtection="1">
      <alignment horizontal="center" vertical="center" wrapText="1"/>
      <protection locked="0"/>
    </xf>
    <xf numFmtId="1" fontId="8" fillId="0" borderId="1" xfId="1" applyNumberFormat="1" applyFont="1" applyFill="1" applyBorder="1" applyAlignment="1" applyProtection="1">
      <alignment horizontal="center" vertical="center" wrapText="1"/>
      <protection locked="0"/>
    </xf>
    <xf numFmtId="0" fontId="7" fillId="0" borderId="0" xfId="1" applyFont="1" applyFill="1" applyAlignment="1">
      <alignment horizontal="center" vertical="center"/>
    </xf>
    <xf numFmtId="1" fontId="6" fillId="0" borderId="16" xfId="1" applyNumberFormat="1" applyFont="1" applyFill="1" applyBorder="1" applyAlignment="1" applyProtection="1">
      <alignment horizontal="center" vertical="center" wrapText="1"/>
      <protection locked="0"/>
    </xf>
    <xf numFmtId="1" fontId="6" fillId="0" borderId="17" xfId="1" applyNumberFormat="1" applyFont="1" applyFill="1" applyBorder="1" applyAlignment="1" applyProtection="1">
      <alignment horizontal="center" vertical="center" wrapText="1"/>
      <protection locked="0"/>
    </xf>
    <xf numFmtId="1" fontId="6" fillId="0" borderId="24" xfId="1" applyNumberFormat="1" applyFont="1" applyFill="1" applyBorder="1" applyAlignment="1" applyProtection="1">
      <alignment horizontal="center" vertical="center" wrapText="1"/>
      <protection locked="0"/>
    </xf>
    <xf numFmtId="1" fontId="6" fillId="0" borderId="25" xfId="1" applyNumberFormat="1" applyFont="1" applyFill="1" applyBorder="1" applyAlignment="1" applyProtection="1">
      <alignment horizontal="center" vertical="center" wrapText="1"/>
      <protection locked="0"/>
    </xf>
    <xf numFmtId="1" fontId="6" fillId="0" borderId="18" xfId="1" applyNumberFormat="1" applyFont="1" applyFill="1" applyBorder="1" applyAlignment="1" applyProtection="1">
      <alignment horizontal="center" vertical="center" wrapText="1"/>
      <protection locked="0"/>
    </xf>
    <xf numFmtId="1" fontId="6" fillId="0" borderId="19" xfId="1" applyNumberFormat="1"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1" fontId="6" fillId="0" borderId="20" xfId="1" applyNumberFormat="1" applyFont="1" applyFill="1" applyBorder="1" applyAlignment="1" applyProtection="1">
      <alignment horizontal="center" vertical="center" wrapText="1"/>
      <protection locked="0"/>
    </xf>
    <xf numFmtId="1" fontId="8" fillId="2" borderId="1" xfId="1" applyNumberFormat="1" applyFont="1" applyFill="1" applyBorder="1" applyAlignment="1" applyProtection="1">
      <alignment horizontal="center" vertical="center" wrapText="1"/>
      <protection locked="0"/>
    </xf>
    <xf numFmtId="1" fontId="8" fillId="0" borderId="16" xfId="1" applyNumberFormat="1" applyFont="1" applyFill="1" applyBorder="1" applyAlignment="1" applyProtection="1">
      <alignment horizontal="center" vertical="top" wrapText="1"/>
      <protection locked="0"/>
    </xf>
    <xf numFmtId="1" fontId="8" fillId="0" borderId="18" xfId="1" applyNumberFormat="1" applyFont="1" applyFill="1" applyBorder="1" applyAlignment="1" applyProtection="1">
      <alignment horizontal="center" vertical="top" wrapText="1"/>
      <protection locked="0"/>
    </xf>
    <xf numFmtId="14" fontId="8" fillId="0" borderId="7" xfId="1" applyNumberFormat="1" applyFont="1" applyFill="1" applyBorder="1" applyAlignment="1" applyProtection="1">
      <alignment horizontal="left" vertical="top"/>
      <protection locked="0"/>
    </xf>
    <xf numFmtId="0" fontId="8" fillId="0" borderId="8" xfId="1" applyFont="1" applyFill="1" applyBorder="1" applyAlignment="1" applyProtection="1">
      <alignment horizontal="left" vertical="top"/>
      <protection locked="0"/>
    </xf>
    <xf numFmtId="0" fontId="8" fillId="0" borderId="16"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18" xfId="1" applyFont="1" applyFill="1" applyBorder="1" applyAlignment="1" applyProtection="1">
      <alignment horizontal="left" vertical="top" wrapText="1"/>
      <protection locked="0"/>
    </xf>
    <xf numFmtId="0" fontId="8" fillId="0" borderId="19" xfId="1" applyFont="1" applyFill="1" applyBorder="1" applyAlignment="1" applyProtection="1">
      <alignment horizontal="left" vertical="top" wrapText="1"/>
      <protection locked="0"/>
    </xf>
    <xf numFmtId="0" fontId="10" fillId="0" borderId="1" xfId="0" applyFont="1" applyFill="1" applyBorder="1" applyAlignment="1" applyProtection="1">
      <alignment horizontal="center" vertical="top" wrapText="1"/>
      <protection locked="0"/>
    </xf>
    <xf numFmtId="1" fontId="8" fillId="0" borderId="1" xfId="0" applyNumberFormat="1" applyFont="1" applyFill="1" applyBorder="1" applyAlignment="1" applyProtection="1">
      <alignment horizontal="center" vertical="top" wrapText="1"/>
      <protection locked="0"/>
    </xf>
    <xf numFmtId="167" fontId="13" fillId="0" borderId="1" xfId="9" applyNumberFormat="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wrapText="1"/>
      <protection locked="0"/>
    </xf>
    <xf numFmtId="0" fontId="6" fillId="0" borderId="1" xfId="1" applyFont="1" applyFill="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0" fontId="8" fillId="0" borderId="1" xfId="1" applyFont="1" applyFill="1" applyBorder="1" applyAlignment="1" applyProtection="1">
      <alignment vertical="top"/>
      <protection locked="0"/>
    </xf>
    <xf numFmtId="0" fontId="8" fillId="0" borderId="15" xfId="1" applyFont="1" applyFill="1" applyBorder="1" applyAlignment="1" applyProtection="1">
      <alignment horizontal="center" vertical="top"/>
      <protection locked="0"/>
    </xf>
    <xf numFmtId="0" fontId="8" fillId="0" borderId="7" xfId="1" applyFont="1" applyFill="1" applyBorder="1" applyAlignment="1" applyProtection="1">
      <alignment horizontal="left" vertical="top" wrapText="1"/>
      <protection locked="0"/>
    </xf>
    <xf numFmtId="0" fontId="8" fillId="0" borderId="20" xfId="1" applyFont="1" applyFill="1" applyBorder="1" applyAlignment="1" applyProtection="1">
      <alignment horizontal="left" vertical="top" wrapText="1"/>
      <protection locked="0"/>
    </xf>
    <xf numFmtId="0" fontId="8" fillId="0" borderId="8" xfId="1" applyFont="1" applyFill="1" applyBorder="1" applyAlignment="1" applyProtection="1">
      <alignment horizontal="left" vertical="top" wrapText="1"/>
      <protection locked="0"/>
    </xf>
    <xf numFmtId="0" fontId="8" fillId="0" borderId="1" xfId="1" applyFont="1" applyFill="1" applyBorder="1" applyAlignment="1" applyProtection="1">
      <alignment horizontal="left" vertical="top" wrapText="1"/>
      <protection locked="0"/>
    </xf>
    <xf numFmtId="0" fontId="13" fillId="0" borderId="1" xfId="1" applyFont="1" applyFill="1" applyBorder="1" applyAlignment="1" applyProtection="1">
      <alignment horizontal="center" vertical="top" wrapText="1"/>
      <protection locked="0"/>
    </xf>
    <xf numFmtId="0" fontId="14" fillId="0" borderId="1" xfId="1" applyFont="1" applyFill="1" applyBorder="1" applyAlignment="1" applyProtection="1">
      <alignment horizontal="center" vertical="top" wrapText="1"/>
      <protection locked="0"/>
    </xf>
    <xf numFmtId="0" fontId="8" fillId="0" borderId="1" xfId="1" applyFont="1" applyFill="1" applyBorder="1" applyAlignment="1" applyProtection="1">
      <alignment horizontal="left" vertical="top"/>
      <protection locked="0"/>
    </xf>
    <xf numFmtId="1" fontId="6" fillId="0" borderId="1" xfId="0" applyNumberFormat="1" applyFont="1" applyFill="1" applyBorder="1" applyAlignment="1" applyProtection="1">
      <alignment horizontal="center" vertical="center" wrapText="1"/>
      <protection locked="0"/>
    </xf>
    <xf numFmtId="1" fontId="8" fillId="0" borderId="1" xfId="0" applyNumberFormat="1" applyFont="1" applyFill="1" applyBorder="1" applyAlignment="1" applyProtection="1">
      <alignment horizontal="center" vertical="center" wrapText="1"/>
      <protection locked="0"/>
    </xf>
    <xf numFmtId="0" fontId="6" fillId="0" borderId="1" xfId="1" applyFont="1" applyFill="1" applyBorder="1" applyAlignment="1" applyProtection="1">
      <alignment horizontal="left" vertical="top" wrapText="1"/>
      <protection locked="0"/>
    </xf>
    <xf numFmtId="1" fontId="8" fillId="0" borderId="7" xfId="0" applyNumberFormat="1" applyFont="1" applyFill="1" applyBorder="1" applyAlignment="1" applyProtection="1">
      <alignment vertical="top" wrapText="1"/>
      <protection locked="0"/>
    </xf>
    <xf numFmtId="1" fontId="8" fillId="0" borderId="20" xfId="0" applyNumberFormat="1" applyFont="1" applyFill="1" applyBorder="1" applyAlignment="1" applyProtection="1">
      <alignment vertical="top" wrapText="1"/>
      <protection locked="0"/>
    </xf>
    <xf numFmtId="1" fontId="8" fillId="0" borderId="8" xfId="0" applyNumberFormat="1" applyFont="1" applyFill="1" applyBorder="1" applyAlignment="1" applyProtection="1">
      <alignment vertical="top" wrapText="1"/>
      <protection locked="0"/>
    </xf>
    <xf numFmtId="0" fontId="8" fillId="0" borderId="1" xfId="1" applyFont="1" applyFill="1" applyBorder="1" applyAlignment="1" applyProtection="1">
      <alignment horizontal="center" vertical="top"/>
      <protection locked="0"/>
    </xf>
    <xf numFmtId="0" fontId="6" fillId="0" borderId="1" xfId="1" applyFont="1" applyFill="1" applyBorder="1" applyAlignment="1" applyProtection="1">
      <alignment vertical="top"/>
      <protection locked="0"/>
    </xf>
    <xf numFmtId="0" fontId="11" fillId="0" borderId="1" xfId="1" applyFont="1" applyFill="1" applyBorder="1" applyAlignment="1" applyProtection="1">
      <alignment horizontal="center" vertical="top" wrapText="1"/>
      <protection locked="0"/>
    </xf>
    <xf numFmtId="14" fontId="12" fillId="0" borderId="1" xfId="1" applyNumberFormat="1" applyFont="1" applyFill="1" applyBorder="1" applyAlignment="1" applyProtection="1">
      <alignment horizontal="left" vertical="top"/>
      <protection locked="0"/>
    </xf>
    <xf numFmtId="0" fontId="12" fillId="0" borderId="1" xfId="1" applyFont="1" applyFill="1" applyBorder="1" applyAlignment="1" applyProtection="1">
      <alignment horizontal="left"/>
      <protection locked="0"/>
    </xf>
    <xf numFmtId="0" fontId="12" fillId="0" borderId="1" xfId="1" applyFont="1" applyFill="1" applyBorder="1" applyAlignment="1" applyProtection="1">
      <alignment horizontal="center"/>
      <protection locked="0"/>
    </xf>
    <xf numFmtId="0" fontId="12" fillId="0" borderId="1" xfId="1" applyFont="1" applyFill="1" applyBorder="1" applyAlignment="1" applyProtection="1">
      <alignment horizontal="center" vertical="top"/>
      <protection locked="0"/>
    </xf>
    <xf numFmtId="0" fontId="13" fillId="0" borderId="1" xfId="1" applyFont="1" applyFill="1" applyBorder="1" applyAlignment="1" applyProtection="1">
      <alignment horizontal="center" vertical="top"/>
      <protection locked="0"/>
    </xf>
    <xf numFmtId="0" fontId="13" fillId="0" borderId="1" xfId="1" applyFont="1" applyFill="1" applyBorder="1" applyAlignment="1" applyProtection="1">
      <alignment horizontal="center"/>
      <protection locked="0"/>
    </xf>
    <xf numFmtId="2" fontId="6" fillId="0" borderId="1" xfId="1" applyNumberFormat="1" applyFont="1" applyFill="1" applyBorder="1" applyAlignment="1" applyProtection="1">
      <alignment horizontal="left" vertical="top" wrapText="1"/>
      <protection locked="0"/>
    </xf>
    <xf numFmtId="0" fontId="12" fillId="0" borderId="2" xfId="1" applyFont="1" applyFill="1" applyBorder="1" applyAlignment="1" applyProtection="1">
      <alignment horizontal="left" vertical="top" wrapText="1"/>
      <protection locked="0"/>
    </xf>
    <xf numFmtId="0" fontId="12" fillId="0" borderId="2" xfId="1" applyFont="1" applyFill="1" applyBorder="1" applyAlignment="1" applyProtection="1">
      <alignment horizontal="left" vertical="top"/>
      <protection locked="0"/>
    </xf>
    <xf numFmtId="0" fontId="12" fillId="0" borderId="16" xfId="1" applyFont="1" applyFill="1" applyBorder="1" applyAlignment="1" applyProtection="1">
      <alignment horizontal="left" vertical="top" wrapText="1"/>
      <protection locked="0"/>
    </xf>
    <xf numFmtId="0" fontId="12" fillId="0" borderId="23" xfId="1" applyFont="1" applyFill="1" applyBorder="1" applyAlignment="1" applyProtection="1">
      <alignment horizontal="left" vertical="top" wrapText="1"/>
      <protection locked="0"/>
    </xf>
    <xf numFmtId="0" fontId="12" fillId="0" borderId="17" xfId="1" applyFont="1" applyFill="1" applyBorder="1" applyAlignment="1" applyProtection="1">
      <alignment horizontal="left" vertical="top" wrapText="1"/>
      <protection locked="0"/>
    </xf>
    <xf numFmtId="14" fontId="6" fillId="0" borderId="7" xfId="1" applyNumberFormat="1" applyFont="1" applyFill="1" applyBorder="1" applyAlignment="1" applyProtection="1">
      <alignment horizontal="left" vertical="top" wrapText="1"/>
      <protection locked="0"/>
    </xf>
    <xf numFmtId="14" fontId="6" fillId="0" borderId="8" xfId="1" applyNumberFormat="1" applyFont="1" applyFill="1" applyBorder="1" applyAlignment="1" applyProtection="1">
      <alignment horizontal="left" vertical="top" wrapText="1"/>
      <protection locked="0"/>
    </xf>
    <xf numFmtId="0" fontId="6" fillId="0" borderId="16" xfId="1" applyFont="1" applyFill="1" applyBorder="1" applyAlignment="1" applyProtection="1">
      <alignment horizontal="left" vertical="top" wrapText="1"/>
      <protection locked="0"/>
    </xf>
    <xf numFmtId="0" fontId="6" fillId="0" borderId="17" xfId="1" applyFont="1" applyFill="1" applyBorder="1" applyAlignment="1" applyProtection="1">
      <alignment horizontal="left" vertical="top" wrapText="1"/>
      <protection locked="0"/>
    </xf>
    <xf numFmtId="0" fontId="6" fillId="0" borderId="18" xfId="1" applyFont="1" applyFill="1" applyBorder="1" applyAlignment="1" applyProtection="1">
      <alignment horizontal="left" vertical="top" wrapText="1"/>
      <protection locked="0"/>
    </xf>
    <xf numFmtId="0" fontId="6" fillId="0" borderId="19" xfId="1" applyFont="1" applyFill="1" applyBorder="1" applyAlignment="1" applyProtection="1">
      <alignment horizontal="left" vertical="top" wrapText="1"/>
      <protection locked="0"/>
    </xf>
    <xf numFmtId="0" fontId="6" fillId="0" borderId="7" xfId="1" applyFont="1" applyFill="1" applyBorder="1" applyAlignment="1" applyProtection="1">
      <alignment horizontal="left" vertical="top" wrapText="1"/>
      <protection locked="0"/>
    </xf>
    <xf numFmtId="0" fontId="6" fillId="0" borderId="20" xfId="1" applyFont="1" applyFill="1" applyBorder="1" applyAlignment="1" applyProtection="1">
      <alignment horizontal="left" vertical="top" wrapText="1"/>
      <protection locked="0"/>
    </xf>
    <xf numFmtId="0" fontId="6" fillId="0" borderId="8" xfId="1" applyFont="1" applyFill="1" applyBorder="1" applyAlignment="1" applyProtection="1">
      <alignment horizontal="left" vertical="top" wrapText="1"/>
      <protection locked="0"/>
    </xf>
    <xf numFmtId="165" fontId="6" fillId="0" borderId="1" xfId="1" applyNumberFormat="1" applyFont="1" applyFill="1" applyBorder="1" applyAlignment="1" applyProtection="1">
      <alignment horizontal="left" vertical="top"/>
      <protection locked="0"/>
    </xf>
    <xf numFmtId="2" fontId="6" fillId="0" borderId="1" xfId="1" applyNumberFormat="1" applyFont="1" applyFill="1" applyBorder="1" applyAlignment="1" applyProtection="1">
      <alignment horizontal="left" vertical="top"/>
      <protection locked="0"/>
    </xf>
    <xf numFmtId="0" fontId="7" fillId="0" borderId="1" xfId="1" applyFont="1" applyFill="1" applyBorder="1" applyAlignment="1" applyProtection="1">
      <alignment horizontal="left"/>
      <protection locked="0"/>
    </xf>
    <xf numFmtId="1" fontId="7" fillId="0" borderId="1" xfId="0" applyNumberFormat="1" applyFont="1" applyFill="1" applyBorder="1" applyAlignment="1" applyProtection="1">
      <alignment horizontal="center" vertical="top" wrapText="1"/>
      <protection locked="0"/>
    </xf>
    <xf numFmtId="0" fontId="10" fillId="0" borderId="1" xfId="0" applyFont="1" applyFill="1" applyBorder="1" applyAlignment="1" applyProtection="1">
      <alignment horizontal="center" vertical="center"/>
      <protection locked="0"/>
    </xf>
    <xf numFmtId="1" fontId="10" fillId="0" borderId="1" xfId="0" applyNumberFormat="1" applyFont="1" applyFill="1" applyBorder="1" applyAlignment="1" applyProtection="1">
      <alignment horizontal="center" vertical="top" wrapText="1"/>
      <protection locked="0"/>
    </xf>
    <xf numFmtId="1" fontId="8" fillId="2" borderId="7" xfId="1" applyNumberFormat="1" applyFont="1" applyFill="1" applyBorder="1" applyAlignment="1" applyProtection="1">
      <alignment horizontal="center" vertical="center" wrapText="1"/>
      <protection locked="0"/>
    </xf>
    <xf numFmtId="1" fontId="8" fillId="2" borderId="20" xfId="1" applyNumberFormat="1" applyFont="1" applyFill="1" applyBorder="1" applyAlignment="1" applyProtection="1">
      <alignment horizontal="center" vertical="center" wrapText="1"/>
      <protection locked="0"/>
    </xf>
    <xf numFmtId="1" fontId="8" fillId="2" borderId="8" xfId="1" applyNumberFormat="1" applyFont="1" applyFill="1" applyBorder="1" applyAlignment="1" applyProtection="1">
      <alignment horizontal="center" vertical="center" wrapText="1"/>
      <protection locked="0"/>
    </xf>
    <xf numFmtId="1" fontId="8" fillId="0" borderId="2" xfId="1" applyNumberFormat="1" applyFont="1" applyFill="1" applyBorder="1" applyAlignment="1" applyProtection="1">
      <alignment horizontal="center" vertical="top" wrapText="1"/>
      <protection locked="0"/>
    </xf>
    <xf numFmtId="1" fontId="8" fillId="0" borderId="15" xfId="1" applyNumberFormat="1" applyFont="1" applyFill="1" applyBorder="1" applyAlignment="1" applyProtection="1">
      <alignment horizontal="center" vertical="top" wrapText="1"/>
      <protection locked="0"/>
    </xf>
    <xf numFmtId="1" fontId="4" fillId="0" borderId="2" xfId="1" applyNumberFormat="1" applyFont="1" applyFill="1" applyBorder="1" applyAlignment="1" applyProtection="1">
      <alignment horizontal="center" vertical="top" wrapText="1"/>
      <protection locked="0"/>
    </xf>
    <xf numFmtId="1" fontId="4" fillId="0" borderId="15" xfId="1" applyNumberFormat="1" applyFont="1" applyFill="1" applyBorder="1" applyAlignment="1" applyProtection="1">
      <alignment horizontal="center" vertical="top" wrapText="1"/>
      <protection locked="0"/>
    </xf>
    <xf numFmtId="1" fontId="8" fillId="0" borderId="17" xfId="1" applyNumberFormat="1" applyFont="1" applyFill="1" applyBorder="1" applyAlignment="1" applyProtection="1">
      <alignment horizontal="center" vertical="top" wrapText="1"/>
      <protection locked="0"/>
    </xf>
    <xf numFmtId="1" fontId="8" fillId="0" borderId="19" xfId="1" applyNumberFormat="1" applyFont="1" applyFill="1" applyBorder="1" applyAlignment="1" applyProtection="1">
      <alignment horizontal="center" vertical="top" wrapText="1"/>
      <protection locked="0"/>
    </xf>
    <xf numFmtId="0" fontId="15" fillId="0" borderId="1" xfId="1" applyFont="1" applyFill="1" applyBorder="1" applyAlignment="1" applyProtection="1">
      <alignment horizontal="left" vertical="top"/>
      <protection locked="0"/>
    </xf>
    <xf numFmtId="0" fontId="7" fillId="0" borderId="1" xfId="0" applyFont="1" applyFill="1" applyBorder="1" applyAlignment="1" applyProtection="1">
      <alignment horizontal="center" vertical="center"/>
      <protection locked="0"/>
    </xf>
    <xf numFmtId="0" fontId="12" fillId="0" borderId="7" xfId="1" applyFont="1" applyFill="1" applyBorder="1" applyAlignment="1" applyProtection="1">
      <alignment horizontal="left" vertical="top" wrapText="1"/>
      <protection locked="0"/>
    </xf>
    <xf numFmtId="0" fontId="12" fillId="0" borderId="8" xfId="1" applyFont="1" applyFill="1" applyBorder="1" applyAlignment="1" applyProtection="1">
      <alignment horizontal="left" vertical="top" wrapText="1"/>
      <protection locked="0"/>
    </xf>
    <xf numFmtId="0" fontId="12" fillId="0" borderId="20" xfId="1" applyFont="1" applyFill="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167" fontId="15" fillId="0" borderId="1" xfId="9" applyNumberFormat="1" applyFont="1" applyFill="1" applyBorder="1" applyAlignment="1" applyProtection="1">
      <alignment horizontal="left" vertical="top"/>
      <protection locked="0"/>
    </xf>
    <xf numFmtId="0" fontId="13" fillId="0" borderId="7" xfId="1" applyFont="1" applyFill="1" applyBorder="1" applyAlignment="1" applyProtection="1">
      <alignment horizontal="left" vertical="top"/>
      <protection locked="0"/>
    </xf>
    <xf numFmtId="0" fontId="13" fillId="0" borderId="20" xfId="1" applyFont="1" applyFill="1" applyBorder="1" applyAlignment="1" applyProtection="1">
      <alignment horizontal="left" vertical="top"/>
      <protection locked="0"/>
    </xf>
    <xf numFmtId="0" fontId="13" fillId="0" borderId="8" xfId="1" applyFont="1" applyFill="1" applyBorder="1" applyAlignment="1" applyProtection="1">
      <alignment horizontal="left" vertical="top"/>
      <protection locked="0"/>
    </xf>
    <xf numFmtId="0" fontId="8" fillId="0" borderId="15" xfId="1" applyFont="1" applyFill="1" applyBorder="1" applyAlignment="1" applyProtection="1">
      <alignment horizontal="left" vertical="top"/>
      <protection locked="0"/>
    </xf>
    <xf numFmtId="1" fontId="6" fillId="0" borderId="23" xfId="1" applyNumberFormat="1" applyFont="1" applyFill="1" applyBorder="1" applyAlignment="1" applyProtection="1">
      <alignment horizontal="center" vertical="center" wrapText="1"/>
      <protection locked="0"/>
    </xf>
    <xf numFmtId="1" fontId="6" fillId="0" borderId="31" xfId="1" applyNumberFormat="1" applyFont="1" applyFill="1" applyBorder="1" applyAlignment="1" applyProtection="1">
      <alignment horizontal="center" vertical="center" wrapText="1"/>
      <protection locked="0"/>
    </xf>
    <xf numFmtId="1" fontId="8" fillId="0" borderId="1" xfId="0" applyNumberFormat="1" applyFont="1" applyFill="1" applyBorder="1" applyAlignment="1" applyProtection="1">
      <alignment horizontal="left" vertical="top" wrapText="1"/>
      <protection locked="0"/>
    </xf>
    <xf numFmtId="0" fontId="9" fillId="0" borderId="1" xfId="5" applyFont="1" applyBorder="1" applyAlignment="1">
      <alignment horizontal="left"/>
    </xf>
    <xf numFmtId="9" fontId="13" fillId="0" borderId="1" xfId="1" applyNumberFormat="1" applyFont="1" applyFill="1" applyBorder="1" applyAlignment="1" applyProtection="1">
      <alignment horizontal="center" vertical="center" wrapText="1"/>
      <protection locked="0"/>
    </xf>
    <xf numFmtId="0" fontId="13" fillId="0" borderId="1" xfId="1" applyFont="1" applyFill="1" applyBorder="1" applyAlignment="1" applyProtection="1">
      <alignment horizontal="center" vertical="center" wrapText="1"/>
      <protection locked="0"/>
    </xf>
    <xf numFmtId="9" fontId="7" fillId="0" borderId="1" xfId="8" applyFont="1" applyFill="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4"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162062</xdr:colOff>
      <xdr:row>360</xdr:row>
      <xdr:rowOff>159440</xdr:rowOff>
    </xdr:from>
    <xdr:to>
      <xdr:col>7</xdr:col>
      <xdr:colOff>117562</xdr:colOff>
      <xdr:row>376</xdr:row>
      <xdr:rowOff>19041</xdr:rowOff>
    </xdr:to>
    <xdr:pic>
      <xdr:nvPicPr>
        <xdr:cNvPr id="4" name="Picture 3"/>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24062" y="57135505"/>
          <a:ext cx="4883652" cy="3040122"/>
        </a:xfrm>
        <a:prstGeom prst="rect">
          <a:avLst/>
        </a:prstGeom>
        <a:ln>
          <a:solidFill>
            <a:schemeClr val="tx1"/>
          </a:solidFill>
        </a:ln>
      </xdr:spPr>
    </xdr:pic>
    <xdr:clientData/>
  </xdr:twoCellAnchor>
  <xdr:twoCellAnchor editAs="oneCell">
    <xdr:from>
      <xdr:col>1</xdr:col>
      <xdr:colOff>142334</xdr:colOff>
      <xdr:row>376</xdr:row>
      <xdr:rowOff>89835</xdr:rowOff>
    </xdr:from>
    <xdr:to>
      <xdr:col>7</xdr:col>
      <xdr:colOff>124889</xdr:colOff>
      <xdr:row>391</xdr:row>
      <xdr:rowOff>149460</xdr:rowOff>
    </xdr:to>
    <xdr:pic>
      <xdr:nvPicPr>
        <xdr:cNvPr id="5" name="Picture 4"/>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904334" y="60246422"/>
          <a:ext cx="4910707" cy="3041365"/>
        </a:xfrm>
        <a:prstGeom prst="rect">
          <a:avLst/>
        </a:prstGeom>
        <a:ln>
          <a:solidFill>
            <a:schemeClr val="tx1"/>
          </a:solidFill>
        </a:ln>
      </xdr:spPr>
    </xdr:pic>
    <xdr:clientData/>
  </xdr:twoCellAnchor>
  <xdr:twoCellAnchor>
    <xdr:from>
      <xdr:col>1</xdr:col>
      <xdr:colOff>6351</xdr:colOff>
      <xdr:row>325</xdr:row>
      <xdr:rowOff>0</xdr:rowOff>
    </xdr:from>
    <xdr:to>
      <xdr:col>7</xdr:col>
      <xdr:colOff>9562</xdr:colOff>
      <xdr:row>355</xdr:row>
      <xdr:rowOff>144650</xdr:rowOff>
    </xdr:to>
    <xdr:grpSp>
      <xdr:nvGrpSpPr>
        <xdr:cNvPr id="2" name="Group 1"/>
        <xdr:cNvGrpSpPr/>
      </xdr:nvGrpSpPr>
      <xdr:grpSpPr>
        <a:xfrm>
          <a:off x="806451" y="66687700"/>
          <a:ext cx="5178461" cy="6050150"/>
          <a:chOff x="768351" y="65868550"/>
          <a:chExt cx="4937161" cy="6218425"/>
        </a:xfrm>
      </xdr:grpSpPr>
      <xdr:pic>
        <xdr:nvPicPr>
          <xdr:cNvPr id="24" name="Picture 23"/>
          <xdr:cNvPicPr>
            <a:picLocks noChangeAspect="1"/>
          </xdr:cNvPicPr>
        </xdr:nvPicPr>
        <xdr:blipFill>
          <a:blip xmlns:r="http://schemas.openxmlformats.org/officeDocument/2006/relationships" r:embed="rId3"/>
          <a:stretch>
            <a:fillRect/>
          </a:stretch>
        </xdr:blipFill>
        <xdr:spPr>
          <a:xfrm>
            <a:off x="768351" y="65868550"/>
            <a:ext cx="4937161" cy="6218425"/>
          </a:xfrm>
          <a:prstGeom prst="rect">
            <a:avLst/>
          </a:prstGeom>
          <a:ln>
            <a:solidFill>
              <a:schemeClr val="tx1"/>
            </a:solidFill>
          </a:ln>
        </xdr:spPr>
      </xdr:pic>
      <xdr:sp macro="" textlink="">
        <xdr:nvSpPr>
          <xdr:cNvPr id="25" name="TextBox 24"/>
          <xdr:cNvSpPr txBox="1"/>
        </xdr:nvSpPr>
        <xdr:spPr>
          <a:xfrm>
            <a:off x="4248151" y="67417950"/>
            <a:ext cx="1170898"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Wing C (Zone C1)</a:t>
            </a:r>
          </a:p>
        </xdr:txBody>
      </xdr:sp>
      <xdr:cxnSp macro="">
        <xdr:nvCxnSpPr>
          <xdr:cNvPr id="6" name="Straight Arrow Connector 5"/>
          <xdr:cNvCxnSpPr/>
        </xdr:nvCxnSpPr>
        <xdr:spPr>
          <a:xfrm>
            <a:off x="4629150" y="67662425"/>
            <a:ext cx="38100" cy="5111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sp macro="" textlink="">
        <xdr:nvSpPr>
          <xdr:cNvPr id="28" name="TextBox 27"/>
          <xdr:cNvSpPr txBox="1"/>
        </xdr:nvSpPr>
        <xdr:spPr>
          <a:xfrm>
            <a:off x="2936876" y="68532375"/>
            <a:ext cx="1170898"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Wing C (Zone C2)</a:t>
            </a:r>
          </a:p>
        </xdr:txBody>
      </xdr:sp>
      <xdr:cxnSp macro="">
        <xdr:nvCxnSpPr>
          <xdr:cNvPr id="29" name="Straight Arrow Connector 28"/>
          <xdr:cNvCxnSpPr/>
        </xdr:nvCxnSpPr>
        <xdr:spPr>
          <a:xfrm>
            <a:off x="3473450" y="68799075"/>
            <a:ext cx="450850" cy="6127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sp macro="" textlink="">
        <xdr:nvSpPr>
          <xdr:cNvPr id="32" name="TextBox 31"/>
          <xdr:cNvSpPr txBox="1"/>
        </xdr:nvSpPr>
        <xdr:spPr>
          <a:xfrm>
            <a:off x="2752725" y="66306700"/>
            <a:ext cx="647700"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Wing B</a:t>
            </a:r>
          </a:p>
        </xdr:txBody>
      </xdr:sp>
      <xdr:cxnSp macro="">
        <xdr:nvCxnSpPr>
          <xdr:cNvPr id="33" name="Straight Arrow Connector 32"/>
          <xdr:cNvCxnSpPr/>
        </xdr:nvCxnSpPr>
        <xdr:spPr>
          <a:xfrm flipH="1">
            <a:off x="3013075" y="66554350"/>
            <a:ext cx="120649" cy="5461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sp macro="" textlink="">
        <xdr:nvSpPr>
          <xdr:cNvPr id="35" name="TextBox 34"/>
          <xdr:cNvSpPr txBox="1"/>
        </xdr:nvSpPr>
        <xdr:spPr>
          <a:xfrm>
            <a:off x="869950" y="65913000"/>
            <a:ext cx="647700"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Wing A</a:t>
            </a:r>
          </a:p>
        </xdr:txBody>
      </xdr:sp>
      <xdr:cxnSp macro="">
        <xdr:nvCxnSpPr>
          <xdr:cNvPr id="36" name="Straight Arrow Connector 35"/>
          <xdr:cNvCxnSpPr/>
        </xdr:nvCxnSpPr>
        <xdr:spPr>
          <a:xfrm>
            <a:off x="1250950" y="66160650"/>
            <a:ext cx="323850" cy="51435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8</xdr:col>
      <xdr:colOff>485775</xdr:colOff>
      <xdr:row>282</xdr:row>
      <xdr:rowOff>187325</xdr:rowOff>
    </xdr:from>
    <xdr:to>
      <xdr:col>8</xdr:col>
      <xdr:colOff>1190625</xdr:colOff>
      <xdr:row>284</xdr:row>
      <xdr:rowOff>59754</xdr:rowOff>
    </xdr:to>
    <xdr:sp macro="" textlink="">
      <xdr:nvSpPr>
        <xdr:cNvPr id="39" name="TextBox 35"/>
        <xdr:cNvSpPr txBox="1"/>
      </xdr:nvSpPr>
      <xdr:spPr>
        <a:xfrm>
          <a:off x="7331075" y="58727975"/>
          <a:ext cx="704850" cy="266129"/>
        </a:xfrm>
        <a:prstGeom prst="rect">
          <a:avLst/>
        </a:prstGeom>
        <a:solidFill>
          <a:schemeClr val="bg1">
            <a:lumMod val="7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B</a:t>
          </a:r>
          <a:endParaRPr lang="en-IN" sz="1200" b="1">
            <a:latin typeface="Times New Roman" panose="02020603050405020304" pitchFamily="18" charset="0"/>
            <a:cs typeface="Times New Roman" panose="02020603050405020304" pitchFamily="18" charset="0"/>
          </a:endParaRPr>
        </a:p>
      </xdr:txBody>
    </xdr:sp>
    <xdr:clientData/>
  </xdr:twoCellAnchor>
  <xdr:twoCellAnchor>
    <xdr:from>
      <xdr:col>10</xdr:col>
      <xdr:colOff>133349</xdr:colOff>
      <xdr:row>296</xdr:row>
      <xdr:rowOff>76200</xdr:rowOff>
    </xdr:from>
    <xdr:to>
      <xdr:col>10</xdr:col>
      <xdr:colOff>1028699</xdr:colOff>
      <xdr:row>297</xdr:row>
      <xdr:rowOff>142304</xdr:rowOff>
    </xdr:to>
    <xdr:sp macro="" textlink="">
      <xdr:nvSpPr>
        <xdr:cNvPr id="41" name="TextBox 35"/>
        <xdr:cNvSpPr txBox="1"/>
      </xdr:nvSpPr>
      <xdr:spPr>
        <a:xfrm>
          <a:off x="9334499" y="61372750"/>
          <a:ext cx="895350" cy="262954"/>
        </a:xfrm>
        <a:prstGeom prst="rect">
          <a:avLst/>
        </a:prstGeom>
        <a:solidFill>
          <a:schemeClr val="bg1">
            <a:lumMod val="7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baseline="0">
              <a:latin typeface="Times New Roman" panose="02020603050405020304" pitchFamily="18" charset="0"/>
              <a:cs typeface="Times New Roman" panose="02020603050405020304" pitchFamily="18" charset="0"/>
            </a:rPr>
            <a:t>Zone C2</a:t>
          </a:r>
          <a:endParaRPr lang="en-IN" sz="1200" b="1">
            <a:latin typeface="Times New Roman" panose="02020603050405020304" pitchFamily="18" charset="0"/>
            <a:cs typeface="Times New Roman" panose="02020603050405020304" pitchFamily="18" charset="0"/>
          </a:endParaRPr>
        </a:p>
      </xdr:txBody>
    </xdr:sp>
    <xdr:clientData/>
  </xdr:twoCellAnchor>
  <xdr:twoCellAnchor editAs="oneCell">
    <xdr:from>
      <xdr:col>11</xdr:col>
      <xdr:colOff>140804</xdr:colOff>
      <xdr:row>96</xdr:row>
      <xdr:rowOff>149087</xdr:rowOff>
    </xdr:from>
    <xdr:to>
      <xdr:col>16</xdr:col>
      <xdr:colOff>29084</xdr:colOff>
      <xdr:row>114</xdr:row>
      <xdr:rowOff>30934</xdr:rowOff>
    </xdr:to>
    <xdr:pic>
      <xdr:nvPicPr>
        <xdr:cNvPr id="44" name="Picture 43"/>
        <xdr:cNvPicPr>
          <a:picLocks noChangeAspect="1"/>
        </xdr:cNvPicPr>
      </xdr:nvPicPr>
      <xdr:blipFill>
        <a:blip xmlns:r="http://schemas.openxmlformats.org/officeDocument/2006/relationships" r:embed="rId4"/>
        <a:stretch>
          <a:fillRect/>
        </a:stretch>
      </xdr:blipFill>
      <xdr:spPr>
        <a:xfrm>
          <a:off x="9972261" y="22512130"/>
          <a:ext cx="3648584" cy="3057952"/>
        </a:xfrm>
        <a:prstGeom prst="rect">
          <a:avLst/>
        </a:prstGeom>
      </xdr:spPr>
    </xdr:pic>
    <xdr:clientData/>
  </xdr:twoCellAnchor>
  <xdr:twoCellAnchor>
    <xdr:from>
      <xdr:col>9</xdr:col>
      <xdr:colOff>0</xdr:colOff>
      <xdr:row>281</xdr:row>
      <xdr:rowOff>0</xdr:rowOff>
    </xdr:from>
    <xdr:to>
      <xdr:col>9</xdr:col>
      <xdr:colOff>869951</xdr:colOff>
      <xdr:row>282</xdr:row>
      <xdr:rowOff>73025</xdr:rowOff>
    </xdr:to>
    <xdr:sp macro="" textlink="">
      <xdr:nvSpPr>
        <xdr:cNvPr id="42" name="TextBox 35"/>
        <xdr:cNvSpPr txBox="1"/>
      </xdr:nvSpPr>
      <xdr:spPr>
        <a:xfrm>
          <a:off x="8064500" y="57810400"/>
          <a:ext cx="869951" cy="269875"/>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wrap="square" rtlCol="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Zone</a:t>
          </a:r>
          <a:r>
            <a:rPr lang="en-US" sz="1200" b="1" baseline="0">
              <a:latin typeface="Times New Roman" panose="02020603050405020304" pitchFamily="18" charset="0"/>
              <a:cs typeface="Times New Roman" panose="02020603050405020304" pitchFamily="18" charset="0"/>
            </a:rPr>
            <a:t> C1</a:t>
          </a:r>
          <a:endParaRPr lang="en-IN" sz="1200" b="1">
            <a:latin typeface="Times New Roman" panose="02020603050405020304" pitchFamily="18" charset="0"/>
            <a:cs typeface="Times New Roman" panose="02020603050405020304" pitchFamily="18" charset="0"/>
          </a:endParaRPr>
        </a:p>
      </xdr:txBody>
    </xdr:sp>
    <xdr:clientData/>
  </xdr:twoCellAnchor>
  <xdr:twoCellAnchor>
    <xdr:from>
      <xdr:col>12</xdr:col>
      <xdr:colOff>157358</xdr:colOff>
      <xdr:row>281</xdr:row>
      <xdr:rowOff>0</xdr:rowOff>
    </xdr:from>
    <xdr:to>
      <xdr:col>13</xdr:col>
      <xdr:colOff>201809</xdr:colOff>
      <xdr:row>282</xdr:row>
      <xdr:rowOff>73025</xdr:rowOff>
    </xdr:to>
    <xdr:sp macro="" textlink="">
      <xdr:nvSpPr>
        <xdr:cNvPr id="43" name="TextBox 35"/>
        <xdr:cNvSpPr txBox="1"/>
      </xdr:nvSpPr>
      <xdr:spPr>
        <a:xfrm>
          <a:off x="11212708" y="57810400"/>
          <a:ext cx="869951" cy="269875"/>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wrap="square" rtlCol="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Zone</a:t>
          </a:r>
          <a:r>
            <a:rPr lang="en-US" sz="1200" b="1" baseline="0">
              <a:latin typeface="Times New Roman" panose="02020603050405020304" pitchFamily="18" charset="0"/>
              <a:cs typeface="Times New Roman" panose="02020603050405020304" pitchFamily="18" charset="0"/>
            </a:rPr>
            <a:t> C2</a:t>
          </a:r>
          <a:endParaRPr lang="en-IN" sz="1200" b="1">
            <a:latin typeface="Times New Roman" panose="02020603050405020304" pitchFamily="18" charset="0"/>
            <a:cs typeface="Times New Roman" panose="02020603050405020304" pitchFamily="18" charset="0"/>
          </a:endParaRPr>
        </a:p>
      </xdr:txBody>
    </xdr:sp>
    <xdr:clientData/>
  </xdr:twoCellAnchor>
  <xdr:twoCellAnchor>
    <xdr:from>
      <xdr:col>9</xdr:col>
      <xdr:colOff>0</xdr:colOff>
      <xdr:row>285</xdr:row>
      <xdr:rowOff>0</xdr:rowOff>
    </xdr:from>
    <xdr:to>
      <xdr:col>9</xdr:col>
      <xdr:colOff>869951</xdr:colOff>
      <xdr:row>286</xdr:row>
      <xdr:rowOff>73025</xdr:rowOff>
    </xdr:to>
    <xdr:sp macro="" textlink="">
      <xdr:nvSpPr>
        <xdr:cNvPr id="34" name="TextBox 35"/>
        <xdr:cNvSpPr txBox="1"/>
      </xdr:nvSpPr>
      <xdr:spPr>
        <a:xfrm>
          <a:off x="8064500" y="58813700"/>
          <a:ext cx="869951" cy="2698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rtlCol="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Zone</a:t>
          </a:r>
          <a:r>
            <a:rPr lang="en-US" sz="1200" b="1" baseline="0">
              <a:latin typeface="Times New Roman" panose="02020603050405020304" pitchFamily="18" charset="0"/>
              <a:cs typeface="Times New Roman" panose="02020603050405020304" pitchFamily="18" charset="0"/>
            </a:rPr>
            <a:t> C1</a:t>
          </a:r>
          <a:endParaRPr lang="en-IN" sz="1200" b="1">
            <a:latin typeface="Times New Roman" panose="02020603050405020304" pitchFamily="18" charset="0"/>
            <a:cs typeface="Times New Roman" panose="02020603050405020304" pitchFamily="18" charset="0"/>
          </a:endParaRPr>
        </a:p>
      </xdr:txBody>
    </xdr:sp>
    <xdr:clientData/>
  </xdr:twoCellAnchor>
  <xdr:twoCellAnchor>
    <xdr:from>
      <xdr:col>10</xdr:col>
      <xdr:colOff>750344</xdr:colOff>
      <xdr:row>286</xdr:row>
      <xdr:rowOff>31750</xdr:rowOff>
    </xdr:from>
    <xdr:to>
      <xdr:col>11</xdr:col>
      <xdr:colOff>502695</xdr:colOff>
      <xdr:row>287</xdr:row>
      <xdr:rowOff>104775</xdr:rowOff>
    </xdr:to>
    <xdr:sp macro="" textlink="">
      <xdr:nvSpPr>
        <xdr:cNvPr id="37" name="TextBox 35"/>
        <xdr:cNvSpPr txBox="1"/>
      </xdr:nvSpPr>
      <xdr:spPr>
        <a:xfrm>
          <a:off x="9951494" y="59042300"/>
          <a:ext cx="869951" cy="2698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rtlCol="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Zone</a:t>
          </a:r>
          <a:r>
            <a:rPr lang="en-US" sz="1200" b="1" baseline="0">
              <a:latin typeface="Times New Roman" panose="02020603050405020304" pitchFamily="18" charset="0"/>
              <a:cs typeface="Times New Roman" panose="02020603050405020304" pitchFamily="18" charset="0"/>
            </a:rPr>
            <a:t> C2</a:t>
          </a:r>
          <a:endParaRPr lang="en-IN" sz="1200" b="1">
            <a:latin typeface="Times New Roman" panose="02020603050405020304" pitchFamily="18" charset="0"/>
            <a:cs typeface="Times New Roman" panose="02020603050405020304" pitchFamily="18" charset="0"/>
          </a:endParaRPr>
        </a:p>
      </xdr:txBody>
    </xdr:sp>
    <xdr:clientData/>
  </xdr:twoCellAnchor>
  <xdr:twoCellAnchor>
    <xdr:from>
      <xdr:col>0</xdr:col>
      <xdr:colOff>120650</xdr:colOff>
      <xdr:row>282</xdr:row>
      <xdr:rowOff>101600</xdr:rowOff>
    </xdr:from>
    <xdr:to>
      <xdr:col>7</xdr:col>
      <xdr:colOff>739525</xdr:colOff>
      <xdr:row>321</xdr:row>
      <xdr:rowOff>151400</xdr:rowOff>
    </xdr:to>
    <xdr:grpSp>
      <xdr:nvGrpSpPr>
        <xdr:cNvPr id="7" name="Group 6"/>
        <xdr:cNvGrpSpPr/>
      </xdr:nvGrpSpPr>
      <xdr:grpSpPr>
        <a:xfrm>
          <a:off x="120650" y="58324750"/>
          <a:ext cx="6594225" cy="7726950"/>
          <a:chOff x="120650" y="58324750"/>
          <a:chExt cx="6594225" cy="7726950"/>
        </a:xfrm>
      </xdr:grpSpPr>
      <xdr:pic>
        <xdr:nvPicPr>
          <xdr:cNvPr id="38" name="Picture 3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420600" y="63891700"/>
            <a:ext cx="2158000" cy="2160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420600" y="61612225"/>
            <a:ext cx="2158000" cy="2160000"/>
          </a:xfrm>
          <a:prstGeom prst="rect">
            <a:avLst/>
          </a:prstGeom>
          <a:ln>
            <a:solidFill>
              <a:schemeClr val="tx1"/>
            </a:solidFill>
          </a:ln>
        </xdr:spPr>
      </xdr:pic>
      <xdr:pic>
        <xdr:nvPicPr>
          <xdr:cNvPr id="57" name="Picture 5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58228" y="58324750"/>
            <a:ext cx="3165059" cy="3168000"/>
          </a:xfrm>
          <a:prstGeom prst="rect">
            <a:avLst/>
          </a:prstGeom>
          <a:ln>
            <a:solidFill>
              <a:schemeClr val="tx1"/>
            </a:solidFill>
          </a:ln>
        </xdr:spPr>
      </xdr:pic>
      <xdr:pic>
        <xdr:nvPicPr>
          <xdr:cNvPr id="58" name="Picture 5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455059" y="58324750"/>
            <a:ext cx="3165059" cy="3168000"/>
          </a:xfrm>
          <a:prstGeom prst="rect">
            <a:avLst/>
          </a:prstGeom>
          <a:ln>
            <a:solidFill>
              <a:schemeClr val="tx1"/>
            </a:solidFill>
          </a:ln>
        </xdr:spPr>
      </xdr:pic>
      <xdr:pic>
        <xdr:nvPicPr>
          <xdr:cNvPr id="59" name="Picture 5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720550" y="61612225"/>
            <a:ext cx="1994325" cy="2160000"/>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20650" y="61612225"/>
            <a:ext cx="2158000" cy="2160000"/>
          </a:xfrm>
          <a:prstGeom prst="rect">
            <a:avLst/>
          </a:prstGeom>
          <a:ln>
            <a:solidFill>
              <a:schemeClr val="tx1"/>
            </a:solidFill>
          </a:ln>
        </xdr:spPr>
      </xdr:pic>
      <xdr:sp macro="" textlink="">
        <xdr:nvSpPr>
          <xdr:cNvPr id="61" name="TextBox 35"/>
          <xdr:cNvSpPr txBox="1"/>
        </xdr:nvSpPr>
        <xdr:spPr>
          <a:xfrm>
            <a:off x="1631428" y="59251850"/>
            <a:ext cx="869951" cy="2698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rtlCol="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rgbClr val="FFFF00"/>
                </a:solidFill>
                <a:latin typeface="Times New Roman" panose="02020603050405020304" pitchFamily="18" charset="0"/>
                <a:cs typeface="Times New Roman" panose="02020603050405020304" pitchFamily="18" charset="0"/>
              </a:rPr>
              <a:t>Zone</a:t>
            </a:r>
            <a:r>
              <a:rPr lang="en-US" sz="1400" b="1" baseline="0">
                <a:solidFill>
                  <a:srgbClr val="FFFF00"/>
                </a:solidFill>
                <a:latin typeface="Times New Roman" panose="02020603050405020304" pitchFamily="18" charset="0"/>
                <a:cs typeface="Times New Roman" panose="02020603050405020304" pitchFamily="18" charset="0"/>
              </a:rPr>
              <a:t> C1</a:t>
            </a:r>
            <a:endParaRPr lang="en-IN" sz="1400" b="1">
              <a:solidFill>
                <a:srgbClr val="FFFF00"/>
              </a:solidFill>
              <a:latin typeface="Times New Roman" panose="02020603050405020304" pitchFamily="18" charset="0"/>
              <a:cs typeface="Times New Roman" panose="02020603050405020304" pitchFamily="18" charset="0"/>
            </a:endParaRPr>
          </a:p>
        </xdr:txBody>
      </xdr:sp>
      <xdr:sp macro="" textlink="">
        <xdr:nvSpPr>
          <xdr:cNvPr id="62" name="TextBox 35"/>
          <xdr:cNvSpPr txBox="1"/>
        </xdr:nvSpPr>
        <xdr:spPr>
          <a:xfrm>
            <a:off x="4540909" y="59416950"/>
            <a:ext cx="869951" cy="2698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rtlCol="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rgbClr val="FFFF00"/>
                </a:solidFill>
                <a:latin typeface="Times New Roman" panose="02020603050405020304" pitchFamily="18" charset="0"/>
                <a:cs typeface="Times New Roman" panose="02020603050405020304" pitchFamily="18" charset="0"/>
              </a:rPr>
              <a:t>Zone</a:t>
            </a:r>
            <a:r>
              <a:rPr lang="en-US" sz="1400" b="1" baseline="0">
                <a:solidFill>
                  <a:srgbClr val="FFFF00"/>
                </a:solidFill>
                <a:latin typeface="Times New Roman" panose="02020603050405020304" pitchFamily="18" charset="0"/>
                <a:cs typeface="Times New Roman" panose="02020603050405020304" pitchFamily="18" charset="0"/>
              </a:rPr>
              <a:t> C2</a:t>
            </a:r>
            <a:endParaRPr lang="en-IN" sz="1400" b="1">
              <a:solidFill>
                <a:srgbClr val="FFFF00"/>
              </a:solidFill>
              <a:latin typeface="Times New Roman" panose="02020603050405020304" pitchFamily="18" charset="0"/>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4218</xdr:colOff>
      <xdr:row>14</xdr:row>
      <xdr:rowOff>0</xdr:rowOff>
    </xdr:from>
    <xdr:to>
      <xdr:col>6</xdr:col>
      <xdr:colOff>8784</xdr:colOff>
      <xdr:row>32</xdr:row>
      <xdr:rowOff>171000</xdr:rowOff>
    </xdr:to>
    <xdr:pic>
      <xdr:nvPicPr>
        <xdr:cNvPr id="2" name="Picture 1"/>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86924" y="2678206"/>
          <a:ext cx="6403125" cy="3600000"/>
        </a:xfrm>
        <a:prstGeom prst="rect">
          <a:avLst/>
        </a:prstGeom>
      </xdr:spPr>
    </xdr:pic>
    <xdr:clientData/>
  </xdr:twoCellAnchor>
  <xdr:twoCellAnchor editAs="oneCell">
    <xdr:from>
      <xdr:col>1</xdr:col>
      <xdr:colOff>0</xdr:colOff>
      <xdr:row>34</xdr:row>
      <xdr:rowOff>69874</xdr:rowOff>
    </xdr:from>
    <xdr:to>
      <xdr:col>6</xdr:col>
      <xdr:colOff>4566</xdr:colOff>
      <xdr:row>53</xdr:row>
      <xdr:rowOff>50374</xdr:rowOff>
    </xdr:to>
    <xdr:pic>
      <xdr:nvPicPr>
        <xdr:cNvPr id="3" name="Picture 2"/>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82706" y="6558080"/>
          <a:ext cx="6403125" cy="3600000"/>
        </a:xfrm>
        <a:prstGeom prst="rect">
          <a:avLst/>
        </a:prstGeom>
      </xdr:spPr>
    </xdr:pic>
    <xdr:clientData/>
  </xdr:twoCellAnchor>
  <xdr:twoCellAnchor editAs="oneCell">
    <xdr:from>
      <xdr:col>6</xdr:col>
      <xdr:colOff>783625</xdr:colOff>
      <xdr:row>33</xdr:row>
      <xdr:rowOff>170281</xdr:rowOff>
    </xdr:from>
    <xdr:to>
      <xdr:col>16</xdr:col>
      <xdr:colOff>93427</xdr:colOff>
      <xdr:row>52</xdr:row>
      <xdr:rowOff>150781</xdr:rowOff>
    </xdr:to>
    <xdr:pic>
      <xdr:nvPicPr>
        <xdr:cNvPr id="4" name="Picture 3"/>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764890" y="6467987"/>
          <a:ext cx="6403125" cy="3600000"/>
        </a:xfrm>
        <a:prstGeom prst="rect">
          <a:avLst/>
        </a:prstGeom>
      </xdr:spPr>
    </xdr:pic>
    <xdr:clientData/>
  </xdr:twoCellAnchor>
  <xdr:twoCellAnchor editAs="oneCell">
    <xdr:from>
      <xdr:col>6</xdr:col>
      <xdr:colOff>695579</xdr:colOff>
      <xdr:row>14</xdr:row>
      <xdr:rowOff>0</xdr:rowOff>
    </xdr:from>
    <xdr:to>
      <xdr:col>16</xdr:col>
      <xdr:colOff>5381</xdr:colOff>
      <xdr:row>32</xdr:row>
      <xdr:rowOff>171000</xdr:rowOff>
    </xdr:to>
    <xdr:pic>
      <xdr:nvPicPr>
        <xdr:cNvPr id="5" name="Picture 4"/>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676844" y="2678206"/>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U3RDbNXx3ZBsH6AY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360"/>
  <sheetViews>
    <sheetView tabSelected="1" view="pageBreakPreview" topLeftCell="A93" zoomScaleNormal="100" zoomScaleSheetLayoutView="100" workbookViewId="0">
      <selection activeCell="C102" sqref="C102"/>
    </sheetView>
  </sheetViews>
  <sheetFormatPr defaultColWidth="9.1796875" defaultRowHeight="15.5" x14ac:dyDescent="0.35"/>
  <cols>
    <col min="1" max="1" width="11.453125" style="42" customWidth="1"/>
    <col min="2" max="2" width="12" style="42" customWidth="1"/>
    <col min="3" max="3" width="12.7265625" style="42" customWidth="1"/>
    <col min="4" max="4" width="14.1796875" style="42" customWidth="1"/>
    <col min="5" max="7" width="11.7265625" style="42" customWidth="1"/>
    <col min="8" max="8" width="12.453125" style="42" customWidth="1"/>
    <col min="9" max="9" width="17.453125" style="23" customWidth="1"/>
    <col min="10" max="10" width="16.26953125" style="23" customWidth="1"/>
    <col min="11" max="11" width="16" style="23" bestFit="1" customWidth="1"/>
    <col min="12" max="12" width="10.54296875" style="23" customWidth="1"/>
    <col min="13" max="13" width="11.81640625" style="23" customWidth="1"/>
    <col min="14" max="14" width="12.54296875" style="23" customWidth="1"/>
    <col min="15" max="15" width="9.81640625" style="23" customWidth="1"/>
    <col min="16" max="16" width="11.7265625" style="23" customWidth="1"/>
    <col min="17" max="247" width="9.1796875" style="23"/>
    <col min="248" max="248" width="8.7265625" style="23" customWidth="1"/>
    <col min="249" max="249" width="9.81640625" style="23" customWidth="1"/>
    <col min="250" max="250" width="14.453125" style="23" customWidth="1"/>
    <col min="251" max="251" width="7.26953125" style="23" customWidth="1"/>
    <col min="252" max="252" width="5.54296875" style="23" customWidth="1"/>
    <col min="253" max="253" width="9" style="23" customWidth="1"/>
    <col min="254" max="255" width="9.81640625" style="23" customWidth="1"/>
    <col min="256" max="256" width="11.1796875" style="23" customWidth="1"/>
    <col min="257" max="257" width="2.81640625" style="23" customWidth="1"/>
    <col min="258" max="258" width="3.54296875" style="23" customWidth="1"/>
    <col min="259" max="503" width="9.1796875" style="23"/>
    <col min="504" max="504" width="8.7265625" style="23" customWidth="1"/>
    <col min="505" max="505" width="9.81640625" style="23" customWidth="1"/>
    <col min="506" max="506" width="14.453125" style="23" customWidth="1"/>
    <col min="507" max="507" width="7.26953125" style="23" customWidth="1"/>
    <col min="508" max="508" width="5.54296875" style="23" customWidth="1"/>
    <col min="509" max="509" width="9" style="23" customWidth="1"/>
    <col min="510" max="511" width="9.81640625" style="23" customWidth="1"/>
    <col min="512" max="512" width="11.1796875" style="23" customWidth="1"/>
    <col min="513" max="513" width="2.81640625" style="23" customWidth="1"/>
    <col min="514" max="514" width="3.54296875" style="23" customWidth="1"/>
    <col min="515" max="759" width="9.1796875" style="23"/>
    <col min="760" max="760" width="8.7265625" style="23" customWidth="1"/>
    <col min="761" max="761" width="9.81640625" style="23" customWidth="1"/>
    <col min="762" max="762" width="14.453125" style="23" customWidth="1"/>
    <col min="763" max="763" width="7.26953125" style="23" customWidth="1"/>
    <col min="764" max="764" width="5.54296875" style="23" customWidth="1"/>
    <col min="765" max="765" width="9" style="23" customWidth="1"/>
    <col min="766" max="767" width="9.81640625" style="23" customWidth="1"/>
    <col min="768" max="768" width="11.1796875" style="23" customWidth="1"/>
    <col min="769" max="769" width="2.81640625" style="23" customWidth="1"/>
    <col min="770" max="770" width="3.54296875" style="23" customWidth="1"/>
    <col min="771" max="1015" width="9.1796875" style="23"/>
    <col min="1016" max="1016" width="8.7265625" style="23" customWidth="1"/>
    <col min="1017" max="1017" width="9.81640625" style="23" customWidth="1"/>
    <col min="1018" max="1018" width="14.453125" style="23" customWidth="1"/>
    <col min="1019" max="1019" width="7.26953125" style="23" customWidth="1"/>
    <col min="1020" max="1020" width="5.54296875" style="23" customWidth="1"/>
    <col min="1021" max="1021" width="9" style="23" customWidth="1"/>
    <col min="1022" max="1023" width="9.81640625" style="23" customWidth="1"/>
    <col min="1024" max="1024" width="11.1796875" style="23" customWidth="1"/>
    <col min="1025" max="1025" width="2.81640625" style="23" customWidth="1"/>
    <col min="1026" max="1026" width="3.54296875" style="23" customWidth="1"/>
    <col min="1027" max="1271" width="9.1796875" style="23"/>
    <col min="1272" max="1272" width="8.7265625" style="23" customWidth="1"/>
    <col min="1273" max="1273" width="9.81640625" style="23" customWidth="1"/>
    <col min="1274" max="1274" width="14.453125" style="23" customWidth="1"/>
    <col min="1275" max="1275" width="7.26953125" style="23" customWidth="1"/>
    <col min="1276" max="1276" width="5.54296875" style="23" customWidth="1"/>
    <col min="1277" max="1277" width="9" style="23" customWidth="1"/>
    <col min="1278" max="1279" width="9.81640625" style="23" customWidth="1"/>
    <col min="1280" max="1280" width="11.1796875" style="23" customWidth="1"/>
    <col min="1281" max="1281" width="2.81640625" style="23" customWidth="1"/>
    <col min="1282" max="1282" width="3.54296875" style="23" customWidth="1"/>
    <col min="1283" max="1527" width="9.1796875" style="23"/>
    <col min="1528" max="1528" width="8.7265625" style="23" customWidth="1"/>
    <col min="1529" max="1529" width="9.81640625" style="23" customWidth="1"/>
    <col min="1530" max="1530" width="14.453125" style="23" customWidth="1"/>
    <col min="1531" max="1531" width="7.26953125" style="23" customWidth="1"/>
    <col min="1532" max="1532" width="5.54296875" style="23" customWidth="1"/>
    <col min="1533" max="1533" width="9" style="23" customWidth="1"/>
    <col min="1534" max="1535" width="9.81640625" style="23" customWidth="1"/>
    <col min="1536" max="1536" width="11.1796875" style="23" customWidth="1"/>
    <col min="1537" max="1537" width="2.81640625" style="23" customWidth="1"/>
    <col min="1538" max="1538" width="3.54296875" style="23" customWidth="1"/>
    <col min="1539" max="1783" width="9.1796875" style="23"/>
    <col min="1784" max="1784" width="8.7265625" style="23" customWidth="1"/>
    <col min="1785" max="1785" width="9.81640625" style="23" customWidth="1"/>
    <col min="1786" max="1786" width="14.453125" style="23" customWidth="1"/>
    <col min="1787" max="1787" width="7.26953125" style="23" customWidth="1"/>
    <col min="1788" max="1788" width="5.54296875" style="23" customWidth="1"/>
    <col min="1789" max="1789" width="9" style="23" customWidth="1"/>
    <col min="1790" max="1791" width="9.81640625" style="23" customWidth="1"/>
    <col min="1792" max="1792" width="11.1796875" style="23" customWidth="1"/>
    <col min="1793" max="1793" width="2.81640625" style="23" customWidth="1"/>
    <col min="1794" max="1794" width="3.54296875" style="23" customWidth="1"/>
    <col min="1795" max="2039" width="9.1796875" style="23"/>
    <col min="2040" max="2040" width="8.7265625" style="23" customWidth="1"/>
    <col min="2041" max="2041" width="9.81640625" style="23" customWidth="1"/>
    <col min="2042" max="2042" width="14.453125" style="23" customWidth="1"/>
    <col min="2043" max="2043" width="7.26953125" style="23" customWidth="1"/>
    <col min="2044" max="2044" width="5.54296875" style="23" customWidth="1"/>
    <col min="2045" max="2045" width="9" style="23" customWidth="1"/>
    <col min="2046" max="2047" width="9.81640625" style="23" customWidth="1"/>
    <col min="2048" max="2048" width="11.1796875" style="23" customWidth="1"/>
    <col min="2049" max="2049" width="2.81640625" style="23" customWidth="1"/>
    <col min="2050" max="2050" width="3.54296875" style="23" customWidth="1"/>
    <col min="2051" max="2295" width="9.1796875" style="23"/>
    <col min="2296" max="2296" width="8.7265625" style="23" customWidth="1"/>
    <col min="2297" max="2297" width="9.81640625" style="23" customWidth="1"/>
    <col min="2298" max="2298" width="14.453125" style="23" customWidth="1"/>
    <col min="2299" max="2299" width="7.26953125" style="23" customWidth="1"/>
    <col min="2300" max="2300" width="5.54296875" style="23" customWidth="1"/>
    <col min="2301" max="2301" width="9" style="23" customWidth="1"/>
    <col min="2302" max="2303" width="9.81640625" style="23" customWidth="1"/>
    <col min="2304" max="2304" width="11.1796875" style="23" customWidth="1"/>
    <col min="2305" max="2305" width="2.81640625" style="23" customWidth="1"/>
    <col min="2306" max="2306" width="3.54296875" style="23" customWidth="1"/>
    <col min="2307" max="2551" width="9.1796875" style="23"/>
    <col min="2552" max="2552" width="8.7265625" style="23" customWidth="1"/>
    <col min="2553" max="2553" width="9.81640625" style="23" customWidth="1"/>
    <col min="2554" max="2554" width="14.453125" style="23" customWidth="1"/>
    <col min="2555" max="2555" width="7.26953125" style="23" customWidth="1"/>
    <col min="2556" max="2556" width="5.54296875" style="23" customWidth="1"/>
    <col min="2557" max="2557" width="9" style="23" customWidth="1"/>
    <col min="2558" max="2559" width="9.81640625" style="23" customWidth="1"/>
    <col min="2560" max="2560" width="11.1796875" style="23" customWidth="1"/>
    <col min="2561" max="2561" width="2.81640625" style="23" customWidth="1"/>
    <col min="2562" max="2562" width="3.54296875" style="23" customWidth="1"/>
    <col min="2563" max="2807" width="9.1796875" style="23"/>
    <col min="2808" max="2808" width="8.7265625" style="23" customWidth="1"/>
    <col min="2809" max="2809" width="9.81640625" style="23" customWidth="1"/>
    <col min="2810" max="2810" width="14.453125" style="23" customWidth="1"/>
    <col min="2811" max="2811" width="7.26953125" style="23" customWidth="1"/>
    <col min="2812" max="2812" width="5.54296875" style="23" customWidth="1"/>
    <col min="2813" max="2813" width="9" style="23" customWidth="1"/>
    <col min="2814" max="2815" width="9.81640625" style="23" customWidth="1"/>
    <col min="2816" max="2816" width="11.1796875" style="23" customWidth="1"/>
    <col min="2817" max="2817" width="2.81640625" style="23" customWidth="1"/>
    <col min="2818" max="2818" width="3.54296875" style="23" customWidth="1"/>
    <col min="2819" max="3063" width="9.1796875" style="23"/>
    <col min="3064" max="3064" width="8.7265625" style="23" customWidth="1"/>
    <col min="3065" max="3065" width="9.81640625" style="23" customWidth="1"/>
    <col min="3066" max="3066" width="14.453125" style="23" customWidth="1"/>
    <col min="3067" max="3067" width="7.26953125" style="23" customWidth="1"/>
    <col min="3068" max="3068" width="5.54296875" style="23" customWidth="1"/>
    <col min="3069" max="3069" width="9" style="23" customWidth="1"/>
    <col min="3070" max="3071" width="9.81640625" style="23" customWidth="1"/>
    <col min="3072" max="3072" width="11.1796875" style="23" customWidth="1"/>
    <col min="3073" max="3073" width="2.81640625" style="23" customWidth="1"/>
    <col min="3074" max="3074" width="3.54296875" style="23" customWidth="1"/>
    <col min="3075" max="3319" width="9.1796875" style="23"/>
    <col min="3320" max="3320" width="8.7265625" style="23" customWidth="1"/>
    <col min="3321" max="3321" width="9.81640625" style="23" customWidth="1"/>
    <col min="3322" max="3322" width="14.453125" style="23" customWidth="1"/>
    <col min="3323" max="3323" width="7.26953125" style="23" customWidth="1"/>
    <col min="3324" max="3324" width="5.54296875" style="23" customWidth="1"/>
    <col min="3325" max="3325" width="9" style="23" customWidth="1"/>
    <col min="3326" max="3327" width="9.81640625" style="23" customWidth="1"/>
    <col min="3328" max="3328" width="11.1796875" style="23" customWidth="1"/>
    <col min="3329" max="3329" width="2.81640625" style="23" customWidth="1"/>
    <col min="3330" max="3330" width="3.54296875" style="23" customWidth="1"/>
    <col min="3331" max="3575" width="9.1796875" style="23"/>
    <col min="3576" max="3576" width="8.7265625" style="23" customWidth="1"/>
    <col min="3577" max="3577" width="9.81640625" style="23" customWidth="1"/>
    <col min="3578" max="3578" width="14.453125" style="23" customWidth="1"/>
    <col min="3579" max="3579" width="7.26953125" style="23" customWidth="1"/>
    <col min="3580" max="3580" width="5.54296875" style="23" customWidth="1"/>
    <col min="3581" max="3581" width="9" style="23" customWidth="1"/>
    <col min="3582" max="3583" width="9.81640625" style="23" customWidth="1"/>
    <col min="3584" max="3584" width="11.1796875" style="23" customWidth="1"/>
    <col min="3585" max="3585" width="2.81640625" style="23" customWidth="1"/>
    <col min="3586" max="3586" width="3.54296875" style="23" customWidth="1"/>
    <col min="3587" max="3831" width="9.1796875" style="23"/>
    <col min="3832" max="3832" width="8.7265625" style="23" customWidth="1"/>
    <col min="3833" max="3833" width="9.81640625" style="23" customWidth="1"/>
    <col min="3834" max="3834" width="14.453125" style="23" customWidth="1"/>
    <col min="3835" max="3835" width="7.26953125" style="23" customWidth="1"/>
    <col min="3836" max="3836" width="5.54296875" style="23" customWidth="1"/>
    <col min="3837" max="3837" width="9" style="23" customWidth="1"/>
    <col min="3838" max="3839" width="9.81640625" style="23" customWidth="1"/>
    <col min="3840" max="3840" width="11.1796875" style="23" customWidth="1"/>
    <col min="3841" max="3841" width="2.81640625" style="23" customWidth="1"/>
    <col min="3842" max="3842" width="3.54296875" style="23" customWidth="1"/>
    <col min="3843" max="4087" width="9.1796875" style="23"/>
    <col min="4088" max="4088" width="8.7265625" style="23" customWidth="1"/>
    <col min="4089" max="4089" width="9.81640625" style="23" customWidth="1"/>
    <col min="4090" max="4090" width="14.453125" style="23" customWidth="1"/>
    <col min="4091" max="4091" width="7.26953125" style="23" customWidth="1"/>
    <col min="4092" max="4092" width="5.54296875" style="23" customWidth="1"/>
    <col min="4093" max="4093" width="9" style="23" customWidth="1"/>
    <col min="4094" max="4095" width="9.81640625" style="23" customWidth="1"/>
    <col min="4096" max="4096" width="11.1796875" style="23" customWidth="1"/>
    <col min="4097" max="4097" width="2.81640625" style="23" customWidth="1"/>
    <col min="4098" max="4098" width="3.54296875" style="23" customWidth="1"/>
    <col min="4099" max="4343" width="9.1796875" style="23"/>
    <col min="4344" max="4344" width="8.7265625" style="23" customWidth="1"/>
    <col min="4345" max="4345" width="9.81640625" style="23" customWidth="1"/>
    <col min="4346" max="4346" width="14.453125" style="23" customWidth="1"/>
    <col min="4347" max="4347" width="7.26953125" style="23" customWidth="1"/>
    <col min="4348" max="4348" width="5.54296875" style="23" customWidth="1"/>
    <col min="4349" max="4349" width="9" style="23" customWidth="1"/>
    <col min="4350" max="4351" width="9.81640625" style="23" customWidth="1"/>
    <col min="4352" max="4352" width="11.1796875" style="23" customWidth="1"/>
    <col min="4353" max="4353" width="2.81640625" style="23" customWidth="1"/>
    <col min="4354" max="4354" width="3.54296875" style="23" customWidth="1"/>
    <col min="4355" max="4599" width="9.1796875" style="23"/>
    <col min="4600" max="4600" width="8.7265625" style="23" customWidth="1"/>
    <col min="4601" max="4601" width="9.81640625" style="23" customWidth="1"/>
    <col min="4602" max="4602" width="14.453125" style="23" customWidth="1"/>
    <col min="4603" max="4603" width="7.26953125" style="23" customWidth="1"/>
    <col min="4604" max="4604" width="5.54296875" style="23" customWidth="1"/>
    <col min="4605" max="4605" width="9" style="23" customWidth="1"/>
    <col min="4606" max="4607" width="9.81640625" style="23" customWidth="1"/>
    <col min="4608" max="4608" width="11.1796875" style="23" customWidth="1"/>
    <col min="4609" max="4609" width="2.81640625" style="23" customWidth="1"/>
    <col min="4610" max="4610" width="3.54296875" style="23" customWidth="1"/>
    <col min="4611" max="4855" width="9.1796875" style="23"/>
    <col min="4856" max="4856" width="8.7265625" style="23" customWidth="1"/>
    <col min="4857" max="4857" width="9.81640625" style="23" customWidth="1"/>
    <col min="4858" max="4858" width="14.453125" style="23" customWidth="1"/>
    <col min="4859" max="4859" width="7.26953125" style="23" customWidth="1"/>
    <col min="4860" max="4860" width="5.54296875" style="23" customWidth="1"/>
    <col min="4861" max="4861" width="9" style="23" customWidth="1"/>
    <col min="4862" max="4863" width="9.81640625" style="23" customWidth="1"/>
    <col min="4864" max="4864" width="11.1796875" style="23" customWidth="1"/>
    <col min="4865" max="4865" width="2.81640625" style="23" customWidth="1"/>
    <col min="4866" max="4866" width="3.54296875" style="23" customWidth="1"/>
    <col min="4867" max="5111" width="9.1796875" style="23"/>
    <col min="5112" max="5112" width="8.7265625" style="23" customWidth="1"/>
    <col min="5113" max="5113" width="9.81640625" style="23" customWidth="1"/>
    <col min="5114" max="5114" width="14.453125" style="23" customWidth="1"/>
    <col min="5115" max="5115" width="7.26953125" style="23" customWidth="1"/>
    <col min="5116" max="5116" width="5.54296875" style="23" customWidth="1"/>
    <col min="5117" max="5117" width="9" style="23" customWidth="1"/>
    <col min="5118" max="5119" width="9.81640625" style="23" customWidth="1"/>
    <col min="5120" max="5120" width="11.1796875" style="23" customWidth="1"/>
    <col min="5121" max="5121" width="2.81640625" style="23" customWidth="1"/>
    <col min="5122" max="5122" width="3.54296875" style="23" customWidth="1"/>
    <col min="5123" max="5367" width="9.1796875" style="23"/>
    <col min="5368" max="5368" width="8.7265625" style="23" customWidth="1"/>
    <col min="5369" max="5369" width="9.81640625" style="23" customWidth="1"/>
    <col min="5370" max="5370" width="14.453125" style="23" customWidth="1"/>
    <col min="5371" max="5371" width="7.26953125" style="23" customWidth="1"/>
    <col min="5372" max="5372" width="5.54296875" style="23" customWidth="1"/>
    <col min="5373" max="5373" width="9" style="23" customWidth="1"/>
    <col min="5374" max="5375" width="9.81640625" style="23" customWidth="1"/>
    <col min="5376" max="5376" width="11.1796875" style="23" customWidth="1"/>
    <col min="5377" max="5377" width="2.81640625" style="23" customWidth="1"/>
    <col min="5378" max="5378" width="3.54296875" style="23" customWidth="1"/>
    <col min="5379" max="5623" width="9.1796875" style="23"/>
    <col min="5624" max="5624" width="8.7265625" style="23" customWidth="1"/>
    <col min="5625" max="5625" width="9.81640625" style="23" customWidth="1"/>
    <col min="5626" max="5626" width="14.453125" style="23" customWidth="1"/>
    <col min="5627" max="5627" width="7.26953125" style="23" customWidth="1"/>
    <col min="5628" max="5628" width="5.54296875" style="23" customWidth="1"/>
    <col min="5629" max="5629" width="9" style="23" customWidth="1"/>
    <col min="5630" max="5631" width="9.81640625" style="23" customWidth="1"/>
    <col min="5632" max="5632" width="11.1796875" style="23" customWidth="1"/>
    <col min="5633" max="5633" width="2.81640625" style="23" customWidth="1"/>
    <col min="5634" max="5634" width="3.54296875" style="23" customWidth="1"/>
    <col min="5635" max="5879" width="9.1796875" style="23"/>
    <col min="5880" max="5880" width="8.7265625" style="23" customWidth="1"/>
    <col min="5881" max="5881" width="9.81640625" style="23" customWidth="1"/>
    <col min="5882" max="5882" width="14.453125" style="23" customWidth="1"/>
    <col min="5883" max="5883" width="7.26953125" style="23" customWidth="1"/>
    <col min="5884" max="5884" width="5.54296875" style="23" customWidth="1"/>
    <col min="5885" max="5885" width="9" style="23" customWidth="1"/>
    <col min="5886" max="5887" width="9.81640625" style="23" customWidth="1"/>
    <col min="5888" max="5888" width="11.1796875" style="23" customWidth="1"/>
    <col min="5889" max="5889" width="2.81640625" style="23" customWidth="1"/>
    <col min="5890" max="5890" width="3.54296875" style="23" customWidth="1"/>
    <col min="5891" max="6135" width="9.1796875" style="23"/>
    <col min="6136" max="6136" width="8.7265625" style="23" customWidth="1"/>
    <col min="6137" max="6137" width="9.81640625" style="23" customWidth="1"/>
    <col min="6138" max="6138" width="14.453125" style="23" customWidth="1"/>
    <col min="6139" max="6139" width="7.26953125" style="23" customWidth="1"/>
    <col min="6140" max="6140" width="5.54296875" style="23" customWidth="1"/>
    <col min="6141" max="6141" width="9" style="23" customWidth="1"/>
    <col min="6142" max="6143" width="9.81640625" style="23" customWidth="1"/>
    <col min="6144" max="6144" width="11.1796875" style="23" customWidth="1"/>
    <col min="6145" max="6145" width="2.81640625" style="23" customWidth="1"/>
    <col min="6146" max="6146" width="3.54296875" style="23" customWidth="1"/>
    <col min="6147" max="6391" width="9.1796875" style="23"/>
    <col min="6392" max="6392" width="8.7265625" style="23" customWidth="1"/>
    <col min="6393" max="6393" width="9.81640625" style="23" customWidth="1"/>
    <col min="6394" max="6394" width="14.453125" style="23" customWidth="1"/>
    <col min="6395" max="6395" width="7.26953125" style="23" customWidth="1"/>
    <col min="6396" max="6396" width="5.54296875" style="23" customWidth="1"/>
    <col min="6397" max="6397" width="9" style="23" customWidth="1"/>
    <col min="6398" max="6399" width="9.81640625" style="23" customWidth="1"/>
    <col min="6400" max="6400" width="11.1796875" style="23" customWidth="1"/>
    <col min="6401" max="6401" width="2.81640625" style="23" customWidth="1"/>
    <col min="6402" max="6402" width="3.54296875" style="23" customWidth="1"/>
    <col min="6403" max="6647" width="9.1796875" style="23"/>
    <col min="6648" max="6648" width="8.7265625" style="23" customWidth="1"/>
    <col min="6649" max="6649" width="9.81640625" style="23" customWidth="1"/>
    <col min="6650" max="6650" width="14.453125" style="23" customWidth="1"/>
    <col min="6651" max="6651" width="7.26953125" style="23" customWidth="1"/>
    <col min="6652" max="6652" width="5.54296875" style="23" customWidth="1"/>
    <col min="6653" max="6653" width="9" style="23" customWidth="1"/>
    <col min="6654" max="6655" width="9.81640625" style="23" customWidth="1"/>
    <col min="6656" max="6656" width="11.1796875" style="23" customWidth="1"/>
    <col min="6657" max="6657" width="2.81640625" style="23" customWidth="1"/>
    <col min="6658" max="6658" width="3.54296875" style="23" customWidth="1"/>
    <col min="6659" max="6903" width="9.1796875" style="23"/>
    <col min="6904" max="6904" width="8.7265625" style="23" customWidth="1"/>
    <col min="6905" max="6905" width="9.81640625" style="23" customWidth="1"/>
    <col min="6906" max="6906" width="14.453125" style="23" customWidth="1"/>
    <col min="6907" max="6907" width="7.26953125" style="23" customWidth="1"/>
    <col min="6908" max="6908" width="5.54296875" style="23" customWidth="1"/>
    <col min="6909" max="6909" width="9" style="23" customWidth="1"/>
    <col min="6910" max="6911" width="9.81640625" style="23" customWidth="1"/>
    <col min="6912" max="6912" width="11.1796875" style="23" customWidth="1"/>
    <col min="6913" max="6913" width="2.81640625" style="23" customWidth="1"/>
    <col min="6914" max="6914" width="3.54296875" style="23" customWidth="1"/>
    <col min="6915" max="7159" width="9.1796875" style="23"/>
    <col min="7160" max="7160" width="8.7265625" style="23" customWidth="1"/>
    <col min="7161" max="7161" width="9.81640625" style="23" customWidth="1"/>
    <col min="7162" max="7162" width="14.453125" style="23" customWidth="1"/>
    <col min="7163" max="7163" width="7.26953125" style="23" customWidth="1"/>
    <col min="7164" max="7164" width="5.54296875" style="23" customWidth="1"/>
    <col min="7165" max="7165" width="9" style="23" customWidth="1"/>
    <col min="7166" max="7167" width="9.81640625" style="23" customWidth="1"/>
    <col min="7168" max="7168" width="11.1796875" style="23" customWidth="1"/>
    <col min="7169" max="7169" width="2.81640625" style="23" customWidth="1"/>
    <col min="7170" max="7170" width="3.54296875" style="23" customWidth="1"/>
    <col min="7171" max="7415" width="9.1796875" style="23"/>
    <col min="7416" max="7416" width="8.7265625" style="23" customWidth="1"/>
    <col min="7417" max="7417" width="9.81640625" style="23" customWidth="1"/>
    <col min="7418" max="7418" width="14.453125" style="23" customWidth="1"/>
    <col min="7419" max="7419" width="7.26953125" style="23" customWidth="1"/>
    <col min="7420" max="7420" width="5.54296875" style="23" customWidth="1"/>
    <col min="7421" max="7421" width="9" style="23" customWidth="1"/>
    <col min="7422" max="7423" width="9.81640625" style="23" customWidth="1"/>
    <col min="7424" max="7424" width="11.1796875" style="23" customWidth="1"/>
    <col min="7425" max="7425" width="2.81640625" style="23" customWidth="1"/>
    <col min="7426" max="7426" width="3.54296875" style="23" customWidth="1"/>
    <col min="7427" max="7671" width="9.1796875" style="23"/>
    <col min="7672" max="7672" width="8.7265625" style="23" customWidth="1"/>
    <col min="7673" max="7673" width="9.81640625" style="23" customWidth="1"/>
    <col min="7674" max="7674" width="14.453125" style="23" customWidth="1"/>
    <col min="7675" max="7675" width="7.26953125" style="23" customWidth="1"/>
    <col min="7676" max="7676" width="5.54296875" style="23" customWidth="1"/>
    <col min="7677" max="7677" width="9" style="23" customWidth="1"/>
    <col min="7678" max="7679" width="9.81640625" style="23" customWidth="1"/>
    <col min="7680" max="7680" width="11.1796875" style="23" customWidth="1"/>
    <col min="7681" max="7681" width="2.81640625" style="23" customWidth="1"/>
    <col min="7682" max="7682" width="3.54296875" style="23" customWidth="1"/>
    <col min="7683" max="7927" width="9.1796875" style="23"/>
    <col min="7928" max="7928" width="8.7265625" style="23" customWidth="1"/>
    <col min="7929" max="7929" width="9.81640625" style="23" customWidth="1"/>
    <col min="7930" max="7930" width="14.453125" style="23" customWidth="1"/>
    <col min="7931" max="7931" width="7.26953125" style="23" customWidth="1"/>
    <col min="7932" max="7932" width="5.54296875" style="23" customWidth="1"/>
    <col min="7933" max="7933" width="9" style="23" customWidth="1"/>
    <col min="7934" max="7935" width="9.81640625" style="23" customWidth="1"/>
    <col min="7936" max="7936" width="11.1796875" style="23" customWidth="1"/>
    <col min="7937" max="7937" width="2.81640625" style="23" customWidth="1"/>
    <col min="7938" max="7938" width="3.54296875" style="23" customWidth="1"/>
    <col min="7939" max="8183" width="9.1796875" style="23"/>
    <col min="8184" max="8184" width="8.7265625" style="23" customWidth="1"/>
    <col min="8185" max="8185" width="9.81640625" style="23" customWidth="1"/>
    <col min="8186" max="8186" width="14.453125" style="23" customWidth="1"/>
    <col min="8187" max="8187" width="7.26953125" style="23" customWidth="1"/>
    <col min="8188" max="8188" width="5.54296875" style="23" customWidth="1"/>
    <col min="8189" max="8189" width="9" style="23" customWidth="1"/>
    <col min="8190" max="8191" width="9.81640625" style="23" customWidth="1"/>
    <col min="8192" max="8192" width="11.1796875" style="23" customWidth="1"/>
    <col min="8193" max="8193" width="2.81640625" style="23" customWidth="1"/>
    <col min="8194" max="8194" width="3.54296875" style="23" customWidth="1"/>
    <col min="8195" max="8439" width="9.1796875" style="23"/>
    <col min="8440" max="8440" width="8.7265625" style="23" customWidth="1"/>
    <col min="8441" max="8441" width="9.81640625" style="23" customWidth="1"/>
    <col min="8442" max="8442" width="14.453125" style="23" customWidth="1"/>
    <col min="8443" max="8443" width="7.26953125" style="23" customWidth="1"/>
    <col min="8444" max="8444" width="5.54296875" style="23" customWidth="1"/>
    <col min="8445" max="8445" width="9" style="23" customWidth="1"/>
    <col min="8446" max="8447" width="9.81640625" style="23" customWidth="1"/>
    <col min="8448" max="8448" width="11.1796875" style="23" customWidth="1"/>
    <col min="8449" max="8449" width="2.81640625" style="23" customWidth="1"/>
    <col min="8450" max="8450" width="3.54296875" style="23" customWidth="1"/>
    <col min="8451" max="8695" width="9.1796875" style="23"/>
    <col min="8696" max="8696" width="8.7265625" style="23" customWidth="1"/>
    <col min="8697" max="8697" width="9.81640625" style="23" customWidth="1"/>
    <col min="8698" max="8698" width="14.453125" style="23" customWidth="1"/>
    <col min="8699" max="8699" width="7.26953125" style="23" customWidth="1"/>
    <col min="8700" max="8700" width="5.54296875" style="23" customWidth="1"/>
    <col min="8701" max="8701" width="9" style="23" customWidth="1"/>
    <col min="8702" max="8703" width="9.81640625" style="23" customWidth="1"/>
    <col min="8704" max="8704" width="11.1796875" style="23" customWidth="1"/>
    <col min="8705" max="8705" width="2.81640625" style="23" customWidth="1"/>
    <col min="8706" max="8706" width="3.54296875" style="23" customWidth="1"/>
    <col min="8707" max="8951" width="9.1796875" style="23"/>
    <col min="8952" max="8952" width="8.7265625" style="23" customWidth="1"/>
    <col min="8953" max="8953" width="9.81640625" style="23" customWidth="1"/>
    <col min="8954" max="8954" width="14.453125" style="23" customWidth="1"/>
    <col min="8955" max="8955" width="7.26953125" style="23" customWidth="1"/>
    <col min="8956" max="8956" width="5.54296875" style="23" customWidth="1"/>
    <col min="8957" max="8957" width="9" style="23" customWidth="1"/>
    <col min="8958" max="8959" width="9.81640625" style="23" customWidth="1"/>
    <col min="8960" max="8960" width="11.1796875" style="23" customWidth="1"/>
    <col min="8961" max="8961" width="2.81640625" style="23" customWidth="1"/>
    <col min="8962" max="8962" width="3.54296875" style="23" customWidth="1"/>
    <col min="8963" max="9207" width="9.1796875" style="23"/>
    <col min="9208" max="9208" width="8.7265625" style="23" customWidth="1"/>
    <col min="9209" max="9209" width="9.81640625" style="23" customWidth="1"/>
    <col min="9210" max="9210" width="14.453125" style="23" customWidth="1"/>
    <col min="9211" max="9211" width="7.26953125" style="23" customWidth="1"/>
    <col min="9212" max="9212" width="5.54296875" style="23" customWidth="1"/>
    <col min="9213" max="9213" width="9" style="23" customWidth="1"/>
    <col min="9214" max="9215" width="9.81640625" style="23" customWidth="1"/>
    <col min="9216" max="9216" width="11.1796875" style="23" customWidth="1"/>
    <col min="9217" max="9217" width="2.81640625" style="23" customWidth="1"/>
    <col min="9218" max="9218" width="3.54296875" style="23" customWidth="1"/>
    <col min="9219" max="9463" width="9.1796875" style="23"/>
    <col min="9464" max="9464" width="8.7265625" style="23" customWidth="1"/>
    <col min="9465" max="9465" width="9.81640625" style="23" customWidth="1"/>
    <col min="9466" max="9466" width="14.453125" style="23" customWidth="1"/>
    <col min="9467" max="9467" width="7.26953125" style="23" customWidth="1"/>
    <col min="9468" max="9468" width="5.54296875" style="23" customWidth="1"/>
    <col min="9469" max="9469" width="9" style="23" customWidth="1"/>
    <col min="9470" max="9471" width="9.81640625" style="23" customWidth="1"/>
    <col min="9472" max="9472" width="11.1796875" style="23" customWidth="1"/>
    <col min="9473" max="9473" width="2.81640625" style="23" customWidth="1"/>
    <col min="9474" max="9474" width="3.54296875" style="23" customWidth="1"/>
    <col min="9475" max="9719" width="9.1796875" style="23"/>
    <col min="9720" max="9720" width="8.7265625" style="23" customWidth="1"/>
    <col min="9721" max="9721" width="9.81640625" style="23" customWidth="1"/>
    <col min="9722" max="9722" width="14.453125" style="23" customWidth="1"/>
    <col min="9723" max="9723" width="7.26953125" style="23" customWidth="1"/>
    <col min="9724" max="9724" width="5.54296875" style="23" customWidth="1"/>
    <col min="9725" max="9725" width="9" style="23" customWidth="1"/>
    <col min="9726" max="9727" width="9.81640625" style="23" customWidth="1"/>
    <col min="9728" max="9728" width="11.1796875" style="23" customWidth="1"/>
    <col min="9729" max="9729" width="2.81640625" style="23" customWidth="1"/>
    <col min="9730" max="9730" width="3.54296875" style="23" customWidth="1"/>
    <col min="9731" max="9975" width="9.1796875" style="23"/>
    <col min="9976" max="9976" width="8.7265625" style="23" customWidth="1"/>
    <col min="9977" max="9977" width="9.81640625" style="23" customWidth="1"/>
    <col min="9978" max="9978" width="14.453125" style="23" customWidth="1"/>
    <col min="9979" max="9979" width="7.26953125" style="23" customWidth="1"/>
    <col min="9980" max="9980" width="5.54296875" style="23" customWidth="1"/>
    <col min="9981" max="9981" width="9" style="23" customWidth="1"/>
    <col min="9982" max="9983" width="9.81640625" style="23" customWidth="1"/>
    <col min="9984" max="9984" width="11.1796875" style="23" customWidth="1"/>
    <col min="9985" max="9985" width="2.81640625" style="23" customWidth="1"/>
    <col min="9986" max="9986" width="3.54296875" style="23" customWidth="1"/>
    <col min="9987" max="10231" width="9.1796875" style="23"/>
    <col min="10232" max="10232" width="8.7265625" style="23" customWidth="1"/>
    <col min="10233" max="10233" width="9.81640625" style="23" customWidth="1"/>
    <col min="10234" max="10234" width="14.453125" style="23" customWidth="1"/>
    <col min="10235" max="10235" width="7.26953125" style="23" customWidth="1"/>
    <col min="10236" max="10236" width="5.54296875" style="23" customWidth="1"/>
    <col min="10237" max="10237" width="9" style="23" customWidth="1"/>
    <col min="10238" max="10239" width="9.81640625" style="23" customWidth="1"/>
    <col min="10240" max="10240" width="11.1796875" style="23" customWidth="1"/>
    <col min="10241" max="10241" width="2.81640625" style="23" customWidth="1"/>
    <col min="10242" max="10242" width="3.54296875" style="23" customWidth="1"/>
    <col min="10243" max="10487" width="9.1796875" style="23"/>
    <col min="10488" max="10488" width="8.7265625" style="23" customWidth="1"/>
    <col min="10489" max="10489" width="9.81640625" style="23" customWidth="1"/>
    <col min="10490" max="10490" width="14.453125" style="23" customWidth="1"/>
    <col min="10491" max="10491" width="7.26953125" style="23" customWidth="1"/>
    <col min="10492" max="10492" width="5.54296875" style="23" customWidth="1"/>
    <col min="10493" max="10493" width="9" style="23" customWidth="1"/>
    <col min="10494" max="10495" width="9.81640625" style="23" customWidth="1"/>
    <col min="10496" max="10496" width="11.1796875" style="23" customWidth="1"/>
    <col min="10497" max="10497" width="2.81640625" style="23" customWidth="1"/>
    <col min="10498" max="10498" width="3.54296875" style="23" customWidth="1"/>
    <col min="10499" max="10743" width="9.1796875" style="23"/>
    <col min="10744" max="10744" width="8.7265625" style="23" customWidth="1"/>
    <col min="10745" max="10745" width="9.81640625" style="23" customWidth="1"/>
    <col min="10746" max="10746" width="14.453125" style="23" customWidth="1"/>
    <col min="10747" max="10747" width="7.26953125" style="23" customWidth="1"/>
    <col min="10748" max="10748" width="5.54296875" style="23" customWidth="1"/>
    <col min="10749" max="10749" width="9" style="23" customWidth="1"/>
    <col min="10750" max="10751" width="9.81640625" style="23" customWidth="1"/>
    <col min="10752" max="10752" width="11.1796875" style="23" customWidth="1"/>
    <col min="10753" max="10753" width="2.81640625" style="23" customWidth="1"/>
    <col min="10754" max="10754" width="3.54296875" style="23" customWidth="1"/>
    <col min="10755" max="10999" width="9.1796875" style="23"/>
    <col min="11000" max="11000" width="8.7265625" style="23" customWidth="1"/>
    <col min="11001" max="11001" width="9.81640625" style="23" customWidth="1"/>
    <col min="11002" max="11002" width="14.453125" style="23" customWidth="1"/>
    <col min="11003" max="11003" width="7.26953125" style="23" customWidth="1"/>
    <col min="11004" max="11004" width="5.54296875" style="23" customWidth="1"/>
    <col min="11005" max="11005" width="9" style="23" customWidth="1"/>
    <col min="11006" max="11007" width="9.81640625" style="23" customWidth="1"/>
    <col min="11008" max="11008" width="11.1796875" style="23" customWidth="1"/>
    <col min="11009" max="11009" width="2.81640625" style="23" customWidth="1"/>
    <col min="11010" max="11010" width="3.54296875" style="23" customWidth="1"/>
    <col min="11011" max="11255" width="9.1796875" style="23"/>
    <col min="11256" max="11256" width="8.7265625" style="23" customWidth="1"/>
    <col min="11257" max="11257" width="9.81640625" style="23" customWidth="1"/>
    <col min="11258" max="11258" width="14.453125" style="23" customWidth="1"/>
    <col min="11259" max="11259" width="7.26953125" style="23" customWidth="1"/>
    <col min="11260" max="11260" width="5.54296875" style="23" customWidth="1"/>
    <col min="11261" max="11261" width="9" style="23" customWidth="1"/>
    <col min="11262" max="11263" width="9.81640625" style="23" customWidth="1"/>
    <col min="11264" max="11264" width="11.1796875" style="23" customWidth="1"/>
    <col min="11265" max="11265" width="2.81640625" style="23" customWidth="1"/>
    <col min="11266" max="11266" width="3.54296875" style="23" customWidth="1"/>
    <col min="11267" max="11511" width="9.1796875" style="23"/>
    <col min="11512" max="11512" width="8.7265625" style="23" customWidth="1"/>
    <col min="11513" max="11513" width="9.81640625" style="23" customWidth="1"/>
    <col min="11514" max="11514" width="14.453125" style="23" customWidth="1"/>
    <col min="11515" max="11515" width="7.26953125" style="23" customWidth="1"/>
    <col min="11516" max="11516" width="5.54296875" style="23" customWidth="1"/>
    <col min="11517" max="11517" width="9" style="23" customWidth="1"/>
    <col min="11518" max="11519" width="9.81640625" style="23" customWidth="1"/>
    <col min="11520" max="11520" width="11.1796875" style="23" customWidth="1"/>
    <col min="11521" max="11521" width="2.81640625" style="23" customWidth="1"/>
    <col min="11522" max="11522" width="3.54296875" style="23" customWidth="1"/>
    <col min="11523" max="11767" width="9.1796875" style="23"/>
    <col min="11768" max="11768" width="8.7265625" style="23" customWidth="1"/>
    <col min="11769" max="11769" width="9.81640625" style="23" customWidth="1"/>
    <col min="11770" max="11770" width="14.453125" style="23" customWidth="1"/>
    <col min="11771" max="11771" width="7.26953125" style="23" customWidth="1"/>
    <col min="11772" max="11772" width="5.54296875" style="23" customWidth="1"/>
    <col min="11773" max="11773" width="9" style="23" customWidth="1"/>
    <col min="11774" max="11775" width="9.81640625" style="23" customWidth="1"/>
    <col min="11776" max="11776" width="11.1796875" style="23" customWidth="1"/>
    <col min="11777" max="11777" width="2.81640625" style="23" customWidth="1"/>
    <col min="11778" max="11778" width="3.54296875" style="23" customWidth="1"/>
    <col min="11779" max="12023" width="9.1796875" style="23"/>
    <col min="12024" max="12024" width="8.7265625" style="23" customWidth="1"/>
    <col min="12025" max="12025" width="9.81640625" style="23" customWidth="1"/>
    <col min="12026" max="12026" width="14.453125" style="23" customWidth="1"/>
    <col min="12027" max="12027" width="7.26953125" style="23" customWidth="1"/>
    <col min="12028" max="12028" width="5.54296875" style="23" customWidth="1"/>
    <col min="12029" max="12029" width="9" style="23" customWidth="1"/>
    <col min="12030" max="12031" width="9.81640625" style="23" customWidth="1"/>
    <col min="12032" max="12032" width="11.1796875" style="23" customWidth="1"/>
    <col min="12033" max="12033" width="2.81640625" style="23" customWidth="1"/>
    <col min="12034" max="12034" width="3.54296875" style="23" customWidth="1"/>
    <col min="12035" max="12279" width="9.1796875" style="23"/>
    <col min="12280" max="12280" width="8.7265625" style="23" customWidth="1"/>
    <col min="12281" max="12281" width="9.81640625" style="23" customWidth="1"/>
    <col min="12282" max="12282" width="14.453125" style="23" customWidth="1"/>
    <col min="12283" max="12283" width="7.26953125" style="23" customWidth="1"/>
    <col min="12284" max="12284" width="5.54296875" style="23" customWidth="1"/>
    <col min="12285" max="12285" width="9" style="23" customWidth="1"/>
    <col min="12286" max="12287" width="9.81640625" style="23" customWidth="1"/>
    <col min="12288" max="12288" width="11.1796875" style="23" customWidth="1"/>
    <col min="12289" max="12289" width="2.81640625" style="23" customWidth="1"/>
    <col min="12290" max="12290" width="3.54296875" style="23" customWidth="1"/>
    <col min="12291" max="12535" width="9.1796875" style="23"/>
    <col min="12536" max="12536" width="8.7265625" style="23" customWidth="1"/>
    <col min="12537" max="12537" width="9.81640625" style="23" customWidth="1"/>
    <col min="12538" max="12538" width="14.453125" style="23" customWidth="1"/>
    <col min="12539" max="12539" width="7.26953125" style="23" customWidth="1"/>
    <col min="12540" max="12540" width="5.54296875" style="23" customWidth="1"/>
    <col min="12541" max="12541" width="9" style="23" customWidth="1"/>
    <col min="12542" max="12543" width="9.81640625" style="23" customWidth="1"/>
    <col min="12544" max="12544" width="11.1796875" style="23" customWidth="1"/>
    <col min="12545" max="12545" width="2.81640625" style="23" customWidth="1"/>
    <col min="12546" max="12546" width="3.54296875" style="23" customWidth="1"/>
    <col min="12547" max="12791" width="9.1796875" style="23"/>
    <col min="12792" max="12792" width="8.7265625" style="23" customWidth="1"/>
    <col min="12793" max="12793" width="9.81640625" style="23" customWidth="1"/>
    <col min="12794" max="12794" width="14.453125" style="23" customWidth="1"/>
    <col min="12795" max="12795" width="7.26953125" style="23" customWidth="1"/>
    <col min="12796" max="12796" width="5.54296875" style="23" customWidth="1"/>
    <col min="12797" max="12797" width="9" style="23" customWidth="1"/>
    <col min="12798" max="12799" width="9.81640625" style="23" customWidth="1"/>
    <col min="12800" max="12800" width="11.1796875" style="23" customWidth="1"/>
    <col min="12801" max="12801" width="2.81640625" style="23" customWidth="1"/>
    <col min="12802" max="12802" width="3.54296875" style="23" customWidth="1"/>
    <col min="12803" max="13047" width="9.1796875" style="23"/>
    <col min="13048" max="13048" width="8.7265625" style="23" customWidth="1"/>
    <col min="13049" max="13049" width="9.81640625" style="23" customWidth="1"/>
    <col min="13050" max="13050" width="14.453125" style="23" customWidth="1"/>
    <col min="13051" max="13051" width="7.26953125" style="23" customWidth="1"/>
    <col min="13052" max="13052" width="5.54296875" style="23" customWidth="1"/>
    <col min="13053" max="13053" width="9" style="23" customWidth="1"/>
    <col min="13054" max="13055" width="9.81640625" style="23" customWidth="1"/>
    <col min="13056" max="13056" width="11.1796875" style="23" customWidth="1"/>
    <col min="13057" max="13057" width="2.81640625" style="23" customWidth="1"/>
    <col min="13058" max="13058" width="3.54296875" style="23" customWidth="1"/>
    <col min="13059" max="13303" width="9.1796875" style="23"/>
    <col min="13304" max="13304" width="8.7265625" style="23" customWidth="1"/>
    <col min="13305" max="13305" width="9.81640625" style="23" customWidth="1"/>
    <col min="13306" max="13306" width="14.453125" style="23" customWidth="1"/>
    <col min="13307" max="13307" width="7.26953125" style="23" customWidth="1"/>
    <col min="13308" max="13308" width="5.54296875" style="23" customWidth="1"/>
    <col min="13309" max="13309" width="9" style="23" customWidth="1"/>
    <col min="13310" max="13311" width="9.81640625" style="23" customWidth="1"/>
    <col min="13312" max="13312" width="11.1796875" style="23" customWidth="1"/>
    <col min="13313" max="13313" width="2.81640625" style="23" customWidth="1"/>
    <col min="13314" max="13314" width="3.54296875" style="23" customWidth="1"/>
    <col min="13315" max="13559" width="9.1796875" style="23"/>
    <col min="13560" max="13560" width="8.7265625" style="23" customWidth="1"/>
    <col min="13561" max="13561" width="9.81640625" style="23" customWidth="1"/>
    <col min="13562" max="13562" width="14.453125" style="23" customWidth="1"/>
    <col min="13563" max="13563" width="7.26953125" style="23" customWidth="1"/>
    <col min="13564" max="13564" width="5.54296875" style="23" customWidth="1"/>
    <col min="13565" max="13565" width="9" style="23" customWidth="1"/>
    <col min="13566" max="13567" width="9.81640625" style="23" customWidth="1"/>
    <col min="13568" max="13568" width="11.1796875" style="23" customWidth="1"/>
    <col min="13569" max="13569" width="2.81640625" style="23" customWidth="1"/>
    <col min="13570" max="13570" width="3.54296875" style="23" customWidth="1"/>
    <col min="13571" max="13815" width="9.1796875" style="23"/>
    <col min="13816" max="13816" width="8.7265625" style="23" customWidth="1"/>
    <col min="13817" max="13817" width="9.81640625" style="23" customWidth="1"/>
    <col min="13818" max="13818" width="14.453125" style="23" customWidth="1"/>
    <col min="13819" max="13819" width="7.26953125" style="23" customWidth="1"/>
    <col min="13820" max="13820" width="5.54296875" style="23" customWidth="1"/>
    <col min="13821" max="13821" width="9" style="23" customWidth="1"/>
    <col min="13822" max="13823" width="9.81640625" style="23" customWidth="1"/>
    <col min="13824" max="13824" width="11.1796875" style="23" customWidth="1"/>
    <col min="13825" max="13825" width="2.81640625" style="23" customWidth="1"/>
    <col min="13826" max="13826" width="3.54296875" style="23" customWidth="1"/>
    <col min="13827" max="14071" width="9.1796875" style="23"/>
    <col min="14072" max="14072" width="8.7265625" style="23" customWidth="1"/>
    <col min="14073" max="14073" width="9.81640625" style="23" customWidth="1"/>
    <col min="14074" max="14074" width="14.453125" style="23" customWidth="1"/>
    <col min="14075" max="14075" width="7.26953125" style="23" customWidth="1"/>
    <col min="14076" max="14076" width="5.54296875" style="23" customWidth="1"/>
    <col min="14077" max="14077" width="9" style="23" customWidth="1"/>
    <col min="14078" max="14079" width="9.81640625" style="23" customWidth="1"/>
    <col min="14080" max="14080" width="11.1796875" style="23" customWidth="1"/>
    <col min="14081" max="14081" width="2.81640625" style="23" customWidth="1"/>
    <col min="14082" max="14082" width="3.54296875" style="23" customWidth="1"/>
    <col min="14083" max="14327" width="9.1796875" style="23"/>
    <col min="14328" max="14328" width="8.7265625" style="23" customWidth="1"/>
    <col min="14329" max="14329" width="9.81640625" style="23" customWidth="1"/>
    <col min="14330" max="14330" width="14.453125" style="23" customWidth="1"/>
    <col min="14331" max="14331" width="7.26953125" style="23" customWidth="1"/>
    <col min="14332" max="14332" width="5.54296875" style="23" customWidth="1"/>
    <col min="14333" max="14333" width="9" style="23" customWidth="1"/>
    <col min="14334" max="14335" width="9.81640625" style="23" customWidth="1"/>
    <col min="14336" max="14336" width="11.1796875" style="23" customWidth="1"/>
    <col min="14337" max="14337" width="2.81640625" style="23" customWidth="1"/>
    <col min="14338" max="14338" width="3.54296875" style="23" customWidth="1"/>
    <col min="14339" max="14583" width="9.1796875" style="23"/>
    <col min="14584" max="14584" width="8.7265625" style="23" customWidth="1"/>
    <col min="14585" max="14585" width="9.81640625" style="23" customWidth="1"/>
    <col min="14586" max="14586" width="14.453125" style="23" customWidth="1"/>
    <col min="14587" max="14587" width="7.26953125" style="23" customWidth="1"/>
    <col min="14588" max="14588" width="5.54296875" style="23" customWidth="1"/>
    <col min="14589" max="14589" width="9" style="23" customWidth="1"/>
    <col min="14590" max="14591" width="9.81640625" style="23" customWidth="1"/>
    <col min="14592" max="14592" width="11.1796875" style="23" customWidth="1"/>
    <col min="14593" max="14593" width="2.81640625" style="23" customWidth="1"/>
    <col min="14594" max="14594" width="3.54296875" style="23" customWidth="1"/>
    <col min="14595" max="14839" width="9.1796875" style="23"/>
    <col min="14840" max="14840" width="8.7265625" style="23" customWidth="1"/>
    <col min="14841" max="14841" width="9.81640625" style="23" customWidth="1"/>
    <col min="14842" max="14842" width="14.453125" style="23" customWidth="1"/>
    <col min="14843" max="14843" width="7.26953125" style="23" customWidth="1"/>
    <col min="14844" max="14844" width="5.54296875" style="23" customWidth="1"/>
    <col min="14845" max="14845" width="9" style="23" customWidth="1"/>
    <col min="14846" max="14847" width="9.81640625" style="23" customWidth="1"/>
    <col min="14848" max="14848" width="11.1796875" style="23" customWidth="1"/>
    <col min="14849" max="14849" width="2.81640625" style="23" customWidth="1"/>
    <col min="14850" max="14850" width="3.54296875" style="23" customWidth="1"/>
    <col min="14851" max="15095" width="9.1796875" style="23"/>
    <col min="15096" max="15096" width="8.7265625" style="23" customWidth="1"/>
    <col min="15097" max="15097" width="9.81640625" style="23" customWidth="1"/>
    <col min="15098" max="15098" width="14.453125" style="23" customWidth="1"/>
    <col min="15099" max="15099" width="7.26953125" style="23" customWidth="1"/>
    <col min="15100" max="15100" width="5.54296875" style="23" customWidth="1"/>
    <col min="15101" max="15101" width="9" style="23" customWidth="1"/>
    <col min="15102" max="15103" width="9.81640625" style="23" customWidth="1"/>
    <col min="15104" max="15104" width="11.1796875" style="23" customWidth="1"/>
    <col min="15105" max="15105" width="2.81640625" style="23" customWidth="1"/>
    <col min="15106" max="15106" width="3.54296875" style="23" customWidth="1"/>
    <col min="15107" max="15351" width="9.1796875" style="23"/>
    <col min="15352" max="15352" width="8.7265625" style="23" customWidth="1"/>
    <col min="15353" max="15353" width="9.81640625" style="23" customWidth="1"/>
    <col min="15354" max="15354" width="14.453125" style="23" customWidth="1"/>
    <col min="15355" max="15355" width="7.26953125" style="23" customWidth="1"/>
    <col min="15356" max="15356" width="5.54296875" style="23" customWidth="1"/>
    <col min="15357" max="15357" width="9" style="23" customWidth="1"/>
    <col min="15358" max="15359" width="9.81640625" style="23" customWidth="1"/>
    <col min="15360" max="15360" width="11.1796875" style="23" customWidth="1"/>
    <col min="15361" max="15361" width="2.81640625" style="23" customWidth="1"/>
    <col min="15362" max="15362" width="3.54296875" style="23" customWidth="1"/>
    <col min="15363" max="15607" width="9.1796875" style="23"/>
    <col min="15608" max="15608" width="8.7265625" style="23" customWidth="1"/>
    <col min="15609" max="15609" width="9.81640625" style="23" customWidth="1"/>
    <col min="15610" max="15610" width="14.453125" style="23" customWidth="1"/>
    <col min="15611" max="15611" width="7.26953125" style="23" customWidth="1"/>
    <col min="15612" max="15612" width="5.54296875" style="23" customWidth="1"/>
    <col min="15613" max="15613" width="9" style="23" customWidth="1"/>
    <col min="15614" max="15615" width="9.81640625" style="23" customWidth="1"/>
    <col min="15616" max="15616" width="11.1796875" style="23" customWidth="1"/>
    <col min="15617" max="15617" width="2.81640625" style="23" customWidth="1"/>
    <col min="15618" max="15618" width="3.54296875" style="23" customWidth="1"/>
    <col min="15619" max="15863" width="9.1796875" style="23"/>
    <col min="15864" max="15864" width="8.7265625" style="23" customWidth="1"/>
    <col min="15865" max="15865" width="9.81640625" style="23" customWidth="1"/>
    <col min="15866" max="15866" width="14.453125" style="23" customWidth="1"/>
    <col min="15867" max="15867" width="7.26953125" style="23" customWidth="1"/>
    <col min="15868" max="15868" width="5.54296875" style="23" customWidth="1"/>
    <col min="15869" max="15869" width="9" style="23" customWidth="1"/>
    <col min="15870" max="15871" width="9.81640625" style="23" customWidth="1"/>
    <col min="15872" max="15872" width="11.1796875" style="23" customWidth="1"/>
    <col min="15873" max="15873" width="2.81640625" style="23" customWidth="1"/>
    <col min="15874" max="15874" width="3.54296875" style="23" customWidth="1"/>
    <col min="15875" max="16119" width="9.1796875" style="23"/>
    <col min="16120" max="16120" width="8.7265625" style="23" customWidth="1"/>
    <col min="16121" max="16121" width="9.81640625" style="23" customWidth="1"/>
    <col min="16122" max="16122" width="14.453125" style="23" customWidth="1"/>
    <col min="16123" max="16123" width="7.26953125" style="23" customWidth="1"/>
    <col min="16124" max="16124" width="5.54296875" style="23" customWidth="1"/>
    <col min="16125" max="16125" width="9" style="23" customWidth="1"/>
    <col min="16126" max="16127" width="9.81640625" style="23" customWidth="1"/>
    <col min="16128" max="16128" width="11.1796875" style="23" customWidth="1"/>
    <col min="16129" max="16129" width="2.81640625" style="23" customWidth="1"/>
    <col min="16130" max="16130" width="3.54296875" style="23" customWidth="1"/>
    <col min="16131" max="16384" width="9.1796875" style="23"/>
  </cols>
  <sheetData>
    <row r="1" spans="1:8" ht="46.5" customHeight="1" x14ac:dyDescent="0.35">
      <c r="A1" s="148" t="s">
        <v>222</v>
      </c>
      <c r="B1" s="148"/>
      <c r="C1" s="148"/>
      <c r="D1" s="148"/>
      <c r="E1" s="148"/>
      <c r="F1" s="148"/>
      <c r="G1" s="148"/>
      <c r="H1" s="148"/>
    </row>
    <row r="2" spans="1:8" ht="16.5" customHeight="1" x14ac:dyDescent="0.35">
      <c r="A2" s="146" t="s">
        <v>0</v>
      </c>
      <c r="B2" s="146"/>
      <c r="C2" s="146"/>
      <c r="D2" s="146"/>
      <c r="E2" s="146"/>
      <c r="F2" s="146"/>
      <c r="G2" s="146"/>
      <c r="H2" s="146"/>
    </row>
    <row r="3" spans="1:8" x14ac:dyDescent="0.35">
      <c r="A3" s="127" t="s">
        <v>1</v>
      </c>
      <c r="B3" s="127"/>
      <c r="C3" s="127"/>
      <c r="D3" s="127"/>
      <c r="E3" s="149" t="str">
        <f ca="1">TEXT(TODAY(),"DD/MM/YYYY")</f>
        <v>23/09/2025</v>
      </c>
      <c r="F3" s="127"/>
      <c r="G3" s="127"/>
      <c r="H3" s="127"/>
    </row>
    <row r="4" spans="1:8" ht="15" customHeight="1" x14ac:dyDescent="0.35">
      <c r="A4" s="127" t="s">
        <v>2</v>
      </c>
      <c r="B4" s="127"/>
      <c r="C4" s="127"/>
      <c r="D4" s="127"/>
      <c r="E4" s="127" t="s">
        <v>159</v>
      </c>
      <c r="F4" s="127"/>
      <c r="G4" s="127"/>
      <c r="H4" s="127"/>
    </row>
    <row r="5" spans="1:8" x14ac:dyDescent="0.35">
      <c r="A5" s="127" t="s">
        <v>3</v>
      </c>
      <c r="B5" s="127"/>
      <c r="C5" s="127"/>
      <c r="D5" s="127"/>
      <c r="E5" s="149">
        <v>45923</v>
      </c>
      <c r="F5" s="127"/>
      <c r="G5" s="127"/>
      <c r="H5" s="127"/>
    </row>
    <row r="6" spans="1:8" ht="16.5" customHeight="1" x14ac:dyDescent="0.35">
      <c r="A6" s="127" t="s">
        <v>4</v>
      </c>
      <c r="B6" s="127"/>
      <c r="C6" s="127"/>
      <c r="D6" s="127"/>
      <c r="E6" s="127" t="s">
        <v>160</v>
      </c>
      <c r="F6" s="127"/>
      <c r="G6" s="127"/>
      <c r="H6" s="127"/>
    </row>
    <row r="7" spans="1:8" ht="15" customHeight="1" x14ac:dyDescent="0.35">
      <c r="A7" s="127" t="s">
        <v>5</v>
      </c>
      <c r="B7" s="127"/>
      <c r="C7" s="127"/>
      <c r="D7" s="127"/>
      <c r="E7" s="127" t="str">
        <f>E6</f>
        <v>Shiv Krupa Enterprise</v>
      </c>
      <c r="F7" s="127"/>
      <c r="G7" s="127"/>
      <c r="H7" s="127"/>
    </row>
    <row r="8" spans="1:8" x14ac:dyDescent="0.35">
      <c r="A8" s="127" t="s">
        <v>6</v>
      </c>
      <c r="B8" s="127"/>
      <c r="C8" s="127"/>
      <c r="D8" s="127"/>
      <c r="E8" s="83" t="s">
        <v>206</v>
      </c>
      <c r="F8" s="83"/>
      <c r="G8" s="83"/>
      <c r="H8" s="83"/>
    </row>
    <row r="9" spans="1:8" x14ac:dyDescent="0.35">
      <c r="A9" s="127" t="s">
        <v>116</v>
      </c>
      <c r="B9" s="127"/>
      <c r="C9" s="127"/>
      <c r="D9" s="127"/>
      <c r="E9" s="127" t="s">
        <v>247</v>
      </c>
      <c r="F9" s="127"/>
      <c r="G9" s="127"/>
      <c r="H9" s="127"/>
    </row>
    <row r="10" spans="1:8" x14ac:dyDescent="0.35">
      <c r="A10" s="127" t="s">
        <v>204</v>
      </c>
      <c r="B10" s="127"/>
      <c r="C10" s="127"/>
      <c r="D10" s="127"/>
      <c r="E10" s="127" t="s">
        <v>255</v>
      </c>
      <c r="F10" s="127"/>
      <c r="G10" s="127"/>
      <c r="H10" s="127"/>
    </row>
    <row r="11" spans="1:8" ht="36" customHeight="1" x14ac:dyDescent="0.35">
      <c r="A11" s="127" t="s">
        <v>7</v>
      </c>
      <c r="B11" s="127"/>
      <c r="C11" s="127"/>
      <c r="D11" s="127"/>
      <c r="E11" s="128" t="s">
        <v>240</v>
      </c>
      <c r="F11" s="127"/>
      <c r="G11" s="127"/>
      <c r="H11" s="127"/>
    </row>
    <row r="12" spans="1:8" x14ac:dyDescent="0.35">
      <c r="A12" s="129" t="s">
        <v>8</v>
      </c>
      <c r="B12" s="129"/>
      <c r="C12" s="129"/>
      <c r="D12" s="129"/>
      <c r="E12" s="128" t="s">
        <v>181</v>
      </c>
      <c r="F12" s="128"/>
      <c r="G12" s="128"/>
      <c r="H12" s="128"/>
    </row>
    <row r="13" spans="1:8" ht="31.5" customHeight="1" x14ac:dyDescent="0.35">
      <c r="A13" s="129" t="s">
        <v>9</v>
      </c>
      <c r="B13" s="129"/>
      <c r="C13" s="129"/>
      <c r="D13" s="129"/>
      <c r="E13" s="128" t="s">
        <v>205</v>
      </c>
      <c r="F13" s="127"/>
      <c r="G13" s="127"/>
      <c r="H13" s="127"/>
    </row>
    <row r="14" spans="1:8" ht="46.5" customHeight="1" x14ac:dyDescent="0.35">
      <c r="A14" s="142" t="s">
        <v>10</v>
      </c>
      <c r="B14" s="142"/>
      <c r="C14" s="142" t="str">
        <f>CONCATENATE((IF(OR(E8="",E8="NA"),"",E8)),", ",(IF(OR(A15="",A15="NA"),"",A15)),".",(IF(OR(C15="",C15="NA"),"",C15)),", near ",(IF(OR(C20="",C20="NA"),"",C20)),", ",(IF(OR(C17="",C17="NA"),"",C17)),", ",(IF(OR(C16="",C16="NA"),"",C16)),", ",(IF(OR(G17="",G17="NA"),"",G17)),", ",(IF(OR(C18="",C18="NA"),"",C18)),", ",(IF(OR(C19="",C19="NA"),"",C19)),", ",(IF(OR(G18="",G18="NA"),"",G18))," - ",(IF(OR(G19="",G19="NA"),"",G19)),".")</f>
        <v>Srishti Oasis Phase 2 &amp; 3, CTS No.479 (Part), near Pooja Building, Mulund - Goregaon Link Road, Khindipada, Nahur, Bhandup West, Kurla, Mumbai  - 400078.</v>
      </c>
      <c r="D14" s="142"/>
      <c r="E14" s="142"/>
      <c r="F14" s="142"/>
      <c r="G14" s="142"/>
      <c r="H14" s="142"/>
    </row>
    <row r="15" spans="1:8" x14ac:dyDescent="0.35">
      <c r="A15" s="128" t="s">
        <v>162</v>
      </c>
      <c r="B15" s="128"/>
      <c r="C15" s="128" t="s">
        <v>163</v>
      </c>
      <c r="D15" s="128"/>
      <c r="E15" s="128"/>
      <c r="F15" s="128"/>
      <c r="G15" s="128"/>
      <c r="H15" s="128"/>
    </row>
    <row r="16" spans="1:8" ht="15.75" customHeight="1" x14ac:dyDescent="0.35">
      <c r="A16" s="187" t="s">
        <v>156</v>
      </c>
      <c r="B16" s="188"/>
      <c r="C16" s="187" t="s">
        <v>170</v>
      </c>
      <c r="D16" s="189"/>
      <c r="E16" s="189"/>
      <c r="F16" s="189"/>
      <c r="G16" s="189"/>
      <c r="H16" s="188"/>
    </row>
    <row r="17" spans="1:8" ht="15.75" customHeight="1" x14ac:dyDescent="0.35">
      <c r="A17" s="142" t="s">
        <v>11</v>
      </c>
      <c r="B17" s="142"/>
      <c r="C17" s="127" t="s">
        <v>167</v>
      </c>
      <c r="D17" s="127"/>
      <c r="E17" s="142" t="s">
        <v>157</v>
      </c>
      <c r="F17" s="142"/>
      <c r="G17" s="128" t="s">
        <v>172</v>
      </c>
      <c r="H17" s="128"/>
    </row>
    <row r="18" spans="1:8" x14ac:dyDescent="0.35">
      <c r="A18" s="129" t="s">
        <v>13</v>
      </c>
      <c r="B18" s="129"/>
      <c r="C18" s="128" t="s">
        <v>164</v>
      </c>
      <c r="D18" s="128"/>
      <c r="E18" s="142" t="s">
        <v>12</v>
      </c>
      <c r="F18" s="142"/>
      <c r="G18" s="150" t="s">
        <v>182</v>
      </c>
      <c r="H18" s="150"/>
    </row>
    <row r="19" spans="1:8" x14ac:dyDescent="0.35">
      <c r="A19" s="129" t="s">
        <v>74</v>
      </c>
      <c r="B19" s="129"/>
      <c r="C19" s="128" t="s">
        <v>173</v>
      </c>
      <c r="D19" s="128"/>
      <c r="E19" s="142" t="s">
        <v>14</v>
      </c>
      <c r="F19" s="142"/>
      <c r="G19" s="128">
        <v>400078</v>
      </c>
      <c r="H19" s="128"/>
    </row>
    <row r="20" spans="1:8" ht="32.25" customHeight="1" x14ac:dyDescent="0.35">
      <c r="A20" s="129" t="s">
        <v>118</v>
      </c>
      <c r="B20" s="129"/>
      <c r="C20" s="128" t="s">
        <v>183</v>
      </c>
      <c r="D20" s="128"/>
      <c r="E20" s="142" t="s">
        <v>15</v>
      </c>
      <c r="F20" s="142"/>
      <c r="G20" s="128" t="s">
        <v>171</v>
      </c>
      <c r="H20" s="128"/>
    </row>
    <row r="21" spans="1:8" ht="15" customHeight="1" x14ac:dyDescent="0.35">
      <c r="A21" s="142" t="s">
        <v>75</v>
      </c>
      <c r="B21" s="142"/>
      <c r="C21" s="142"/>
      <c r="D21" s="142"/>
      <c r="E21" s="127" t="s">
        <v>16</v>
      </c>
      <c r="F21" s="127"/>
      <c r="G21" s="127"/>
      <c r="H21" s="127"/>
    </row>
    <row r="22" spans="1:8" ht="18.75" customHeight="1" x14ac:dyDescent="0.35">
      <c r="A22" s="142"/>
      <c r="B22" s="142"/>
      <c r="C22" s="142"/>
      <c r="D22" s="142"/>
      <c r="E22" s="127"/>
      <c r="F22" s="127"/>
      <c r="G22" s="127"/>
      <c r="H22" s="127"/>
    </row>
    <row r="23" spans="1:8" ht="15" customHeight="1" x14ac:dyDescent="0.35">
      <c r="A23" s="142" t="s">
        <v>17</v>
      </c>
      <c r="B23" s="142"/>
      <c r="C23" s="142"/>
      <c r="D23" s="142"/>
      <c r="E23" s="128" t="s">
        <v>18</v>
      </c>
      <c r="F23" s="128"/>
      <c r="G23" s="128"/>
      <c r="H23" s="128"/>
    </row>
    <row r="24" spans="1:8" ht="15" customHeight="1" x14ac:dyDescent="0.35">
      <c r="A24" s="129" t="s">
        <v>19</v>
      </c>
      <c r="B24" s="129"/>
      <c r="C24" s="129"/>
      <c r="D24" s="129"/>
      <c r="E24" s="128" t="str">
        <f>IF(AND(G18="Mumbai"),"Upper Class","Middle Class")</f>
        <v>Middle Class</v>
      </c>
      <c r="F24" s="128"/>
      <c r="G24" s="128"/>
      <c r="H24" s="128"/>
    </row>
    <row r="25" spans="1:8" x14ac:dyDescent="0.35">
      <c r="A25" s="129" t="s">
        <v>20</v>
      </c>
      <c r="B25" s="129"/>
      <c r="C25" s="129"/>
      <c r="D25" s="129"/>
      <c r="E25" s="128" t="s">
        <v>21</v>
      </c>
      <c r="F25" s="128"/>
      <c r="G25" s="128"/>
      <c r="H25" s="128"/>
    </row>
    <row r="26" spans="1:8" ht="15.75" customHeight="1" x14ac:dyDescent="0.35">
      <c r="A26" s="129" t="s">
        <v>22</v>
      </c>
      <c r="B26" s="129"/>
      <c r="C26" s="129"/>
      <c r="D26" s="129"/>
      <c r="E26" s="128" t="str">
        <f>IF(AND(G18="Mumbai"),"Developed","Developing")</f>
        <v>Developing</v>
      </c>
      <c r="F26" s="128"/>
      <c r="G26" s="128"/>
      <c r="H26" s="128"/>
    </row>
    <row r="27" spans="1:8" x14ac:dyDescent="0.35">
      <c r="A27" s="129" t="s">
        <v>23</v>
      </c>
      <c r="B27" s="129"/>
      <c r="C27" s="129"/>
      <c r="D27" s="129"/>
      <c r="E27" s="128" t="s">
        <v>24</v>
      </c>
      <c r="F27" s="128"/>
      <c r="G27" s="128"/>
      <c r="H27" s="128"/>
    </row>
    <row r="28" spans="1:8" ht="15.75" customHeight="1" x14ac:dyDescent="0.35">
      <c r="A28" s="129" t="s">
        <v>80</v>
      </c>
      <c r="B28" s="129"/>
      <c r="C28" s="129"/>
      <c r="D28" s="129"/>
      <c r="E28" s="128" t="s">
        <v>81</v>
      </c>
      <c r="F28" s="128"/>
      <c r="G28" s="128"/>
      <c r="H28" s="128"/>
    </row>
    <row r="29" spans="1:8" ht="15" customHeight="1" x14ac:dyDescent="0.35">
      <c r="A29" s="129" t="s">
        <v>33</v>
      </c>
      <c r="B29" s="129"/>
      <c r="C29" s="129"/>
      <c r="D29" s="129"/>
      <c r="E29" s="128" t="str">
        <f>IF(AND(ISNUMBER(SEARCH("Flat",D56)),ISNUMBER(SEARCH("Shop",D56)),ISNUMBER(SEARCH("Office",D56))),"Residential + Commercial",IF(AND(ISNUMBER(SEARCH("Flat",D56)),ISNUMBER(SEARCH("Shop",D56))),"Residential + Commercial",IF(AND(ISNUMBER(SEARCH("Flat",D56)),ISNUMBER(SEARCH("Office",D56))),"Residential + Commercial",IF(AND(ISNUMBER(SEARCH("Shop",D56)),ISNUMBER(SEARCH("Office",D56))),"Commercial",IF(ISNUMBER(SEARCH("Shop",D56)),"Commercial",IF(ISNUMBER(SEARCH("Office",D56)),"Commercial",IF(ISNUMBER(SEARCH("Flat",D56)),"Residential")))))))</f>
        <v>Residential</v>
      </c>
      <c r="F29" s="128"/>
      <c r="G29" s="128"/>
      <c r="H29" s="128"/>
    </row>
    <row r="30" spans="1:8" ht="15.75" customHeight="1" x14ac:dyDescent="0.35">
      <c r="A30" s="129" t="s">
        <v>92</v>
      </c>
      <c r="B30" s="129"/>
      <c r="C30" s="129"/>
      <c r="D30" s="129"/>
      <c r="E30" s="128" t="s">
        <v>34</v>
      </c>
      <c r="F30" s="128"/>
      <c r="G30" s="128"/>
      <c r="H30" s="128"/>
    </row>
    <row r="31" spans="1:8" s="24" customFormat="1" x14ac:dyDescent="0.35">
      <c r="A31" s="154" t="s">
        <v>93</v>
      </c>
      <c r="B31" s="154"/>
      <c r="C31" s="153" t="s">
        <v>29</v>
      </c>
      <c r="D31" s="153"/>
      <c r="E31" s="153"/>
      <c r="F31" s="153" t="s">
        <v>31</v>
      </c>
      <c r="G31" s="153"/>
      <c r="H31" s="153"/>
    </row>
    <row r="32" spans="1:8" s="24" customFormat="1" x14ac:dyDescent="0.35">
      <c r="A32" s="151" t="s">
        <v>25</v>
      </c>
      <c r="B32" s="151" t="s">
        <v>30</v>
      </c>
      <c r="C32" s="152" t="s">
        <v>30</v>
      </c>
      <c r="D32" s="152"/>
      <c r="E32" s="152"/>
      <c r="F32" s="152" t="s">
        <v>167</v>
      </c>
      <c r="G32" s="152"/>
      <c r="H32" s="152"/>
    </row>
    <row r="33" spans="1:8" x14ac:dyDescent="0.35">
      <c r="A33" s="151" t="s">
        <v>26</v>
      </c>
      <c r="B33" s="151" t="s">
        <v>30</v>
      </c>
      <c r="C33" s="152" t="s">
        <v>30</v>
      </c>
      <c r="D33" s="152"/>
      <c r="E33" s="152"/>
      <c r="F33" s="152" t="s">
        <v>168</v>
      </c>
      <c r="G33" s="152"/>
      <c r="H33" s="152"/>
    </row>
    <row r="34" spans="1:8" s="24" customFormat="1" x14ac:dyDescent="0.35">
      <c r="A34" s="151" t="s">
        <v>28</v>
      </c>
      <c r="B34" s="151" t="s">
        <v>30</v>
      </c>
      <c r="C34" s="152" t="s">
        <v>30</v>
      </c>
      <c r="D34" s="152"/>
      <c r="E34" s="152"/>
      <c r="F34" s="152" t="s">
        <v>169</v>
      </c>
      <c r="G34" s="152"/>
      <c r="H34" s="152"/>
    </row>
    <row r="35" spans="1:8" x14ac:dyDescent="0.35">
      <c r="A35" s="151" t="s">
        <v>27</v>
      </c>
      <c r="B35" s="151" t="s">
        <v>30</v>
      </c>
      <c r="C35" s="152" t="s">
        <v>30</v>
      </c>
      <c r="D35" s="152"/>
      <c r="E35" s="152"/>
      <c r="F35" s="152" t="s">
        <v>166</v>
      </c>
      <c r="G35" s="152"/>
      <c r="H35" s="152"/>
    </row>
    <row r="36" spans="1:8" x14ac:dyDescent="0.35">
      <c r="A36" s="129" t="s">
        <v>32</v>
      </c>
      <c r="B36" s="129"/>
      <c r="C36" s="129"/>
      <c r="D36" s="129"/>
      <c r="E36" s="129"/>
      <c r="F36" s="129"/>
      <c r="G36" s="129"/>
      <c r="H36" s="129"/>
    </row>
    <row r="37" spans="1:8" ht="15.75" customHeight="1" x14ac:dyDescent="0.35">
      <c r="A37" s="146" t="s">
        <v>202</v>
      </c>
      <c r="B37" s="146"/>
      <c r="C37" s="172" t="s">
        <v>203</v>
      </c>
      <c r="D37" s="172"/>
      <c r="E37" s="172"/>
      <c r="F37" s="172"/>
      <c r="G37" s="172"/>
      <c r="H37" s="172"/>
    </row>
    <row r="38" spans="1:8" x14ac:dyDescent="0.35">
      <c r="A38" s="146" t="s">
        <v>155</v>
      </c>
      <c r="B38" s="146"/>
      <c r="C38" s="190" t="s">
        <v>165</v>
      </c>
      <c r="D38" s="128"/>
      <c r="E38" s="128"/>
      <c r="F38" s="128"/>
      <c r="G38" s="128"/>
      <c r="H38" s="128"/>
    </row>
    <row r="39" spans="1:8" x14ac:dyDescent="0.35">
      <c r="A39" s="139" t="s">
        <v>35</v>
      </c>
      <c r="B39" s="139"/>
      <c r="C39" s="139"/>
      <c r="D39" s="139"/>
      <c r="E39" s="139"/>
      <c r="F39" s="139"/>
      <c r="G39" s="139"/>
      <c r="H39" s="139"/>
    </row>
    <row r="40" spans="1:8" x14ac:dyDescent="0.35">
      <c r="A40" s="129" t="s">
        <v>36</v>
      </c>
      <c r="B40" s="129"/>
      <c r="C40" s="129"/>
      <c r="D40" s="129"/>
      <c r="E40" s="155">
        <v>11220.12</v>
      </c>
      <c r="F40" s="155"/>
      <c r="G40" s="155"/>
      <c r="H40" s="155"/>
    </row>
    <row r="41" spans="1:8" x14ac:dyDescent="0.35">
      <c r="A41" s="129" t="s">
        <v>37</v>
      </c>
      <c r="B41" s="129"/>
      <c r="C41" s="129"/>
      <c r="D41" s="129"/>
      <c r="E41" s="170">
        <v>1</v>
      </c>
      <c r="F41" s="170"/>
      <c r="G41" s="170"/>
      <c r="H41" s="170"/>
    </row>
    <row r="42" spans="1:8" x14ac:dyDescent="0.35">
      <c r="A42" s="129" t="s">
        <v>38</v>
      </c>
      <c r="B42" s="129"/>
      <c r="C42" s="129"/>
      <c r="D42" s="129"/>
      <c r="E42" s="170">
        <f>E44/E40-E41</f>
        <v>1.1237892286357005</v>
      </c>
      <c r="F42" s="170"/>
      <c r="G42" s="170"/>
      <c r="H42" s="170"/>
    </row>
    <row r="43" spans="1:8" x14ac:dyDescent="0.35">
      <c r="A43" s="129" t="s">
        <v>39</v>
      </c>
      <c r="B43" s="129"/>
      <c r="C43" s="129"/>
      <c r="D43" s="129"/>
      <c r="E43" s="170">
        <f>E41+E42</f>
        <v>2.1237892286357005</v>
      </c>
      <c r="F43" s="170"/>
      <c r="G43" s="170"/>
      <c r="H43" s="170"/>
    </row>
    <row r="44" spans="1:8" x14ac:dyDescent="0.35">
      <c r="A44" s="129" t="s">
        <v>91</v>
      </c>
      <c r="B44" s="129"/>
      <c r="C44" s="129"/>
      <c r="D44" s="129"/>
      <c r="E44" s="171">
        <v>23829.17</v>
      </c>
      <c r="F44" s="171"/>
      <c r="G44" s="171"/>
      <c r="H44" s="171"/>
    </row>
    <row r="45" spans="1:8" x14ac:dyDescent="0.35">
      <c r="A45" s="127" t="s">
        <v>40</v>
      </c>
      <c r="B45" s="127"/>
      <c r="C45" s="127"/>
      <c r="D45" s="127"/>
      <c r="E45" s="127" t="s">
        <v>226</v>
      </c>
      <c r="F45" s="127"/>
      <c r="G45" s="127"/>
      <c r="H45" s="127"/>
    </row>
    <row r="46" spans="1:8" x14ac:dyDescent="0.35">
      <c r="A46" s="139" t="s">
        <v>41</v>
      </c>
      <c r="B46" s="139"/>
      <c r="C46" s="139"/>
      <c r="D46" s="139"/>
      <c r="E46" s="139"/>
      <c r="F46" s="139"/>
      <c r="G46" s="139"/>
      <c r="H46" s="139"/>
    </row>
    <row r="47" spans="1:8" ht="33.75" customHeight="1" x14ac:dyDescent="0.35">
      <c r="A47" s="167" t="s">
        <v>146</v>
      </c>
      <c r="B47" s="169"/>
      <c r="C47" s="192" t="s">
        <v>184</v>
      </c>
      <c r="D47" s="193"/>
      <c r="E47" s="193"/>
      <c r="F47" s="193"/>
      <c r="G47" s="193"/>
      <c r="H47" s="194"/>
    </row>
    <row r="48" spans="1:8" ht="15.75" customHeight="1" x14ac:dyDescent="0.35">
      <c r="A48" s="167" t="s">
        <v>42</v>
      </c>
      <c r="B48" s="169"/>
      <c r="C48" s="167" t="s">
        <v>174</v>
      </c>
      <c r="D48" s="168"/>
      <c r="E48" s="169"/>
      <c r="F48" s="20" t="s">
        <v>43</v>
      </c>
      <c r="G48" s="161">
        <v>45054</v>
      </c>
      <c r="H48" s="169"/>
    </row>
    <row r="49" spans="1:14" x14ac:dyDescent="0.35">
      <c r="A49" s="167" t="s">
        <v>44</v>
      </c>
      <c r="B49" s="169"/>
      <c r="C49" s="167" t="str">
        <f>C48</f>
        <v>CE/BPES/1101/AS</v>
      </c>
      <c r="D49" s="168"/>
      <c r="E49" s="169"/>
      <c r="F49" s="20" t="s">
        <v>43</v>
      </c>
      <c r="G49" s="161">
        <f>G48</f>
        <v>45054</v>
      </c>
      <c r="H49" s="162"/>
    </row>
    <row r="50" spans="1:14" s="25" customFormat="1" ht="15.75" customHeight="1" x14ac:dyDescent="0.35">
      <c r="A50" s="163" t="s">
        <v>150</v>
      </c>
      <c r="B50" s="164"/>
      <c r="C50" s="167" t="s">
        <v>249</v>
      </c>
      <c r="D50" s="168"/>
      <c r="E50" s="169"/>
      <c r="F50" s="20" t="s">
        <v>43</v>
      </c>
      <c r="G50" s="161">
        <v>45580</v>
      </c>
      <c r="H50" s="169"/>
    </row>
    <row r="51" spans="1:14" s="25" customFormat="1" ht="158.5" customHeight="1" x14ac:dyDescent="0.35">
      <c r="A51" s="165"/>
      <c r="B51" s="166"/>
      <c r="C51" s="167" t="s">
        <v>250</v>
      </c>
      <c r="D51" s="168"/>
      <c r="E51" s="169"/>
      <c r="F51" s="20" t="s">
        <v>117</v>
      </c>
      <c r="G51" s="161">
        <v>45823</v>
      </c>
      <c r="H51" s="169"/>
    </row>
    <row r="52" spans="1:14" x14ac:dyDescent="0.35">
      <c r="A52" s="120" t="s">
        <v>158</v>
      </c>
      <c r="B52" s="121"/>
      <c r="C52" s="133" t="s">
        <v>223</v>
      </c>
      <c r="D52" s="134"/>
      <c r="E52" s="135"/>
      <c r="F52" s="49" t="s">
        <v>43</v>
      </c>
      <c r="G52" s="118">
        <v>45222</v>
      </c>
      <c r="H52" s="119"/>
    </row>
    <row r="53" spans="1:14" ht="30.75" customHeight="1" x14ac:dyDescent="0.35">
      <c r="A53" s="122"/>
      <c r="B53" s="123"/>
      <c r="C53" s="133" t="s">
        <v>227</v>
      </c>
      <c r="D53" s="134"/>
      <c r="E53" s="134"/>
      <c r="F53" s="134"/>
      <c r="G53" s="134"/>
      <c r="H53" s="135"/>
    </row>
    <row r="54" spans="1:14" x14ac:dyDescent="0.35">
      <c r="A54" s="131" t="s">
        <v>46</v>
      </c>
      <c r="B54" s="131"/>
      <c r="C54" s="131"/>
      <c r="D54" s="131"/>
      <c r="E54" s="131"/>
      <c r="F54" s="131"/>
      <c r="G54" s="131"/>
      <c r="H54" s="131"/>
    </row>
    <row r="55" spans="1:14" x14ac:dyDescent="0.35">
      <c r="A55" s="128" t="s">
        <v>90</v>
      </c>
      <c r="B55" s="128"/>
      <c r="C55" s="128"/>
      <c r="D55" s="127">
        <f>E44</f>
        <v>23829.17</v>
      </c>
      <c r="E55" s="127"/>
      <c r="F55" s="127"/>
      <c r="G55" s="127"/>
      <c r="H55" s="127"/>
    </row>
    <row r="56" spans="1:14" x14ac:dyDescent="0.35">
      <c r="A56" s="128" t="s">
        <v>47</v>
      </c>
      <c r="B56" s="127"/>
      <c r="C56" s="127"/>
      <c r="D56" s="127" t="s">
        <v>237</v>
      </c>
      <c r="E56" s="127"/>
      <c r="F56" s="127"/>
      <c r="G56" s="127"/>
      <c r="H56" s="127"/>
      <c r="I56" s="26"/>
    </row>
    <row r="57" spans="1:14" ht="30.75" customHeight="1" x14ac:dyDescent="0.35">
      <c r="A57" s="158" t="s">
        <v>48</v>
      </c>
      <c r="B57" s="159"/>
      <c r="C57" s="160"/>
      <c r="D57" s="156" t="s">
        <v>241</v>
      </c>
      <c r="E57" s="157"/>
      <c r="F57" s="157"/>
      <c r="G57" s="157"/>
      <c r="H57" s="157"/>
      <c r="I57" s="27"/>
    </row>
    <row r="58" spans="1:14" ht="30.75" customHeight="1" x14ac:dyDescent="0.35">
      <c r="A58" s="128" t="s">
        <v>88</v>
      </c>
      <c r="B58" s="128"/>
      <c r="C58" s="128"/>
      <c r="D58" s="128" t="s">
        <v>246</v>
      </c>
      <c r="E58" s="127"/>
      <c r="F58" s="127"/>
      <c r="G58" s="127"/>
      <c r="H58" s="127"/>
      <c r="I58" s="27"/>
    </row>
    <row r="59" spans="1:14" ht="15.75" customHeight="1" x14ac:dyDescent="0.35">
      <c r="A59" s="127" t="s">
        <v>45</v>
      </c>
      <c r="B59" s="127"/>
      <c r="C59" s="127"/>
      <c r="D59" s="128" t="s">
        <v>224</v>
      </c>
      <c r="E59" s="128"/>
      <c r="F59" s="128"/>
      <c r="G59" s="128"/>
      <c r="H59" s="128"/>
      <c r="J59" s="28"/>
      <c r="K59" s="26"/>
      <c r="N59" s="26"/>
    </row>
    <row r="60" spans="1:14" ht="15.75" customHeight="1" x14ac:dyDescent="0.35">
      <c r="A60" s="127" t="s">
        <v>86</v>
      </c>
      <c r="B60" s="127"/>
      <c r="C60" s="127"/>
      <c r="D60" s="76" t="s">
        <v>253</v>
      </c>
      <c r="E60" s="76"/>
      <c r="F60" s="76"/>
      <c r="G60" s="76"/>
      <c r="H60" s="76"/>
      <c r="I60" s="76" t="str">
        <f>(IF(L52="NA","60 Years After Completion",IF(L52&lt;&gt;"NA",""&amp;60-ROUNDDOWN((J3-L52)/360,0)&amp;" Years"," ")))</f>
        <v>60 Years</v>
      </c>
      <c r="J60" s="76"/>
      <c r="K60" s="76"/>
      <c r="L60" s="76"/>
      <c r="M60" s="76"/>
      <c r="N60" s="26"/>
    </row>
    <row r="61" spans="1:14" ht="15.75" customHeight="1" x14ac:dyDescent="0.35">
      <c r="A61" s="127" t="s">
        <v>87</v>
      </c>
      <c r="B61" s="127"/>
      <c r="C61" s="127"/>
      <c r="D61" s="128" t="s">
        <v>24</v>
      </c>
      <c r="E61" s="128"/>
      <c r="F61" s="128"/>
      <c r="G61" s="128"/>
      <c r="H61" s="128"/>
      <c r="J61" s="29"/>
      <c r="K61" s="29"/>
    </row>
    <row r="62" spans="1:14" ht="15" customHeight="1" x14ac:dyDescent="0.35">
      <c r="A62" s="127" t="s">
        <v>221</v>
      </c>
      <c r="B62" s="127"/>
      <c r="C62" s="127"/>
      <c r="D62" s="128" t="s">
        <v>201</v>
      </c>
      <c r="E62" s="128"/>
      <c r="F62" s="128"/>
      <c r="G62" s="128"/>
      <c r="H62" s="128"/>
    </row>
    <row r="63" spans="1:14" x14ac:dyDescent="0.35">
      <c r="A63" s="128" t="s">
        <v>144</v>
      </c>
      <c r="B63" s="128"/>
      <c r="C63" s="128"/>
      <c r="D63" s="128" t="s">
        <v>30</v>
      </c>
      <c r="E63" s="128"/>
      <c r="F63" s="128"/>
      <c r="G63" s="128"/>
      <c r="H63" s="128"/>
      <c r="I63" s="30"/>
      <c r="J63" s="30"/>
      <c r="K63" s="30"/>
      <c r="L63" s="30"/>
      <c r="M63" s="30"/>
      <c r="N63" s="30"/>
    </row>
    <row r="64" spans="1:14" ht="15.75" customHeight="1" x14ac:dyDescent="0.35">
      <c r="A64" s="127" t="s">
        <v>85</v>
      </c>
      <c r="B64" s="127"/>
      <c r="C64" s="127"/>
      <c r="D64" s="128" t="str">
        <f ca="1">(IF(G85&gt;95%,"Nothing",IF(G85&gt;0%,"Cement, Aggregate, Steel, etc",IF(G85=0%,"Work not yet Started"))))</f>
        <v>Cement, Aggregate, Steel, etc</v>
      </c>
      <c r="E64" s="128"/>
      <c r="F64" s="128"/>
      <c r="G64" s="128"/>
      <c r="H64" s="128"/>
      <c r="J64" s="29"/>
    </row>
    <row r="65" spans="1:10" ht="33.75" customHeight="1" thickBot="1" x14ac:dyDescent="0.4">
      <c r="A65" s="128" t="s">
        <v>113</v>
      </c>
      <c r="B65" s="128"/>
      <c r="C65" s="128"/>
      <c r="D65" s="128" t="str">
        <f ca="1">(IF(D64="Nothing","Yes",IF(D64="Cement, Aggregate, Steel, etc","Under Construction",IF(D64="Work not yet Started","Work not yet Started"))))</f>
        <v>Under Construction</v>
      </c>
      <c r="E65" s="128"/>
      <c r="F65" s="128" t="str">
        <f ca="1">(IF(D64="Nothing","Yes",IF(D64="Cement, Aggregate, Steel, etc","Under Construction",IF(D64="Work not yet Started","Work not yet Started"))))</f>
        <v>Under Construction</v>
      </c>
      <c r="G65" s="128"/>
      <c r="H65" s="128"/>
    </row>
    <row r="66" spans="1:10" x14ac:dyDescent="0.35">
      <c r="A66" s="136" t="s">
        <v>136</v>
      </c>
      <c r="B66" s="136"/>
      <c r="C66" s="136" t="s">
        <v>242</v>
      </c>
      <c r="D66" s="136"/>
      <c r="E66" s="136"/>
      <c r="F66" s="136"/>
      <c r="G66" s="136"/>
      <c r="H66" s="136"/>
      <c r="I66" s="70" t="str">
        <f>IF(D80=100%,"All work Completed. Possession granted to the Building.",IF(D79=100%,"All work Completed, Waiting for OC",I67&amp;""&amp;I68&amp;""&amp;J67&amp;""&amp;J66&amp;" "&amp;J68))</f>
        <v>All work Completed. Possession granted to the Building.</v>
      </c>
      <c r="J66" s="44" t="str">
        <f>(IF(C73=(D67+F67+H67),"",IF(C73&gt;0,", RCC upto "&amp;C73&amp;" Slab","")))&amp;(IF(C74=H67,"",IF(C74&gt;0,", Brickwork upto "&amp;C74&amp;" Floor","")))&amp;(IF(C75=H67,"",IF(C75&gt;0,", Internal Plaster upto "&amp;C75&amp;" Floor","")))&amp;(IF(C76=H67,"",IF(C76&gt;0,", External Plaster upto "&amp;C76&amp;" Floor","")))&amp;(IF(C77=H67,"",IF(C77&gt;0,", Flooring upto "&amp;C77&amp;" Floor","")))&amp;(IF(C78=H67,"",IF(C78&gt;0,", Painting upto "&amp;C78&amp;" Floor","")))&amp;(IF(C79=H67,"",IF(C79&gt;0,", Finishing upto "&amp;C79&amp;" Floor","")))&amp;(IF(C80=H67,"",IF(C80&gt;0,", Possession upto "&amp;C80&amp;" Floor","")))</f>
        <v/>
      </c>
    </row>
    <row r="67" spans="1:10" x14ac:dyDescent="0.35">
      <c r="A67" s="69" t="s">
        <v>138</v>
      </c>
      <c r="B67" s="69">
        <v>2</v>
      </c>
      <c r="C67" s="69" t="s">
        <v>73</v>
      </c>
      <c r="D67" s="69">
        <v>1</v>
      </c>
      <c r="E67" s="69" t="s">
        <v>72</v>
      </c>
      <c r="F67" s="69">
        <v>0</v>
      </c>
      <c r="G67" s="52" t="s">
        <v>79</v>
      </c>
      <c r="H67" s="69">
        <v>22</v>
      </c>
      <c r="I67" s="71" t="str">
        <f>IF(D71=100%,"Excavation","")&amp;IF(D72=100%,", Plinth","")&amp;IF(D73=100%,", RCC Slab","")&amp;IF(D74=100%,", Brickwork","")&amp;IF(D75=100%,", Internal Plaster","")&amp;IF(D76=100%,", External Plaster","")&amp;IF(D77=100%,", Flooring","")&amp;IF(D78=100%,", Painting","")&amp;IF(D79=100%,", Building common Amenities","")</f>
        <v>Excavation, Plinth, RCC Slab, Brickwork, Internal Plaster, External Plaster, Flooring, Painting, Building common Amenities</v>
      </c>
      <c r="J67" s="46" t="str">
        <f>(IF(C71=0,"Work not yet Started.",IF(D71=25%,"Piling work in process",IF(D71=50%,"Excavation work in process",IF(D71=100%,"","0")))))&amp;(IF(C72=0%,"",IF(C72=J73,", Footing work is process",IF(C72=J74,", Footing work Completed",IF(C72=J75,", 1st Basement Completed",IF(C72=J76,", 1st &amp; 2nd Basement Completed",IF(C72=J77,", 1st to 3rd Basement Completed",IF(C72=J78,", 1st to 4th Basement Completed",IF(C72=J79,", Plinth work is process",IF(C72=J80,"","0"))))))))))</f>
        <v/>
      </c>
    </row>
    <row r="68" spans="1:10" x14ac:dyDescent="0.35">
      <c r="A68" s="83" t="s">
        <v>89</v>
      </c>
      <c r="B68" s="83"/>
      <c r="C68" s="84" t="str">
        <f>(IF($C$53=C66,"All work Completed. OC Received.",I66))</f>
        <v>All work Completed. Possession granted to the Building.</v>
      </c>
      <c r="D68" s="84"/>
      <c r="E68" s="84"/>
      <c r="F68" s="84"/>
      <c r="G68" s="84"/>
      <c r="H68" s="84"/>
      <c r="I68" s="71" t="str">
        <f>IF(I67&lt;&gt;""," Completed","")</f>
        <v xml:space="preserve"> Completed</v>
      </c>
      <c r="J68" s="46" t="str">
        <f>IF(J66&lt;&gt;"","Completed","")</f>
        <v/>
      </c>
    </row>
    <row r="69" spans="1:10" ht="31" customHeight="1" thickBot="1" x14ac:dyDescent="0.4">
      <c r="A69" s="72" t="s">
        <v>84</v>
      </c>
      <c r="B69" s="72"/>
      <c r="C69" s="200">
        <f>E71</f>
        <v>1</v>
      </c>
      <c r="D69" s="201"/>
      <c r="E69" s="201" t="s">
        <v>83</v>
      </c>
      <c r="F69" s="201"/>
      <c r="G69" s="200">
        <f>G71</f>
        <v>1</v>
      </c>
      <c r="H69" s="201"/>
      <c r="I69" s="71"/>
      <c r="J69" s="46"/>
    </row>
    <row r="70" spans="1:10" ht="15.75" hidden="1" customHeight="1" x14ac:dyDescent="0.4">
      <c r="A70" s="87" t="s">
        <v>49</v>
      </c>
      <c r="B70" s="87"/>
      <c r="C70" s="68" t="s">
        <v>135</v>
      </c>
      <c r="D70" s="68" t="s">
        <v>82</v>
      </c>
      <c r="E70" s="87" t="s">
        <v>84</v>
      </c>
      <c r="F70" s="87"/>
      <c r="G70" s="87" t="s">
        <v>83</v>
      </c>
      <c r="H70" s="87"/>
      <c r="I70" s="16" t="s">
        <v>137</v>
      </c>
      <c r="J70" s="31">
        <f>H67*25%</f>
        <v>5.5</v>
      </c>
    </row>
    <row r="71" spans="1:10" ht="16" hidden="1" thickBot="1" x14ac:dyDescent="0.4">
      <c r="A71" s="87" t="s">
        <v>124</v>
      </c>
      <c r="B71" s="87"/>
      <c r="C71" s="68">
        <f>J72</f>
        <v>22</v>
      </c>
      <c r="D71" s="21">
        <f>((100/H67)*C71)/100</f>
        <v>1.0000000000000002</v>
      </c>
      <c r="E71" s="202">
        <f>(((C72/H67*10)+(40/(D67+F67+H67)*C73)+(7.5/(H67)*C74)+(7.5/(H67)*C75)+(10/H67*C76)+(10/H67*C77)+(5/H67*C78)+(5/H67*C79)+(5/H67*C80))/100)</f>
        <v>1</v>
      </c>
      <c r="F71" s="202"/>
      <c r="G71" s="202">
        <f>((((C71/H67)*20)+((C72/H67)*25)+(30/(H67+F67+D67)*C73)+(5/H67*C74)+(5/H67*C75)+(5/H67*C76)+(5/H67*C77)+(0/H67*C78)+(0/H67*C79)+(5/H67*C80))/100)</f>
        <v>1</v>
      </c>
      <c r="H71" s="202"/>
      <c r="I71" s="16" t="s">
        <v>96</v>
      </c>
      <c r="J71" s="32">
        <f>H67*50%</f>
        <v>11</v>
      </c>
    </row>
    <row r="72" spans="1:10" ht="16" hidden="1" thickBot="1" x14ac:dyDescent="0.4">
      <c r="A72" s="87" t="s">
        <v>50</v>
      </c>
      <c r="B72" s="87"/>
      <c r="C72" s="68">
        <f>J80</f>
        <v>22</v>
      </c>
      <c r="D72" s="21">
        <f>((100/H67)*C72)/100</f>
        <v>1.0000000000000002</v>
      </c>
      <c r="E72" s="202"/>
      <c r="F72" s="202"/>
      <c r="G72" s="202"/>
      <c r="H72" s="202"/>
      <c r="I72" s="16" t="s">
        <v>97</v>
      </c>
      <c r="J72" s="32">
        <f>H67</f>
        <v>22</v>
      </c>
    </row>
    <row r="73" spans="1:10" ht="15.75" hidden="1" customHeight="1" x14ac:dyDescent="0.4">
      <c r="A73" s="87" t="s">
        <v>125</v>
      </c>
      <c r="B73" s="87"/>
      <c r="C73" s="68">
        <v>23</v>
      </c>
      <c r="D73" s="21">
        <f>((100/(D67+F67+H67))*C73)/100</f>
        <v>1</v>
      </c>
      <c r="E73" s="202"/>
      <c r="F73" s="202"/>
      <c r="G73" s="202"/>
      <c r="H73" s="202"/>
      <c r="I73" s="16" t="s">
        <v>98</v>
      </c>
      <c r="J73" s="33">
        <f>(IF(B67&gt;1,(H67/(B67+2)),H67/4))</f>
        <v>5.5</v>
      </c>
    </row>
    <row r="74" spans="1:10" ht="15.75" hidden="1" customHeight="1" x14ac:dyDescent="0.4">
      <c r="A74" s="87" t="s">
        <v>132</v>
      </c>
      <c r="B74" s="87" t="s">
        <v>126</v>
      </c>
      <c r="C74" s="68">
        <v>22</v>
      </c>
      <c r="D74" s="21">
        <f>((100/H67)*C74)/100</f>
        <v>1.0000000000000002</v>
      </c>
      <c r="E74" s="202"/>
      <c r="F74" s="202"/>
      <c r="G74" s="202"/>
      <c r="H74" s="202"/>
      <c r="I74" s="16" t="s">
        <v>99</v>
      </c>
      <c r="J74" s="33">
        <f>(IF(B67&gt;1,(H67/(B67+2)+J73),H67/4+J73))</f>
        <v>11</v>
      </c>
    </row>
    <row r="75" spans="1:10" ht="15.75" hidden="1" customHeight="1" x14ac:dyDescent="0.4">
      <c r="A75" s="87" t="s">
        <v>133</v>
      </c>
      <c r="B75" s="87" t="s">
        <v>126</v>
      </c>
      <c r="C75" s="68">
        <v>22</v>
      </c>
      <c r="D75" s="21">
        <f>((100/H67)*C75)/100</f>
        <v>1.0000000000000002</v>
      </c>
      <c r="E75" s="202"/>
      <c r="F75" s="202"/>
      <c r="G75" s="202"/>
      <c r="H75" s="202"/>
      <c r="I75" s="16" t="s">
        <v>142</v>
      </c>
      <c r="J75" s="33">
        <f>(IF(B67&gt;1,(H67/(B67+2)+J74),0))</f>
        <v>16.5</v>
      </c>
    </row>
    <row r="76" spans="1:10" ht="15" hidden="1" customHeight="1" x14ac:dyDescent="0.4">
      <c r="A76" s="87" t="s">
        <v>131</v>
      </c>
      <c r="B76" s="87" t="s">
        <v>128</v>
      </c>
      <c r="C76" s="68">
        <v>22</v>
      </c>
      <c r="D76" s="21">
        <f>((100/(H67))*C76)/100</f>
        <v>1.0000000000000002</v>
      </c>
      <c r="E76" s="202"/>
      <c r="F76" s="202"/>
      <c r="G76" s="202"/>
      <c r="H76" s="202"/>
      <c r="I76" s="16" t="s">
        <v>139</v>
      </c>
      <c r="J76" s="33">
        <f>(IF(B67&gt;2,(H67/(B67+2)+J75),0))</f>
        <v>0</v>
      </c>
    </row>
    <row r="77" spans="1:10" ht="15.75" hidden="1" customHeight="1" x14ac:dyDescent="0.4">
      <c r="A77" s="87" t="s">
        <v>127</v>
      </c>
      <c r="B77" s="87" t="s">
        <v>127</v>
      </c>
      <c r="C77" s="68">
        <v>22</v>
      </c>
      <c r="D77" s="21">
        <f>((100/H67)*C77)/100</f>
        <v>1.0000000000000002</v>
      </c>
      <c r="E77" s="202"/>
      <c r="F77" s="202"/>
      <c r="G77" s="202"/>
      <c r="H77" s="202"/>
      <c r="I77" s="16" t="s">
        <v>140</v>
      </c>
      <c r="J77" s="34">
        <f>(IF(B67&gt;3,(H67/(B67+2)+J76),0))</f>
        <v>0</v>
      </c>
    </row>
    <row r="78" spans="1:10" ht="15.75" hidden="1" customHeight="1" x14ac:dyDescent="0.4">
      <c r="A78" s="87" t="s">
        <v>134</v>
      </c>
      <c r="B78" s="87"/>
      <c r="C78" s="68">
        <v>22</v>
      </c>
      <c r="D78" s="21">
        <f>((100/H67)*C78)/100</f>
        <v>1.0000000000000002</v>
      </c>
      <c r="E78" s="202"/>
      <c r="F78" s="202"/>
      <c r="G78" s="202"/>
      <c r="H78" s="202"/>
      <c r="I78" s="16" t="s">
        <v>141</v>
      </c>
      <c r="J78" s="33">
        <f>(IF(B67&gt;4,(H67/(B67+2)+J77),0))</f>
        <v>0</v>
      </c>
    </row>
    <row r="79" spans="1:10" ht="15.75" hidden="1" customHeight="1" x14ac:dyDescent="0.4">
      <c r="A79" s="87" t="s">
        <v>129</v>
      </c>
      <c r="B79" s="87" t="s">
        <v>129</v>
      </c>
      <c r="C79" s="68">
        <v>22</v>
      </c>
      <c r="D79" s="21">
        <f>((100/(H67))*C79)/100</f>
        <v>1.0000000000000002</v>
      </c>
      <c r="E79" s="202"/>
      <c r="F79" s="202"/>
      <c r="G79" s="202"/>
      <c r="H79" s="202"/>
      <c r="I79" s="16" t="s">
        <v>143</v>
      </c>
      <c r="J79" s="33">
        <f>(IF(B67=1,(H67/(B67+3)+J74),IF(B67=0,(H67/4+J74),IF(B67&gt;1,0))))</f>
        <v>0</v>
      </c>
    </row>
    <row r="80" spans="1:10" ht="16" hidden="1" thickBot="1" x14ac:dyDescent="0.4">
      <c r="A80" s="87" t="s">
        <v>130</v>
      </c>
      <c r="B80" s="87"/>
      <c r="C80" s="68">
        <v>22</v>
      </c>
      <c r="D80" s="21">
        <f>((100/(H67))*C80)/100</f>
        <v>1.0000000000000002</v>
      </c>
      <c r="E80" s="202"/>
      <c r="F80" s="202"/>
      <c r="G80" s="202"/>
      <c r="H80" s="202"/>
      <c r="I80" s="17" t="s">
        <v>100</v>
      </c>
      <c r="J80" s="35">
        <f>(IF(B67&gt;1.5,(H67/(B67+2)+J74+MAX(0,J75-J74)+MAX(0,J76-J75)+MAX(0,J77-J76)+MAX(0,J78-J77)+MAX(0,J79-J78)),IF(B67=1,(H67/(B67+3)+J79),IF(B67=0,H67/4+J79))))</f>
        <v>22</v>
      </c>
    </row>
    <row r="81" spans="1:10" x14ac:dyDescent="0.35">
      <c r="A81" s="136" t="s">
        <v>136</v>
      </c>
      <c r="B81" s="136"/>
      <c r="C81" s="136" t="s">
        <v>244</v>
      </c>
      <c r="D81" s="136"/>
      <c r="E81" s="136"/>
      <c r="F81" s="136"/>
      <c r="G81" s="136"/>
      <c r="H81" s="136"/>
      <c r="I81" s="70" t="str">
        <f ca="1">IF(D94=100%,"All work Completed. Possession granted to the Building.",IF(D93=100%,"All work Completed, Waiting for OC",I82&amp;""&amp;I83&amp;""&amp;J82&amp;""&amp;J81&amp;" "&amp;J83))</f>
        <v>Excavation, Plinth Completed, RCC upto 10 Slab, Brickwork upto 9 Floor, Internal Plaster upto 6.75 Floor, External Plaster upto 5.85 Floor Completed</v>
      </c>
      <c r="J81" s="44" t="str">
        <f ca="1">(IF(C87=(D82+F82+H82),"",IF(C87&gt;0,", RCC upto "&amp;C87&amp;" Slab","")))&amp;(IF(C88=H82,"",IF(C88&gt;0,", Brickwork upto "&amp;C88&amp;" Floor","")))&amp;(IF(C89=H82,"",IF(C89&gt;0,", Internal Plaster upto "&amp;C89&amp;" Floor","")))&amp;(IF(C90=H82,"",IF(C90&gt;0,", External Plaster upto "&amp;C90&amp;" Floor","")))&amp;(IF(C91=H82,"",IF(C91&gt;0,", Flooring upto "&amp;C91&amp;" Floor","")))&amp;(IF(C92=H82,"",IF(C92&gt;0,", Painting upto "&amp;C92&amp;" Floor","")))&amp;(IF(C93=H82,"",IF(C93&gt;0,", Finishing upto "&amp;C93&amp;" Floor","")))&amp;(IF(C94=H82,"",IF(C94&gt;0,", Possession upto "&amp;C94&amp;" Floor","")))</f>
        <v>, RCC upto 10 Slab, Brickwork upto 9 Floor, Internal Plaster upto 6.75 Floor, External Plaster upto 5.85 Floor</v>
      </c>
    </row>
    <row r="82" spans="1:10" x14ac:dyDescent="0.35">
      <c r="A82" s="69" t="s">
        <v>138</v>
      </c>
      <c r="B82" s="69">
        <v>2</v>
      </c>
      <c r="C82" s="69" t="s">
        <v>73</v>
      </c>
      <c r="D82" s="69">
        <v>1</v>
      </c>
      <c r="E82" s="69" t="s">
        <v>72</v>
      </c>
      <c r="F82" s="69">
        <v>3</v>
      </c>
      <c r="G82" s="52" t="s">
        <v>79</v>
      </c>
      <c r="H82" s="69">
        <f ca="1">--TRIM(RIGHT(SUBSTITUTE(LEFT(C81,_xlfn.AGGREGATE(16,6,FIND({0,1,2,3,4,5,6,7,8,9},C81,ROW(INDIRECT("1:"&amp;LEN(C81)))),1))," ",REPT(" ",LEN(C81))),LEN(C81)))</f>
        <v>35</v>
      </c>
      <c r="I82" s="71" t="str">
        <f ca="1">IF(D85=100%,"Excavation","")&amp;IF(D86=100%,", Plinth","")&amp;IF(D87=100%,", RCC Slab","")&amp;IF(D88=100%,", Brickwork","")&amp;IF(D89=100%,", Internal Plaster","")&amp;IF(D90=100%,", External Plaster","")&amp;IF(D91=100%,", Flooring","")&amp;IF(D92=100%,", Painting","")&amp;IF(D93=100%,", Building common Amenities","")</f>
        <v>Excavation, Plinth</v>
      </c>
      <c r="J82" s="46" t="str">
        <f ca="1">(IF(C85=0,"Work not yet Started.",IF(D85=25%,"Piling work in process",IF(D85=50%,"Excavation work in process",IF(D85=100%,"","0")))))&amp;(IF(C86=0%,"",IF(C86=J87,", Footing work is process",IF(C86=J88,", Footing work Completed",IF(C86=J89,", 1st Basement Completed",IF(C86=J90,", 1st &amp; 2nd Basement Completed",IF(C86=J91,", 1st to 3rd Basement Completed",IF(C86=J92,", 1st to 4th Basement Completed",IF(C86=J93,", Plinth work is process",IF(C86=J94,"","0"))))))))))</f>
        <v/>
      </c>
    </row>
    <row r="83" spans="1:10" ht="31.5" customHeight="1" x14ac:dyDescent="0.35">
      <c r="A83" s="82" t="s">
        <v>89</v>
      </c>
      <c r="B83" s="83"/>
      <c r="C83" s="84" t="str">
        <f ca="1">(IF($C$53=C81,"All work Completed. OC Received.",I81))</f>
        <v>Excavation, Plinth Completed, RCC upto 10 Slab, Brickwork upto 9 Floor, Internal Plaster upto 6.75 Floor, External Plaster upto 5.85 Floor Completed</v>
      </c>
      <c r="D83" s="84"/>
      <c r="E83" s="84"/>
      <c r="F83" s="84"/>
      <c r="G83" s="84"/>
      <c r="H83" s="85"/>
      <c r="I83" s="45" t="str">
        <f ca="1">IF(I82&lt;&gt;""," Completed","")</f>
        <v xml:space="preserve"> Completed</v>
      </c>
      <c r="J83" s="46" t="str">
        <f ca="1">IF(J81&lt;&gt;"","Completed","")</f>
        <v>Completed</v>
      </c>
    </row>
    <row r="84" spans="1:10" ht="15.75" customHeight="1" x14ac:dyDescent="0.35">
      <c r="A84" s="86" t="s">
        <v>49</v>
      </c>
      <c r="B84" s="87"/>
      <c r="C84" s="56" t="s">
        <v>135</v>
      </c>
      <c r="D84" s="56" t="s">
        <v>82</v>
      </c>
      <c r="E84" s="87" t="s">
        <v>84</v>
      </c>
      <c r="F84" s="87"/>
      <c r="G84" s="87" t="s">
        <v>83</v>
      </c>
      <c r="H84" s="88"/>
      <c r="I84" s="16" t="s">
        <v>137</v>
      </c>
      <c r="J84" s="31">
        <f ca="1">H82*25%</f>
        <v>8.75</v>
      </c>
    </row>
    <row r="85" spans="1:10" x14ac:dyDescent="0.35">
      <c r="A85" s="86" t="s">
        <v>124</v>
      </c>
      <c r="B85" s="87"/>
      <c r="C85" s="59">
        <f ca="1">J86</f>
        <v>35</v>
      </c>
      <c r="D85" s="21">
        <f ca="1">((100/H82)*C85)/100</f>
        <v>1</v>
      </c>
      <c r="E85" s="89">
        <f ca="1">(((C86/H82*10)+(40/(D82+F82+H82)*C87)+(7.5/(H82)*C88)+(7.5/(H82)*C89)+(10/H82*C90)+(10/H82*C91)+(5/H82*C92)+(5/H82*C93)+(5/H82*C94))/100)</f>
        <v>0.25302838827838825</v>
      </c>
      <c r="F85" s="90"/>
      <c r="G85" s="89">
        <f ca="1">((((C85/H82)*20)+((C86/H82)*25)+(30/(H82+F82+D82)*C87)+(5/H82*C88)+(5/H82*C89)+(5/H82*C90)+(5/H82*C91)+(0/H82*C92)+(0/H82*C93)+(5/H82*C94))/100)</f>
        <v>0.55778021978021985</v>
      </c>
      <c r="H85" s="95"/>
      <c r="I85" s="16" t="s">
        <v>96</v>
      </c>
      <c r="J85" s="32">
        <f ca="1">H82*50%</f>
        <v>17.5</v>
      </c>
    </row>
    <row r="86" spans="1:10" x14ac:dyDescent="0.35">
      <c r="A86" s="86" t="s">
        <v>50</v>
      </c>
      <c r="B86" s="87"/>
      <c r="C86" s="59">
        <f ca="1">J94</f>
        <v>35</v>
      </c>
      <c r="D86" s="21">
        <f ca="1">((100/H82)*C86)/100</f>
        <v>1</v>
      </c>
      <c r="E86" s="91"/>
      <c r="F86" s="92"/>
      <c r="G86" s="91"/>
      <c r="H86" s="96"/>
      <c r="I86" s="16" t="s">
        <v>97</v>
      </c>
      <c r="J86" s="32">
        <f ca="1">H82</f>
        <v>35</v>
      </c>
    </row>
    <row r="87" spans="1:10" ht="15.75" customHeight="1" x14ac:dyDescent="0.35">
      <c r="A87" s="86" t="s">
        <v>125</v>
      </c>
      <c r="B87" s="87"/>
      <c r="C87" s="56">
        <v>10</v>
      </c>
      <c r="D87" s="21">
        <f ca="1">((100/(D82+F82+H82))*C87)/100</f>
        <v>0.25641025641025644</v>
      </c>
      <c r="E87" s="91"/>
      <c r="F87" s="92"/>
      <c r="G87" s="91"/>
      <c r="H87" s="96"/>
      <c r="I87" s="16" t="s">
        <v>98</v>
      </c>
      <c r="J87" s="33">
        <f ca="1">(IF(B82&gt;1,(H82/(B82+2)),H82/4))</f>
        <v>8.75</v>
      </c>
    </row>
    <row r="88" spans="1:10" ht="15.75" customHeight="1" x14ac:dyDescent="0.35">
      <c r="A88" s="86" t="s">
        <v>132</v>
      </c>
      <c r="B88" s="87" t="s">
        <v>126</v>
      </c>
      <c r="C88" s="56">
        <v>9</v>
      </c>
      <c r="D88" s="21">
        <f ca="1">((100/H82)*C88)/100</f>
        <v>0.25714285714285717</v>
      </c>
      <c r="E88" s="91"/>
      <c r="F88" s="92"/>
      <c r="G88" s="91"/>
      <c r="H88" s="96"/>
      <c r="I88" s="16" t="s">
        <v>99</v>
      </c>
      <c r="J88" s="33">
        <f ca="1">(IF(B82&gt;1,(H82/(B82+2)+J87),H82/4+J87))</f>
        <v>17.5</v>
      </c>
    </row>
    <row r="89" spans="1:10" ht="15.75" customHeight="1" x14ac:dyDescent="0.35">
      <c r="A89" s="86" t="s">
        <v>133</v>
      </c>
      <c r="B89" s="87" t="s">
        <v>126</v>
      </c>
      <c r="C89" s="59">
        <f>C88*0.75</f>
        <v>6.75</v>
      </c>
      <c r="D89" s="21">
        <f ca="1">((100/H82)*C89)/100</f>
        <v>0.19285714285714284</v>
      </c>
      <c r="E89" s="91"/>
      <c r="F89" s="92"/>
      <c r="G89" s="91"/>
      <c r="H89" s="96"/>
      <c r="I89" s="16" t="s">
        <v>142</v>
      </c>
      <c r="J89" s="33">
        <f ca="1">(IF(B82&gt;1,(H82/(B82+2)+J88),0))</f>
        <v>26.25</v>
      </c>
    </row>
    <row r="90" spans="1:10" ht="15" customHeight="1" x14ac:dyDescent="0.35">
      <c r="A90" s="86" t="s">
        <v>131</v>
      </c>
      <c r="B90" s="87" t="s">
        <v>128</v>
      </c>
      <c r="C90" s="59">
        <f>C88*0.65</f>
        <v>5.8500000000000005</v>
      </c>
      <c r="D90" s="21">
        <f ca="1">((100/(H82))*C90)/100</f>
        <v>0.16714285714285715</v>
      </c>
      <c r="E90" s="91"/>
      <c r="F90" s="92"/>
      <c r="G90" s="91"/>
      <c r="H90" s="96"/>
      <c r="I90" s="16" t="s">
        <v>139</v>
      </c>
      <c r="J90" s="33">
        <f>(IF(B82&gt;2,(H82/(B82+2)+J89),0))</f>
        <v>0</v>
      </c>
    </row>
    <row r="91" spans="1:10" ht="15.75" customHeight="1" x14ac:dyDescent="0.35">
      <c r="A91" s="86" t="s">
        <v>127</v>
      </c>
      <c r="B91" s="87" t="s">
        <v>127</v>
      </c>
      <c r="C91" s="56">
        <v>0</v>
      </c>
      <c r="D91" s="21">
        <f ca="1">((100/H82)*C91)/100</f>
        <v>0</v>
      </c>
      <c r="E91" s="91"/>
      <c r="F91" s="92"/>
      <c r="G91" s="91"/>
      <c r="H91" s="96"/>
      <c r="I91" s="16" t="s">
        <v>140</v>
      </c>
      <c r="J91" s="34">
        <f>(IF(B82&gt;3,(H82/(B82+2)+J90),0))</f>
        <v>0</v>
      </c>
    </row>
    <row r="92" spans="1:10" ht="15.75" customHeight="1" x14ac:dyDescent="0.35">
      <c r="A92" s="86" t="s">
        <v>134</v>
      </c>
      <c r="B92" s="87"/>
      <c r="C92" s="56">
        <v>0</v>
      </c>
      <c r="D92" s="21">
        <f ca="1">((100/H82)*C92)/100</f>
        <v>0</v>
      </c>
      <c r="E92" s="91"/>
      <c r="F92" s="92"/>
      <c r="G92" s="91"/>
      <c r="H92" s="96"/>
      <c r="I92" s="16" t="s">
        <v>141</v>
      </c>
      <c r="J92" s="33">
        <f>(IF(B82&gt;4,(H82/(B82+2)+J91),0))</f>
        <v>0</v>
      </c>
    </row>
    <row r="93" spans="1:10" ht="15.75" customHeight="1" x14ac:dyDescent="0.35">
      <c r="A93" s="86" t="s">
        <v>129</v>
      </c>
      <c r="B93" s="87" t="s">
        <v>129</v>
      </c>
      <c r="C93" s="56">
        <v>0</v>
      </c>
      <c r="D93" s="21">
        <f ca="1">((100/(H82))*C93)/100</f>
        <v>0</v>
      </c>
      <c r="E93" s="91"/>
      <c r="F93" s="92"/>
      <c r="G93" s="91"/>
      <c r="H93" s="96"/>
      <c r="I93" s="16" t="s">
        <v>143</v>
      </c>
      <c r="J93" s="33">
        <f>(IF(B82=1,(H82/(B82+3)+J88),IF(B82=0,(H82/4+J88),IF(B82&gt;1,0))))</f>
        <v>0</v>
      </c>
    </row>
    <row r="94" spans="1:10" ht="16" thickBot="1" x14ac:dyDescent="0.4">
      <c r="A94" s="98" t="s">
        <v>130</v>
      </c>
      <c r="B94" s="99"/>
      <c r="C94" s="58">
        <v>0</v>
      </c>
      <c r="D94" s="22">
        <f ca="1">((100/(H82))*C94)/100</f>
        <v>0</v>
      </c>
      <c r="E94" s="93"/>
      <c r="F94" s="94"/>
      <c r="G94" s="93"/>
      <c r="H94" s="97"/>
      <c r="I94" s="17" t="s">
        <v>100</v>
      </c>
      <c r="J94" s="35">
        <f ca="1">(IF(B82&gt;1.5,(H82/(B82+2)+J88+MAX(0,J89-J88)+MAX(0,J90-J89)+MAX(0,J91-J90)+MAX(0,J92-J91)+MAX(0,J93-J92)),IF(B82=1,(H82/(B82+3)+J93),IF(B82=0,H82/4+J93))))</f>
        <v>35</v>
      </c>
    </row>
    <row r="95" spans="1:10" x14ac:dyDescent="0.35">
      <c r="A95" s="77" t="s">
        <v>136</v>
      </c>
      <c r="B95" s="78"/>
      <c r="C95" s="79" t="s">
        <v>245</v>
      </c>
      <c r="D95" s="80"/>
      <c r="E95" s="80"/>
      <c r="F95" s="80"/>
      <c r="G95" s="80"/>
      <c r="H95" s="81"/>
      <c r="I95" s="55" t="str">
        <f ca="1">IF(D108=100%,"All work Completed. Possession granted to the Building.",IF(D107=100%,"All work Completed, Waiting for OC",I96&amp;""&amp;I97&amp;""&amp;J96&amp;""&amp;J95&amp;" "&amp;J97))</f>
        <v>Excavation, Plinth Completed, RCC upto 10 Slab, Brickwork upto 9 Floor, Internal Plaster upto 6.75 Floor, External Plaster upto 5.85 Floor Completed</v>
      </c>
      <c r="J95" s="44" t="str">
        <f ca="1">(IF(C101=(D96+F96+H96),"",IF(C101&gt;0,", RCC upto "&amp;C101&amp;" Slab","")))&amp;(IF(C102=H96,"",IF(C102&gt;0,", Brickwork upto "&amp;C102&amp;" Floor","")))&amp;(IF(C103=H96,"",IF(C103&gt;0,", Internal Plaster upto "&amp;C103&amp;" Floor","")))&amp;(IF(C104=H96,"",IF(C104&gt;0,", External Plaster upto "&amp;C104&amp;" Floor","")))&amp;(IF(C105=H96,"",IF(C105&gt;0,", Flooring upto "&amp;C105&amp;" Floor","")))&amp;(IF(C106=H96,"",IF(C106&gt;0,", Painting upto "&amp;C106&amp;" Floor","")))&amp;(IF(C107=H96,"",IF(C107&gt;0,", Finishing upto "&amp;C107&amp;" Floor","")))&amp;(IF(C108=H96,"",IF(C108&gt;0,", Possession upto "&amp;C108&amp;" Floor","")))</f>
        <v>, RCC upto 10 Slab, Brickwork upto 9 Floor, Internal Plaster upto 6.75 Floor, External Plaster upto 5.85 Floor</v>
      </c>
    </row>
    <row r="96" spans="1:10" x14ac:dyDescent="0.35">
      <c r="A96" s="18" t="s">
        <v>138</v>
      </c>
      <c r="B96" s="66">
        <v>2</v>
      </c>
      <c r="C96" s="66" t="s">
        <v>73</v>
      </c>
      <c r="D96" s="66">
        <v>1</v>
      </c>
      <c r="E96" s="66" t="s">
        <v>72</v>
      </c>
      <c r="F96" s="66">
        <v>3</v>
      </c>
      <c r="G96" s="52" t="s">
        <v>79</v>
      </c>
      <c r="H96" s="19">
        <f ca="1">--TRIM(RIGHT(SUBSTITUTE(LEFT(C95,_xlfn.AGGREGATE(16,6,FIND({0,1,2,3,4,5,6,7,8,9},C95,ROW(INDIRECT("1:"&amp;LEN(C95)))),1))," ",REPT(" ",LEN(C95))),LEN(C95)))</f>
        <v>35</v>
      </c>
      <c r="I96" s="45" t="str">
        <f ca="1">IF(D99=100%,"Excavation","")&amp;IF(D100=100%,", Plinth","")&amp;IF(D101=100%,", RCC Slab","")&amp;IF(D102=100%,", Brickwork","")&amp;IF(D103=100%,", Internal Plaster","")&amp;IF(D104=100%,", External Plaster","")&amp;IF(D105=100%,", Flooring","")&amp;IF(D106=100%,", Painting","")&amp;IF(D107=100%,", Building common Amenities","")</f>
        <v>Excavation, Plinth</v>
      </c>
      <c r="J96" s="46" t="str">
        <f ca="1">(IF(C99=0,"Work not yet Started.",IF(D99=25%,"Piling work in process",IF(D99=50%,"Excavation work in process",IF(D99=100%,"","0")))))&amp;(IF(C100=0%,"",IF(C100=J101,", Footing work is process",IF(C100=J102,", Footing work Completed",IF(C100=J103,", 1st Basement Completed",IF(C100=J104,", 1st &amp; 2nd Basement Completed",IF(C100=J105,", 1st to 3rd Basement Completed",IF(C100=J106,", 1st to 4th Basement Completed",IF(C100=J107,", Plinth work is process",IF(C100=J108,"","0"))))))))))</f>
        <v/>
      </c>
    </row>
    <row r="97" spans="1:11" ht="30" customHeight="1" x14ac:dyDescent="0.35">
      <c r="A97" s="82" t="s">
        <v>89</v>
      </c>
      <c r="B97" s="83"/>
      <c r="C97" s="84" t="str">
        <f ca="1">(IF($C$53=C95,"All work Completed. OC Received.",I95))</f>
        <v>Excavation, Plinth Completed, RCC upto 10 Slab, Brickwork upto 9 Floor, Internal Plaster upto 6.75 Floor, External Plaster upto 5.85 Floor Completed</v>
      </c>
      <c r="D97" s="84"/>
      <c r="E97" s="84"/>
      <c r="F97" s="84"/>
      <c r="G97" s="84"/>
      <c r="H97" s="85"/>
      <c r="I97" s="45" t="str">
        <f ca="1">IF(I96&lt;&gt;""," Completed","")</f>
        <v xml:space="preserve"> Completed</v>
      </c>
      <c r="J97" s="46" t="str">
        <f ca="1">IF(J95&lt;&gt;"","Completed","")</f>
        <v>Completed</v>
      </c>
    </row>
    <row r="98" spans="1:11" s="36" customFormat="1" x14ac:dyDescent="0.35">
      <c r="A98" s="86" t="s">
        <v>49</v>
      </c>
      <c r="B98" s="87"/>
      <c r="C98" s="63" t="s">
        <v>135</v>
      </c>
      <c r="D98" s="63" t="s">
        <v>82</v>
      </c>
      <c r="E98" s="87" t="s">
        <v>84</v>
      </c>
      <c r="F98" s="87"/>
      <c r="G98" s="87" t="s">
        <v>83</v>
      </c>
      <c r="H98" s="88"/>
      <c r="I98" s="16" t="s">
        <v>137</v>
      </c>
      <c r="J98" s="31">
        <f ca="1">H96*25%</f>
        <v>8.75</v>
      </c>
    </row>
    <row r="99" spans="1:11" s="36" customFormat="1" x14ac:dyDescent="0.3">
      <c r="A99" s="86" t="s">
        <v>124</v>
      </c>
      <c r="B99" s="87"/>
      <c r="C99" s="59">
        <f ca="1">J100</f>
        <v>35</v>
      </c>
      <c r="D99" s="21">
        <f ca="1">((100/H96)*C99)/100</f>
        <v>1</v>
      </c>
      <c r="E99" s="89">
        <f ca="1">(((C100/H96*10)+(40/(D96+F96+H96)*C101)+(7.5/(H96)*C102)+(7.5/(H96)*C103)+(10/H96*C104)+(10/H96*C105)+(5/H96*C106)+(5/H96*C107)+(5/H96*C108))/100)</f>
        <v>0.25302838827838825</v>
      </c>
      <c r="F99" s="90"/>
      <c r="G99" s="89">
        <f ca="1">((((C99/H96)*20)+((C100/H96)*25)+(30/(H96+F96+D96)*C101)+(5/H96*C102)+(5/H96*C103)+(5/H96*C104)+(5/H96*C105)+(0/H96*C106)+(0/H96*C107)+(5/H96*C108))/100)</f>
        <v>0.55778021978021985</v>
      </c>
      <c r="H99" s="95"/>
      <c r="I99" s="16" t="s">
        <v>96</v>
      </c>
      <c r="J99" s="32">
        <f ca="1">H96*50%</f>
        <v>17.5</v>
      </c>
    </row>
    <row r="100" spans="1:11" s="36" customFormat="1" x14ac:dyDescent="0.3">
      <c r="A100" s="86" t="s">
        <v>50</v>
      </c>
      <c r="B100" s="87"/>
      <c r="C100" s="59">
        <f ca="1">J108</f>
        <v>35</v>
      </c>
      <c r="D100" s="21">
        <f ca="1">((100/H96)*C100)/100</f>
        <v>1</v>
      </c>
      <c r="E100" s="91"/>
      <c r="F100" s="92"/>
      <c r="G100" s="91"/>
      <c r="H100" s="96"/>
      <c r="I100" s="16" t="s">
        <v>97</v>
      </c>
      <c r="J100" s="32">
        <f ca="1">H96</f>
        <v>35</v>
      </c>
    </row>
    <row r="101" spans="1:11" s="36" customFormat="1" x14ac:dyDescent="0.35">
      <c r="A101" s="86" t="s">
        <v>125</v>
      </c>
      <c r="B101" s="87"/>
      <c r="C101" s="63">
        <v>10</v>
      </c>
      <c r="D101" s="21">
        <f ca="1">((100/(D96+F96+H96))*C101)/100</f>
        <v>0.25641025641025644</v>
      </c>
      <c r="E101" s="91"/>
      <c r="F101" s="92"/>
      <c r="G101" s="91"/>
      <c r="H101" s="96"/>
      <c r="I101" s="16" t="s">
        <v>98</v>
      </c>
      <c r="J101" s="33">
        <f ca="1">(IF(B96&gt;1,(H96/(B96+2)),H96/4))</f>
        <v>8.75</v>
      </c>
    </row>
    <row r="102" spans="1:11" s="36" customFormat="1" x14ac:dyDescent="0.35">
      <c r="A102" s="86" t="s">
        <v>132</v>
      </c>
      <c r="B102" s="87" t="s">
        <v>126</v>
      </c>
      <c r="C102" s="63">
        <v>9</v>
      </c>
      <c r="D102" s="21">
        <f ca="1">((100/H96)*C102)/100</f>
        <v>0.25714285714285717</v>
      </c>
      <c r="E102" s="91"/>
      <c r="F102" s="92"/>
      <c r="G102" s="91"/>
      <c r="H102" s="96"/>
      <c r="I102" s="16" t="s">
        <v>99</v>
      </c>
      <c r="J102" s="33">
        <f ca="1">(IF(B96&gt;1,(H96/(B96+2)+J101),H96/4+J101))</f>
        <v>17.5</v>
      </c>
      <c r="K102" s="36">
        <f>J115/22</f>
        <v>13904.545454545454</v>
      </c>
    </row>
    <row r="103" spans="1:11" s="36" customFormat="1" x14ac:dyDescent="0.35">
      <c r="A103" s="86" t="s">
        <v>133</v>
      </c>
      <c r="B103" s="87" t="s">
        <v>126</v>
      </c>
      <c r="C103" s="59">
        <f>C102*0.75</f>
        <v>6.75</v>
      </c>
      <c r="D103" s="21">
        <f ca="1">((100/H96)*C103)/100</f>
        <v>0.19285714285714284</v>
      </c>
      <c r="E103" s="91"/>
      <c r="F103" s="92"/>
      <c r="G103" s="91"/>
      <c r="H103" s="96"/>
      <c r="I103" s="16" t="s">
        <v>142</v>
      </c>
      <c r="J103" s="33">
        <f ca="1">(IF(B96&gt;1,(H96/(B96+2)+J102),0))</f>
        <v>26.25</v>
      </c>
      <c r="K103" s="36">
        <f>K102/748</f>
        <v>18.588964511424404</v>
      </c>
    </row>
    <row r="104" spans="1:11" s="36" customFormat="1" x14ac:dyDescent="0.35">
      <c r="A104" s="86" t="s">
        <v>131</v>
      </c>
      <c r="B104" s="87" t="s">
        <v>128</v>
      </c>
      <c r="C104" s="59">
        <f>C102*0.65</f>
        <v>5.8500000000000005</v>
      </c>
      <c r="D104" s="21">
        <f ca="1">((100/(H96))*C104)/100</f>
        <v>0.16714285714285715</v>
      </c>
      <c r="E104" s="91"/>
      <c r="F104" s="92"/>
      <c r="G104" s="91"/>
      <c r="H104" s="96"/>
      <c r="I104" s="16" t="s">
        <v>139</v>
      </c>
      <c r="J104" s="33">
        <f>(IF(B96&gt;2,(H96/(B96+2)+J103),0))</f>
        <v>0</v>
      </c>
    </row>
    <row r="105" spans="1:11" s="36" customFormat="1" x14ac:dyDescent="0.35">
      <c r="A105" s="86" t="s">
        <v>127</v>
      </c>
      <c r="B105" s="87" t="s">
        <v>127</v>
      </c>
      <c r="C105" s="63">
        <v>0</v>
      </c>
      <c r="D105" s="21">
        <f ca="1">((100/H96)*C105)/100</f>
        <v>0</v>
      </c>
      <c r="E105" s="91"/>
      <c r="F105" s="92"/>
      <c r="G105" s="91"/>
      <c r="H105" s="96"/>
      <c r="I105" s="16" t="s">
        <v>140</v>
      </c>
      <c r="J105" s="34">
        <f>(IF(B96&gt;3,(H96/(B96+2)+J104),0))</f>
        <v>0</v>
      </c>
      <c r="K105" s="54">
        <f>22*30*F138</f>
        <v>493979.11991999991</v>
      </c>
    </row>
    <row r="106" spans="1:11" s="36" customFormat="1" x14ac:dyDescent="0.35">
      <c r="A106" s="86" t="s">
        <v>134</v>
      </c>
      <c r="B106" s="87"/>
      <c r="C106" s="63">
        <v>0</v>
      </c>
      <c r="D106" s="21">
        <f ca="1">((100/H96)*C106)/100</f>
        <v>0</v>
      </c>
      <c r="E106" s="91"/>
      <c r="F106" s="92"/>
      <c r="G106" s="91"/>
      <c r="H106" s="96"/>
      <c r="I106" s="16" t="s">
        <v>141</v>
      </c>
      <c r="J106" s="33">
        <f>(IF(B96&gt;4,(H96/(B96+2)+J105),0))</f>
        <v>0</v>
      </c>
      <c r="K106" s="54">
        <f>F138*F110</f>
        <v>10777726.252799999</v>
      </c>
    </row>
    <row r="107" spans="1:11" x14ac:dyDescent="0.35">
      <c r="A107" s="86" t="s">
        <v>129</v>
      </c>
      <c r="B107" s="87" t="s">
        <v>129</v>
      </c>
      <c r="C107" s="63">
        <v>0</v>
      </c>
      <c r="D107" s="21">
        <f ca="1">((100/(H96))*C107)/100</f>
        <v>0</v>
      </c>
      <c r="E107" s="91"/>
      <c r="F107" s="92"/>
      <c r="G107" s="91"/>
      <c r="H107" s="96"/>
      <c r="I107" s="16" t="s">
        <v>143</v>
      </c>
      <c r="J107" s="33">
        <f>(IF(B96=1,(H96/(B96+3)+J102),IF(B96=0,(H96/4+J102),IF(B96&gt;1,0))))</f>
        <v>0</v>
      </c>
      <c r="K107" s="26">
        <f>K105+K106</f>
        <v>11271705.372719999</v>
      </c>
    </row>
    <row r="108" spans="1:11" s="37" customFormat="1" ht="16" thickBot="1" x14ac:dyDescent="0.4">
      <c r="A108" s="98" t="s">
        <v>130</v>
      </c>
      <c r="B108" s="99"/>
      <c r="C108" s="64">
        <v>0</v>
      </c>
      <c r="D108" s="22">
        <f ca="1">((100/(H96))*C108)/100</f>
        <v>0</v>
      </c>
      <c r="E108" s="93"/>
      <c r="F108" s="94"/>
      <c r="G108" s="93"/>
      <c r="H108" s="97"/>
      <c r="I108" s="17" t="s">
        <v>100</v>
      </c>
      <c r="J108" s="35">
        <f ca="1">(IF(B96&gt;1.5,(H96/(B96+2)+J102+MAX(0,J103-J102)+MAX(0,J104-J103)+MAX(0,J105-J104)+MAX(0,J106-J105)+MAX(0,J107-J106)),IF(B96=1,(H96/(B96+3)+J107),IF(B96=0,H96/4+J107))))</f>
        <v>35</v>
      </c>
    </row>
    <row r="109" spans="1:11" s="38" customFormat="1" x14ac:dyDescent="0.35">
      <c r="A109" s="195" t="s">
        <v>151</v>
      </c>
      <c r="B109" s="195"/>
      <c r="C109" s="195"/>
      <c r="D109" s="195"/>
      <c r="E109" s="195"/>
      <c r="F109" s="132" t="s">
        <v>153</v>
      </c>
      <c r="G109" s="132"/>
      <c r="H109" s="132"/>
      <c r="I109" s="23"/>
      <c r="J109" s="23"/>
    </row>
    <row r="110" spans="1:11" s="38" customFormat="1" ht="15.75" customHeight="1" x14ac:dyDescent="0.35">
      <c r="A110" s="129" t="s">
        <v>152</v>
      </c>
      <c r="B110" s="129"/>
      <c r="C110" s="129"/>
      <c r="D110" s="129"/>
      <c r="E110" s="129"/>
      <c r="F110" s="126">
        <v>14400</v>
      </c>
      <c r="G110" s="126"/>
      <c r="H110" s="126"/>
      <c r="I110" s="23"/>
      <c r="J110" s="23"/>
    </row>
    <row r="111" spans="1:11" s="38" customFormat="1" x14ac:dyDescent="0.35">
      <c r="A111" s="129" t="s">
        <v>200</v>
      </c>
      <c r="B111" s="129"/>
      <c r="C111" s="129"/>
      <c r="D111" s="129"/>
      <c r="E111" s="129"/>
      <c r="F111" s="130">
        <v>30</v>
      </c>
      <c r="G111" s="130"/>
      <c r="H111" s="130"/>
      <c r="I111" s="23"/>
      <c r="J111" s="23">
        <f>10910200-10604300</f>
        <v>305900</v>
      </c>
      <c r="K111" s="38" t="s">
        <v>194</v>
      </c>
    </row>
    <row r="112" spans="1:11" s="38" customFormat="1" hidden="1" x14ac:dyDescent="0.3">
      <c r="A112" s="185" t="s">
        <v>189</v>
      </c>
      <c r="B112" s="185"/>
      <c r="C112" s="185"/>
      <c r="D112" s="185"/>
      <c r="E112" s="185"/>
      <c r="F112" s="191">
        <v>800000</v>
      </c>
      <c r="G112" s="191"/>
      <c r="H112" s="191"/>
      <c r="I112" s="36"/>
      <c r="J112" s="36"/>
      <c r="K112" s="38" t="s">
        <v>194</v>
      </c>
    </row>
    <row r="113" spans="1:14" s="38" customFormat="1" hidden="1" x14ac:dyDescent="0.3">
      <c r="A113" s="185" t="s">
        <v>187</v>
      </c>
      <c r="B113" s="185"/>
      <c r="C113" s="185"/>
      <c r="D113" s="185"/>
      <c r="E113" s="185"/>
      <c r="F113" s="191">
        <v>750000</v>
      </c>
      <c r="G113" s="191"/>
      <c r="H113" s="191"/>
      <c r="I113" s="36"/>
      <c r="J113" s="36"/>
      <c r="K113" s="38" t="s">
        <v>194</v>
      </c>
    </row>
    <row r="114" spans="1:14" s="38" customFormat="1" hidden="1" x14ac:dyDescent="0.3">
      <c r="A114" s="185" t="s">
        <v>188</v>
      </c>
      <c r="B114" s="185"/>
      <c r="C114" s="185"/>
      <c r="D114" s="185"/>
      <c r="E114" s="185"/>
      <c r="F114" s="191">
        <v>890000</v>
      </c>
      <c r="G114" s="191"/>
      <c r="H114" s="191"/>
      <c r="I114" s="36"/>
      <c r="J114" s="36"/>
      <c r="K114" s="38" t="s">
        <v>194</v>
      </c>
    </row>
    <row r="115" spans="1:14" s="37" customFormat="1" x14ac:dyDescent="0.35">
      <c r="A115" s="129" t="s">
        <v>94</v>
      </c>
      <c r="B115" s="129"/>
      <c r="C115" s="129"/>
      <c r="D115" s="129"/>
      <c r="E115" s="129"/>
      <c r="F115" s="130">
        <v>300000</v>
      </c>
      <c r="G115" s="130"/>
      <c r="H115" s="130"/>
      <c r="I115" s="36"/>
      <c r="J115" s="36">
        <f>11216100-10910200</f>
        <v>305900</v>
      </c>
      <c r="K115" s="37" t="s">
        <v>195</v>
      </c>
    </row>
    <row r="116" spans="1:14" x14ac:dyDescent="0.35">
      <c r="A116" s="129" t="s">
        <v>185</v>
      </c>
      <c r="B116" s="129"/>
      <c r="C116" s="129"/>
      <c r="D116" s="129"/>
      <c r="E116" s="129"/>
      <c r="F116" s="130">
        <v>60000</v>
      </c>
      <c r="G116" s="130"/>
      <c r="H116" s="130"/>
      <c r="I116" s="36"/>
      <c r="J116" s="36"/>
      <c r="K116" s="23" t="s">
        <v>196</v>
      </c>
    </row>
    <row r="117" spans="1:14" hidden="1" x14ac:dyDescent="0.35">
      <c r="A117" s="129" t="s">
        <v>154</v>
      </c>
      <c r="B117" s="129"/>
      <c r="C117" s="129"/>
      <c r="D117" s="129"/>
      <c r="E117" s="129"/>
      <c r="F117" s="130">
        <v>15000</v>
      </c>
      <c r="G117" s="130"/>
      <c r="H117" s="130"/>
      <c r="I117" s="36"/>
      <c r="J117" s="36">
        <f>10604300/481/1.55</f>
        <v>14223.459191201126</v>
      </c>
    </row>
    <row r="118" spans="1:14" s="53" customFormat="1" x14ac:dyDescent="0.3">
      <c r="A118" s="129" t="s">
        <v>186</v>
      </c>
      <c r="B118" s="129"/>
      <c r="C118" s="129"/>
      <c r="D118" s="129"/>
      <c r="E118" s="129"/>
      <c r="F118" s="130">
        <v>700</v>
      </c>
      <c r="G118" s="130"/>
      <c r="H118" s="130"/>
      <c r="I118" s="36"/>
      <c r="J118" s="36"/>
    </row>
    <row r="119" spans="1:14" s="53" customFormat="1" x14ac:dyDescent="0.3">
      <c r="A119" s="129" t="s">
        <v>95</v>
      </c>
      <c r="B119" s="129"/>
      <c r="C119" s="129"/>
      <c r="D119" s="129"/>
      <c r="E119" s="129"/>
      <c r="F119" s="130">
        <v>7500</v>
      </c>
      <c r="G119" s="130"/>
      <c r="H119" s="130"/>
      <c r="I119" s="54">
        <f>7*F138*30</f>
        <v>157175.17451999997</v>
      </c>
      <c r="J119" s="54">
        <f>15*F138*30</f>
        <v>336803.94539999997</v>
      </c>
    </row>
    <row r="120" spans="1:14" s="53" customFormat="1" x14ac:dyDescent="0.3">
      <c r="A120" s="129" t="s">
        <v>199</v>
      </c>
      <c r="B120" s="129"/>
      <c r="C120" s="129"/>
      <c r="D120" s="129"/>
      <c r="E120" s="129"/>
      <c r="F120" s="130">
        <v>130000</v>
      </c>
      <c r="G120" s="130"/>
      <c r="H120" s="130"/>
      <c r="I120" s="54">
        <f>F138*F110</f>
        <v>10777726.252799999</v>
      </c>
      <c r="J120" s="54">
        <f>F138*F110</f>
        <v>10777726.252799999</v>
      </c>
    </row>
    <row r="121" spans="1:14" s="53" customFormat="1" x14ac:dyDescent="0.35">
      <c r="A121" s="129" t="s">
        <v>51</v>
      </c>
      <c r="B121" s="129"/>
      <c r="C121" s="129"/>
      <c r="D121" s="129"/>
      <c r="E121" s="129"/>
      <c r="F121" s="130">
        <v>700000</v>
      </c>
      <c r="G121" s="130"/>
      <c r="H121" s="130"/>
      <c r="I121" s="26">
        <f>I119+I120</f>
        <v>10934901.42732</v>
      </c>
      <c r="J121" s="26">
        <f>J119+J120</f>
        <v>11114530.198199999</v>
      </c>
    </row>
    <row r="122" spans="1:14" s="53" customFormat="1" x14ac:dyDescent="0.35">
      <c r="A122" s="139" t="s">
        <v>52</v>
      </c>
      <c r="B122" s="139"/>
      <c r="C122" s="139"/>
      <c r="D122" s="139"/>
      <c r="E122" s="139"/>
      <c r="F122" s="130">
        <f>F110*0.8</f>
        <v>11520</v>
      </c>
      <c r="G122" s="130"/>
      <c r="H122" s="130"/>
      <c r="I122" s="37"/>
      <c r="J122" s="37"/>
    </row>
    <row r="123" spans="1:14" s="53" customFormat="1" x14ac:dyDescent="0.35">
      <c r="A123" s="141" t="s">
        <v>71</v>
      </c>
      <c r="B123" s="141"/>
      <c r="C123" s="141"/>
      <c r="D123" s="141"/>
      <c r="E123" s="141"/>
      <c r="F123" s="141"/>
      <c r="G123" s="141"/>
      <c r="H123" s="141"/>
      <c r="I123" s="38"/>
      <c r="J123" s="38"/>
    </row>
    <row r="124" spans="1:14" s="53" customFormat="1" ht="15.75" customHeight="1" x14ac:dyDescent="0.35">
      <c r="A124" s="125" t="s">
        <v>53</v>
      </c>
      <c r="B124" s="125"/>
      <c r="C124" s="174" t="s">
        <v>77</v>
      </c>
      <c r="D124" s="174"/>
      <c r="E124" s="124" t="s">
        <v>54</v>
      </c>
      <c r="F124" s="124"/>
      <c r="G124" s="125" t="s">
        <v>55</v>
      </c>
      <c r="H124" s="125"/>
      <c r="I124" s="38"/>
      <c r="J124" s="38" t="s">
        <v>192</v>
      </c>
      <c r="L124" s="106"/>
      <c r="M124" s="106"/>
      <c r="N124" s="39"/>
    </row>
    <row r="125" spans="1:14" s="53" customFormat="1" ht="15.75" customHeight="1" x14ac:dyDescent="0.35">
      <c r="A125" s="140" t="s">
        <v>161</v>
      </c>
      <c r="B125" s="140"/>
      <c r="C125" s="186">
        <f>COUNT(D138:D141)+COUNT(D143:D146)*17+COUNT(D148,D150:D151)+COUNT(D153,D155:D156)+COUNT(D158:D160)+COUNT(D162:D165)</f>
        <v>85</v>
      </c>
      <c r="D125" s="186"/>
      <c r="E125" s="173">
        <f>SUM(D138:D141)+SUM(D143:D146)*17+SUM(D148,D150:D151)+SUM(D153,D155:D156)+SUM(D158:D160)+SUM(D162:D165)</f>
        <v>52396.568640000005</v>
      </c>
      <c r="F125" s="173"/>
      <c r="G125" s="173">
        <f>SUM(F138:F141)+SUM(F143:F146)*17+SUM(F148,F150:F151)+SUM(F153,F155:F156)+SUM(F158:F160)+SUM(F162:F165)</f>
        <v>81214.681391999984</v>
      </c>
      <c r="H125" s="173"/>
      <c r="I125" s="38"/>
      <c r="J125" s="38" t="s">
        <v>193</v>
      </c>
      <c r="L125" s="106"/>
      <c r="M125" s="106"/>
      <c r="N125" s="39"/>
    </row>
    <row r="126" spans="1:14" s="53" customFormat="1" ht="15.75" customHeight="1" x14ac:dyDescent="0.35">
      <c r="A126" s="140" t="s">
        <v>209</v>
      </c>
      <c r="B126" s="67" t="s">
        <v>212</v>
      </c>
      <c r="C126" s="173">
        <f>COUNT(D173:D176)+COUNT(D178:D181)+COUNT(D183:D186)+COUNT(D188:D191)*4+COUNT(D193:D196)*12+COUNT(D199:D201)*2+COUNT(D204:D206)+COUNT(D208:D211)*4</f>
        <v>101</v>
      </c>
      <c r="D126" s="173"/>
      <c r="E126" s="173">
        <f>SUM(D173:D176)+SUM(D178:D181)+SUM(D183:D186)+SUM(D188:D191)*4+SUM(D193:D196)*12+SUM(D199:D201)*2+SUM(D204:D206)+SUM(D208:D211)*4</f>
        <v>76822.560360000003</v>
      </c>
      <c r="F126" s="173"/>
      <c r="G126" s="173">
        <f>SUM(F173:F176)+SUM(F178:F181)+SUM(F183:F186)+SUM(F188:F191)*4+SUM(F193:F196)*12+SUM(F199:F201)*2+SUM(F204:F206)+SUM(F208:F211)*4</f>
        <v>119074.96855800001</v>
      </c>
      <c r="H126" s="173"/>
      <c r="I126" s="38"/>
      <c r="J126" s="38" t="s">
        <v>193</v>
      </c>
      <c r="L126" s="106"/>
      <c r="M126" s="106"/>
      <c r="N126" s="39"/>
    </row>
    <row r="127" spans="1:14" s="53" customFormat="1" ht="15.75" customHeight="1" x14ac:dyDescent="0.35">
      <c r="A127" s="140"/>
      <c r="B127" s="67" t="s">
        <v>213</v>
      </c>
      <c r="C127" s="173">
        <f>COUNT(D217:D220)+COUNT(D222:D225)+COUNT(D227:D230)+COUNT(D232:D235)*4+COUNT(D237:D240)*12+COUNT(D242:D243)*2+COUNT(D247:D248)+COUNT(D252:D255)*4</f>
        <v>98</v>
      </c>
      <c r="D127" s="173"/>
      <c r="E127" s="173">
        <f>SUM(D217:D220)+SUM(D222:D225)+SUM(D227:D230)+SUM(D232:D235)*4+SUM(D237:D240)*12+SUM(D242:D243)*2+SUM(D247:D248)+SUM(D252:D255)*4</f>
        <v>43495.709399999992</v>
      </c>
      <c r="F127" s="173"/>
      <c r="G127" s="173">
        <f>SUM(F217:F220)+SUM(F222:F225)+SUM(F227:F230)+SUM(F232:F235)*4+SUM(F237:F240)*12+SUM(F242:F243)*2+SUM(F247:F248)+SUM(F252:F255)*4</f>
        <v>67418.349569999991</v>
      </c>
      <c r="H127" s="173"/>
      <c r="I127" s="38"/>
      <c r="J127" s="38" t="s">
        <v>193</v>
      </c>
      <c r="L127" s="106"/>
      <c r="M127" s="106"/>
      <c r="N127" s="39"/>
    </row>
    <row r="128" spans="1:14" s="53" customFormat="1" x14ac:dyDescent="0.35">
      <c r="A128" s="141" t="s">
        <v>210</v>
      </c>
      <c r="B128" s="141"/>
      <c r="C128" s="174">
        <f>SUM(C125:C127)</f>
        <v>284</v>
      </c>
      <c r="D128" s="174"/>
      <c r="E128" s="175">
        <f>SUM(E125:E127)</f>
        <v>172714.83840000001</v>
      </c>
      <c r="F128" s="175"/>
      <c r="G128" s="175">
        <f>SUM(G125:G127)</f>
        <v>267707.99951999995</v>
      </c>
      <c r="H128" s="175"/>
      <c r="I128" s="38"/>
      <c r="J128" s="38" t="s">
        <v>193</v>
      </c>
    </row>
    <row r="129" spans="1:14" s="53" customFormat="1" ht="15.75" customHeight="1" x14ac:dyDescent="0.35">
      <c r="A129" s="146" t="s">
        <v>56</v>
      </c>
      <c r="B129" s="146"/>
      <c r="C129" s="146"/>
      <c r="D129" s="146"/>
      <c r="E129" s="146"/>
      <c r="F129" s="146"/>
      <c r="G129" s="146"/>
      <c r="H129" s="146"/>
      <c r="I129" s="37"/>
      <c r="J129" s="37">
        <v>14100</v>
      </c>
      <c r="L129" s="106"/>
      <c r="M129" s="106"/>
      <c r="N129" s="39"/>
    </row>
    <row r="130" spans="1:14" s="53" customFormat="1" ht="15.75" customHeight="1" x14ac:dyDescent="0.35">
      <c r="A130" s="146" t="s">
        <v>57</v>
      </c>
      <c r="B130" s="146"/>
      <c r="C130" s="146"/>
      <c r="D130" s="146"/>
      <c r="E130" s="146"/>
      <c r="F130" s="146"/>
      <c r="G130" s="146"/>
      <c r="H130" s="146"/>
      <c r="I130" s="23"/>
      <c r="J130" s="23"/>
      <c r="L130" s="106"/>
      <c r="M130" s="106"/>
      <c r="N130" s="39"/>
    </row>
    <row r="131" spans="1:14" s="53" customFormat="1" ht="35.25" customHeight="1" x14ac:dyDescent="0.35">
      <c r="A131" s="116" t="s">
        <v>114</v>
      </c>
      <c r="B131" s="116" t="s">
        <v>115</v>
      </c>
      <c r="C131" s="179" t="s">
        <v>58</v>
      </c>
      <c r="D131" s="179" t="s">
        <v>59</v>
      </c>
      <c r="E131" s="181" t="s">
        <v>60</v>
      </c>
      <c r="F131" s="51" t="s">
        <v>145</v>
      </c>
      <c r="G131" s="116" t="s">
        <v>61</v>
      </c>
      <c r="H131" s="183"/>
      <c r="I131" s="39"/>
      <c r="J131" s="23"/>
      <c r="L131" s="106"/>
      <c r="M131" s="106"/>
      <c r="N131" s="39"/>
    </row>
    <row r="132" spans="1:14" s="53" customFormat="1" ht="15.75" customHeight="1" x14ac:dyDescent="0.35">
      <c r="A132" s="117"/>
      <c r="B132" s="117"/>
      <c r="C132" s="180"/>
      <c r="D132" s="180"/>
      <c r="E132" s="182"/>
      <c r="F132" s="15">
        <v>0.55000000000000004</v>
      </c>
      <c r="G132" s="117"/>
      <c r="H132" s="184"/>
      <c r="I132" s="39"/>
      <c r="L132" s="106"/>
      <c r="M132" s="106"/>
      <c r="N132" s="39"/>
    </row>
    <row r="133" spans="1:14" s="53" customFormat="1" x14ac:dyDescent="0.35">
      <c r="A133" s="176" t="s">
        <v>211</v>
      </c>
      <c r="B133" s="177"/>
      <c r="C133" s="177"/>
      <c r="D133" s="177"/>
      <c r="E133" s="177"/>
      <c r="F133" s="177"/>
      <c r="G133" s="177"/>
      <c r="H133" s="178"/>
      <c r="J133" s="39"/>
    </row>
    <row r="134" spans="1:14" s="53" customFormat="1" x14ac:dyDescent="0.35">
      <c r="A134" s="102" t="s">
        <v>191</v>
      </c>
      <c r="B134" s="103"/>
      <c r="C134" s="103"/>
      <c r="D134" s="103"/>
      <c r="E134" s="103"/>
      <c r="F134" s="103"/>
      <c r="G134" s="103"/>
      <c r="H134" s="104"/>
      <c r="J134" s="39"/>
      <c r="L134" s="106"/>
      <c r="M134" s="106"/>
      <c r="N134" s="39"/>
    </row>
    <row r="135" spans="1:14" s="53" customFormat="1" x14ac:dyDescent="0.35">
      <c r="A135" s="102" t="s">
        <v>190</v>
      </c>
      <c r="B135" s="103"/>
      <c r="C135" s="103"/>
      <c r="D135" s="103"/>
      <c r="E135" s="103"/>
      <c r="F135" s="103"/>
      <c r="G135" s="103"/>
      <c r="H135" s="104"/>
      <c r="J135" s="39"/>
      <c r="L135" s="106"/>
      <c r="M135" s="106"/>
      <c r="N135" s="39"/>
    </row>
    <row r="136" spans="1:14" s="53" customFormat="1" x14ac:dyDescent="0.35">
      <c r="A136" s="102" t="s">
        <v>176</v>
      </c>
      <c r="B136" s="103"/>
      <c r="C136" s="103"/>
      <c r="D136" s="103"/>
      <c r="E136" s="103"/>
      <c r="F136" s="103"/>
      <c r="G136" s="103"/>
      <c r="H136" s="104"/>
      <c r="J136" s="39"/>
      <c r="L136" s="106"/>
      <c r="M136" s="106"/>
      <c r="N136" s="39"/>
    </row>
    <row r="137" spans="1:14" s="53" customFormat="1" x14ac:dyDescent="0.35">
      <c r="A137" s="102" t="s">
        <v>177</v>
      </c>
      <c r="B137" s="103"/>
      <c r="C137" s="103"/>
      <c r="D137" s="103"/>
      <c r="E137" s="103"/>
      <c r="F137" s="103"/>
      <c r="G137" s="103"/>
      <c r="H137" s="104"/>
      <c r="J137" s="39"/>
      <c r="L137" s="106"/>
      <c r="M137" s="106"/>
      <c r="N137" s="39"/>
    </row>
    <row r="138" spans="1:14" s="53" customFormat="1" x14ac:dyDescent="0.35">
      <c r="A138" s="100">
        <v>1</v>
      </c>
      <c r="B138" s="101"/>
      <c r="C138" s="47">
        <v>1</v>
      </c>
      <c r="D138" s="48">
        <f>44.86*10.764</f>
        <v>482.87303999999995</v>
      </c>
      <c r="E138" s="48">
        <v>0</v>
      </c>
      <c r="F138" s="48">
        <f>D138*(($F$132)+1)+(IF(E138&lt;101,E138,IF(E138&lt;201,E138/2,IF(E138&lt;=301,E138/3,E138/4))))</f>
        <v>748.45321199999989</v>
      </c>
      <c r="G138" s="107" t="str">
        <f>A137</f>
        <v>1st Floor For Residential</v>
      </c>
      <c r="H138" s="108"/>
      <c r="I138" s="39">
        <f>10604300/F138</f>
        <v>14168.287115320712</v>
      </c>
      <c r="J138" s="53">
        <f>2.97*3.95+1.05*1.25+3.65*2.15+2*1.25+3.68*3.8+2*1.25+1.25*2.15+2.97*0.6</f>
        <v>44.344999999999999</v>
      </c>
    </row>
    <row r="139" spans="1:14" s="53" customFormat="1" x14ac:dyDescent="0.35">
      <c r="A139" s="100">
        <f t="shared" ref="A139:A141" si="0">A138+1</f>
        <v>2</v>
      </c>
      <c r="B139" s="101"/>
      <c r="C139" s="47">
        <v>2</v>
      </c>
      <c r="D139" s="48">
        <f>58.15*10.764</f>
        <v>625.92659999999989</v>
      </c>
      <c r="E139" s="48">
        <v>0</v>
      </c>
      <c r="F139" s="48">
        <f>D139*(($F$132)+1)+(IF(E139&lt;101,E139,IF(E139&lt;201,E139/2,IF(E139&lt;=301,E139/3,E139/4))))</f>
        <v>970.18622999999991</v>
      </c>
      <c r="G139" s="109"/>
      <c r="H139" s="110"/>
      <c r="I139" s="39"/>
      <c r="L139" s="106"/>
      <c r="M139" s="106"/>
      <c r="N139" s="39"/>
    </row>
    <row r="140" spans="1:14" s="53" customFormat="1" x14ac:dyDescent="0.35">
      <c r="A140" s="100">
        <f t="shared" si="0"/>
        <v>3</v>
      </c>
      <c r="B140" s="101"/>
      <c r="C140" s="47">
        <v>2</v>
      </c>
      <c r="D140" s="48">
        <f>67.63*10.764</f>
        <v>727.96931999999993</v>
      </c>
      <c r="E140" s="48">
        <v>0</v>
      </c>
      <c r="F140" s="48">
        <f>D140*(($F$132)+1)+(IF(E140&lt;101,E140,IF(E140&lt;201,E140/2,IF(E140&lt;=301,E140/3,E140/4))))</f>
        <v>1128.3524459999999</v>
      </c>
      <c r="G140" s="109"/>
      <c r="H140" s="110"/>
      <c r="I140" s="39"/>
      <c r="L140" s="106"/>
      <c r="M140" s="106"/>
      <c r="N140" s="39"/>
    </row>
    <row r="141" spans="1:14" s="53" customFormat="1" x14ac:dyDescent="0.35">
      <c r="A141" s="100">
        <f t="shared" si="0"/>
        <v>4</v>
      </c>
      <c r="B141" s="101"/>
      <c r="C141" s="47">
        <v>2</v>
      </c>
      <c r="D141" s="48">
        <f>67.67*10.764</f>
        <v>728.39987999999994</v>
      </c>
      <c r="E141" s="48">
        <v>0</v>
      </c>
      <c r="F141" s="48">
        <f>D141*(($F$132)+1)+(IF(E141&lt;101,E141,IF(E141&lt;201,E141/2,IF(E141&lt;=301,E141/3,E141/4))))</f>
        <v>1129.019814</v>
      </c>
      <c r="G141" s="111"/>
      <c r="H141" s="112"/>
      <c r="I141" s="39">
        <f>3.05*4.35+1.5*2.6+1.4*1.35+2.75*4.25+1.25*2.15+1.4*1.35+1.25*2.15+3.65*2.15+3.05*3.95+1.25*2.15</f>
        <v>60.592499999999994</v>
      </c>
      <c r="J141" s="39">
        <f>I141+I142</f>
        <v>68.217500000000001</v>
      </c>
      <c r="L141" s="106"/>
      <c r="M141" s="106"/>
      <c r="N141" s="39"/>
    </row>
    <row r="142" spans="1:14" s="53" customFormat="1" x14ac:dyDescent="0.35">
      <c r="A142" s="102" t="s">
        <v>207</v>
      </c>
      <c r="B142" s="103"/>
      <c r="C142" s="103"/>
      <c r="D142" s="103"/>
      <c r="E142" s="103"/>
      <c r="F142" s="103"/>
      <c r="G142" s="103"/>
      <c r="H142" s="104"/>
      <c r="I142" s="53">
        <f>3.05*2.5</f>
        <v>7.625</v>
      </c>
      <c r="J142" s="39"/>
      <c r="L142" s="106"/>
      <c r="M142" s="106"/>
      <c r="N142" s="39"/>
    </row>
    <row r="143" spans="1:14" s="57" customFormat="1" x14ac:dyDescent="0.35">
      <c r="A143" s="100">
        <v>1</v>
      </c>
      <c r="B143" s="101"/>
      <c r="C143" s="47">
        <v>1</v>
      </c>
      <c r="D143" s="48">
        <f>44.86*10.764</f>
        <v>482.87303999999995</v>
      </c>
      <c r="E143" s="48">
        <v>0</v>
      </c>
      <c r="F143" s="48">
        <f>D143*(($F$132)+1)+(IF(E143&lt;101,E143,IF(E143&lt;201,E143/2,IF(E143&lt;=301,E143/3,E143/4))))</f>
        <v>748.45321199999989</v>
      </c>
      <c r="G143" s="107" t="str">
        <f>A142</f>
        <v>2nd to 7th, 9th to 14th &amp; 16th to 19th &amp; 21st Floor Plan</v>
      </c>
      <c r="H143" s="108"/>
      <c r="I143" s="39">
        <f>9900000/F143</f>
        <v>13227.279730078841</v>
      </c>
      <c r="J143" s="53" t="s">
        <v>197</v>
      </c>
    </row>
    <row r="144" spans="1:14" s="57" customFormat="1" ht="15.75" customHeight="1" x14ac:dyDescent="0.35">
      <c r="A144" s="100">
        <f t="shared" ref="A144:A146" si="1">A143+1</f>
        <v>2</v>
      </c>
      <c r="B144" s="101"/>
      <c r="C144" s="47">
        <v>2</v>
      </c>
      <c r="D144" s="48">
        <f>58.15*10.764</f>
        <v>625.92659999999989</v>
      </c>
      <c r="E144" s="48">
        <v>0</v>
      </c>
      <c r="F144" s="48">
        <f>D144*(($F$132)+1)+(IF(E144&lt;101,E144,IF(E144&lt;201,E144/2,IF(E144&lt;=301,E144/3,E144/4))))</f>
        <v>970.18622999999991</v>
      </c>
      <c r="G144" s="109"/>
      <c r="H144" s="110"/>
      <c r="I144" s="39">
        <f>10700000/F143</f>
        <v>14296.150819378141</v>
      </c>
      <c r="J144" s="53" t="s">
        <v>198</v>
      </c>
      <c r="L144" s="106"/>
      <c r="M144" s="106"/>
      <c r="N144" s="39"/>
    </row>
    <row r="145" spans="1:14" s="57" customFormat="1" ht="15.75" customHeight="1" x14ac:dyDescent="0.35">
      <c r="A145" s="100">
        <f t="shared" si="1"/>
        <v>3</v>
      </c>
      <c r="B145" s="101"/>
      <c r="C145" s="47">
        <v>2</v>
      </c>
      <c r="D145" s="48">
        <f>61.45*10.764</f>
        <v>661.44780000000003</v>
      </c>
      <c r="E145" s="48">
        <v>0</v>
      </c>
      <c r="F145" s="48">
        <f>D145*(($F$132)+1)+(IF(E145&lt;101,E145,IF(E145&lt;201,E145/2,IF(E145&lt;=301,E145/3,E145/4))))</f>
        <v>1025.2440900000001</v>
      </c>
      <c r="G145" s="109"/>
      <c r="H145" s="110"/>
      <c r="I145" s="39">
        <f>13200000/F145</f>
        <v>12874.98277605287</v>
      </c>
      <c r="J145" s="53" t="s">
        <v>198</v>
      </c>
      <c r="L145" s="106"/>
      <c r="M145" s="106"/>
      <c r="N145" s="39"/>
    </row>
    <row r="146" spans="1:14" s="57" customFormat="1" ht="15.75" customHeight="1" x14ac:dyDescent="0.35">
      <c r="A146" s="100">
        <f t="shared" si="1"/>
        <v>4</v>
      </c>
      <c r="B146" s="101"/>
      <c r="C146" s="47">
        <v>2</v>
      </c>
      <c r="D146" s="48">
        <f>61.49*10.764</f>
        <v>661.87835999999993</v>
      </c>
      <c r="E146" s="48">
        <v>0</v>
      </c>
      <c r="F146" s="48">
        <f>D146*(($F$132)+1)+(IF(E146&lt;101,E146,IF(E146&lt;201,E146/2,IF(E146&lt;=301,E146/3,E146/4))))</f>
        <v>1025.9114579999998</v>
      </c>
      <c r="G146" s="111"/>
      <c r="H146" s="112"/>
      <c r="I146" s="39"/>
      <c r="J146" s="53"/>
      <c r="L146" s="106"/>
      <c r="M146" s="106"/>
      <c r="N146" s="39"/>
    </row>
    <row r="147" spans="1:14" s="53" customFormat="1" x14ac:dyDescent="0.35">
      <c r="A147" s="102" t="s">
        <v>179</v>
      </c>
      <c r="B147" s="103"/>
      <c r="C147" s="103"/>
      <c r="D147" s="103"/>
      <c r="E147" s="103"/>
      <c r="F147" s="103"/>
      <c r="G147" s="103"/>
      <c r="H147" s="104"/>
      <c r="J147" s="39"/>
    </row>
    <row r="148" spans="1:14" s="53" customFormat="1" x14ac:dyDescent="0.35">
      <c r="A148" s="100">
        <v>1</v>
      </c>
      <c r="B148" s="101"/>
      <c r="C148" s="47">
        <v>1</v>
      </c>
      <c r="D148" s="48">
        <f>44.86*10.764</f>
        <v>482.87303999999995</v>
      </c>
      <c r="E148" s="48">
        <v>0</v>
      </c>
      <c r="F148" s="48">
        <f>D148*(($F$132)+1)+(IF(E148&lt;101,E148,IF(E148&lt;201,E148/2,IF(E148&lt;=301,E148/3,E148/4))))</f>
        <v>748.45321199999989</v>
      </c>
      <c r="G148" s="107" t="str">
        <f>A147</f>
        <v>8th Floor (Part Refuge Area)</v>
      </c>
      <c r="H148" s="108"/>
      <c r="I148" s="39"/>
      <c r="L148" s="106"/>
      <c r="M148" s="106"/>
      <c r="N148" s="39"/>
    </row>
    <row r="149" spans="1:14" s="53" customFormat="1" x14ac:dyDescent="0.35">
      <c r="A149" s="100">
        <f t="shared" ref="A149:A151" si="2">A148+1</f>
        <v>2</v>
      </c>
      <c r="B149" s="101"/>
      <c r="C149" s="100" t="s">
        <v>178</v>
      </c>
      <c r="D149" s="114"/>
      <c r="E149" s="114"/>
      <c r="F149" s="101"/>
      <c r="G149" s="109"/>
      <c r="H149" s="110"/>
      <c r="I149" s="39"/>
      <c r="L149" s="106"/>
      <c r="M149" s="106"/>
      <c r="N149" s="39"/>
    </row>
    <row r="150" spans="1:14" s="53" customFormat="1" x14ac:dyDescent="0.35">
      <c r="A150" s="100">
        <f t="shared" si="2"/>
        <v>3</v>
      </c>
      <c r="B150" s="101"/>
      <c r="C150" s="47">
        <v>2</v>
      </c>
      <c r="D150" s="48">
        <f>61.45*10.764</f>
        <v>661.44780000000003</v>
      </c>
      <c r="E150" s="48">
        <v>0</v>
      </c>
      <c r="F150" s="48">
        <f>D150*(($F$132)+1)+(IF(E150&lt;101,E150,IF(E150&lt;201,E150/2,IF(E150&lt;=301,E150/3,E150/4))))</f>
        <v>1025.2440900000001</v>
      </c>
      <c r="G150" s="109"/>
      <c r="H150" s="110"/>
      <c r="I150" s="39">
        <f>13100000/F150</f>
        <v>12777.44502774944</v>
      </c>
      <c r="J150" s="53" t="s">
        <v>197</v>
      </c>
      <c r="L150" s="106"/>
      <c r="M150" s="106"/>
      <c r="N150" s="39"/>
    </row>
    <row r="151" spans="1:14" s="53" customFormat="1" x14ac:dyDescent="0.35">
      <c r="A151" s="100">
        <f t="shared" si="2"/>
        <v>4</v>
      </c>
      <c r="B151" s="101"/>
      <c r="C151" s="47">
        <v>2</v>
      </c>
      <c r="D151" s="48">
        <f>61.49*10.764</f>
        <v>661.87835999999993</v>
      </c>
      <c r="E151" s="48">
        <v>0</v>
      </c>
      <c r="F151" s="48">
        <f>D151*(($F$132)+1)+(IF(E151&lt;101,E151,IF(E151&lt;201,E151/2,IF(E151&lt;=301,E151/3,E151/4))))</f>
        <v>1025.9114579999998</v>
      </c>
      <c r="G151" s="111"/>
      <c r="H151" s="112"/>
      <c r="I151" s="39"/>
      <c r="L151" s="106"/>
      <c r="M151" s="106"/>
      <c r="N151" s="39"/>
    </row>
    <row r="152" spans="1:14" s="57" customFormat="1" x14ac:dyDescent="0.35">
      <c r="A152" s="102" t="s">
        <v>180</v>
      </c>
      <c r="B152" s="103"/>
      <c r="C152" s="103"/>
      <c r="D152" s="103"/>
      <c r="E152" s="103"/>
      <c r="F152" s="103"/>
      <c r="G152" s="103"/>
      <c r="H152" s="104"/>
      <c r="I152" s="53"/>
      <c r="J152" s="39"/>
    </row>
    <row r="153" spans="1:14" s="57" customFormat="1" x14ac:dyDescent="0.35">
      <c r="A153" s="100">
        <v>1</v>
      </c>
      <c r="B153" s="101"/>
      <c r="C153" s="47">
        <v>1</v>
      </c>
      <c r="D153" s="48">
        <f>44.86*10.764</f>
        <v>482.87303999999995</v>
      </c>
      <c r="E153" s="48">
        <v>0</v>
      </c>
      <c r="F153" s="48">
        <f>D153*(($F$132)+1)+(IF(E153&lt;101,E153,IF(E153&lt;201,E153/2,IF(E153&lt;=301,E153/3,E153/4))))</f>
        <v>748.45321199999989</v>
      </c>
      <c r="G153" s="107" t="str">
        <f>A152</f>
        <v>15th Floor (Part Refuge Area)</v>
      </c>
      <c r="H153" s="108"/>
      <c r="I153" s="39">
        <f>10910200/F153</f>
        <v>14576.996698091532</v>
      </c>
      <c r="J153" s="53"/>
    </row>
    <row r="154" spans="1:14" s="61" customFormat="1" x14ac:dyDescent="0.35">
      <c r="A154" s="100">
        <f t="shared" ref="A154:A156" si="3">A153+1</f>
        <v>2</v>
      </c>
      <c r="B154" s="101"/>
      <c r="C154" s="100" t="s">
        <v>178</v>
      </c>
      <c r="D154" s="114"/>
      <c r="E154" s="114"/>
      <c r="F154" s="101"/>
      <c r="G154" s="109"/>
      <c r="H154" s="110"/>
      <c r="I154" s="39"/>
      <c r="J154" s="53"/>
    </row>
    <row r="155" spans="1:14" s="61" customFormat="1" x14ac:dyDescent="0.35">
      <c r="A155" s="100">
        <f t="shared" si="3"/>
        <v>3</v>
      </c>
      <c r="B155" s="101"/>
      <c r="C155" s="47">
        <v>2</v>
      </c>
      <c r="D155" s="48">
        <f>61.45*10.764</f>
        <v>661.44780000000003</v>
      </c>
      <c r="E155" s="48">
        <v>0</v>
      </c>
      <c r="F155" s="48">
        <f>D155*(($F$132)+1)+(IF(E155&lt;101,E155,IF(E155&lt;201,E155/2,IF(E155&lt;=301,E155/3,E155/4))))</f>
        <v>1025.2440900000001</v>
      </c>
      <c r="G155" s="109"/>
      <c r="H155" s="110"/>
      <c r="I155" s="39">
        <f>(3.05*4.35+1.5*2.6+2.75*4.25+3.05*3.95+1.25*2.15+3.65*2.15+1.4*1.35+1.25*2.15+3.05*0.52)</f>
        <v>57.600999999999992</v>
      </c>
      <c r="J155" s="53"/>
    </row>
    <row r="156" spans="1:14" s="57" customFormat="1" x14ac:dyDescent="0.35">
      <c r="A156" s="100">
        <f t="shared" si="3"/>
        <v>4</v>
      </c>
      <c r="B156" s="101"/>
      <c r="C156" s="47">
        <v>2</v>
      </c>
      <c r="D156" s="48">
        <f>61.49*10.764</f>
        <v>661.87835999999993</v>
      </c>
      <c r="E156" s="48">
        <v>0</v>
      </c>
      <c r="F156" s="48">
        <f>D156*(($F$132)+1)+(IF(E156&lt;101,E156,IF(E156&lt;201,E156/2,IF(E156&lt;=301,E156/3,E156/4))))</f>
        <v>1025.9114579999998</v>
      </c>
      <c r="G156" s="111"/>
      <c r="H156" s="112"/>
      <c r="I156" s="39"/>
      <c r="J156" s="53"/>
    </row>
    <row r="157" spans="1:14" s="57" customFormat="1" x14ac:dyDescent="0.35">
      <c r="A157" s="102" t="s">
        <v>208</v>
      </c>
      <c r="B157" s="103"/>
      <c r="C157" s="103"/>
      <c r="D157" s="103"/>
      <c r="E157" s="103"/>
      <c r="F157" s="103"/>
      <c r="G157" s="103"/>
      <c r="H157" s="104"/>
      <c r="I157" s="57">
        <f>3.05*2.5</f>
        <v>7.625</v>
      </c>
      <c r="J157" s="39"/>
    </row>
    <row r="158" spans="1:14" s="57" customFormat="1" x14ac:dyDescent="0.35">
      <c r="A158" s="100">
        <v>1</v>
      </c>
      <c r="B158" s="101"/>
      <c r="C158" s="47">
        <v>1</v>
      </c>
      <c r="D158" s="48">
        <f>44.86*10.764</f>
        <v>482.87303999999995</v>
      </c>
      <c r="E158" s="48">
        <v>0</v>
      </c>
      <c r="F158" s="48">
        <f>D158*(($F$132)+1)+(IF(E158&lt;101,E158,IF(E158&lt;201,E158/2,IF(E158&lt;=301,E158/3,E158/4))))</f>
        <v>748.45321199999989</v>
      </c>
      <c r="G158" s="107" t="str">
        <f>A157</f>
        <v>20th Floor</v>
      </c>
      <c r="H158" s="108"/>
      <c r="I158" s="39">
        <f>9900000/F158</f>
        <v>13227.279730078841</v>
      </c>
      <c r="J158" s="57" t="s">
        <v>197</v>
      </c>
    </row>
    <row r="159" spans="1:14" s="57" customFormat="1" x14ac:dyDescent="0.35">
      <c r="A159" s="100">
        <f t="shared" ref="A159:A160" si="4">A158+1</f>
        <v>2</v>
      </c>
      <c r="B159" s="101"/>
      <c r="C159" s="47">
        <v>2</v>
      </c>
      <c r="D159" s="48">
        <f>58.15*10.764</f>
        <v>625.92659999999989</v>
      </c>
      <c r="E159" s="48">
        <v>0</v>
      </c>
      <c r="F159" s="48">
        <f>D159*(($F$132)+1)+(IF(E159&lt;101,E159,IF(E159&lt;201,E159/2,IF(E159&lt;=301,E159/3,E159/4))))</f>
        <v>970.18622999999991</v>
      </c>
      <c r="G159" s="109"/>
      <c r="H159" s="110"/>
      <c r="I159" s="39">
        <f>10700000/F158</f>
        <v>14296.150819378141</v>
      </c>
      <c r="J159" s="57" t="s">
        <v>198</v>
      </c>
    </row>
    <row r="160" spans="1:14" s="57" customFormat="1" x14ac:dyDescent="0.35">
      <c r="A160" s="100">
        <f t="shared" si="4"/>
        <v>3</v>
      </c>
      <c r="B160" s="101"/>
      <c r="C160" s="47">
        <v>4</v>
      </c>
      <c r="D160" s="48">
        <f>123.74*10.764</f>
        <v>1331.9373599999999</v>
      </c>
      <c r="E160" s="48">
        <v>0</v>
      </c>
      <c r="F160" s="48">
        <f>D160*(($F$132)+1)+(IF(E160&lt;101,E160,IF(E160&lt;201,E160/2,IF(E160&lt;=301,E160/3,E160/4))))</f>
        <v>2064.5029079999999</v>
      </c>
      <c r="G160" s="109"/>
      <c r="H160" s="110"/>
      <c r="I160" s="39">
        <f>13200000/F160</f>
        <v>6393.7909454376031</v>
      </c>
      <c r="J160" s="57" t="s">
        <v>198</v>
      </c>
    </row>
    <row r="161" spans="1:14" s="57" customFormat="1" ht="15.75" customHeight="1" x14ac:dyDescent="0.35">
      <c r="A161" s="105" t="s">
        <v>175</v>
      </c>
      <c r="B161" s="105"/>
      <c r="C161" s="105"/>
      <c r="D161" s="105"/>
      <c r="E161" s="105"/>
      <c r="F161" s="105"/>
      <c r="G161" s="105"/>
      <c r="H161" s="105"/>
      <c r="I161" s="53"/>
      <c r="J161" s="39"/>
      <c r="L161" s="106"/>
      <c r="M161" s="106"/>
      <c r="N161" s="39"/>
    </row>
    <row r="162" spans="1:14" s="57" customFormat="1" ht="15.75" customHeight="1" x14ac:dyDescent="0.35">
      <c r="A162" s="113">
        <v>1</v>
      </c>
      <c r="B162" s="113"/>
      <c r="C162" s="47">
        <v>1</v>
      </c>
      <c r="D162" s="48">
        <f>44.86*10.764</f>
        <v>482.87303999999995</v>
      </c>
      <c r="E162" s="48">
        <v>0</v>
      </c>
      <c r="F162" s="48">
        <f>D162*(($F$132)+1)+(IF(E162&lt;101,E162,IF(E162&lt;201,E162/2,IF(E162&lt;=301,E162/3,E162/4))))</f>
        <v>748.45321199999989</v>
      </c>
      <c r="G162" s="113" t="str">
        <f>A161</f>
        <v>22nd Floor</v>
      </c>
      <c r="H162" s="113"/>
      <c r="I162" s="39">
        <f>(3.05*4.65+2.75*2.5+3.05*2.95+3.05*2.16+1.5*2.68+1.25*2.16+1.25*2.15+1*3.05+1*2.75+1.25*1.3+0.9*0.6)</f>
        <v>54.015500000000003</v>
      </c>
      <c r="J162" s="53"/>
      <c r="L162" s="106"/>
      <c r="M162" s="106"/>
      <c r="N162" s="39"/>
    </row>
    <row r="163" spans="1:14" s="57" customFormat="1" ht="15.75" customHeight="1" x14ac:dyDescent="0.35">
      <c r="A163" s="113">
        <f t="shared" ref="A163:A165" si="5">A162+1</f>
        <v>2</v>
      </c>
      <c r="B163" s="113"/>
      <c r="C163" s="47">
        <v>2</v>
      </c>
      <c r="D163" s="48">
        <f>58.15*10.764</f>
        <v>625.92659999999989</v>
      </c>
      <c r="E163" s="48">
        <v>0</v>
      </c>
      <c r="F163" s="48">
        <f>D163*(($F$132)+1)+(IF(E163&lt;101,E163,IF(E163&lt;201,E163/2,IF(E163&lt;=301,E163/3,E163/4))))</f>
        <v>970.18622999999991</v>
      </c>
      <c r="G163" s="113"/>
      <c r="H163" s="113"/>
      <c r="I163" s="39"/>
      <c r="J163" s="53"/>
      <c r="L163" s="106"/>
      <c r="M163" s="106"/>
      <c r="N163" s="39"/>
    </row>
    <row r="164" spans="1:14" s="57" customFormat="1" ht="15.75" customHeight="1" x14ac:dyDescent="0.35">
      <c r="A164" s="113">
        <f t="shared" si="5"/>
        <v>3</v>
      </c>
      <c r="B164" s="113"/>
      <c r="C164" s="47">
        <v>2</v>
      </c>
      <c r="D164" s="48">
        <f>61.45*10.764</f>
        <v>661.44780000000003</v>
      </c>
      <c r="E164" s="48">
        <v>0</v>
      </c>
      <c r="F164" s="48">
        <f>D164*(($F$132)+1)+(IF(E164&lt;101,E164,IF(E164&lt;201,E164/2,IF(E164&lt;=301,E164/3,E164/4))))</f>
        <v>1025.2440900000001</v>
      </c>
      <c r="G164" s="113"/>
      <c r="H164" s="113"/>
      <c r="I164" s="39"/>
      <c r="J164" s="53"/>
      <c r="L164" s="106"/>
      <c r="M164" s="106"/>
      <c r="N164" s="39"/>
    </row>
    <row r="165" spans="1:14" s="57" customFormat="1" x14ac:dyDescent="0.35">
      <c r="A165" s="113">
        <f t="shared" si="5"/>
        <v>4</v>
      </c>
      <c r="B165" s="113"/>
      <c r="C165" s="47">
        <v>2</v>
      </c>
      <c r="D165" s="48">
        <f>61.49*10.764</f>
        <v>661.87835999999993</v>
      </c>
      <c r="E165" s="48">
        <v>0</v>
      </c>
      <c r="F165" s="48">
        <f>D165*(($F$132)+1)+(IF(E165&lt;101,E165,IF(E165&lt;201,E165/2,IF(E165&lt;=301,E165/3,E165/4))))</f>
        <v>1025.9114579999998</v>
      </c>
      <c r="G165" s="113"/>
      <c r="H165" s="113"/>
      <c r="I165" s="39"/>
      <c r="J165" s="53"/>
    </row>
    <row r="166" spans="1:14" s="57" customFormat="1" ht="15.75" customHeight="1" x14ac:dyDescent="0.35">
      <c r="A166" s="115" t="s">
        <v>209</v>
      </c>
      <c r="B166" s="115"/>
      <c r="C166" s="115"/>
      <c r="D166" s="115"/>
      <c r="E166" s="115"/>
      <c r="F166" s="115"/>
      <c r="G166" s="115"/>
      <c r="H166" s="115"/>
      <c r="J166" s="39"/>
      <c r="L166" s="106"/>
      <c r="M166" s="106"/>
      <c r="N166" s="39"/>
    </row>
    <row r="167" spans="1:14" s="57" customFormat="1" ht="15.75" customHeight="1" x14ac:dyDescent="0.35">
      <c r="A167" s="105" t="s">
        <v>214</v>
      </c>
      <c r="B167" s="105"/>
      <c r="C167" s="105"/>
      <c r="D167" s="105"/>
      <c r="E167" s="105"/>
      <c r="F167" s="105"/>
      <c r="G167" s="105"/>
      <c r="H167" s="105"/>
      <c r="J167" s="39"/>
      <c r="L167" s="106"/>
      <c r="M167" s="106"/>
      <c r="N167" s="39"/>
    </row>
    <row r="168" spans="1:14" s="57" customFormat="1" ht="15.75" customHeight="1" x14ac:dyDescent="0.35">
      <c r="A168" s="105" t="s">
        <v>229</v>
      </c>
      <c r="B168" s="105"/>
      <c r="C168" s="105"/>
      <c r="D168" s="105"/>
      <c r="E168" s="105"/>
      <c r="F168" s="105"/>
      <c r="G168" s="105"/>
      <c r="H168" s="105"/>
      <c r="I168" s="61"/>
      <c r="J168" s="39"/>
      <c r="L168" s="106"/>
      <c r="M168" s="106"/>
      <c r="N168" s="39"/>
    </row>
    <row r="169" spans="1:14" s="57" customFormat="1" ht="15.75" customHeight="1" x14ac:dyDescent="0.35">
      <c r="A169" s="105" t="s">
        <v>230</v>
      </c>
      <c r="B169" s="105"/>
      <c r="C169" s="105"/>
      <c r="D169" s="105"/>
      <c r="E169" s="105"/>
      <c r="F169" s="105"/>
      <c r="G169" s="105"/>
      <c r="H169" s="105"/>
      <c r="I169" s="61"/>
      <c r="J169" s="39"/>
      <c r="L169" s="106"/>
      <c r="M169" s="106"/>
      <c r="N169" s="39"/>
    </row>
    <row r="170" spans="1:14" s="57" customFormat="1" x14ac:dyDescent="0.35">
      <c r="A170" s="105" t="s">
        <v>215</v>
      </c>
      <c r="B170" s="105"/>
      <c r="C170" s="105"/>
      <c r="D170" s="105"/>
      <c r="E170" s="105"/>
      <c r="F170" s="105"/>
      <c r="G170" s="105"/>
      <c r="H170" s="105"/>
      <c r="J170" s="39"/>
      <c r="L170" s="106"/>
      <c r="M170" s="106"/>
      <c r="N170" s="39"/>
    </row>
    <row r="171" spans="1:14" s="57" customFormat="1" x14ac:dyDescent="0.35">
      <c r="A171" s="102" t="s">
        <v>231</v>
      </c>
      <c r="B171" s="103"/>
      <c r="C171" s="103"/>
      <c r="D171" s="103"/>
      <c r="E171" s="103"/>
      <c r="F171" s="103"/>
      <c r="G171" s="103"/>
      <c r="H171" s="104"/>
      <c r="J171" s="39"/>
      <c r="L171" s="106"/>
      <c r="M171" s="106"/>
      <c r="N171" s="39"/>
    </row>
    <row r="172" spans="1:14" s="57" customFormat="1" x14ac:dyDescent="0.35">
      <c r="A172" s="102" t="s">
        <v>177</v>
      </c>
      <c r="B172" s="103"/>
      <c r="C172" s="103"/>
      <c r="D172" s="103"/>
      <c r="E172" s="103"/>
      <c r="F172" s="103"/>
      <c r="G172" s="103"/>
      <c r="H172" s="104"/>
      <c r="J172" s="39"/>
      <c r="L172" s="106"/>
      <c r="M172" s="106"/>
      <c r="N172" s="39"/>
    </row>
    <row r="173" spans="1:14" s="57" customFormat="1" x14ac:dyDescent="0.35">
      <c r="A173" s="100">
        <v>1</v>
      </c>
      <c r="B173" s="101"/>
      <c r="C173" s="47">
        <v>2</v>
      </c>
      <c r="D173" s="48">
        <f>57.4*10.764</f>
        <v>617.85359999999991</v>
      </c>
      <c r="E173" s="48">
        <v>0</v>
      </c>
      <c r="F173" s="48">
        <f>D173*(($F$132)+1)+(IF(E173&lt;101,E173,IF(E173&lt;201,E173/2,IF(E173&lt;=301,E173/3,E173/4))))</f>
        <v>957.67307999999991</v>
      </c>
      <c r="G173" s="107" t="str">
        <f>A172</f>
        <v>1st Floor For Residential</v>
      </c>
      <c r="H173" s="108"/>
      <c r="J173" s="39"/>
      <c r="L173" s="106"/>
      <c r="M173" s="106"/>
      <c r="N173" s="39"/>
    </row>
    <row r="174" spans="1:14" s="57" customFormat="1" ht="15.75" customHeight="1" x14ac:dyDescent="0.35">
      <c r="A174" s="100">
        <f t="shared" ref="A174:A176" si="6">A173+1</f>
        <v>2</v>
      </c>
      <c r="B174" s="101"/>
      <c r="C174" s="47">
        <v>3</v>
      </c>
      <c r="D174" s="48">
        <f>79.49*10.764</f>
        <v>855.63035999999988</v>
      </c>
      <c r="E174" s="48">
        <v>0</v>
      </c>
      <c r="F174" s="48">
        <f>D174*(($F$132)+1)+(IF(E174&lt;101,E174,IF(E174&lt;201,E174/2,IF(E174&lt;=301,E174/3,E174/4))))</f>
        <v>1326.2270579999999</v>
      </c>
      <c r="G174" s="109"/>
      <c r="H174" s="110"/>
      <c r="J174" s="39"/>
      <c r="L174" s="106"/>
      <c r="M174" s="106"/>
      <c r="N174" s="39"/>
    </row>
    <row r="175" spans="1:14" s="57" customFormat="1" x14ac:dyDescent="0.35">
      <c r="A175" s="100">
        <f t="shared" si="6"/>
        <v>3</v>
      </c>
      <c r="B175" s="101"/>
      <c r="C175" s="47">
        <v>3</v>
      </c>
      <c r="D175" s="48">
        <f>83.85*10.764</f>
        <v>902.56139999999994</v>
      </c>
      <c r="E175" s="48">
        <v>0</v>
      </c>
      <c r="F175" s="48">
        <f>D175*(($F$132)+1)+(IF(E175&lt;101,E175,IF(E175&lt;201,E175/2,IF(E175&lt;=301,E175/3,E175/4))))</f>
        <v>1398.9701700000001</v>
      </c>
      <c r="G175" s="109"/>
      <c r="H175" s="110"/>
      <c r="I175" s="39"/>
      <c r="L175" s="106"/>
      <c r="M175" s="106"/>
      <c r="N175" s="39"/>
    </row>
    <row r="176" spans="1:14" s="57" customFormat="1" x14ac:dyDescent="0.35">
      <c r="A176" s="100">
        <f t="shared" si="6"/>
        <v>4</v>
      </c>
      <c r="B176" s="101"/>
      <c r="C176" s="47" t="s">
        <v>220</v>
      </c>
      <c r="D176" s="48">
        <f>33.41*10.764</f>
        <v>359.62523999999996</v>
      </c>
      <c r="E176" s="48">
        <v>0</v>
      </c>
      <c r="F176" s="48">
        <f>D176*(($F$132)+1)+(IF(E176&lt;101,E176,IF(E176&lt;201,E176/2,IF(E176&lt;=301,E176/3,E176/4))))</f>
        <v>557.4191219999999</v>
      </c>
      <c r="G176" s="111"/>
      <c r="H176" s="112"/>
      <c r="I176" s="39"/>
      <c r="L176" s="106"/>
      <c r="M176" s="106"/>
      <c r="N176" s="39"/>
    </row>
    <row r="177" spans="1:14" s="57" customFormat="1" x14ac:dyDescent="0.35">
      <c r="A177" s="102" t="s">
        <v>216</v>
      </c>
      <c r="B177" s="103"/>
      <c r="C177" s="103"/>
      <c r="D177" s="103"/>
      <c r="E177" s="103"/>
      <c r="F177" s="103"/>
      <c r="G177" s="103"/>
      <c r="H177" s="104"/>
      <c r="I177" s="39"/>
      <c r="L177" s="106"/>
      <c r="M177" s="106"/>
      <c r="N177" s="39"/>
    </row>
    <row r="178" spans="1:14" s="57" customFormat="1" x14ac:dyDescent="0.35">
      <c r="A178" s="100">
        <v>1</v>
      </c>
      <c r="B178" s="101"/>
      <c r="C178" s="47">
        <v>2</v>
      </c>
      <c r="D178" s="48">
        <f>57.4*10.764</f>
        <v>617.85359999999991</v>
      </c>
      <c r="E178" s="48">
        <v>0</v>
      </c>
      <c r="F178" s="48">
        <f>D178*(($F$132)+1)+(IF(E178&lt;101,E178,IF(E178&lt;201,E178/2,IF(E178&lt;=301,E178/3,E178/4))))</f>
        <v>957.67307999999991</v>
      </c>
      <c r="G178" s="107" t="str">
        <f>A177</f>
        <v>2nd Floor</v>
      </c>
      <c r="H178" s="108"/>
      <c r="I178" s="39"/>
      <c r="J178" s="39"/>
      <c r="L178" s="106"/>
      <c r="M178" s="106"/>
      <c r="N178" s="39"/>
    </row>
    <row r="179" spans="1:14" s="57" customFormat="1" ht="15.75" customHeight="1" x14ac:dyDescent="0.35">
      <c r="A179" s="100">
        <f t="shared" ref="A179:A181" si="7">A178+1</f>
        <v>2</v>
      </c>
      <c r="B179" s="101"/>
      <c r="C179" s="47">
        <v>3</v>
      </c>
      <c r="D179" s="48">
        <f>79.49*10.764</f>
        <v>855.63035999999988</v>
      </c>
      <c r="E179" s="48">
        <v>0</v>
      </c>
      <c r="F179" s="48">
        <f>D179*(($F$132)+1)+(IF(E179&lt;101,E179,IF(E179&lt;201,E179/2,IF(E179&lt;=301,E179/3,E179/4))))</f>
        <v>1326.2270579999999</v>
      </c>
      <c r="G179" s="109"/>
      <c r="H179" s="110"/>
      <c r="J179" s="39"/>
      <c r="L179" s="106"/>
      <c r="M179" s="106"/>
      <c r="N179" s="39"/>
    </row>
    <row r="180" spans="1:14" s="57" customFormat="1" x14ac:dyDescent="0.35">
      <c r="A180" s="100">
        <f t="shared" si="7"/>
        <v>3</v>
      </c>
      <c r="B180" s="101"/>
      <c r="C180" s="47">
        <v>3</v>
      </c>
      <c r="D180" s="48">
        <f>79.55*10.764</f>
        <v>856.2761999999999</v>
      </c>
      <c r="E180" s="48">
        <v>0</v>
      </c>
      <c r="F180" s="48">
        <f>D180*(($F$132)+1)+(IF(E180&lt;101,E180,IF(E180&lt;201,E180/2,IF(E180&lt;=301,E180/3,E180/4))))</f>
        <v>1327.2281099999998</v>
      </c>
      <c r="G180" s="109"/>
      <c r="H180" s="110"/>
      <c r="I180" s="39"/>
    </row>
    <row r="181" spans="1:14" s="57" customFormat="1" ht="15.75" customHeight="1" x14ac:dyDescent="0.35">
      <c r="A181" s="100">
        <f t="shared" si="7"/>
        <v>4</v>
      </c>
      <c r="B181" s="101"/>
      <c r="C181" s="47">
        <v>2</v>
      </c>
      <c r="D181" s="48">
        <f>57.34*10.764</f>
        <v>617.20776000000001</v>
      </c>
      <c r="E181" s="48">
        <v>0</v>
      </c>
      <c r="F181" s="48">
        <f>D181*(($F$132)+1)+(IF(E181&lt;101,E181,IF(E181&lt;201,E181/2,IF(E181&lt;=301,E181/3,E181/4))))</f>
        <v>956.67202800000007</v>
      </c>
      <c r="G181" s="111"/>
      <c r="H181" s="112"/>
      <c r="I181" s="39"/>
      <c r="L181" s="106"/>
      <c r="M181" s="106"/>
      <c r="N181" s="39"/>
    </row>
    <row r="182" spans="1:14" s="57" customFormat="1" ht="15.75" customHeight="1" x14ac:dyDescent="0.35">
      <c r="A182" s="102" t="s">
        <v>217</v>
      </c>
      <c r="B182" s="103"/>
      <c r="C182" s="103"/>
      <c r="D182" s="103"/>
      <c r="E182" s="103"/>
      <c r="F182" s="103"/>
      <c r="G182" s="103"/>
      <c r="H182" s="104"/>
      <c r="I182" s="39"/>
      <c r="L182" s="106"/>
      <c r="M182" s="106"/>
      <c r="N182" s="39"/>
    </row>
    <row r="183" spans="1:14" s="57" customFormat="1" ht="15.75" customHeight="1" x14ac:dyDescent="0.35">
      <c r="A183" s="100">
        <v>1</v>
      </c>
      <c r="B183" s="101"/>
      <c r="C183" s="47">
        <v>2</v>
      </c>
      <c r="D183" s="48">
        <f>57.4*10.764</f>
        <v>617.85359999999991</v>
      </c>
      <c r="E183" s="48">
        <v>0</v>
      </c>
      <c r="F183" s="48">
        <f>D183*(($F$132)+1)+(IF(E183&lt;101,E183,IF(E183&lt;201,E183/2,IF(E183&lt;=301,E183/3,E183/4))))</f>
        <v>957.67307999999991</v>
      </c>
      <c r="G183" s="107" t="str">
        <f>A182</f>
        <v>3rd Floor</v>
      </c>
      <c r="H183" s="108"/>
      <c r="I183" s="39"/>
      <c r="L183" s="106"/>
      <c r="M183" s="106"/>
      <c r="N183" s="39"/>
    </row>
    <row r="184" spans="1:14" s="57" customFormat="1" ht="15.75" customHeight="1" x14ac:dyDescent="0.35">
      <c r="A184" s="100">
        <v>2</v>
      </c>
      <c r="B184" s="101"/>
      <c r="C184" s="47">
        <v>3</v>
      </c>
      <c r="D184" s="48">
        <f>79.49*10.764</f>
        <v>855.63035999999988</v>
      </c>
      <c r="E184" s="48">
        <v>0</v>
      </c>
      <c r="F184" s="48">
        <f>D184*(($F$132)+1)+(IF(E184&lt;101,E184,IF(E184&lt;201,E184/2,IF(E184&lt;=301,E184/3,E184/4))))</f>
        <v>1326.2270579999999</v>
      </c>
      <c r="G184" s="109"/>
      <c r="H184" s="110"/>
      <c r="I184" s="39"/>
      <c r="L184" s="106"/>
      <c r="M184" s="106"/>
      <c r="N184" s="39"/>
    </row>
    <row r="185" spans="1:14" s="57" customFormat="1" x14ac:dyDescent="0.35">
      <c r="A185" s="100">
        <v>3</v>
      </c>
      <c r="B185" s="101"/>
      <c r="C185" s="47">
        <v>3</v>
      </c>
      <c r="D185" s="48">
        <f>79.55*10.764</f>
        <v>856.2761999999999</v>
      </c>
      <c r="E185" s="48">
        <v>0</v>
      </c>
      <c r="F185" s="48">
        <f>D185*(($F$132)+1)+(IF(E185&lt;101,E185,IF(E185&lt;201,E185/2,IF(E185&lt;=301,E185/3,E185/4))))</f>
        <v>1327.2281099999998</v>
      </c>
      <c r="G185" s="109"/>
      <c r="H185" s="110"/>
      <c r="I185" s="39"/>
    </row>
    <row r="186" spans="1:14" s="57" customFormat="1" x14ac:dyDescent="0.35">
      <c r="A186" s="100">
        <v>4</v>
      </c>
      <c r="B186" s="101"/>
      <c r="C186" s="47">
        <v>2</v>
      </c>
      <c r="D186" s="48">
        <f>57.34*10.764</f>
        <v>617.20776000000001</v>
      </c>
      <c r="E186" s="48">
        <v>0</v>
      </c>
      <c r="F186" s="48">
        <f>D186*(($F$132)+1)+(IF(E186&lt;101,E186,IF(E186&lt;201,E186/2,IF(E186&lt;=301,E186/3,E186/4))))</f>
        <v>956.67202800000007</v>
      </c>
      <c r="G186" s="111"/>
      <c r="H186" s="112"/>
      <c r="I186" s="39"/>
      <c r="L186" s="106"/>
      <c r="M186" s="106"/>
      <c r="N186" s="39"/>
    </row>
    <row r="187" spans="1:14" s="57" customFormat="1" x14ac:dyDescent="0.35">
      <c r="A187" s="102" t="s">
        <v>218</v>
      </c>
      <c r="B187" s="103"/>
      <c r="C187" s="103"/>
      <c r="D187" s="103"/>
      <c r="E187" s="103"/>
      <c r="F187" s="103"/>
      <c r="G187" s="103"/>
      <c r="H187" s="104"/>
      <c r="I187" s="39"/>
      <c r="L187" s="106"/>
      <c r="M187" s="106"/>
      <c r="N187" s="39"/>
    </row>
    <row r="188" spans="1:14" s="62" customFormat="1" ht="15.75" customHeight="1" x14ac:dyDescent="0.35">
      <c r="A188" s="100">
        <v>1</v>
      </c>
      <c r="B188" s="101"/>
      <c r="C188" s="47">
        <v>2</v>
      </c>
      <c r="D188" s="48">
        <f>57.4*10.764</f>
        <v>617.85359999999991</v>
      </c>
      <c r="E188" s="48">
        <v>0</v>
      </c>
      <c r="F188" s="48">
        <f>D188*(($F$132)+1)+(IF(E188&lt;101,E188,IF(E188&lt;201,E188/2,IF(E188&lt;=301,E188/3,E188/4))))</f>
        <v>957.67307999999991</v>
      </c>
      <c r="G188" s="107" t="str">
        <f>A187</f>
        <v>4th to 7th Floor</v>
      </c>
      <c r="H188" s="108"/>
      <c r="I188" s="39"/>
      <c r="J188" s="57"/>
      <c r="L188" s="106"/>
      <c r="M188" s="106"/>
      <c r="N188" s="39"/>
    </row>
    <row r="189" spans="1:14" s="62" customFormat="1" ht="15.75" customHeight="1" x14ac:dyDescent="0.35">
      <c r="A189" s="100">
        <v>2</v>
      </c>
      <c r="B189" s="101"/>
      <c r="C189" s="47">
        <v>3</v>
      </c>
      <c r="D189" s="48">
        <f>79.49*10.764</f>
        <v>855.63035999999988</v>
      </c>
      <c r="E189" s="48">
        <v>0</v>
      </c>
      <c r="F189" s="48">
        <f>D189*(($F$132)+1)+(IF(E189&lt;101,E189,IF(E189&lt;201,E189/2,IF(E189&lt;=301,E189/3,E189/4))))</f>
        <v>1326.2270579999999</v>
      </c>
      <c r="G189" s="109"/>
      <c r="H189" s="110"/>
      <c r="I189" s="39"/>
      <c r="J189" s="57"/>
      <c r="L189" s="106"/>
      <c r="M189" s="106"/>
      <c r="N189" s="39"/>
    </row>
    <row r="190" spans="1:14" s="62" customFormat="1" x14ac:dyDescent="0.35">
      <c r="A190" s="100">
        <v>3</v>
      </c>
      <c r="B190" s="101"/>
      <c r="C190" s="47">
        <v>3</v>
      </c>
      <c r="D190" s="48">
        <f>79.55*10.764</f>
        <v>856.2761999999999</v>
      </c>
      <c r="E190" s="48">
        <v>0</v>
      </c>
      <c r="F190" s="48">
        <f>D190*(($F$132)+1)+(IF(E190&lt;101,E190,IF(E190&lt;201,E190/2,IF(E190&lt;=301,E190/3,E190/4))))</f>
        <v>1327.2281099999998</v>
      </c>
      <c r="G190" s="109"/>
      <c r="H190" s="110"/>
      <c r="I190" s="39"/>
      <c r="J190" s="57"/>
    </row>
    <row r="191" spans="1:14" s="62" customFormat="1" x14ac:dyDescent="0.35">
      <c r="A191" s="100">
        <v>4</v>
      </c>
      <c r="B191" s="101"/>
      <c r="C191" s="47">
        <v>2</v>
      </c>
      <c r="D191" s="48">
        <f>57.34*10.764</f>
        <v>617.20776000000001</v>
      </c>
      <c r="E191" s="48">
        <v>0</v>
      </c>
      <c r="F191" s="48">
        <f>D191*(($F$132)+1)+(IF(E191&lt;101,E191,IF(E191&lt;201,E191/2,IF(E191&lt;=301,E191/3,E191/4))))</f>
        <v>956.67202800000007</v>
      </c>
      <c r="G191" s="111"/>
      <c r="H191" s="112"/>
      <c r="I191" s="39"/>
      <c r="J191" s="57"/>
      <c r="L191" s="106"/>
      <c r="M191" s="106"/>
      <c r="N191" s="39"/>
    </row>
    <row r="192" spans="1:14" s="62" customFormat="1" x14ac:dyDescent="0.35">
      <c r="A192" s="102" t="s">
        <v>233</v>
      </c>
      <c r="B192" s="103"/>
      <c r="C192" s="103"/>
      <c r="D192" s="103"/>
      <c r="E192" s="103"/>
      <c r="F192" s="103"/>
      <c r="G192" s="103"/>
      <c r="H192" s="104"/>
      <c r="I192" s="39"/>
      <c r="J192" s="57"/>
      <c r="L192" s="106"/>
      <c r="M192" s="106"/>
      <c r="N192" s="39"/>
    </row>
    <row r="193" spans="1:14" s="62" customFormat="1" x14ac:dyDescent="0.35">
      <c r="A193" s="100">
        <v>1</v>
      </c>
      <c r="B193" s="101"/>
      <c r="C193" s="47">
        <v>2</v>
      </c>
      <c r="D193" s="48">
        <f>59.91*10.764</f>
        <v>644.87123999999994</v>
      </c>
      <c r="E193" s="48">
        <v>0</v>
      </c>
      <c r="F193" s="48">
        <f>D193*(($F$132)+1)+(IF(E193&lt;101,E193,IF(E193&lt;201,E193/2,IF(E193&lt;=301,E193/3,E193/4))))</f>
        <v>999.55042199999991</v>
      </c>
      <c r="G193" s="107" t="str">
        <f>A192</f>
        <v>9th to 14th &amp; 16th to 21st Floor</v>
      </c>
      <c r="H193" s="108"/>
      <c r="I193" s="39"/>
      <c r="J193" s="57"/>
      <c r="L193" s="106"/>
      <c r="M193" s="106"/>
      <c r="N193" s="39"/>
    </row>
    <row r="194" spans="1:14" s="62" customFormat="1" ht="15.75" customHeight="1" x14ac:dyDescent="0.35">
      <c r="A194" s="100">
        <f t="shared" ref="A194:A196" si="8">A193+1</f>
        <v>2</v>
      </c>
      <c r="B194" s="101"/>
      <c r="C194" s="47">
        <v>3</v>
      </c>
      <c r="D194" s="48">
        <f>81.81*10.764</f>
        <v>880.60284000000001</v>
      </c>
      <c r="E194" s="48">
        <v>0</v>
      </c>
      <c r="F194" s="48">
        <f>D194*(($F$132)+1)+(IF(E194&lt;101,E194,IF(E194&lt;201,E194/2,IF(E194&lt;=301,E194/3,E194/4))))</f>
        <v>1364.9344020000001</v>
      </c>
      <c r="G194" s="109"/>
      <c r="H194" s="110"/>
      <c r="I194" s="57">
        <f>0.9*1.1+3.05*4.8+2.3*3.35+1.85*0.75+2.55*2.05+3*3.45+2.95*3.35+3.05*3.35+2.15*1.25+2.15*1.25+2.15*1.25+1.45*1.5+0.95*2.15+2.75*0.6</f>
        <v>74.330000000000013</v>
      </c>
      <c r="J194" s="39"/>
      <c r="L194" s="106"/>
      <c r="M194" s="106"/>
      <c r="N194" s="39"/>
    </row>
    <row r="195" spans="1:14" s="62" customFormat="1" x14ac:dyDescent="0.35">
      <c r="A195" s="100">
        <f t="shared" si="8"/>
        <v>3</v>
      </c>
      <c r="B195" s="101"/>
      <c r="C195" s="47">
        <v>3</v>
      </c>
      <c r="D195" s="48">
        <f>81.87*10.764</f>
        <v>881.24868000000004</v>
      </c>
      <c r="E195" s="48">
        <v>0</v>
      </c>
      <c r="F195" s="48">
        <f>D195*(($F$132)+1)+(IF(E195&lt;101,E195,IF(E195&lt;201,E195/2,IF(E195&lt;=301,E195/3,E195/4))))</f>
        <v>1365.9354540000002</v>
      </c>
      <c r="G195" s="109"/>
      <c r="H195" s="110"/>
      <c r="I195" s="39"/>
      <c r="J195" s="57"/>
    </row>
    <row r="196" spans="1:14" s="62" customFormat="1" ht="15.75" customHeight="1" x14ac:dyDescent="0.35">
      <c r="A196" s="100">
        <f t="shared" si="8"/>
        <v>4</v>
      </c>
      <c r="B196" s="101"/>
      <c r="C196" s="47">
        <v>2</v>
      </c>
      <c r="D196" s="48">
        <f>59.85*10.764</f>
        <v>644.22539999999992</v>
      </c>
      <c r="E196" s="48">
        <v>0</v>
      </c>
      <c r="F196" s="48">
        <f>D196*(($F$132)+1)+(IF(E196&lt;101,E196,IF(E196&lt;201,E196/2,IF(E196&lt;=301,E196/3,E196/4))))</f>
        <v>998.54936999999995</v>
      </c>
      <c r="G196" s="111"/>
      <c r="H196" s="112"/>
      <c r="I196" s="39"/>
      <c r="J196" s="57"/>
      <c r="L196" s="106"/>
      <c r="M196" s="106"/>
      <c r="N196" s="39"/>
    </row>
    <row r="197" spans="1:14" s="62" customFormat="1" ht="15.75" customHeight="1" x14ac:dyDescent="0.35">
      <c r="A197" s="102" t="s">
        <v>234</v>
      </c>
      <c r="B197" s="103"/>
      <c r="C197" s="103"/>
      <c r="D197" s="103"/>
      <c r="E197" s="103"/>
      <c r="F197" s="103"/>
      <c r="G197" s="103"/>
      <c r="H197" s="104"/>
      <c r="I197" s="39"/>
      <c r="J197" s="57"/>
      <c r="L197" s="106"/>
      <c r="M197" s="106"/>
      <c r="N197" s="39"/>
    </row>
    <row r="198" spans="1:14" s="57" customFormat="1" x14ac:dyDescent="0.35">
      <c r="A198" s="100">
        <v>1</v>
      </c>
      <c r="B198" s="101"/>
      <c r="C198" s="100" t="s">
        <v>178</v>
      </c>
      <c r="D198" s="114"/>
      <c r="E198" s="114"/>
      <c r="F198" s="101"/>
      <c r="G198" s="107" t="str">
        <f>A197</f>
        <v>8th &amp; 15th Floor (Part Refuge Area)</v>
      </c>
      <c r="H198" s="108"/>
      <c r="I198" s="39"/>
    </row>
    <row r="199" spans="1:14" s="61" customFormat="1" x14ac:dyDescent="0.35">
      <c r="A199" s="100">
        <f t="shared" ref="A199:A201" si="9">A198+1</f>
        <v>2</v>
      </c>
      <c r="B199" s="101"/>
      <c r="C199" s="47">
        <v>3</v>
      </c>
      <c r="D199" s="48">
        <f>81.81*10.764</f>
        <v>880.60284000000001</v>
      </c>
      <c r="E199" s="48">
        <v>0</v>
      </c>
      <c r="F199" s="48">
        <f>D199*(($F$132)+1)+(IF(E199&lt;101,E199,IF(E199&lt;201,E199/2,IF(E199&lt;=301,E199/3,E199/4))))</f>
        <v>1364.9344020000001</v>
      </c>
      <c r="G199" s="109"/>
      <c r="H199" s="110"/>
      <c r="I199" s="57"/>
      <c r="J199" s="39"/>
    </row>
    <row r="200" spans="1:14" s="57" customFormat="1" x14ac:dyDescent="0.35">
      <c r="A200" s="100">
        <f t="shared" si="9"/>
        <v>3</v>
      </c>
      <c r="B200" s="101"/>
      <c r="C200" s="47">
        <v>3</v>
      </c>
      <c r="D200" s="48">
        <f>81.87*10.764</f>
        <v>881.24868000000004</v>
      </c>
      <c r="E200" s="48">
        <v>0</v>
      </c>
      <c r="F200" s="48">
        <f>D200*(($F$132)+1)+(IF(E200&lt;101,E200,IF(E200&lt;201,E200/2,IF(E200&lt;=301,E200/3,E200/4))))</f>
        <v>1365.9354540000002</v>
      </c>
      <c r="G200" s="109"/>
      <c r="H200" s="110"/>
      <c r="I200" s="39"/>
    </row>
    <row r="201" spans="1:14" s="57" customFormat="1" x14ac:dyDescent="0.35">
      <c r="A201" s="100">
        <f t="shared" si="9"/>
        <v>4</v>
      </c>
      <c r="B201" s="101"/>
      <c r="C201" s="47">
        <v>2</v>
      </c>
      <c r="D201" s="48">
        <f>59.85*10.764</f>
        <v>644.22539999999992</v>
      </c>
      <c r="E201" s="48">
        <v>0</v>
      </c>
      <c r="F201" s="48">
        <f>D201*(($F$132)+1)+(IF(E201&lt;101,E201,IF(E201&lt;201,E201/2,IF(E201&lt;=301,E201/3,E201/4))))</f>
        <v>998.54936999999995</v>
      </c>
      <c r="G201" s="111"/>
      <c r="H201" s="112"/>
      <c r="I201" s="39"/>
    </row>
    <row r="202" spans="1:14" s="57" customFormat="1" x14ac:dyDescent="0.35">
      <c r="A202" s="105" t="s">
        <v>235</v>
      </c>
      <c r="B202" s="105"/>
      <c r="C202" s="105"/>
      <c r="D202" s="105"/>
      <c r="E202" s="105"/>
      <c r="F202" s="105"/>
      <c r="G202" s="105"/>
      <c r="H202" s="105"/>
      <c r="I202" s="39"/>
      <c r="J202" s="62"/>
    </row>
    <row r="203" spans="1:14" s="57" customFormat="1" x14ac:dyDescent="0.35">
      <c r="A203" s="113">
        <v>1</v>
      </c>
      <c r="B203" s="113"/>
      <c r="C203" s="113" t="s">
        <v>178</v>
      </c>
      <c r="D203" s="113"/>
      <c r="E203" s="113"/>
      <c r="F203" s="113"/>
      <c r="G203" s="113" t="str">
        <f>A202</f>
        <v>22nd Floor (Part Refuge Area)</v>
      </c>
      <c r="H203" s="113"/>
      <c r="I203" s="39"/>
      <c r="J203" s="62"/>
    </row>
    <row r="204" spans="1:14" s="57" customFormat="1" x14ac:dyDescent="0.35">
      <c r="A204" s="113">
        <f t="shared" ref="A204:A206" si="10">A203+1</f>
        <v>2</v>
      </c>
      <c r="B204" s="113"/>
      <c r="C204" s="47">
        <v>3</v>
      </c>
      <c r="D204" s="48">
        <f>84.21*10.764</f>
        <v>906.43643999999983</v>
      </c>
      <c r="E204" s="48">
        <v>0</v>
      </c>
      <c r="F204" s="48">
        <f>D204*(($F$132)+1)+(IF(E204&lt;101,E204,IF(E204&lt;201,E204/2,IF(E204&lt;=301,E204/3,E204/4))))</f>
        <v>1404.9764819999998</v>
      </c>
      <c r="G204" s="113"/>
      <c r="H204" s="113"/>
      <c r="I204" s="62"/>
      <c r="J204" s="39"/>
    </row>
    <row r="205" spans="1:14" s="57" customFormat="1" ht="15.75" customHeight="1" x14ac:dyDescent="0.35">
      <c r="A205" s="113">
        <f t="shared" si="10"/>
        <v>3</v>
      </c>
      <c r="B205" s="113"/>
      <c r="C205" s="47">
        <v>3</v>
      </c>
      <c r="D205" s="48">
        <f>84.27*10.764</f>
        <v>907.08227999999986</v>
      </c>
      <c r="E205" s="48">
        <v>0</v>
      </c>
      <c r="F205" s="48">
        <f>D205*(($F$132)+1)+(IF(E205&lt;101,E205,IF(E205&lt;201,E205/2,IF(E205&lt;=301,E205/3,E205/4))))</f>
        <v>1405.9775339999999</v>
      </c>
      <c r="G205" s="113"/>
      <c r="H205" s="113"/>
      <c r="I205" s="39"/>
      <c r="J205" s="62"/>
      <c r="L205" s="106"/>
      <c r="M205" s="106"/>
      <c r="N205" s="39"/>
    </row>
    <row r="206" spans="1:14" s="57" customFormat="1" ht="15.75" customHeight="1" x14ac:dyDescent="0.35">
      <c r="A206" s="113">
        <f t="shared" si="10"/>
        <v>4</v>
      </c>
      <c r="B206" s="113"/>
      <c r="C206" s="47">
        <v>2</v>
      </c>
      <c r="D206" s="48">
        <f>61.02*10.764</f>
        <v>656.81928000000005</v>
      </c>
      <c r="E206" s="48">
        <v>0</v>
      </c>
      <c r="F206" s="48">
        <f>D206*(($F$132)+1)+(IF(E206&lt;101,E206,IF(E206&lt;201,E206/2,IF(E206&lt;=301,E206/3,E206/4))))</f>
        <v>1018.0698840000001</v>
      </c>
      <c r="G206" s="113"/>
      <c r="H206" s="113"/>
      <c r="I206" s="39"/>
      <c r="J206" s="62"/>
      <c r="L206" s="106"/>
      <c r="M206" s="106"/>
      <c r="N206" s="39"/>
    </row>
    <row r="207" spans="1:14" s="57" customFormat="1" ht="15.75" customHeight="1" x14ac:dyDescent="0.35">
      <c r="A207" s="105" t="s">
        <v>236</v>
      </c>
      <c r="B207" s="105"/>
      <c r="C207" s="105"/>
      <c r="D207" s="105"/>
      <c r="E207" s="105"/>
      <c r="F207" s="105"/>
      <c r="G207" s="105"/>
      <c r="H207" s="105"/>
      <c r="I207" s="39"/>
      <c r="J207" s="62"/>
      <c r="L207" s="106"/>
      <c r="M207" s="106"/>
      <c r="N207" s="39"/>
    </row>
    <row r="208" spans="1:14" s="57" customFormat="1" ht="15.75" customHeight="1" x14ac:dyDescent="0.35">
      <c r="A208" s="113">
        <v>1</v>
      </c>
      <c r="B208" s="113"/>
      <c r="C208" s="47">
        <v>2</v>
      </c>
      <c r="D208" s="48">
        <f>61.08*10.764</f>
        <v>657.46511999999996</v>
      </c>
      <c r="E208" s="48">
        <v>0</v>
      </c>
      <c r="F208" s="48">
        <f>D208*(($F$132)+1)+(IF(E208&lt;101,E208,IF(E208&lt;201,E208/2,IF(E208&lt;=301,E208/3,E208/4))))</f>
        <v>1019.070936</v>
      </c>
      <c r="G208" s="113" t="str">
        <f>A207</f>
        <v>23rd to 26th Floor</v>
      </c>
      <c r="H208" s="113"/>
      <c r="I208" s="39"/>
      <c r="J208" s="62"/>
      <c r="L208" s="106"/>
      <c r="M208" s="106"/>
      <c r="N208" s="39"/>
    </row>
    <row r="209" spans="1:14" s="57" customFormat="1" x14ac:dyDescent="0.35">
      <c r="A209" s="113">
        <f t="shared" ref="A209:A211" si="11">A208+1</f>
        <v>2</v>
      </c>
      <c r="B209" s="113"/>
      <c r="C209" s="47">
        <v>3</v>
      </c>
      <c r="D209" s="48">
        <f>84.21*10.764</f>
        <v>906.43643999999983</v>
      </c>
      <c r="E209" s="48">
        <v>0</v>
      </c>
      <c r="F209" s="48">
        <f>D209*(($F$132)+1)+(IF(E209&lt;101,E209,IF(E209&lt;201,E209/2,IF(E209&lt;=301,E209/3,E209/4))))</f>
        <v>1404.9764819999998</v>
      </c>
      <c r="G209" s="113"/>
      <c r="H209" s="113"/>
      <c r="I209" s="62"/>
      <c r="J209" s="39"/>
    </row>
    <row r="210" spans="1:14" s="57" customFormat="1" ht="15.75" customHeight="1" x14ac:dyDescent="0.35">
      <c r="A210" s="113">
        <f t="shared" si="11"/>
        <v>3</v>
      </c>
      <c r="B210" s="113"/>
      <c r="C210" s="47">
        <v>3</v>
      </c>
      <c r="D210" s="48">
        <f>84.27*10.764</f>
        <v>907.08227999999986</v>
      </c>
      <c r="E210" s="48">
        <v>0</v>
      </c>
      <c r="F210" s="48">
        <f>D210*(($F$132)+1)+(IF(E210&lt;101,E210,IF(E210&lt;201,E210/2,IF(E210&lt;=301,E210/3,E210/4))))</f>
        <v>1405.9775339999999</v>
      </c>
      <c r="G210" s="113"/>
      <c r="H210" s="113"/>
      <c r="I210" s="39"/>
      <c r="J210" s="62"/>
      <c r="L210" s="106"/>
      <c r="M210" s="106"/>
      <c r="N210" s="39"/>
    </row>
    <row r="211" spans="1:14" s="57" customFormat="1" ht="15.75" customHeight="1" x14ac:dyDescent="0.35">
      <c r="A211" s="113">
        <f t="shared" si="11"/>
        <v>4</v>
      </c>
      <c r="B211" s="113"/>
      <c r="C211" s="47">
        <v>2</v>
      </c>
      <c r="D211" s="48">
        <f>61.02*10.764</f>
        <v>656.81928000000005</v>
      </c>
      <c r="E211" s="48">
        <v>0</v>
      </c>
      <c r="F211" s="48">
        <f>D211*(($F$132)+1)+(IF(E211&lt;101,E211,IF(E211&lt;201,E211/2,IF(E211&lt;=301,E211/3,E211/4))))</f>
        <v>1018.0698840000001</v>
      </c>
      <c r="G211" s="113"/>
      <c r="H211" s="113"/>
      <c r="I211" s="39"/>
      <c r="J211" s="62"/>
      <c r="L211" s="106"/>
      <c r="M211" s="106"/>
      <c r="N211" s="39"/>
    </row>
    <row r="212" spans="1:14" s="57" customFormat="1" ht="15.75" customHeight="1" x14ac:dyDescent="0.35">
      <c r="A212" s="102" t="s">
        <v>219</v>
      </c>
      <c r="B212" s="103"/>
      <c r="C212" s="103"/>
      <c r="D212" s="103"/>
      <c r="E212" s="103"/>
      <c r="F212" s="103"/>
      <c r="G212" s="103"/>
      <c r="H212" s="104"/>
      <c r="J212" s="39"/>
      <c r="L212" s="106"/>
      <c r="M212" s="106"/>
      <c r="N212" s="39"/>
    </row>
    <row r="213" spans="1:14" s="57" customFormat="1" ht="15.75" customHeight="1" x14ac:dyDescent="0.35">
      <c r="A213" s="102" t="s">
        <v>228</v>
      </c>
      <c r="B213" s="103"/>
      <c r="C213" s="103"/>
      <c r="D213" s="103"/>
      <c r="E213" s="103"/>
      <c r="F213" s="103"/>
      <c r="G213" s="103"/>
      <c r="H213" s="104"/>
      <c r="I213" s="61"/>
      <c r="J213" s="39"/>
      <c r="L213" s="106"/>
      <c r="M213" s="106"/>
      <c r="N213" s="39"/>
    </row>
    <row r="214" spans="1:14" s="57" customFormat="1" x14ac:dyDescent="0.35">
      <c r="A214" s="102" t="s">
        <v>215</v>
      </c>
      <c r="B214" s="103"/>
      <c r="C214" s="103"/>
      <c r="D214" s="103"/>
      <c r="E214" s="103"/>
      <c r="F214" s="103"/>
      <c r="G214" s="103"/>
      <c r="H214" s="104"/>
      <c r="J214" s="39"/>
      <c r="L214" s="106"/>
      <c r="M214" s="106"/>
      <c r="N214" s="39"/>
    </row>
    <row r="215" spans="1:14" s="57" customFormat="1" x14ac:dyDescent="0.35">
      <c r="A215" s="102" t="s">
        <v>232</v>
      </c>
      <c r="B215" s="103"/>
      <c r="C215" s="103"/>
      <c r="D215" s="103"/>
      <c r="E215" s="103"/>
      <c r="F215" s="103"/>
      <c r="G215" s="103"/>
      <c r="H215" s="104"/>
      <c r="J215" s="39"/>
      <c r="L215" s="106"/>
      <c r="M215" s="106"/>
      <c r="N215" s="39"/>
    </row>
    <row r="216" spans="1:14" s="57" customFormat="1" x14ac:dyDescent="0.35">
      <c r="A216" s="102" t="s">
        <v>177</v>
      </c>
      <c r="B216" s="103"/>
      <c r="C216" s="103"/>
      <c r="D216" s="103"/>
      <c r="E216" s="103"/>
      <c r="F216" s="103"/>
      <c r="G216" s="103"/>
      <c r="H216" s="104"/>
      <c r="J216" s="39"/>
      <c r="L216" s="106"/>
      <c r="M216" s="106"/>
      <c r="N216" s="39"/>
    </row>
    <row r="217" spans="1:14" s="57" customFormat="1" x14ac:dyDescent="0.35">
      <c r="A217" s="100">
        <v>5</v>
      </c>
      <c r="B217" s="101"/>
      <c r="C217" s="47">
        <v>1</v>
      </c>
      <c r="D217" s="48">
        <f>39.28*10.764</f>
        <v>422.80991999999998</v>
      </c>
      <c r="E217" s="48">
        <v>0</v>
      </c>
      <c r="F217" s="48">
        <f>D217*(($F$132)+1)+(IF(E217&lt;101,E217,IF(E217&lt;201,E217/2,IF(E217&lt;=301,E217/3,E217/4))))</f>
        <v>655.35537599999998</v>
      </c>
      <c r="G217" s="107" t="str">
        <f>A216</f>
        <v>1st Floor For Residential</v>
      </c>
      <c r="H217" s="108"/>
      <c r="J217" s="39"/>
      <c r="L217" s="106"/>
      <c r="M217" s="106"/>
      <c r="N217" s="39"/>
    </row>
    <row r="218" spans="1:14" s="57" customFormat="1" ht="15.75" customHeight="1" x14ac:dyDescent="0.35">
      <c r="A218" s="100">
        <f t="shared" ref="A218:A220" si="12">A217+1</f>
        <v>6</v>
      </c>
      <c r="B218" s="101"/>
      <c r="C218" s="47">
        <v>1</v>
      </c>
      <c r="D218" s="48">
        <f>39.24*10.764</f>
        <v>422.37936000000002</v>
      </c>
      <c r="E218" s="48">
        <v>0</v>
      </c>
      <c r="F218" s="48">
        <f>D218*(($F$132)+1)+(IF(E218&lt;101,E218,IF(E218&lt;201,E218/2,IF(E218&lt;=301,E218/3,E218/4))))</f>
        <v>654.68800800000008</v>
      </c>
      <c r="G218" s="109"/>
      <c r="H218" s="110"/>
      <c r="J218" s="39"/>
      <c r="L218" s="106"/>
      <c r="M218" s="106"/>
      <c r="N218" s="39"/>
    </row>
    <row r="219" spans="1:14" s="57" customFormat="1" x14ac:dyDescent="0.35">
      <c r="A219" s="100">
        <f t="shared" si="12"/>
        <v>7</v>
      </c>
      <c r="B219" s="101"/>
      <c r="C219" s="47">
        <v>1</v>
      </c>
      <c r="D219" s="48">
        <f>39.35*10.764</f>
        <v>423.5634</v>
      </c>
      <c r="E219" s="48">
        <v>0</v>
      </c>
      <c r="F219" s="48">
        <f>D219*(($F$132)+1)+(IF(E219&lt;101,E219,IF(E219&lt;201,E219/2,IF(E219&lt;=301,E219/3,E219/4))))</f>
        <v>656.52327000000002</v>
      </c>
      <c r="G219" s="109"/>
      <c r="H219" s="110"/>
      <c r="I219" s="39"/>
      <c r="L219" s="106"/>
      <c r="M219" s="106"/>
      <c r="N219" s="39"/>
    </row>
    <row r="220" spans="1:14" s="57" customFormat="1" x14ac:dyDescent="0.35">
      <c r="A220" s="100">
        <f t="shared" si="12"/>
        <v>8</v>
      </c>
      <c r="B220" s="101"/>
      <c r="C220" s="47">
        <v>1</v>
      </c>
      <c r="D220" s="48">
        <f>39.24*10.764</f>
        <v>422.37936000000002</v>
      </c>
      <c r="E220" s="48">
        <v>0</v>
      </c>
      <c r="F220" s="48">
        <f>D220*(($F$132)+1)+(IF(E220&lt;101,E220,IF(E220&lt;201,E220/2,IF(E220&lt;=301,E220/3,E220/4))))</f>
        <v>654.68800800000008</v>
      </c>
      <c r="G220" s="111"/>
      <c r="H220" s="112"/>
      <c r="I220" s="39"/>
      <c r="L220" s="106"/>
      <c r="M220" s="106"/>
      <c r="N220" s="39"/>
    </row>
    <row r="221" spans="1:14" s="57" customFormat="1" x14ac:dyDescent="0.35">
      <c r="A221" s="102" t="s">
        <v>216</v>
      </c>
      <c r="B221" s="103"/>
      <c r="C221" s="103"/>
      <c r="D221" s="103"/>
      <c r="E221" s="103"/>
      <c r="F221" s="103"/>
      <c r="G221" s="103"/>
      <c r="H221" s="104"/>
      <c r="I221" s="39"/>
      <c r="L221" s="106"/>
      <c r="M221" s="106"/>
      <c r="N221" s="39"/>
    </row>
    <row r="222" spans="1:14" s="57" customFormat="1" x14ac:dyDescent="0.35">
      <c r="A222" s="100">
        <v>5</v>
      </c>
      <c r="B222" s="101"/>
      <c r="C222" s="47">
        <v>1</v>
      </c>
      <c r="D222" s="48">
        <f>39.28*10.764</f>
        <v>422.80991999999998</v>
      </c>
      <c r="E222" s="48">
        <v>0</v>
      </c>
      <c r="F222" s="48">
        <f>D222*(($F$132)+1)+(IF(E222&lt;101,E222,IF(E222&lt;201,E222/2,IF(E222&lt;=301,E222/3,E222/4))))</f>
        <v>655.35537599999998</v>
      </c>
      <c r="G222" s="107" t="str">
        <f>A221</f>
        <v>2nd Floor</v>
      </c>
      <c r="H222" s="108"/>
      <c r="I222" s="39"/>
      <c r="J222" s="39"/>
      <c r="L222" s="106"/>
      <c r="M222" s="106"/>
      <c r="N222" s="39"/>
    </row>
    <row r="223" spans="1:14" s="57" customFormat="1" ht="15.75" customHeight="1" x14ac:dyDescent="0.35">
      <c r="A223" s="100">
        <f t="shared" ref="A223:A225" si="13">A222+1</f>
        <v>6</v>
      </c>
      <c r="B223" s="101"/>
      <c r="C223" s="47">
        <v>1</v>
      </c>
      <c r="D223" s="48">
        <f>39.24*10.764</f>
        <v>422.37936000000002</v>
      </c>
      <c r="E223" s="48">
        <v>0</v>
      </c>
      <c r="F223" s="48">
        <f>D223*(($F$132)+1)+(IF(E223&lt;101,E223,IF(E223&lt;201,E223/2,IF(E223&lt;=301,E223/3,E223/4))))</f>
        <v>654.68800800000008</v>
      </c>
      <c r="G223" s="109"/>
      <c r="H223" s="110"/>
      <c r="J223" s="39"/>
      <c r="L223" s="106"/>
      <c r="M223" s="106"/>
      <c r="N223" s="39"/>
    </row>
    <row r="224" spans="1:14" s="57" customFormat="1" x14ac:dyDescent="0.35">
      <c r="A224" s="100">
        <f t="shared" si="13"/>
        <v>7</v>
      </c>
      <c r="B224" s="101"/>
      <c r="C224" s="47">
        <v>1</v>
      </c>
      <c r="D224" s="48">
        <f>39.35*10.764</f>
        <v>423.5634</v>
      </c>
      <c r="E224" s="48">
        <v>0</v>
      </c>
      <c r="F224" s="48">
        <f>D224*(($F$132)+1)+(IF(E224&lt;101,E224,IF(E224&lt;201,E224/2,IF(E224&lt;=301,E224/3,E224/4))))</f>
        <v>656.52327000000002</v>
      </c>
      <c r="G224" s="109"/>
      <c r="H224" s="110"/>
      <c r="I224" s="39"/>
    </row>
    <row r="225" spans="1:14" s="57" customFormat="1" ht="15.75" customHeight="1" x14ac:dyDescent="0.35">
      <c r="A225" s="100">
        <f t="shared" si="13"/>
        <v>8</v>
      </c>
      <c r="B225" s="101"/>
      <c r="C225" s="47">
        <v>1</v>
      </c>
      <c r="D225" s="48">
        <f>39.24*10.764</f>
        <v>422.37936000000002</v>
      </c>
      <c r="E225" s="48">
        <v>0</v>
      </c>
      <c r="F225" s="48">
        <f>D225*(($F$132)+1)+(IF(E225&lt;101,E225,IF(E225&lt;201,E225/2,IF(E225&lt;=301,E225/3,E225/4))))</f>
        <v>654.68800800000008</v>
      </c>
      <c r="G225" s="111"/>
      <c r="H225" s="112"/>
      <c r="I225" s="39"/>
      <c r="L225" s="106"/>
      <c r="M225" s="106"/>
      <c r="N225" s="39"/>
    </row>
    <row r="226" spans="1:14" s="57" customFormat="1" ht="15.75" customHeight="1" x14ac:dyDescent="0.35">
      <c r="A226" s="102" t="s">
        <v>217</v>
      </c>
      <c r="B226" s="103"/>
      <c r="C226" s="103"/>
      <c r="D226" s="103"/>
      <c r="E226" s="103"/>
      <c r="F226" s="103"/>
      <c r="G226" s="103"/>
      <c r="H226" s="104"/>
      <c r="I226" s="39"/>
      <c r="L226" s="106"/>
      <c r="M226" s="106"/>
      <c r="N226" s="39"/>
    </row>
    <row r="227" spans="1:14" s="57" customFormat="1" ht="15.75" customHeight="1" x14ac:dyDescent="0.35">
      <c r="A227" s="100">
        <v>5</v>
      </c>
      <c r="B227" s="101"/>
      <c r="C227" s="47">
        <v>1</v>
      </c>
      <c r="D227" s="48">
        <f>39.28*10.764</f>
        <v>422.80991999999998</v>
      </c>
      <c r="E227" s="48">
        <v>0</v>
      </c>
      <c r="F227" s="48">
        <f>D227*(($F$132)+1)+(IF(E227&lt;101,E227,IF(E227&lt;201,E227/2,IF(E227&lt;=301,E227/3,E227/4))))</f>
        <v>655.35537599999998</v>
      </c>
      <c r="G227" s="107" t="str">
        <f>A226</f>
        <v>3rd Floor</v>
      </c>
      <c r="H227" s="108"/>
      <c r="I227" s="39"/>
      <c r="L227" s="106"/>
      <c r="M227" s="106"/>
      <c r="N227" s="39"/>
    </row>
    <row r="228" spans="1:14" s="57" customFormat="1" ht="15.75" customHeight="1" x14ac:dyDescent="0.35">
      <c r="A228" s="100">
        <f t="shared" ref="A228:A230" si="14">A227+1</f>
        <v>6</v>
      </c>
      <c r="B228" s="101"/>
      <c r="C228" s="47">
        <v>1</v>
      </c>
      <c r="D228" s="48">
        <f>39.24*10.764</f>
        <v>422.37936000000002</v>
      </c>
      <c r="E228" s="48">
        <v>0</v>
      </c>
      <c r="F228" s="48">
        <f>D228*(($F$132)+1)+(IF(E228&lt;101,E228,IF(E228&lt;201,E228/2,IF(E228&lt;=301,E228/3,E228/4))))</f>
        <v>654.68800800000008</v>
      </c>
      <c r="G228" s="109"/>
      <c r="H228" s="110"/>
      <c r="I228" s="39"/>
      <c r="L228" s="106"/>
      <c r="M228" s="106"/>
      <c r="N228" s="39"/>
    </row>
    <row r="229" spans="1:14" s="57" customFormat="1" x14ac:dyDescent="0.35">
      <c r="A229" s="100">
        <f t="shared" si="14"/>
        <v>7</v>
      </c>
      <c r="B229" s="101"/>
      <c r="C229" s="47">
        <v>1</v>
      </c>
      <c r="D229" s="48">
        <f>39.35*10.764</f>
        <v>423.5634</v>
      </c>
      <c r="E229" s="48">
        <v>0</v>
      </c>
      <c r="F229" s="48">
        <f>D229*(($F$132)+1)+(IF(E229&lt;101,E229,IF(E229&lt;201,E229/2,IF(E229&lt;=301,E229/3,E229/4))))</f>
        <v>656.52327000000002</v>
      </c>
      <c r="G229" s="109"/>
      <c r="H229" s="110"/>
      <c r="I229" s="39"/>
    </row>
    <row r="230" spans="1:14" s="57" customFormat="1" x14ac:dyDescent="0.35">
      <c r="A230" s="100">
        <f t="shared" si="14"/>
        <v>8</v>
      </c>
      <c r="B230" s="101"/>
      <c r="C230" s="47">
        <v>1</v>
      </c>
      <c r="D230" s="48">
        <f>39.24*10.764</f>
        <v>422.37936000000002</v>
      </c>
      <c r="E230" s="48">
        <v>0</v>
      </c>
      <c r="F230" s="48">
        <f>D230*(($F$132)+1)+(IF(E230&lt;101,E230,IF(E230&lt;201,E230/2,IF(E230&lt;=301,E230/3,E230/4))))</f>
        <v>654.68800800000008</v>
      </c>
      <c r="G230" s="111"/>
      <c r="H230" s="112"/>
      <c r="I230" s="39"/>
      <c r="L230" s="106"/>
      <c r="M230" s="106"/>
      <c r="N230" s="39"/>
    </row>
    <row r="231" spans="1:14" s="57" customFormat="1" x14ac:dyDescent="0.35">
      <c r="A231" s="102" t="s">
        <v>218</v>
      </c>
      <c r="B231" s="103"/>
      <c r="C231" s="103"/>
      <c r="D231" s="103"/>
      <c r="E231" s="103"/>
      <c r="F231" s="103"/>
      <c r="G231" s="103"/>
      <c r="H231" s="104"/>
      <c r="I231" s="39"/>
      <c r="L231" s="106"/>
      <c r="M231" s="106"/>
      <c r="N231" s="39"/>
    </row>
    <row r="232" spans="1:14" s="62" customFormat="1" ht="15.75" customHeight="1" x14ac:dyDescent="0.35">
      <c r="A232" s="100">
        <v>5</v>
      </c>
      <c r="B232" s="101"/>
      <c r="C232" s="47">
        <v>1</v>
      </c>
      <c r="D232" s="48">
        <f>39.28*10.764</f>
        <v>422.80991999999998</v>
      </c>
      <c r="E232" s="48">
        <v>0</v>
      </c>
      <c r="F232" s="48">
        <f>D232*(($F$132)+1)+(IF(E232&lt;101,E232,IF(E232&lt;201,E232/2,IF(E232&lt;=301,E232/3,E232/4))))</f>
        <v>655.35537599999998</v>
      </c>
      <c r="G232" s="107" t="str">
        <f>A231</f>
        <v>4th to 7th Floor</v>
      </c>
      <c r="H232" s="108"/>
      <c r="I232" s="39"/>
      <c r="J232" s="57"/>
      <c r="L232" s="106"/>
      <c r="M232" s="106"/>
      <c r="N232" s="39"/>
    </row>
    <row r="233" spans="1:14" s="62" customFormat="1" ht="15.75" customHeight="1" x14ac:dyDescent="0.35">
      <c r="A233" s="100">
        <f t="shared" ref="A233:A235" si="15">A232+1</f>
        <v>6</v>
      </c>
      <c r="B233" s="101"/>
      <c r="C233" s="47">
        <v>1</v>
      </c>
      <c r="D233" s="48">
        <f>39.24*10.764</f>
        <v>422.37936000000002</v>
      </c>
      <c r="E233" s="48">
        <v>0</v>
      </c>
      <c r="F233" s="48">
        <f>D233*(($F$132)+1)+(IF(E233&lt;101,E233,IF(E233&lt;201,E233/2,IF(E233&lt;=301,E233/3,E233/4))))</f>
        <v>654.68800800000008</v>
      </c>
      <c r="G233" s="109"/>
      <c r="H233" s="110"/>
      <c r="I233" s="39"/>
      <c r="J233" s="57"/>
      <c r="L233" s="106"/>
      <c r="M233" s="106"/>
      <c r="N233" s="39"/>
    </row>
    <row r="234" spans="1:14" s="62" customFormat="1" x14ac:dyDescent="0.35">
      <c r="A234" s="100">
        <f t="shared" si="15"/>
        <v>7</v>
      </c>
      <c r="B234" s="101"/>
      <c r="C234" s="47">
        <v>1</v>
      </c>
      <c r="D234" s="48">
        <f>39.35*10.764</f>
        <v>423.5634</v>
      </c>
      <c r="E234" s="48">
        <v>0</v>
      </c>
      <c r="F234" s="48">
        <f>D234*(($F$132)+1)+(IF(E234&lt;101,E234,IF(E234&lt;201,E234/2,IF(E234&lt;=301,E234/3,E234/4))))</f>
        <v>656.52327000000002</v>
      </c>
      <c r="G234" s="109"/>
      <c r="H234" s="110"/>
      <c r="I234" s="39"/>
      <c r="J234" s="57"/>
    </row>
    <row r="235" spans="1:14" s="62" customFormat="1" x14ac:dyDescent="0.35">
      <c r="A235" s="100">
        <f t="shared" si="15"/>
        <v>8</v>
      </c>
      <c r="B235" s="101"/>
      <c r="C235" s="47">
        <v>1</v>
      </c>
      <c r="D235" s="48">
        <f>39.24*10.764</f>
        <v>422.37936000000002</v>
      </c>
      <c r="E235" s="48">
        <v>0</v>
      </c>
      <c r="F235" s="48">
        <f>D235*(($F$132)+1)+(IF(E235&lt;101,E235,IF(E235&lt;201,E235/2,IF(E235&lt;=301,E235/3,E235/4))))</f>
        <v>654.68800800000008</v>
      </c>
      <c r="G235" s="111"/>
      <c r="H235" s="112"/>
      <c r="I235" s="39"/>
      <c r="J235" s="57"/>
      <c r="L235" s="106"/>
      <c r="M235" s="106"/>
      <c r="N235" s="39"/>
    </row>
    <row r="236" spans="1:14" s="62" customFormat="1" x14ac:dyDescent="0.35">
      <c r="A236" s="102" t="s">
        <v>233</v>
      </c>
      <c r="B236" s="103"/>
      <c r="C236" s="103"/>
      <c r="D236" s="103"/>
      <c r="E236" s="103"/>
      <c r="F236" s="103"/>
      <c r="G236" s="103"/>
      <c r="H236" s="104"/>
      <c r="I236" s="39"/>
      <c r="J236" s="57"/>
      <c r="L236" s="106"/>
      <c r="M236" s="106"/>
      <c r="N236" s="39"/>
    </row>
    <row r="237" spans="1:14" s="62" customFormat="1" x14ac:dyDescent="0.35">
      <c r="A237" s="100">
        <v>5</v>
      </c>
      <c r="B237" s="101"/>
      <c r="C237" s="47">
        <v>1</v>
      </c>
      <c r="D237" s="48">
        <f>41.68*10.764</f>
        <v>448.64351999999997</v>
      </c>
      <c r="E237" s="48">
        <v>0</v>
      </c>
      <c r="F237" s="48">
        <f>D237*(($F$132)+1)+(IF(E237&lt;101,E237,IF(E237&lt;201,E237/2,IF(E237&lt;=301,E237/3,E237/4))))</f>
        <v>695.39745599999992</v>
      </c>
      <c r="G237" s="107" t="str">
        <f>A236</f>
        <v>9th to 14th &amp; 16th to 21st Floor</v>
      </c>
      <c r="H237" s="108"/>
      <c r="I237" s="39">
        <f>3.05*4.3+2.15*3.05+2.9*3.35+1.2*2+2.15*1.25+0.9*2.2+3.05*0.6</f>
        <v>38.284999999999989</v>
      </c>
      <c r="J237" s="57"/>
      <c r="L237" s="106"/>
      <c r="M237" s="106"/>
      <c r="N237" s="39"/>
    </row>
    <row r="238" spans="1:14" s="62" customFormat="1" ht="15.75" customHeight="1" x14ac:dyDescent="0.35">
      <c r="A238" s="100">
        <f t="shared" ref="A238:A240" si="16">A237+1</f>
        <v>6</v>
      </c>
      <c r="B238" s="101"/>
      <c r="C238" s="47">
        <v>1</v>
      </c>
      <c r="D238" s="48">
        <f>41.64*10.764</f>
        <v>448.21295999999995</v>
      </c>
      <c r="E238" s="48">
        <v>0</v>
      </c>
      <c r="F238" s="48">
        <f>D238*(($F$132)+1)+(IF(E238&lt;101,E238,IF(E238&lt;201,E238/2,IF(E238&lt;=301,E238/3,E238/4))))</f>
        <v>694.73008799999991</v>
      </c>
      <c r="G238" s="109"/>
      <c r="H238" s="110"/>
      <c r="I238" s="57"/>
      <c r="J238" s="39"/>
      <c r="L238" s="106"/>
      <c r="M238" s="106"/>
      <c r="N238" s="39"/>
    </row>
    <row r="239" spans="1:14" s="62" customFormat="1" x14ac:dyDescent="0.35">
      <c r="A239" s="100">
        <f t="shared" si="16"/>
        <v>7</v>
      </c>
      <c r="B239" s="101"/>
      <c r="C239" s="47">
        <v>1</v>
      </c>
      <c r="D239" s="48">
        <f>41.75*10.764</f>
        <v>449.39699999999999</v>
      </c>
      <c r="E239" s="48">
        <v>0</v>
      </c>
      <c r="F239" s="48">
        <f>D239*(($F$132)+1)+(IF(E239&lt;101,E239,IF(E239&lt;201,E239/2,IF(E239&lt;=301,E239/3,E239/4))))</f>
        <v>696.56534999999997</v>
      </c>
      <c r="G239" s="109"/>
      <c r="H239" s="110"/>
      <c r="I239" s="39"/>
      <c r="J239" s="57"/>
    </row>
    <row r="240" spans="1:14" s="62" customFormat="1" ht="15.75" customHeight="1" x14ac:dyDescent="0.35">
      <c r="A240" s="100">
        <f t="shared" si="16"/>
        <v>8</v>
      </c>
      <c r="B240" s="101"/>
      <c r="C240" s="47">
        <v>1</v>
      </c>
      <c r="D240" s="48">
        <f>41.64*10.764</f>
        <v>448.21295999999995</v>
      </c>
      <c r="E240" s="48">
        <v>0</v>
      </c>
      <c r="F240" s="48">
        <f>D240*(($F$132)+1)+(IF(E240&lt;101,E240,IF(E240&lt;201,E240/2,IF(E240&lt;=301,E240/3,E240/4))))</f>
        <v>694.73008799999991</v>
      </c>
      <c r="G240" s="111"/>
      <c r="H240" s="112"/>
      <c r="I240" s="39"/>
      <c r="J240" s="57"/>
      <c r="L240" s="106"/>
      <c r="M240" s="106"/>
      <c r="N240" s="39"/>
    </row>
    <row r="241" spans="1:14" s="62" customFormat="1" ht="15.75" customHeight="1" x14ac:dyDescent="0.35">
      <c r="A241" s="102" t="s">
        <v>234</v>
      </c>
      <c r="B241" s="103"/>
      <c r="C241" s="103"/>
      <c r="D241" s="103"/>
      <c r="E241" s="103"/>
      <c r="F241" s="103"/>
      <c r="G241" s="103"/>
      <c r="H241" s="104"/>
      <c r="I241" s="39"/>
      <c r="J241" s="57"/>
      <c r="L241" s="106"/>
      <c r="M241" s="106"/>
      <c r="N241" s="39"/>
    </row>
    <row r="242" spans="1:14" s="57" customFormat="1" x14ac:dyDescent="0.35">
      <c r="A242" s="100">
        <v>5</v>
      </c>
      <c r="B242" s="101"/>
      <c r="C242" s="47">
        <v>1</v>
      </c>
      <c r="D242" s="48">
        <f>41.68*10.764</f>
        <v>448.64351999999997</v>
      </c>
      <c r="E242" s="48">
        <v>0</v>
      </c>
      <c r="F242" s="48">
        <f>D242*(($F$132)+1)+(IF(E242&lt;101,E242,IF(E242&lt;201,E242/2,IF(E242&lt;=301,E242/3,E242/4))))</f>
        <v>695.39745599999992</v>
      </c>
      <c r="G242" s="107" t="str">
        <f>A241</f>
        <v>8th &amp; 15th Floor (Part Refuge Area)</v>
      </c>
      <c r="H242" s="108"/>
      <c r="I242" s="39"/>
      <c r="L242" s="106"/>
      <c r="M242" s="106"/>
      <c r="N242" s="39"/>
    </row>
    <row r="243" spans="1:14" s="57" customFormat="1" x14ac:dyDescent="0.35">
      <c r="A243" s="100">
        <f t="shared" ref="A243:A245" si="17">A242+1</f>
        <v>6</v>
      </c>
      <c r="B243" s="101"/>
      <c r="C243" s="47">
        <v>1</v>
      </c>
      <c r="D243" s="48">
        <f>41.64*10.764</f>
        <v>448.21295999999995</v>
      </c>
      <c r="E243" s="48">
        <v>0</v>
      </c>
      <c r="F243" s="48">
        <f>D243*(($F$132)+1)+(IF(E243&lt;101,E243,IF(E243&lt;201,E243/2,IF(E243&lt;=301,E243/3,E243/4))))</f>
        <v>694.73008799999991</v>
      </c>
      <c r="G243" s="109"/>
      <c r="H243" s="110"/>
      <c r="J243" s="39"/>
      <c r="L243" s="106"/>
      <c r="M243" s="106"/>
      <c r="N243" s="39"/>
    </row>
    <row r="244" spans="1:14" s="38" customFormat="1" x14ac:dyDescent="0.35">
      <c r="A244" s="100">
        <f t="shared" si="17"/>
        <v>7</v>
      </c>
      <c r="B244" s="101"/>
      <c r="C244" s="107" t="s">
        <v>178</v>
      </c>
      <c r="D244" s="196"/>
      <c r="E244" s="196"/>
      <c r="F244" s="108"/>
      <c r="G244" s="109"/>
      <c r="H244" s="110"/>
      <c r="I244" s="39"/>
      <c r="J244" s="57"/>
    </row>
    <row r="245" spans="1:14" s="38" customFormat="1" ht="17.25" customHeight="1" x14ac:dyDescent="0.35">
      <c r="A245" s="100">
        <f t="shared" si="17"/>
        <v>8</v>
      </c>
      <c r="B245" s="101"/>
      <c r="C245" s="111"/>
      <c r="D245" s="197"/>
      <c r="E245" s="197"/>
      <c r="F245" s="112"/>
      <c r="G245" s="111"/>
      <c r="H245" s="112"/>
      <c r="I245" s="39"/>
      <c r="J245" s="57"/>
    </row>
    <row r="246" spans="1:14" s="38" customFormat="1" x14ac:dyDescent="0.35">
      <c r="A246" s="105" t="s">
        <v>235</v>
      </c>
      <c r="B246" s="105"/>
      <c r="C246" s="105"/>
      <c r="D246" s="105"/>
      <c r="E246" s="105"/>
      <c r="F246" s="105"/>
      <c r="G246" s="105"/>
      <c r="H246" s="105"/>
      <c r="I246" s="39"/>
      <c r="J246" s="62"/>
    </row>
    <row r="247" spans="1:14" s="38" customFormat="1" x14ac:dyDescent="0.35">
      <c r="A247" s="113">
        <v>5</v>
      </c>
      <c r="B247" s="113"/>
      <c r="C247" s="47">
        <v>1</v>
      </c>
      <c r="D247" s="48">
        <f>42.64*10.764</f>
        <v>458.97695999999996</v>
      </c>
      <c r="E247" s="48">
        <v>0</v>
      </c>
      <c r="F247" s="48">
        <f>D247*(($F$132)+1)+(IF(E247&lt;101,E247,IF(E247&lt;201,E247/2,IF(E247&lt;=301,E247/3,E247/4))))</f>
        <v>711.41428799999994</v>
      </c>
      <c r="G247" s="113" t="str">
        <f>A246</f>
        <v>22nd Floor (Part Refuge Area)</v>
      </c>
      <c r="H247" s="113"/>
      <c r="I247" s="39"/>
      <c r="J247" s="62"/>
    </row>
    <row r="248" spans="1:14" s="38" customFormat="1" x14ac:dyDescent="0.35">
      <c r="A248" s="113">
        <f t="shared" ref="A248:A250" si="18">A247+1</f>
        <v>6</v>
      </c>
      <c r="B248" s="113"/>
      <c r="C248" s="47">
        <v>1</v>
      </c>
      <c r="D248" s="48">
        <f>42.6*10.764</f>
        <v>458.54640000000001</v>
      </c>
      <c r="E248" s="48">
        <v>0</v>
      </c>
      <c r="F248" s="48">
        <f>D248*(($F$132)+1)+(IF(E248&lt;101,E248,IF(E248&lt;201,E248/2,IF(E248&lt;=301,E248/3,E248/4))))</f>
        <v>710.74692000000005</v>
      </c>
      <c r="G248" s="113"/>
      <c r="H248" s="113"/>
      <c r="I248" s="62"/>
      <c r="J248" s="39"/>
    </row>
    <row r="249" spans="1:14" s="38" customFormat="1" x14ac:dyDescent="0.35">
      <c r="A249" s="113">
        <f t="shared" si="18"/>
        <v>7</v>
      </c>
      <c r="B249" s="113"/>
      <c r="C249" s="113" t="s">
        <v>178</v>
      </c>
      <c r="D249" s="113"/>
      <c r="E249" s="113"/>
      <c r="F249" s="113"/>
      <c r="G249" s="113"/>
      <c r="H249" s="113"/>
      <c r="I249" s="39"/>
      <c r="J249" s="62"/>
    </row>
    <row r="250" spans="1:14" s="38" customFormat="1" x14ac:dyDescent="0.35">
      <c r="A250" s="113">
        <f t="shared" si="18"/>
        <v>8</v>
      </c>
      <c r="B250" s="113"/>
      <c r="C250" s="113"/>
      <c r="D250" s="113"/>
      <c r="E250" s="113"/>
      <c r="F250" s="113"/>
      <c r="G250" s="113"/>
      <c r="H250" s="113"/>
      <c r="I250" s="39"/>
      <c r="J250" s="62"/>
    </row>
    <row r="251" spans="1:14" s="38" customFormat="1" x14ac:dyDescent="0.35">
      <c r="A251" s="105" t="s">
        <v>236</v>
      </c>
      <c r="B251" s="105"/>
      <c r="C251" s="105"/>
      <c r="D251" s="105"/>
      <c r="E251" s="105"/>
      <c r="F251" s="105"/>
      <c r="G251" s="105"/>
      <c r="H251" s="105"/>
      <c r="I251" s="39"/>
      <c r="J251" s="62"/>
    </row>
    <row r="252" spans="1:14" s="38" customFormat="1" x14ac:dyDescent="0.35">
      <c r="A252" s="113">
        <v>5</v>
      </c>
      <c r="B252" s="113"/>
      <c r="C252" s="47">
        <v>1</v>
      </c>
      <c r="D252" s="48">
        <f>42.64*10.764</f>
        <v>458.97695999999996</v>
      </c>
      <c r="E252" s="48">
        <v>0</v>
      </c>
      <c r="F252" s="48">
        <f>D252*(($F$132)+1)+(IF(E252&lt;101,E252,IF(E252&lt;201,E252/2,IF(E252&lt;=301,E252/3,E252/4))))</f>
        <v>711.41428799999994</v>
      </c>
      <c r="G252" s="113" t="str">
        <f>A251</f>
        <v>23rd to 26th Floor</v>
      </c>
      <c r="H252" s="113"/>
      <c r="I252" s="39"/>
      <c r="J252" s="62"/>
    </row>
    <row r="253" spans="1:14" s="38" customFormat="1" x14ac:dyDescent="0.35">
      <c r="A253" s="113">
        <f t="shared" ref="A253:A255" si="19">A252+1</f>
        <v>6</v>
      </c>
      <c r="B253" s="113"/>
      <c r="C253" s="47">
        <v>1</v>
      </c>
      <c r="D253" s="48">
        <f>42.6*10.764</f>
        <v>458.54640000000001</v>
      </c>
      <c r="E253" s="48">
        <v>0</v>
      </c>
      <c r="F253" s="48">
        <f>D253*(($F$132)+1)+(IF(E253&lt;101,E253,IF(E253&lt;201,E253/2,IF(E253&lt;=301,E253/3,E253/4))))</f>
        <v>710.74692000000005</v>
      </c>
      <c r="G253" s="113"/>
      <c r="H253" s="113"/>
      <c r="I253" s="62"/>
      <c r="J253" s="39"/>
    </row>
    <row r="254" spans="1:14" s="38" customFormat="1" x14ac:dyDescent="0.35">
      <c r="A254" s="113">
        <f t="shared" si="19"/>
        <v>7</v>
      </c>
      <c r="B254" s="113"/>
      <c r="C254" s="47">
        <v>1</v>
      </c>
      <c r="D254" s="48">
        <f>43.67*10.764</f>
        <v>470.06387999999998</v>
      </c>
      <c r="E254" s="48">
        <v>0</v>
      </c>
      <c r="F254" s="48">
        <f>D254*(($F$132)+1)+(IF(E254&lt;101,E254,IF(E254&lt;201,E254/2,IF(E254&lt;=301,E254/3,E254/4))))</f>
        <v>728.59901400000001</v>
      </c>
      <c r="G254" s="113"/>
      <c r="H254" s="113"/>
      <c r="I254" s="39"/>
      <c r="J254" s="62"/>
    </row>
    <row r="255" spans="1:14" s="38" customFormat="1" x14ac:dyDescent="0.35">
      <c r="A255" s="113">
        <f t="shared" si="19"/>
        <v>8</v>
      </c>
      <c r="B255" s="113"/>
      <c r="C255" s="47">
        <v>1</v>
      </c>
      <c r="D255" s="48">
        <f>43.26*10.764</f>
        <v>465.65063999999995</v>
      </c>
      <c r="E255" s="48">
        <v>0</v>
      </c>
      <c r="F255" s="48">
        <f>D255*(($F$132)+1)+(IF(E255&lt;101,E255,IF(E255&lt;201,E255/2,IF(E255&lt;=301,E255/3,E255/4))))</f>
        <v>721.75849199999993</v>
      </c>
      <c r="G255" s="113"/>
      <c r="H255" s="113"/>
      <c r="I255" s="39"/>
      <c r="J255" s="62"/>
    </row>
    <row r="256" spans="1:14" s="38" customFormat="1" x14ac:dyDescent="0.35">
      <c r="A256" s="198" t="s">
        <v>69</v>
      </c>
      <c r="B256" s="198"/>
      <c r="C256" s="198"/>
      <c r="D256" s="198"/>
      <c r="E256" s="198"/>
      <c r="F256" s="198"/>
      <c r="G256" s="198"/>
      <c r="H256" s="198"/>
      <c r="I256" s="39"/>
      <c r="J256" s="57"/>
    </row>
    <row r="257" spans="1:10" s="38" customFormat="1" ht="34" customHeight="1" x14ac:dyDescent="0.35">
      <c r="A257" s="50" t="s">
        <v>148</v>
      </c>
      <c r="B257" s="73" t="s">
        <v>256</v>
      </c>
      <c r="C257" s="74"/>
      <c r="D257" s="74"/>
      <c r="E257" s="74"/>
      <c r="F257" s="74"/>
      <c r="G257" s="74"/>
      <c r="H257" s="75"/>
      <c r="I257" s="39"/>
      <c r="J257" s="57"/>
    </row>
    <row r="258" spans="1:10" x14ac:dyDescent="0.35">
      <c r="A258" s="50" t="s">
        <v>148</v>
      </c>
      <c r="B258" s="73" t="str">
        <f>(IF(F131="Saleable area Loading :","We have considered Saleable area of Flats as per our Calculation.","We considered Saleable area of Flat as per Builder area Sheet."))</f>
        <v>We have considered Saleable area of Flats as per our Calculation.</v>
      </c>
      <c r="C258" s="74"/>
      <c r="D258" s="74"/>
      <c r="E258" s="74"/>
      <c r="F258" s="74"/>
      <c r="G258" s="74"/>
      <c r="H258" s="75"/>
      <c r="I258" s="38"/>
      <c r="J258" s="38"/>
    </row>
    <row r="259" spans="1:10" x14ac:dyDescent="0.35">
      <c r="A259" s="50" t="s">
        <v>148</v>
      </c>
      <c r="B259" s="143" t="s">
        <v>119</v>
      </c>
      <c r="C259" s="144"/>
      <c r="D259" s="144"/>
      <c r="E259" s="144"/>
      <c r="F259" s="144"/>
      <c r="G259" s="144"/>
      <c r="H259" s="145"/>
      <c r="I259" s="38"/>
      <c r="J259" s="38"/>
    </row>
    <row r="260" spans="1:10" ht="15.75" customHeight="1" x14ac:dyDescent="0.35">
      <c r="A260" s="50" t="s">
        <v>148</v>
      </c>
      <c r="B260" s="143" t="s">
        <v>238</v>
      </c>
      <c r="C260" s="144"/>
      <c r="D260" s="144"/>
      <c r="E260" s="144"/>
      <c r="F260" s="144"/>
      <c r="G260" s="144"/>
      <c r="H260" s="145"/>
      <c r="I260" s="38"/>
      <c r="J260" s="38"/>
    </row>
    <row r="261" spans="1:10" x14ac:dyDescent="0.35">
      <c r="A261" s="50" t="s">
        <v>148</v>
      </c>
      <c r="B261" s="143" t="s">
        <v>147</v>
      </c>
      <c r="C261" s="144"/>
      <c r="D261" s="144"/>
      <c r="E261" s="144"/>
      <c r="F261" s="144"/>
      <c r="G261" s="144"/>
      <c r="H261" s="145"/>
      <c r="I261" s="38"/>
      <c r="J261" s="38"/>
    </row>
    <row r="262" spans="1:10" x14ac:dyDescent="0.35">
      <c r="A262" s="50" t="s">
        <v>148</v>
      </c>
      <c r="B262" s="143" t="s">
        <v>120</v>
      </c>
      <c r="C262" s="144"/>
      <c r="D262" s="144"/>
      <c r="E262" s="144"/>
      <c r="F262" s="144"/>
      <c r="G262" s="144"/>
      <c r="H262" s="145"/>
      <c r="I262" s="38"/>
      <c r="J262" s="38"/>
    </row>
    <row r="263" spans="1:10" x14ac:dyDescent="0.35">
      <c r="A263" s="50" t="s">
        <v>148</v>
      </c>
      <c r="B263" s="143" t="s">
        <v>149</v>
      </c>
      <c r="C263" s="144"/>
      <c r="D263" s="144"/>
      <c r="E263" s="144"/>
      <c r="F263" s="144"/>
      <c r="G263" s="144"/>
      <c r="H263" s="145"/>
      <c r="I263" s="38"/>
      <c r="J263" s="38"/>
    </row>
    <row r="264" spans="1:10" x14ac:dyDescent="0.35">
      <c r="A264" s="50" t="s">
        <v>148</v>
      </c>
      <c r="B264" s="143" t="s">
        <v>121</v>
      </c>
      <c r="C264" s="144"/>
      <c r="D264" s="144"/>
      <c r="E264" s="144"/>
      <c r="F264" s="144"/>
      <c r="G264" s="144"/>
      <c r="H264" s="145"/>
      <c r="I264" s="38"/>
      <c r="J264" s="38"/>
    </row>
    <row r="265" spans="1:10" ht="33.75" customHeight="1" x14ac:dyDescent="0.35">
      <c r="A265" s="60" t="s">
        <v>148</v>
      </c>
      <c r="B265" s="73" t="s">
        <v>243</v>
      </c>
      <c r="C265" s="74"/>
      <c r="D265" s="74"/>
      <c r="E265" s="74"/>
      <c r="F265" s="74"/>
      <c r="G265" s="74"/>
      <c r="H265" s="75"/>
      <c r="I265" s="38"/>
      <c r="J265" s="38"/>
    </row>
    <row r="266" spans="1:10" x14ac:dyDescent="0.35">
      <c r="A266" s="50" t="s">
        <v>148</v>
      </c>
      <c r="B266" s="73" t="s">
        <v>225</v>
      </c>
      <c r="C266" s="74"/>
      <c r="D266" s="74"/>
      <c r="E266" s="74"/>
      <c r="F266" s="74"/>
      <c r="G266" s="74"/>
      <c r="H266" s="75"/>
      <c r="I266" s="38"/>
      <c r="J266" s="38"/>
    </row>
    <row r="267" spans="1:10" ht="16.5" customHeight="1" x14ac:dyDescent="0.35">
      <c r="A267" s="65" t="s">
        <v>148</v>
      </c>
      <c r="B267" s="73" t="s">
        <v>252</v>
      </c>
      <c r="C267" s="74"/>
      <c r="D267" s="74"/>
      <c r="E267" s="74"/>
      <c r="F267" s="74"/>
      <c r="G267" s="74"/>
      <c r="H267" s="75"/>
      <c r="I267" s="38"/>
      <c r="J267" s="38"/>
    </row>
    <row r="268" spans="1:10" ht="16.5" customHeight="1" x14ac:dyDescent="0.35">
      <c r="A268" s="67" t="s">
        <v>148</v>
      </c>
      <c r="B268" s="73" t="s">
        <v>254</v>
      </c>
      <c r="C268" s="74"/>
      <c r="D268" s="74"/>
      <c r="E268" s="74"/>
      <c r="F268" s="74"/>
      <c r="G268" s="74"/>
      <c r="H268" s="75"/>
      <c r="I268" s="38"/>
      <c r="J268" s="38"/>
    </row>
    <row r="269" spans="1:10" x14ac:dyDescent="0.35">
      <c r="A269" s="65" t="s">
        <v>148</v>
      </c>
      <c r="B269" s="73" t="s">
        <v>251</v>
      </c>
      <c r="C269" s="74"/>
      <c r="D269" s="74"/>
      <c r="E269" s="74"/>
      <c r="F269" s="74"/>
      <c r="G269" s="74"/>
      <c r="H269" s="75"/>
      <c r="I269" s="38"/>
      <c r="J269" s="38"/>
    </row>
    <row r="270" spans="1:10" x14ac:dyDescent="0.35">
      <c r="A270" s="131" t="s">
        <v>62</v>
      </c>
      <c r="B270" s="131"/>
      <c r="C270" s="131"/>
      <c r="D270" s="131"/>
      <c r="E270" s="131"/>
      <c r="F270" s="131"/>
      <c r="G270" s="131"/>
      <c r="H270" s="131"/>
      <c r="I270" s="38"/>
      <c r="J270" s="38"/>
    </row>
    <row r="271" spans="1:10" x14ac:dyDescent="0.35">
      <c r="A271" s="129" t="s">
        <v>63</v>
      </c>
      <c r="B271" s="129"/>
      <c r="C271" s="129"/>
      <c r="D271" s="129"/>
      <c r="E271" s="129"/>
      <c r="F271" s="129"/>
      <c r="G271" s="129"/>
      <c r="H271" s="129"/>
      <c r="I271" s="38"/>
      <c r="J271" s="38"/>
    </row>
    <row r="272" spans="1:10" x14ac:dyDescent="0.35">
      <c r="A272" s="147" t="s">
        <v>64</v>
      </c>
      <c r="B272" s="147"/>
      <c r="C272" s="147"/>
      <c r="D272" s="147"/>
      <c r="E272" s="147"/>
      <c r="F272" s="147"/>
      <c r="G272" s="147"/>
      <c r="H272" s="147"/>
    </row>
    <row r="273" spans="1:8" ht="15" customHeight="1" x14ac:dyDescent="0.35">
      <c r="A273" s="129" t="s">
        <v>65</v>
      </c>
      <c r="B273" s="129"/>
      <c r="C273" s="129"/>
      <c r="D273" s="129"/>
      <c r="E273" s="129"/>
      <c r="F273" s="129"/>
      <c r="G273" s="129"/>
      <c r="H273" s="129"/>
    </row>
    <row r="274" spans="1:8" x14ac:dyDescent="0.35">
      <c r="A274" s="129" t="s">
        <v>66</v>
      </c>
      <c r="B274" s="129"/>
      <c r="C274" s="129"/>
      <c r="D274" s="129"/>
      <c r="E274" s="129"/>
      <c r="F274" s="129"/>
      <c r="G274" s="129"/>
      <c r="H274" s="129"/>
    </row>
    <row r="275" spans="1:8" x14ac:dyDescent="0.35">
      <c r="A275" s="129" t="s">
        <v>122</v>
      </c>
      <c r="B275" s="129"/>
      <c r="C275" s="129"/>
      <c r="D275" s="129"/>
      <c r="E275" s="129"/>
      <c r="F275" s="129"/>
      <c r="G275" s="129"/>
      <c r="H275" s="129"/>
    </row>
    <row r="276" spans="1:8" x14ac:dyDescent="0.35">
      <c r="A276" s="142" t="s">
        <v>123</v>
      </c>
      <c r="B276" s="142"/>
      <c r="C276" s="142"/>
      <c r="D276" s="142"/>
      <c r="E276" s="142"/>
      <c r="F276" s="142"/>
      <c r="G276" s="142"/>
      <c r="H276" s="142"/>
    </row>
    <row r="277" spans="1:8" x14ac:dyDescent="0.35">
      <c r="A277" s="138" t="s">
        <v>76</v>
      </c>
      <c r="B277" s="138"/>
      <c r="C277" s="138" t="s">
        <v>257</v>
      </c>
      <c r="D277" s="138"/>
      <c r="E277" s="138" t="s">
        <v>101</v>
      </c>
      <c r="F277" s="138"/>
      <c r="G277" s="138" t="s">
        <v>248</v>
      </c>
      <c r="H277" s="138"/>
    </row>
    <row r="278" spans="1:8" x14ac:dyDescent="0.35">
      <c r="A278" s="137" t="s">
        <v>78</v>
      </c>
      <c r="B278" s="137"/>
      <c r="C278" s="137"/>
      <c r="D278" s="137"/>
      <c r="E278" s="137"/>
      <c r="F278" s="137"/>
      <c r="G278" s="137"/>
      <c r="H278" s="137"/>
    </row>
    <row r="279" spans="1:8" x14ac:dyDescent="0.35">
      <c r="A279" s="137"/>
      <c r="B279" s="137"/>
      <c r="C279" s="137"/>
      <c r="D279" s="137"/>
      <c r="E279" s="137"/>
      <c r="F279" s="137"/>
      <c r="G279" s="137"/>
      <c r="H279" s="137"/>
    </row>
    <row r="280" spans="1:8" x14ac:dyDescent="0.35">
      <c r="A280" s="137"/>
      <c r="B280" s="137"/>
      <c r="C280" s="137"/>
      <c r="D280" s="137"/>
      <c r="E280" s="137"/>
      <c r="F280" s="137"/>
      <c r="G280" s="137"/>
      <c r="H280" s="137"/>
    </row>
    <row r="281" spans="1:8" x14ac:dyDescent="0.35">
      <c r="A281" s="137"/>
      <c r="B281" s="137"/>
      <c r="C281" s="137"/>
      <c r="D281" s="137"/>
      <c r="E281" s="137"/>
      <c r="F281" s="137"/>
      <c r="G281" s="137"/>
      <c r="H281" s="137"/>
    </row>
    <row r="282" spans="1:8" x14ac:dyDescent="0.35">
      <c r="A282" s="40" t="s">
        <v>67</v>
      </c>
      <c r="B282" s="41"/>
      <c r="C282" s="41"/>
      <c r="D282" s="40" t="str">
        <f>E8</f>
        <v>Srishti Oasis Phase 2 &amp; 3</v>
      </c>
      <c r="F282" s="41"/>
      <c r="G282" s="41"/>
      <c r="H282" s="41"/>
    </row>
    <row r="283" spans="1:8" x14ac:dyDescent="0.35">
      <c r="A283" s="41"/>
      <c r="B283" s="41"/>
      <c r="C283" s="41"/>
      <c r="D283" s="41"/>
      <c r="E283" s="41"/>
      <c r="F283" s="41"/>
      <c r="G283" s="41"/>
      <c r="H283" s="41"/>
    </row>
    <row r="284" spans="1:8" x14ac:dyDescent="0.35">
      <c r="A284" s="41"/>
      <c r="B284" s="41"/>
      <c r="C284" s="41"/>
      <c r="D284" s="41"/>
      <c r="E284" s="41"/>
      <c r="F284" s="41"/>
      <c r="G284" s="41"/>
      <c r="H284" s="41"/>
    </row>
    <row r="325" spans="1:1" x14ac:dyDescent="0.35">
      <c r="A325" s="43" t="s">
        <v>239</v>
      </c>
    </row>
    <row r="360" spans="1:1" x14ac:dyDescent="0.35">
      <c r="A360" s="43" t="s">
        <v>68</v>
      </c>
    </row>
  </sheetData>
  <mergeCells count="522">
    <mergeCell ref="A251:H251"/>
    <mergeCell ref="B260:H260"/>
    <mergeCell ref="A256:H256"/>
    <mergeCell ref="L243:M243"/>
    <mergeCell ref="A238:B238"/>
    <mergeCell ref="A239:B239"/>
    <mergeCell ref="A228:B228"/>
    <mergeCell ref="A213:H213"/>
    <mergeCell ref="A202:H202"/>
    <mergeCell ref="A207:H207"/>
    <mergeCell ref="A221:H221"/>
    <mergeCell ref="A243:B243"/>
    <mergeCell ref="A244:B244"/>
    <mergeCell ref="L242:M242"/>
    <mergeCell ref="L232:M232"/>
    <mergeCell ref="L233:M233"/>
    <mergeCell ref="L235:M235"/>
    <mergeCell ref="L236:M236"/>
    <mergeCell ref="A242:B242"/>
    <mergeCell ref="G242:H245"/>
    <mergeCell ref="L211:M211"/>
    <mergeCell ref="A226:H226"/>
    <mergeCell ref="L212:M212"/>
    <mergeCell ref="A227:B227"/>
    <mergeCell ref="B267:H267"/>
    <mergeCell ref="L237:M237"/>
    <mergeCell ref="A252:B252"/>
    <mergeCell ref="G252:H255"/>
    <mergeCell ref="L238:M238"/>
    <mergeCell ref="A253:B253"/>
    <mergeCell ref="A254:B254"/>
    <mergeCell ref="L240:M240"/>
    <mergeCell ref="A255:B255"/>
    <mergeCell ref="L241:M241"/>
    <mergeCell ref="B265:H265"/>
    <mergeCell ref="B263:H263"/>
    <mergeCell ref="B261:H261"/>
    <mergeCell ref="B257:H257"/>
    <mergeCell ref="B258:H258"/>
    <mergeCell ref="B259:H259"/>
    <mergeCell ref="A247:B247"/>
    <mergeCell ref="G247:H250"/>
    <mergeCell ref="A248:B248"/>
    <mergeCell ref="A249:B249"/>
    <mergeCell ref="C249:F250"/>
    <mergeCell ref="A250:B250"/>
    <mergeCell ref="A246:H246"/>
    <mergeCell ref="C244:F245"/>
    <mergeCell ref="A16:B16"/>
    <mergeCell ref="C16:H16"/>
    <mergeCell ref="A38:B38"/>
    <mergeCell ref="C38:H38"/>
    <mergeCell ref="F113:H113"/>
    <mergeCell ref="F114:H114"/>
    <mergeCell ref="F118:H118"/>
    <mergeCell ref="A119:E119"/>
    <mergeCell ref="C131:C132"/>
    <mergeCell ref="E125:F125"/>
    <mergeCell ref="G125:H125"/>
    <mergeCell ref="A47:B47"/>
    <mergeCell ref="C47:H47"/>
    <mergeCell ref="A112:E112"/>
    <mergeCell ref="F112:H112"/>
    <mergeCell ref="F119:H119"/>
    <mergeCell ref="A109:E109"/>
    <mergeCell ref="D60:H60"/>
    <mergeCell ref="D63:H63"/>
    <mergeCell ref="A64:C64"/>
    <mergeCell ref="D64:H64"/>
    <mergeCell ref="A71:B71"/>
    <mergeCell ref="G70:H70"/>
    <mergeCell ref="A78:B78"/>
    <mergeCell ref="A114:E114"/>
    <mergeCell ref="C124:D124"/>
    <mergeCell ref="G124:H124"/>
    <mergeCell ref="A111:E111"/>
    <mergeCell ref="L132:M132"/>
    <mergeCell ref="C149:F149"/>
    <mergeCell ref="A147:H147"/>
    <mergeCell ref="A148:B148"/>
    <mergeCell ref="L134:M134"/>
    <mergeCell ref="A149:B149"/>
    <mergeCell ref="L135:M135"/>
    <mergeCell ref="A146:B146"/>
    <mergeCell ref="A136:H136"/>
    <mergeCell ref="G138:H141"/>
    <mergeCell ref="G143:H146"/>
    <mergeCell ref="G148:H151"/>
    <mergeCell ref="A113:E113"/>
    <mergeCell ref="A115:E115"/>
    <mergeCell ref="B131:B132"/>
    <mergeCell ref="A137:H137"/>
    <mergeCell ref="A144:B144"/>
    <mergeCell ref="A134:H134"/>
    <mergeCell ref="C125:D125"/>
    <mergeCell ref="L137:M137"/>
    <mergeCell ref="A154:B154"/>
    <mergeCell ref="A142:H142"/>
    <mergeCell ref="A143:B143"/>
    <mergeCell ref="A174:B174"/>
    <mergeCell ref="A187:H187"/>
    <mergeCell ref="A188:B188"/>
    <mergeCell ref="A212:H212"/>
    <mergeCell ref="A214:H214"/>
    <mergeCell ref="A215:H215"/>
    <mergeCell ref="A177:H177"/>
    <mergeCell ref="A178:B178"/>
    <mergeCell ref="G178:H181"/>
    <mergeCell ref="A201:B201"/>
    <mergeCell ref="A198:B198"/>
    <mergeCell ref="G198:H201"/>
    <mergeCell ref="A208:B208"/>
    <mergeCell ref="G208:H211"/>
    <mergeCell ref="A209:B209"/>
    <mergeCell ref="A210:B210"/>
    <mergeCell ref="A211:B211"/>
    <mergeCell ref="A75:B75"/>
    <mergeCell ref="C126:D126"/>
    <mergeCell ref="E126:F126"/>
    <mergeCell ref="G126:H126"/>
    <mergeCell ref="C127:D127"/>
    <mergeCell ref="E127:F127"/>
    <mergeCell ref="G127:H127"/>
    <mergeCell ref="A128:B128"/>
    <mergeCell ref="C128:D128"/>
    <mergeCell ref="E128:F128"/>
    <mergeCell ref="G128:H128"/>
    <mergeCell ref="A126:A127"/>
    <mergeCell ref="A81:B81"/>
    <mergeCell ref="C81:H81"/>
    <mergeCell ref="A83:B83"/>
    <mergeCell ref="C83:H83"/>
    <mergeCell ref="A84:B84"/>
    <mergeCell ref="E84:F84"/>
    <mergeCell ref="G84:H84"/>
    <mergeCell ref="A85:B85"/>
    <mergeCell ref="E85:F94"/>
    <mergeCell ref="G85:H94"/>
    <mergeCell ref="A86:B86"/>
    <mergeCell ref="A87:B87"/>
    <mergeCell ref="A36:H36"/>
    <mergeCell ref="E43:H43"/>
    <mergeCell ref="E44:H44"/>
    <mergeCell ref="E45:H45"/>
    <mergeCell ref="A43:D43"/>
    <mergeCell ref="A48:B48"/>
    <mergeCell ref="C48:E48"/>
    <mergeCell ref="C51:E51"/>
    <mergeCell ref="G51:H51"/>
    <mergeCell ref="G48:H48"/>
    <mergeCell ref="G50:H50"/>
    <mergeCell ref="C50:E50"/>
    <mergeCell ref="C37:H37"/>
    <mergeCell ref="A35:B35"/>
    <mergeCell ref="C35:E35"/>
    <mergeCell ref="A40:D40"/>
    <mergeCell ref="E40:H40"/>
    <mergeCell ref="F32:H32"/>
    <mergeCell ref="F33:H33"/>
    <mergeCell ref="A39:H39"/>
    <mergeCell ref="A59:C59"/>
    <mergeCell ref="F35:H35"/>
    <mergeCell ref="A37:B37"/>
    <mergeCell ref="A44:D44"/>
    <mergeCell ref="A45:D45"/>
    <mergeCell ref="A46:H46"/>
    <mergeCell ref="D57:H57"/>
    <mergeCell ref="A57:C57"/>
    <mergeCell ref="G49:H49"/>
    <mergeCell ref="A50:B51"/>
    <mergeCell ref="C49:E49"/>
    <mergeCell ref="C52:E52"/>
    <mergeCell ref="A49:B49"/>
    <mergeCell ref="E41:H41"/>
    <mergeCell ref="A41:D41"/>
    <mergeCell ref="A42:D42"/>
    <mergeCell ref="E42:H42"/>
    <mergeCell ref="E25:H25"/>
    <mergeCell ref="A27:D27"/>
    <mergeCell ref="E27:H27"/>
    <mergeCell ref="A24:D24"/>
    <mergeCell ref="E24:H24"/>
    <mergeCell ref="A28:D28"/>
    <mergeCell ref="E28:H28"/>
    <mergeCell ref="A25:D25"/>
    <mergeCell ref="A34:B34"/>
    <mergeCell ref="C34:E34"/>
    <mergeCell ref="A29:D29"/>
    <mergeCell ref="E29:H29"/>
    <mergeCell ref="A30:D30"/>
    <mergeCell ref="E30:H30"/>
    <mergeCell ref="A26:D26"/>
    <mergeCell ref="E26:H26"/>
    <mergeCell ref="C31:E31"/>
    <mergeCell ref="F34:H34"/>
    <mergeCell ref="F31:H31"/>
    <mergeCell ref="A32:B32"/>
    <mergeCell ref="A31:B31"/>
    <mergeCell ref="C32:E32"/>
    <mergeCell ref="A33:B33"/>
    <mergeCell ref="C33:E33"/>
    <mergeCell ref="A21:D22"/>
    <mergeCell ref="E21:H22"/>
    <mergeCell ref="E13:H13"/>
    <mergeCell ref="A14:B14"/>
    <mergeCell ref="C14:H14"/>
    <mergeCell ref="C15:H15"/>
    <mergeCell ref="A23:D23"/>
    <mergeCell ref="E23:H23"/>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E20:F20"/>
    <mergeCell ref="G20:H20"/>
    <mergeCell ref="A11:D11"/>
    <mergeCell ref="E11:H11"/>
    <mergeCell ref="A5:D5"/>
    <mergeCell ref="E5:H5"/>
    <mergeCell ref="A6:D6"/>
    <mergeCell ref="E6:H6"/>
    <mergeCell ref="A7:D7"/>
    <mergeCell ref="E7:H7"/>
    <mergeCell ref="A15:B15"/>
    <mergeCell ref="A12:D12"/>
    <mergeCell ref="E12:H12"/>
    <mergeCell ref="A13:D13"/>
    <mergeCell ref="A10:D10"/>
    <mergeCell ref="E10:H10"/>
    <mergeCell ref="A1:H1"/>
    <mergeCell ref="A2:H2"/>
    <mergeCell ref="A3:D3"/>
    <mergeCell ref="E3:H3"/>
    <mergeCell ref="A4:D4"/>
    <mergeCell ref="A8:D8"/>
    <mergeCell ref="E8:H8"/>
    <mergeCell ref="A9:D9"/>
    <mergeCell ref="E9:H9"/>
    <mergeCell ref="E4:H4"/>
    <mergeCell ref="A278:H281"/>
    <mergeCell ref="A277:B277"/>
    <mergeCell ref="E277:F277"/>
    <mergeCell ref="C277:D277"/>
    <mergeCell ref="G277:H277"/>
    <mergeCell ref="A121:E121"/>
    <mergeCell ref="F121:H121"/>
    <mergeCell ref="A122:E122"/>
    <mergeCell ref="F122:H122"/>
    <mergeCell ref="A125:B125"/>
    <mergeCell ref="A273:H273"/>
    <mergeCell ref="A123:H123"/>
    <mergeCell ref="A276:H276"/>
    <mergeCell ref="A274:H274"/>
    <mergeCell ref="A270:H270"/>
    <mergeCell ref="A271:H271"/>
    <mergeCell ref="B262:H262"/>
    <mergeCell ref="A129:H129"/>
    <mergeCell ref="A130:H130"/>
    <mergeCell ref="B264:H264"/>
    <mergeCell ref="A275:H275"/>
    <mergeCell ref="A272:H272"/>
    <mergeCell ref="B266:H266"/>
    <mergeCell ref="A155:B155"/>
    <mergeCell ref="A54:H54"/>
    <mergeCell ref="F117:H117"/>
    <mergeCell ref="A110:E110"/>
    <mergeCell ref="F109:H109"/>
    <mergeCell ref="F115:H115"/>
    <mergeCell ref="F111:H111"/>
    <mergeCell ref="C53:H53"/>
    <mergeCell ref="A77:B77"/>
    <mergeCell ref="A70:B70"/>
    <mergeCell ref="A55:C55"/>
    <mergeCell ref="A56:C56"/>
    <mergeCell ref="D56:H56"/>
    <mergeCell ref="A68:B68"/>
    <mergeCell ref="A66:B66"/>
    <mergeCell ref="C66:H66"/>
    <mergeCell ref="A60:C60"/>
    <mergeCell ref="D55:H55"/>
    <mergeCell ref="A58:C58"/>
    <mergeCell ref="D58:H58"/>
    <mergeCell ref="D59:H59"/>
    <mergeCell ref="E71:F80"/>
    <mergeCell ref="G71:H80"/>
    <mergeCell ref="A79:B79"/>
    <mergeCell ref="A80:B80"/>
    <mergeCell ref="G52:H52"/>
    <mergeCell ref="A52:B53"/>
    <mergeCell ref="E124:F124"/>
    <mergeCell ref="A124:B124"/>
    <mergeCell ref="A76:B76"/>
    <mergeCell ref="F110:H110"/>
    <mergeCell ref="A73:B73"/>
    <mergeCell ref="A61:C61"/>
    <mergeCell ref="D61:H61"/>
    <mergeCell ref="C68:H68"/>
    <mergeCell ref="A72:B72"/>
    <mergeCell ref="A74:B74"/>
    <mergeCell ref="E70:F70"/>
    <mergeCell ref="A120:E120"/>
    <mergeCell ref="F120:H120"/>
    <mergeCell ref="A62:C62"/>
    <mergeCell ref="D62:H62"/>
    <mergeCell ref="A65:C65"/>
    <mergeCell ref="D65:H65"/>
    <mergeCell ref="A63:C63"/>
    <mergeCell ref="A116:E116"/>
    <mergeCell ref="F116:H116"/>
    <mergeCell ref="A117:E117"/>
    <mergeCell ref="A118:E118"/>
    <mergeCell ref="L124:M124"/>
    <mergeCell ref="L125:M125"/>
    <mergeCell ref="L126:M126"/>
    <mergeCell ref="L127:M127"/>
    <mergeCell ref="L130:M130"/>
    <mergeCell ref="L131:M131"/>
    <mergeCell ref="A153:B153"/>
    <mergeCell ref="L139:M139"/>
    <mergeCell ref="A167:H167"/>
    <mergeCell ref="L140:M140"/>
    <mergeCell ref="L144:M144"/>
    <mergeCell ref="A159:B159"/>
    <mergeCell ref="L145:M145"/>
    <mergeCell ref="A160:B160"/>
    <mergeCell ref="L146:M146"/>
    <mergeCell ref="L141:M141"/>
    <mergeCell ref="A158:B158"/>
    <mergeCell ref="G158:H160"/>
    <mergeCell ref="G162:H165"/>
    <mergeCell ref="A156:B156"/>
    <mergeCell ref="C154:F154"/>
    <mergeCell ref="A152:H152"/>
    <mergeCell ref="A151:B151"/>
    <mergeCell ref="A138:B138"/>
    <mergeCell ref="L163:M163"/>
    <mergeCell ref="L164:M164"/>
    <mergeCell ref="A172:H172"/>
    <mergeCell ref="A173:B173"/>
    <mergeCell ref="G173:H176"/>
    <mergeCell ref="L129:M129"/>
    <mergeCell ref="L142:M142"/>
    <mergeCell ref="A135:H135"/>
    <mergeCell ref="A166:H166"/>
    <mergeCell ref="A170:H170"/>
    <mergeCell ref="A171:H171"/>
    <mergeCell ref="L151:M151"/>
    <mergeCell ref="L148:M148"/>
    <mergeCell ref="A163:B163"/>
    <mergeCell ref="L149:M149"/>
    <mergeCell ref="A164:B164"/>
    <mergeCell ref="L150:M150"/>
    <mergeCell ref="L136:M136"/>
    <mergeCell ref="A131:A132"/>
    <mergeCell ref="A150:B150"/>
    <mergeCell ref="A139:B139"/>
    <mergeCell ref="A140:B140"/>
    <mergeCell ref="A141:B141"/>
    <mergeCell ref="A145:B145"/>
    <mergeCell ref="L175:M175"/>
    <mergeCell ref="A189:B189"/>
    <mergeCell ref="L176:M176"/>
    <mergeCell ref="L161:M161"/>
    <mergeCell ref="L178:M178"/>
    <mergeCell ref="A190:B190"/>
    <mergeCell ref="L179:M179"/>
    <mergeCell ref="A182:H182"/>
    <mergeCell ref="A183:B183"/>
    <mergeCell ref="L170:M170"/>
    <mergeCell ref="A184:B184"/>
    <mergeCell ref="L171:M171"/>
    <mergeCell ref="L173:M173"/>
    <mergeCell ref="A185:B185"/>
    <mergeCell ref="L174:M174"/>
    <mergeCell ref="L169:M169"/>
    <mergeCell ref="L168:M168"/>
    <mergeCell ref="L162:M162"/>
    <mergeCell ref="A175:B175"/>
    <mergeCell ref="A176:B176"/>
    <mergeCell ref="L166:M166"/>
    <mergeCell ref="A179:B179"/>
    <mergeCell ref="L167:M167"/>
    <mergeCell ref="A180:B180"/>
    <mergeCell ref="L213:M213"/>
    <mergeCell ref="L223:M223"/>
    <mergeCell ref="A192:H192"/>
    <mergeCell ref="A193:B193"/>
    <mergeCell ref="L188:M188"/>
    <mergeCell ref="A203:B203"/>
    <mergeCell ref="C203:F203"/>
    <mergeCell ref="G203:H206"/>
    <mergeCell ref="L189:M189"/>
    <mergeCell ref="A204:B204"/>
    <mergeCell ref="L208:M208"/>
    <mergeCell ref="A223:B223"/>
    <mergeCell ref="A216:H216"/>
    <mergeCell ref="A217:B217"/>
    <mergeCell ref="G217:H220"/>
    <mergeCell ref="A218:B218"/>
    <mergeCell ref="A219:B219"/>
    <mergeCell ref="L215:M215"/>
    <mergeCell ref="A224:B224"/>
    <mergeCell ref="L210:M210"/>
    <mergeCell ref="A225:B225"/>
    <mergeCell ref="A206:B206"/>
    <mergeCell ref="L197:M197"/>
    <mergeCell ref="L181:M181"/>
    <mergeCell ref="A194:B194"/>
    <mergeCell ref="L183:M183"/>
    <mergeCell ref="A195:B195"/>
    <mergeCell ref="L184:M184"/>
    <mergeCell ref="A197:H197"/>
    <mergeCell ref="C198:F198"/>
    <mergeCell ref="G193:H196"/>
    <mergeCell ref="A205:B205"/>
    <mergeCell ref="L191:M191"/>
    <mergeCell ref="L192:M192"/>
    <mergeCell ref="L193:M193"/>
    <mergeCell ref="L194:M194"/>
    <mergeCell ref="L196:M196"/>
    <mergeCell ref="L186:M186"/>
    <mergeCell ref="A199:B199"/>
    <mergeCell ref="L187:M187"/>
    <mergeCell ref="A200:B200"/>
    <mergeCell ref="L205:M205"/>
    <mergeCell ref="A220:B220"/>
    <mergeCell ref="L206:M206"/>
    <mergeCell ref="L230:M230"/>
    <mergeCell ref="L231:M231"/>
    <mergeCell ref="A186:B186"/>
    <mergeCell ref="L172:M172"/>
    <mergeCell ref="A230:B230"/>
    <mergeCell ref="L216:M216"/>
    <mergeCell ref="A191:B191"/>
    <mergeCell ref="L177:M177"/>
    <mergeCell ref="L221:M221"/>
    <mergeCell ref="G227:H230"/>
    <mergeCell ref="G183:H186"/>
    <mergeCell ref="G188:H191"/>
    <mergeCell ref="A196:B196"/>
    <mergeCell ref="L182:M182"/>
    <mergeCell ref="L226:M226"/>
    <mergeCell ref="L222:M222"/>
    <mergeCell ref="L225:M225"/>
    <mergeCell ref="L207:M207"/>
    <mergeCell ref="A222:B222"/>
    <mergeCell ref="G222:H225"/>
    <mergeCell ref="L214:M214"/>
    <mergeCell ref="L228:M228"/>
    <mergeCell ref="A241:H241"/>
    <mergeCell ref="L227:M227"/>
    <mergeCell ref="G237:H240"/>
    <mergeCell ref="A231:H231"/>
    <mergeCell ref="L217:M217"/>
    <mergeCell ref="A232:B232"/>
    <mergeCell ref="L218:M218"/>
    <mergeCell ref="A233:B233"/>
    <mergeCell ref="L219:M219"/>
    <mergeCell ref="A234:B234"/>
    <mergeCell ref="L220:M220"/>
    <mergeCell ref="A237:B237"/>
    <mergeCell ref="A235:B235"/>
    <mergeCell ref="G232:H235"/>
    <mergeCell ref="A229:B229"/>
    <mergeCell ref="A107:B107"/>
    <mergeCell ref="A108:B108"/>
    <mergeCell ref="A245:B245"/>
    <mergeCell ref="A240:B240"/>
    <mergeCell ref="A236:H236"/>
    <mergeCell ref="A168:H168"/>
    <mergeCell ref="A88:B88"/>
    <mergeCell ref="A89:B89"/>
    <mergeCell ref="A90:B90"/>
    <mergeCell ref="A91:B91"/>
    <mergeCell ref="A92:B92"/>
    <mergeCell ref="A93:B93"/>
    <mergeCell ref="A94:B94"/>
    <mergeCell ref="A169:H169"/>
    <mergeCell ref="A181:B181"/>
    <mergeCell ref="A133:H133"/>
    <mergeCell ref="A157:H157"/>
    <mergeCell ref="D131:D132"/>
    <mergeCell ref="E131:E132"/>
    <mergeCell ref="G131:H132"/>
    <mergeCell ref="A165:B165"/>
    <mergeCell ref="A162:B162"/>
    <mergeCell ref="G153:H156"/>
    <mergeCell ref="A161:H161"/>
    <mergeCell ref="A69:B69"/>
    <mergeCell ref="C69:D69"/>
    <mergeCell ref="E69:F69"/>
    <mergeCell ref="G69:H69"/>
    <mergeCell ref="B268:H268"/>
    <mergeCell ref="I60:M60"/>
    <mergeCell ref="B269:H269"/>
    <mergeCell ref="A95:B95"/>
    <mergeCell ref="C95:H95"/>
    <mergeCell ref="A97:B97"/>
    <mergeCell ref="C97:H97"/>
    <mergeCell ref="A98:B98"/>
    <mergeCell ref="E98:F98"/>
    <mergeCell ref="G98:H98"/>
    <mergeCell ref="A99:B99"/>
    <mergeCell ref="E99:F108"/>
    <mergeCell ref="G99:H108"/>
    <mergeCell ref="A100:B100"/>
    <mergeCell ref="A101:B101"/>
    <mergeCell ref="A102:B102"/>
    <mergeCell ref="A103:B103"/>
    <mergeCell ref="A104:B104"/>
    <mergeCell ref="A105:B105"/>
    <mergeCell ref="A106:B106"/>
  </mergeCells>
  <hyperlinks>
    <hyperlink ref="C38" r:id="rId1"/>
  </hyperlinks>
  <printOptions horizontalCentered="1"/>
  <pageMargins left="0.39370078740157499" right="0.39370078740157499" top="0.78740157480314998" bottom="0.78740157480314998" header="0.15748031496063" footer="0.196850393700787"/>
  <pageSetup paperSize="2" fitToHeight="0" orientation="portrait" r:id="rId2"/>
  <headerFooter>
    <oddHeader>&amp;C&amp;G</oddHeader>
    <oddFooter>&amp;L&amp;"Times New Roman,Bold"&amp;12Ref No: &amp;F&amp;C&amp;G&amp;R&amp;"Times New Roman,Bold"&amp;12&amp;P</oddFooter>
  </headerFooter>
  <rowBreaks count="3" manualBreakCount="3">
    <brk id="281" max="7" man="1"/>
    <brk id="324" max="7" man="1"/>
    <brk id="359" max="7"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265625" defaultRowHeight="14.5" x14ac:dyDescent="0.35"/>
  <cols>
    <col min="1" max="1" width="8.7265625" style="2"/>
    <col min="2" max="2" width="22.1796875" style="2" customWidth="1"/>
    <col min="3" max="3" width="37" style="2" customWidth="1"/>
    <col min="4" max="5" width="11.453125" style="2" customWidth="1"/>
    <col min="6" max="6" width="14" style="2" customWidth="1"/>
    <col min="7" max="7" width="20" style="2" customWidth="1"/>
    <col min="8" max="8" width="16.453125" style="2" customWidth="1"/>
    <col min="9" max="16384" width="8.7265625" style="2"/>
  </cols>
  <sheetData>
    <row r="1" spans="1:9" ht="15" customHeight="1" x14ac:dyDescent="0.35">
      <c r="A1" s="1"/>
      <c r="B1" s="1"/>
      <c r="C1" s="1"/>
      <c r="D1" s="1"/>
      <c r="E1" s="1"/>
      <c r="F1" s="1"/>
      <c r="G1" s="1"/>
      <c r="H1" s="1"/>
    </row>
    <row r="2" spans="1:9" ht="15" customHeight="1" x14ac:dyDescent="0.35">
      <c r="A2" s="3"/>
      <c r="B2" s="3"/>
      <c r="C2" s="3"/>
      <c r="D2" s="3"/>
      <c r="E2" s="3"/>
      <c r="F2" s="3"/>
      <c r="G2" s="3"/>
      <c r="H2" s="3"/>
    </row>
    <row r="3" spans="1:9" ht="15.75" customHeight="1" x14ac:dyDescent="0.35">
      <c r="A3" s="3"/>
      <c r="B3" s="199" t="s">
        <v>102</v>
      </c>
      <c r="C3" s="199"/>
      <c r="D3" s="199"/>
      <c r="E3" s="199"/>
      <c r="F3" s="199"/>
      <c r="G3" s="199"/>
      <c r="H3" s="199"/>
    </row>
    <row r="4" spans="1:9" x14ac:dyDescent="0.35">
      <c r="A4" s="3"/>
      <c r="B4" s="4" t="s">
        <v>103</v>
      </c>
      <c r="C4" s="4" t="s">
        <v>104</v>
      </c>
      <c r="D4" s="4" t="s">
        <v>70</v>
      </c>
      <c r="E4" s="4" t="s">
        <v>105</v>
      </c>
      <c r="F4" s="4" t="s">
        <v>111</v>
      </c>
      <c r="G4" s="4" t="s">
        <v>112</v>
      </c>
      <c r="H4" s="4" t="s">
        <v>106</v>
      </c>
    </row>
    <row r="5" spans="1:9" ht="15" customHeight="1" x14ac:dyDescent="0.35">
      <c r="A5" s="3"/>
      <c r="B5" s="6" t="s">
        <v>107</v>
      </c>
      <c r="C5" s="7"/>
      <c r="D5" s="6"/>
      <c r="E5" s="6"/>
      <c r="F5" s="8">
        <f>E5*1.6</f>
        <v>0</v>
      </c>
      <c r="G5" s="8" t="e">
        <f>H5/F5</f>
        <v>#DIV/0!</v>
      </c>
      <c r="H5" s="9"/>
    </row>
    <row r="6" spans="1:9" x14ac:dyDescent="0.35">
      <c r="A6" s="3"/>
      <c r="B6" s="6" t="s">
        <v>107</v>
      </c>
      <c r="C6" s="10"/>
      <c r="D6" s="6"/>
      <c r="E6" s="6"/>
      <c r="F6" s="8">
        <f t="shared" ref="F6:F11" si="0">E6*1.6</f>
        <v>0</v>
      </c>
      <c r="G6" s="8" t="e">
        <f t="shared" ref="G6:G11" si="1">H6/F6</f>
        <v>#DIV/0!</v>
      </c>
      <c r="H6" s="9"/>
    </row>
    <row r="7" spans="1:9" ht="15" customHeight="1" x14ac:dyDescent="0.35">
      <c r="A7" s="3"/>
      <c r="B7" s="6" t="s">
        <v>107</v>
      </c>
      <c r="C7" s="7"/>
      <c r="D7" s="6"/>
      <c r="E7" s="6"/>
      <c r="F7" s="8">
        <f t="shared" si="0"/>
        <v>0</v>
      </c>
      <c r="G7" s="8" t="e">
        <f t="shared" si="1"/>
        <v>#DIV/0!</v>
      </c>
      <c r="H7" s="9"/>
    </row>
    <row r="8" spans="1:9" x14ac:dyDescent="0.35">
      <c r="A8" s="3"/>
      <c r="B8" s="6" t="s">
        <v>107</v>
      </c>
      <c r="C8" s="10"/>
      <c r="D8" s="6"/>
      <c r="E8" s="6"/>
      <c r="F8" s="8">
        <f t="shared" si="0"/>
        <v>0</v>
      </c>
      <c r="G8" s="8" t="e">
        <f t="shared" si="1"/>
        <v>#DIV/0!</v>
      </c>
      <c r="H8" s="9"/>
    </row>
    <row r="9" spans="1:9" ht="15" customHeight="1" x14ac:dyDescent="0.35">
      <c r="A9" s="3"/>
      <c r="B9" s="6" t="s">
        <v>107</v>
      </c>
      <c r="C9" s="10"/>
      <c r="D9" s="6"/>
      <c r="E9" s="6"/>
      <c r="F9" s="8">
        <f t="shared" si="0"/>
        <v>0</v>
      </c>
      <c r="G9" s="8" t="e">
        <f t="shared" si="1"/>
        <v>#DIV/0!</v>
      </c>
      <c r="H9" s="9"/>
    </row>
    <row r="10" spans="1:9" ht="15" customHeight="1" x14ac:dyDescent="0.35">
      <c r="A10" s="3"/>
      <c r="B10" s="6" t="s">
        <v>108</v>
      </c>
      <c r="C10" s="7"/>
      <c r="D10" s="6"/>
      <c r="E10" s="6"/>
      <c r="F10" s="8">
        <f t="shared" si="0"/>
        <v>0</v>
      </c>
      <c r="G10" s="8" t="e">
        <f t="shared" si="1"/>
        <v>#DIV/0!</v>
      </c>
      <c r="H10" s="9"/>
    </row>
    <row r="11" spans="1:9" ht="15" customHeight="1" x14ac:dyDescent="0.35">
      <c r="A11" s="3"/>
      <c r="B11" s="6" t="s">
        <v>108</v>
      </c>
      <c r="C11" s="7"/>
      <c r="D11" s="6"/>
      <c r="E11" s="6"/>
      <c r="F11" s="8">
        <f t="shared" si="0"/>
        <v>0</v>
      </c>
      <c r="G11" s="8" t="e">
        <f t="shared" si="1"/>
        <v>#DIV/0!</v>
      </c>
      <c r="H11" s="9"/>
    </row>
    <row r="12" spans="1:9" ht="15" customHeight="1" x14ac:dyDescent="0.35">
      <c r="A12" s="3"/>
      <c r="B12" s="11" t="s">
        <v>109</v>
      </c>
      <c r="C12" s="6"/>
      <c r="D12" s="6"/>
      <c r="E12" s="6"/>
      <c r="F12" s="6"/>
      <c r="G12" s="12" t="e">
        <f>AVERAGE(G5:G11)</f>
        <v>#DIV/0!</v>
      </c>
      <c r="H12" s="6"/>
    </row>
    <row r="13" spans="1:9" ht="15" customHeight="1" x14ac:dyDescent="0.35">
      <c r="A13" s="1"/>
      <c r="B13" s="11" t="s">
        <v>110</v>
      </c>
      <c r="C13" s="13"/>
      <c r="D13" s="13"/>
      <c r="E13" s="13"/>
      <c r="F13" s="14"/>
      <c r="G13" s="11"/>
      <c r="H13" s="11"/>
      <c r="I13" s="5"/>
    </row>
    <row r="14" spans="1:9" ht="15" customHeight="1" x14ac:dyDescent="0.35">
      <c r="B14" s="1"/>
      <c r="C14" s="1"/>
      <c r="D14" s="1"/>
      <c r="E14" s="1"/>
    </row>
    <row r="15" spans="1:9" ht="15" customHeight="1" x14ac:dyDescent="0.35">
      <c r="B15" s="1"/>
      <c r="C15" s="1"/>
      <c r="D15" s="1"/>
      <c r="E15" s="1"/>
    </row>
    <row r="16" spans="1:9" ht="15" customHeight="1" x14ac:dyDescent="0.35">
      <c r="B16" s="1"/>
      <c r="C16" s="1"/>
      <c r="D16" s="1"/>
      <c r="E16" s="1"/>
    </row>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E24" sqref="E24"/>
    </sheetView>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2025-09-23T10:20:23Z</cp:lastPrinted>
  <dcterms:created xsi:type="dcterms:W3CDTF">2019-07-16T09:29:46Z</dcterms:created>
  <dcterms:modified xsi:type="dcterms:W3CDTF">2025-09-23T10:21:03Z</dcterms:modified>
</cp:coreProperties>
</file>