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Sept 2025\20-09-2025\"/>
    </mc:Choice>
  </mc:AlternateContent>
  <bookViews>
    <workbookView xWindow="0" yWindow="0" windowWidth="19200" windowHeight="6640"/>
  </bookViews>
  <sheets>
    <sheet name="Report" sheetId="1" r:id="rId1"/>
    <sheet name="VALUATION" sheetId="5" r:id="rId2"/>
    <sheet name="Flat detail" sheetId="3" r:id="rId3"/>
    <sheet name="Note" sheetId="4" r:id="rId4"/>
  </sheets>
  <definedNames>
    <definedName name="_xlnm.Print_Area" localSheetId="0">Report!$A$1:$H$396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0" i="1" l="1"/>
  <c r="D241" i="1" l="1"/>
  <c r="F241" i="1" s="1"/>
  <c r="D240" i="1"/>
  <c r="F240" i="1" s="1"/>
  <c r="D239" i="1"/>
  <c r="F239" i="1" s="1"/>
  <c r="G238" i="1"/>
  <c r="D238" i="1"/>
  <c r="F238" i="1" s="1"/>
  <c r="D245" i="1"/>
  <c r="F245" i="1" s="1"/>
  <c r="D244" i="1"/>
  <c r="F244" i="1" s="1"/>
  <c r="G243" i="1"/>
  <c r="D243" i="1"/>
  <c r="F243" i="1" s="1"/>
  <c r="D236" i="1"/>
  <c r="F236" i="1" s="1"/>
  <c r="D235" i="1"/>
  <c r="F235" i="1" s="1"/>
  <c r="D234" i="1"/>
  <c r="F234" i="1" s="1"/>
  <c r="G233" i="1"/>
  <c r="D233" i="1"/>
  <c r="F233" i="1" s="1"/>
  <c r="D231" i="1"/>
  <c r="F231" i="1" s="1"/>
  <c r="D230" i="1"/>
  <c r="F230" i="1" s="1"/>
  <c r="D229" i="1"/>
  <c r="F229" i="1" s="1"/>
  <c r="G228" i="1"/>
  <c r="D228" i="1"/>
  <c r="F228" i="1" s="1"/>
  <c r="D226" i="1"/>
  <c r="F226" i="1" s="1"/>
  <c r="D225" i="1"/>
  <c r="F225" i="1" s="1"/>
  <c r="D224" i="1"/>
  <c r="F224" i="1" s="1"/>
  <c r="D223" i="1"/>
  <c r="F223" i="1" s="1"/>
  <c r="G223" i="1"/>
  <c r="D221" i="1"/>
  <c r="F221" i="1" s="1"/>
  <c r="D220" i="1"/>
  <c r="F220" i="1" s="1"/>
  <c r="D219" i="1"/>
  <c r="F219" i="1" s="1"/>
  <c r="D218" i="1"/>
  <c r="F218" i="1" s="1"/>
  <c r="D215" i="1"/>
  <c r="F215" i="1" s="1"/>
  <c r="D214" i="1"/>
  <c r="F214" i="1" s="1"/>
  <c r="D213" i="1"/>
  <c r="I213" i="1"/>
  <c r="G49" i="1"/>
  <c r="I40" i="1"/>
  <c r="F213" i="1" l="1"/>
  <c r="E3" i="1"/>
  <c r="K248" i="1" l="1"/>
  <c r="K250" i="1"/>
  <c r="K252" i="1"/>
  <c r="D164" i="1" l="1"/>
  <c r="F164" i="1" s="1"/>
  <c r="K164" i="1" s="1"/>
  <c r="D159" i="1"/>
  <c r="F159" i="1" s="1"/>
  <c r="K159" i="1" s="1"/>
  <c r="D204" i="1"/>
  <c r="F204" i="1" s="1"/>
  <c r="K204" i="1" s="1"/>
  <c r="D201" i="1"/>
  <c r="F201" i="1" s="1"/>
  <c r="K201" i="1" s="1"/>
  <c r="D199" i="1"/>
  <c r="F199" i="1" s="1"/>
  <c r="K199" i="1" s="1"/>
  <c r="D196" i="1"/>
  <c r="F196" i="1" s="1"/>
  <c r="K196" i="1" s="1"/>
  <c r="G48" i="1" l="1"/>
  <c r="C48" i="1"/>
  <c r="D253" i="1" l="1"/>
  <c r="F253" i="1" s="1"/>
  <c r="K253" i="1" s="1"/>
  <c r="D251" i="1"/>
  <c r="F251" i="1" s="1"/>
  <c r="K251" i="1" s="1"/>
  <c r="D249" i="1"/>
  <c r="F249" i="1" s="1"/>
  <c r="K249" i="1" s="1"/>
  <c r="G253" i="1"/>
  <c r="G251" i="1"/>
  <c r="G249" i="1"/>
  <c r="D208" i="1" l="1"/>
  <c r="F208" i="1" s="1"/>
  <c r="K208" i="1" s="1"/>
  <c r="D207" i="1"/>
  <c r="F207" i="1" s="1"/>
  <c r="K207" i="1" s="1"/>
  <c r="G206" i="1"/>
  <c r="D203" i="1"/>
  <c r="F203" i="1" s="1"/>
  <c r="K203" i="1" s="1"/>
  <c r="D202" i="1"/>
  <c r="F202" i="1" s="1"/>
  <c r="K202" i="1" s="1"/>
  <c r="G201" i="1"/>
  <c r="D198" i="1"/>
  <c r="F198" i="1" s="1"/>
  <c r="K198" i="1" s="1"/>
  <c r="D197" i="1"/>
  <c r="F197" i="1" s="1"/>
  <c r="K197" i="1" s="1"/>
  <c r="G196" i="1"/>
  <c r="D194" i="1"/>
  <c r="F194" i="1" s="1"/>
  <c r="K194" i="1" s="1"/>
  <c r="D193" i="1"/>
  <c r="F193" i="1" s="1"/>
  <c r="K193" i="1" s="1"/>
  <c r="D192" i="1"/>
  <c r="F192" i="1" s="1"/>
  <c r="K192" i="1" s="1"/>
  <c r="G191" i="1"/>
  <c r="D191" i="1"/>
  <c r="F191" i="1" s="1"/>
  <c r="K191" i="1" s="1"/>
  <c r="D188" i="1"/>
  <c r="F188" i="1" s="1"/>
  <c r="K188" i="1" s="1"/>
  <c r="D189" i="1"/>
  <c r="F189" i="1" s="1"/>
  <c r="K189" i="1" s="1"/>
  <c r="D187" i="1"/>
  <c r="F187" i="1" s="1"/>
  <c r="K187" i="1" s="1"/>
  <c r="D186" i="1"/>
  <c r="F186" i="1" s="1"/>
  <c r="K186" i="1" s="1"/>
  <c r="G186" i="1"/>
  <c r="D184" i="1"/>
  <c r="K184" i="1" s="1"/>
  <c r="D183" i="1"/>
  <c r="K183" i="1" s="1"/>
  <c r="D182" i="1"/>
  <c r="K182" i="1" s="1"/>
  <c r="D181" i="1"/>
  <c r="K181" i="1" s="1"/>
  <c r="D216" i="1"/>
  <c r="D179" i="1"/>
  <c r="K179" i="1" s="1"/>
  <c r="D178" i="1"/>
  <c r="K178" i="1" s="1"/>
  <c r="D177" i="1"/>
  <c r="K177" i="1" s="1"/>
  <c r="D176" i="1"/>
  <c r="K176" i="1" s="1"/>
  <c r="D171" i="1"/>
  <c r="F171" i="1" s="1"/>
  <c r="K171" i="1" s="1"/>
  <c r="D172" i="1"/>
  <c r="F172" i="1" s="1"/>
  <c r="K172" i="1" s="1"/>
  <c r="D170" i="1"/>
  <c r="F170" i="1" s="1"/>
  <c r="K170" i="1" s="1"/>
  <c r="G169" i="1"/>
  <c r="D167" i="1"/>
  <c r="F167" i="1" s="1"/>
  <c r="K167" i="1" s="1"/>
  <c r="D165" i="1"/>
  <c r="F165" i="1" s="1"/>
  <c r="K165" i="1" s="1"/>
  <c r="G164" i="1"/>
  <c r="D162" i="1"/>
  <c r="F162" i="1" s="1"/>
  <c r="K162" i="1" s="1"/>
  <c r="D161" i="1"/>
  <c r="F161" i="1" s="1"/>
  <c r="K161" i="1" s="1"/>
  <c r="D157" i="1"/>
  <c r="F157" i="1" s="1"/>
  <c r="K157" i="1" s="1"/>
  <c r="D152" i="1"/>
  <c r="F152" i="1" s="1"/>
  <c r="K152" i="1" s="1"/>
  <c r="D160" i="1"/>
  <c r="F160" i="1" s="1"/>
  <c r="K160" i="1" s="1"/>
  <c r="D155" i="1"/>
  <c r="F155" i="1" s="1"/>
  <c r="K155" i="1" s="1"/>
  <c r="C127" i="1" l="1"/>
  <c r="F216" i="1"/>
  <c r="F127" i="1" s="1"/>
  <c r="D127" i="1"/>
  <c r="D126" i="1"/>
  <c r="F126" i="1"/>
  <c r="C126" i="1"/>
  <c r="G159" i="1"/>
  <c r="D156" i="1"/>
  <c r="F156" i="1" s="1"/>
  <c r="K156" i="1" s="1"/>
  <c r="D154" i="1"/>
  <c r="F154" i="1" s="1"/>
  <c r="K154" i="1" s="1"/>
  <c r="G154" i="1"/>
  <c r="D150" i="1"/>
  <c r="F150" i="1" s="1"/>
  <c r="K150" i="1" s="1"/>
  <c r="D149" i="1"/>
  <c r="F149" i="1" s="1"/>
  <c r="K149" i="1" s="1"/>
  <c r="D147" i="1"/>
  <c r="K147" i="1" s="1"/>
  <c r="D146" i="1"/>
  <c r="K146" i="1" s="1"/>
  <c r="D145" i="1"/>
  <c r="K145" i="1" s="1"/>
  <c r="G144" i="1"/>
  <c r="D144" i="1"/>
  <c r="K144" i="1" s="1"/>
  <c r="D139" i="1"/>
  <c r="D142" i="1"/>
  <c r="K142" i="1" s="1"/>
  <c r="D141" i="1"/>
  <c r="K141" i="1" s="1"/>
  <c r="D140" i="1"/>
  <c r="K140" i="1" s="1"/>
  <c r="K139" i="1" l="1"/>
  <c r="D125" i="1"/>
  <c r="C125" i="1"/>
  <c r="F125" i="1"/>
  <c r="C65" i="1"/>
  <c r="H64" i="1"/>
  <c r="H79" i="1"/>
  <c r="H94" i="1"/>
  <c r="D106" i="1" l="1"/>
  <c r="D104" i="1"/>
  <c r="D102" i="1"/>
  <c r="K99" i="1"/>
  <c r="K102" i="1"/>
  <c r="K105" i="1"/>
  <c r="C98" i="1" s="1"/>
  <c r="D98" i="1" s="1"/>
  <c r="K103" i="1"/>
  <c r="D101" i="1"/>
  <c r="D99" i="1"/>
  <c r="D105" i="1"/>
  <c r="D103" i="1"/>
  <c r="K100" i="1"/>
  <c r="C97" i="1" s="1"/>
  <c r="D97" i="1" s="1"/>
  <c r="K104" i="1"/>
  <c r="D100" i="1"/>
  <c r="D92" i="1"/>
  <c r="D90" i="1"/>
  <c r="D88" i="1"/>
  <c r="K85" i="1"/>
  <c r="K91" i="1"/>
  <c r="C84" i="1" s="1"/>
  <c r="D84" i="1" s="1"/>
  <c r="K89" i="1"/>
  <c r="D87" i="1"/>
  <c r="D85" i="1"/>
  <c r="D91" i="1"/>
  <c r="D89" i="1"/>
  <c r="K86" i="1"/>
  <c r="C83" i="1" s="1"/>
  <c r="D83" i="1" s="1"/>
  <c r="K90" i="1"/>
  <c r="K88" i="1"/>
  <c r="D86" i="1"/>
  <c r="D77" i="1"/>
  <c r="D75" i="1"/>
  <c r="D73" i="1"/>
  <c r="K70" i="1"/>
  <c r="K76" i="1"/>
  <c r="C69" i="1" s="1"/>
  <c r="D69" i="1" s="1"/>
  <c r="K74" i="1"/>
  <c r="D72" i="1"/>
  <c r="D70" i="1"/>
  <c r="K73" i="1"/>
  <c r="D76" i="1"/>
  <c r="D74" i="1"/>
  <c r="K71" i="1"/>
  <c r="C68" i="1" s="1"/>
  <c r="D68" i="1" s="1"/>
  <c r="K75" i="1"/>
  <c r="D71" i="1"/>
  <c r="G97" i="1" l="1"/>
  <c r="I93" i="1"/>
  <c r="C95" i="1" s="1"/>
  <c r="E97" i="1" s="1"/>
  <c r="G83" i="1"/>
  <c r="I78" i="1"/>
  <c r="E83" i="1" s="1"/>
  <c r="G68" i="1"/>
  <c r="I63" i="1"/>
  <c r="E68" i="1" s="1"/>
  <c r="I141" i="1" l="1"/>
  <c r="I140" i="1"/>
  <c r="I142" i="1"/>
  <c r="I139" i="1"/>
  <c r="I219" i="1" l="1"/>
  <c r="I181" i="1" l="1"/>
  <c r="F10" i="5" l="1"/>
  <c r="G9" i="5"/>
  <c r="G8" i="5"/>
  <c r="G7" i="5"/>
  <c r="G6" i="5"/>
  <c r="G5" i="5"/>
  <c r="G218" i="1"/>
  <c r="G213" i="1"/>
  <c r="G181" i="1"/>
  <c r="G176" i="1"/>
  <c r="G149" i="1"/>
  <c r="G139" i="1"/>
  <c r="G134" i="1"/>
  <c r="F124" i="1"/>
  <c r="F128" i="1" s="1"/>
  <c r="G10" i="5" l="1"/>
  <c r="C14" i="1"/>
  <c r="E7" i="1" l="1"/>
  <c r="E41" i="1" l="1"/>
  <c r="D268" i="1" l="1"/>
  <c r="F121" i="1"/>
  <c r="E42" i="1"/>
  <c r="D55"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134" i="1" s="1"/>
  <c r="E34" i="3"/>
  <c r="I34" i="3"/>
  <c r="H34" i="3" s="1"/>
  <c r="D34" i="3" l="1"/>
  <c r="D36" i="3" s="1"/>
  <c r="D134" i="1" s="1"/>
  <c r="D124" i="1" s="1"/>
  <c r="D128" i="1" s="1"/>
  <c r="E36" i="3"/>
  <c r="K134" i="1" l="1"/>
  <c r="I134" i="1"/>
  <c r="C124" i="1"/>
  <c r="C128" i="1" s="1"/>
</calcChain>
</file>

<file path=xl/sharedStrings.xml><?xml version="1.0" encoding="utf-8"?>
<sst xmlns="http://schemas.openxmlformats.org/spreadsheetml/2006/main" count="526" uniqueCount="284">
  <si>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</si>
  <si>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</si>
  <si>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</si>
  <si>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</si>
  <si>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</si>
  <si>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</si>
  <si>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</si>
  <si>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</si>
  <si>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</si>
  <si>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</si>
  <si>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</si>
  <si>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</si>
  <si>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</si>
  <si>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</si>
  <si>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</si>
  <si>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</si>
  <si>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</si>
  <si>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</si>
  <si>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</si>
  <si>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</si>
  <si>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</si>
  <si>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</si>
  <si>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</si>
  <si>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</si>
  <si>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</si>
  <si>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</si>
  <si>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</si>
  <si>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</si>
  <si>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</si>
  <si>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</si>
  <si>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</si>
  <si>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</si>
  <si>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</si>
  <si>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</si>
  <si>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</si>
  <si>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</si>
  <si>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</si>
  <si>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</si>
  <si>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</si>
  <si>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</si>
  <si>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</si>
  <si>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</si>
  <si>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</si>
  <si>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</si>
  <si>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</si>
  <si>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</si>
  <si>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</si>
  <si>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</si>
  <si>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</si>
  <si>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</si>
  <si>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</si>
  <si>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</si>
  <si>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</si>
  <si>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</si>
  <si>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</si>
  <si>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</si>
  <si>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</si>
  <si>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</si>
  <si>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</si>
  <si>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</si>
  <si>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</si>
  <si>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</si>
  <si>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</si>
  <si>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</si>
  <si>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</si>
  <si>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</si>
  <si>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</si>
  <si>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</si>
  <si>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</si>
  <si>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</si>
  <si>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</si>
  <si>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</si>
  <si>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</si>
  <si>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</si>
  <si>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</si>
  <si>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</si>
  <si>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</si>
  <si>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</si>
  <si>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</si>
  <si>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</si>
  <si>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</si>
  <si>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</si>
  <si>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</si>
  <si>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</si>
  <si>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</si>
  <si>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</si>
  <si>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</si>
  <si>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</si>
  <si>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</si>
  <si>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</si>
  <si>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</si>
  <si>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</si>
  <si>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</si>
  <si>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</si>
  <si>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</si>
  <si>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</si>
  <si>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</si>
  <si>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</si>
  <si>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</si>
  <si>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</si>
  <si>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</si>
  <si>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</si>
  <si>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</si>
  <si>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</si>
  <si>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</si>
  <si>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</si>
  <si>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</si>
  <si>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</si>
  <si>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</si>
  <si>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</si>
  <si>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</si>
  <si>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</si>
  <si>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</si>
  <si>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</si>
  <si>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</si>
  <si>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</si>
  <si>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</si>
  <si>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</si>
  <si>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</si>
  <si>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</si>
  <si>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</si>
  <si>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</si>
  <si>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</si>
  <si>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</si>
  <si>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</si>
  <si>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</si>
  <si>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</si>
  <si>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</si>
  <si>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</si>
  <si>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</si>
  <si>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</si>
  <si>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</si>
  <si>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Legal Services Charges</t>
  </si>
  <si>
    <t>Gas Connection Charges</t>
  </si>
  <si>
    <t>Water, Electricity, Drainages, Sewerage Connection</t>
  </si>
  <si>
    <t>Advance Maintenance Charges</t>
  </si>
  <si>
    <t>Excavation in process</t>
  </si>
  <si>
    <t>Excavation Completed</t>
  </si>
  <si>
    <t>Footing in Process</t>
  </si>
  <si>
    <t>Footing Completed</t>
  </si>
  <si>
    <t>Plinth in process</t>
  </si>
  <si>
    <t>Plinth completed</t>
  </si>
  <si>
    <t>All work Completed. Wait For OC.</t>
  </si>
  <si>
    <t>All work Completed. OC Received.</t>
  </si>
  <si>
    <t>Approved Plans, CC, Sale Plans, Builder Saleable Area, Cost Sheet</t>
  </si>
  <si>
    <t>NA
Approved upto : NA</t>
  </si>
  <si>
    <t>Report By :</t>
  </si>
  <si>
    <t>Axis Sanpada</t>
  </si>
  <si>
    <t>M/s.Gargi Builder and Developers</t>
  </si>
  <si>
    <t>Gargi Hills</t>
  </si>
  <si>
    <t>9765388488/9607388488</t>
  </si>
  <si>
    <t>P99000018173</t>
  </si>
  <si>
    <t>21/6/A</t>
  </si>
  <si>
    <t>Waliv</t>
  </si>
  <si>
    <t>Palghar</t>
  </si>
  <si>
    <t>Vasai</t>
  </si>
  <si>
    <t>Village</t>
  </si>
  <si>
    <t>Middle Class</t>
  </si>
  <si>
    <t>Developing</t>
  </si>
  <si>
    <t xml:space="preserve">Cement, Aggregate, Steel, etc </t>
  </si>
  <si>
    <t>Building No.1</t>
  </si>
  <si>
    <t>Ground Floor &amp; 1st Floor</t>
  </si>
  <si>
    <t>Building No.2</t>
  </si>
  <si>
    <t>A Wing</t>
  </si>
  <si>
    <t>Ground Floor for Parking</t>
  </si>
  <si>
    <t>1st to 4th, 6th &amp; 7th Floor</t>
  </si>
  <si>
    <t>101,…401,601 &amp; 701</t>
  </si>
  <si>
    <t>102,…402,602 &amp; 702</t>
  </si>
  <si>
    <t>103,…403,603 &amp; 703</t>
  </si>
  <si>
    <t>104,…404,604 &amp; 704</t>
  </si>
  <si>
    <t>1BHK</t>
  </si>
  <si>
    <t>2BHK</t>
  </si>
  <si>
    <t>B Wing</t>
  </si>
  <si>
    <t>C Wing</t>
  </si>
  <si>
    <t>5th Floor</t>
  </si>
  <si>
    <t>Refuge Area</t>
  </si>
  <si>
    <t>Wheather the construction is as per approved Building plan : Under Construction</t>
  </si>
  <si>
    <t>Building No.2 - A Wing</t>
  </si>
  <si>
    <t>Building No.2 - B Wing</t>
  </si>
  <si>
    <t>Building No.2 - C Wing</t>
  </si>
  <si>
    <t>Waliv Road</t>
  </si>
  <si>
    <t>Open Space</t>
  </si>
  <si>
    <t>Building</t>
  </si>
  <si>
    <t>Om Shiv Shakti Complex</t>
  </si>
  <si>
    <t>Vasai Road</t>
  </si>
  <si>
    <t>Survey No</t>
  </si>
  <si>
    <t>Market Research Data</t>
  </si>
  <si>
    <t>Source</t>
  </si>
  <si>
    <t>Distance from proposed property</t>
  </si>
  <si>
    <t>Net Carpet</t>
  </si>
  <si>
    <t>Saleable Area</t>
  </si>
  <si>
    <t>Rate on Saleable</t>
  </si>
  <si>
    <t>Market Value</t>
  </si>
  <si>
    <t>Average</t>
  </si>
  <si>
    <t xml:space="preserve">Valuation Adopted </t>
  </si>
  <si>
    <t>proptiger.</t>
  </si>
  <si>
    <t>addressofchoice</t>
  </si>
  <si>
    <t>3brick</t>
  </si>
  <si>
    <t>Society &amp; Development Charges</t>
  </si>
  <si>
    <t>Flat/Shop No.
As per Sale Plan</t>
  </si>
  <si>
    <t xml:space="preserve"> </t>
  </si>
  <si>
    <t>Building 1</t>
  </si>
  <si>
    <t>Bed3</t>
  </si>
  <si>
    <t>Bal 1</t>
  </si>
  <si>
    <t>Bal 2</t>
  </si>
  <si>
    <t>Bal 3</t>
  </si>
  <si>
    <t>Bal 4</t>
  </si>
  <si>
    <t xml:space="preserve">VVCMC/TP/CC/VP-5978/58/2018-19
</t>
  </si>
  <si>
    <t>VVCMC/TP/CC/VP-5978/59/2018-19</t>
  </si>
  <si>
    <t xml:space="preserve">11/06/2018.
</t>
  </si>
  <si>
    <t>Commencement Certificate No.
Building No.2</t>
  </si>
  <si>
    <t>3BHK
(Bungalow)</t>
  </si>
  <si>
    <t>Recommended rate of the Bungalow Per Sq. Ft.(on Saleable area)</t>
  </si>
  <si>
    <t>Approved Floor plan No: Building No.2</t>
  </si>
  <si>
    <t xml:space="preserve">Approved Floor plan No : Building No.1  </t>
  </si>
  <si>
    <t>Construction details:</t>
  </si>
  <si>
    <t>All work Completed. Provide OC.</t>
  </si>
  <si>
    <t>Slab/Floor</t>
  </si>
  <si>
    <t>Excavation</t>
  </si>
  <si>
    <t>RCC</t>
  </si>
  <si>
    <t>Brickwork</t>
  </si>
  <si>
    <t>Brickwork &amp; Internal Plaster</t>
  </si>
  <si>
    <t>Internal Plaster</t>
  </si>
  <si>
    <t>Ext. Plaster &amp; Plumbing</t>
  </si>
  <si>
    <t>External Plaster &amp; Plumbing</t>
  </si>
  <si>
    <t>Flooring &amp; Fitting</t>
  </si>
  <si>
    <t>Painting &amp; Wooden</t>
  </si>
  <si>
    <t>Building Common Amenities</t>
  </si>
  <si>
    <t>Possession</t>
  </si>
  <si>
    <t>Building No.1 = Gr + 1st Floor</t>
  </si>
  <si>
    <t>Valid Up to: Building No.2(Wing A,B&amp; C) - Gr. + 1st to 7th Floor</t>
  </si>
  <si>
    <t xml:space="preserve">Commencement Certificate No.
</t>
  </si>
  <si>
    <t>Saleable area</t>
  </si>
  <si>
    <t>8th Floor (Part Refuge Area)</t>
  </si>
  <si>
    <t>9th &amp; 10th Floor</t>
  </si>
  <si>
    <t>901 &amp; 1001</t>
  </si>
  <si>
    <t>902 &amp; 1002</t>
  </si>
  <si>
    <t>903 &amp; 1003</t>
  </si>
  <si>
    <t>904 &amp; 1004</t>
  </si>
  <si>
    <t>11th Floor</t>
  </si>
  <si>
    <t>2BHK Duplex with 12th Floor</t>
  </si>
  <si>
    <t>13th Floor</t>
  </si>
  <si>
    <t>13th Floor (Part Refuge Area)</t>
  </si>
  <si>
    <t>12th &amp; 14th Floor</t>
  </si>
  <si>
    <t>1201 &amp; 1401</t>
  </si>
  <si>
    <t>1202 &amp; 1402</t>
  </si>
  <si>
    <t>1203 &amp; 1403</t>
  </si>
  <si>
    <t>1204 &amp; 1404</t>
  </si>
  <si>
    <t>8th Floor</t>
  </si>
  <si>
    <t>9th to 10th Floor</t>
  </si>
  <si>
    <t>2BHK Duplex with 11th &amp; 13th Floor</t>
  </si>
  <si>
    <t xml:space="preserve">Building No.3 </t>
  </si>
  <si>
    <t>Shop</t>
  </si>
  <si>
    <t xml:space="preserve">Ground Floor </t>
  </si>
  <si>
    <t>Office</t>
  </si>
  <si>
    <t>1st to 3th Floor</t>
  </si>
  <si>
    <t>4th Floor</t>
  </si>
  <si>
    <t xml:space="preserve">11/06/2018
</t>
  </si>
  <si>
    <t>2BHK Duplex with 14th Floor</t>
  </si>
  <si>
    <t>1st to 4th, 6th &amp; 7th Floor for Residential</t>
  </si>
  <si>
    <t xml:space="preserve">Bldg No. 1 - Residential Bunglow
Bldg No. 2 (Gargi Classic) - A, B &amp; C Wing
</t>
  </si>
  <si>
    <t>4 Buildings</t>
  </si>
  <si>
    <t>6.6 Km from Vasai Road Railway Station</t>
  </si>
  <si>
    <t>Residential</t>
  </si>
  <si>
    <t>Building No.2 (Wing A &amp; B) = Gr + 1st to 14th Floor</t>
  </si>
  <si>
    <t>Location Link</t>
  </si>
  <si>
    <t>https://goo.gl/maps/RX7wbZoUmnxJA3LL9</t>
  </si>
  <si>
    <t>Office No. 1031, Wing J, Akshar Business Park, Plot No. 03 Sector 25, Near APMC Market, Vashi, Navi Mumbai, Maharashtra 400703 TEL: 022-46090378/79/80                                                                                                                                              E mail : vsjcapf@gmail.com. Web site : www.vsjadon.com</t>
  </si>
  <si>
    <t>VVCMC/TP/AMEND/VP/5978/216/2022-23</t>
  </si>
  <si>
    <t>Valid Up to: Building No.1 = Gr. + 1st Floor
                  Building No.2 = Wing A to C = Stilt + 1st to 14th Floor</t>
  </si>
  <si>
    <t>Building No.1 : Gr. + 1st Floor
Building No.2 : Wing A to C = Gr. + 1st to 14th Floor</t>
  </si>
  <si>
    <t>Building No.1 : Gr. + 1st Floor
Building No.2 : (Wing A, B &amp; C) = Gr. + 1st to 14th Floor</t>
  </si>
  <si>
    <t>1.5BHK</t>
  </si>
  <si>
    <t>Flats - 159</t>
  </si>
  <si>
    <t>VVCMC/TP/RDP/VP-5978/215/2022-23</t>
  </si>
  <si>
    <t>Layout :</t>
  </si>
  <si>
    <t>Building No.2(Wing C) = Gr + 1st to 14th Floor</t>
  </si>
  <si>
    <t>Navnath Bhatkar</t>
  </si>
  <si>
    <t>Site Person - Contact Details ( Name &amp; Contact No.)</t>
  </si>
  <si>
    <t>As per RERA -  30/06/2026</t>
  </si>
  <si>
    <t>Pooja</t>
  </si>
  <si>
    <t>Mr. Chetan : 9765388488</t>
  </si>
  <si>
    <t>rate 5600 by akash verbal on 24/09/2025</t>
  </si>
  <si>
    <t>1. Bldg No.1 (Bunglow) &amp;  Bldg No.2 (A &amp; B Wing) - All work completed. Please povide OC.
    Bldg No.2 (C Wing) - Construction work is in process.
2. We considered  Saleable area  as per  Builder area sheet.
3. We considered Carpet area as per Approved Plan.
4. We considered Gross carpet area = Net carpet + Enclose balcony + A.F Area.
5. We have considered rate by verifying it from market inquire.
6. Car parking is subjected to authentic documentation.
7. We have considered Other charges from cost sheet.
8. Recommended rate should be considered as all inclusive rate if other charges are not mentioned. (Excluding GST &amp; other government Taxes).
9. We have updated revised approved floor plan &amp; C.C of Building No. 2 Wing A, B &amp; C (on 09/03/2022).
10. We have updated latest approved floor plans &amp; CC for Building No. 2 Wing C (On 04/10/2023).
11. Recommended Rates of the Property have been revised on 24/09/2025.
9. On Site, we meet Mr. Pradnesh Patil : 9705588488.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</si>
</sst>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u/>
      <sz val="11"/>
      <color theme="10"/>
      <name val="Calibri"/>
      <family val="2"/>
    </font>
    <font>
      <sz val="11"/>
      <name val="Calibri"/>
      <family val="2"/>
    </font>
    <font>
      <sz val="11"/>
      <color rgb="FFFF0000"/>
      <name val="Calibri"/>
      <family val="2"/>
    </font>
    <font>
      <sz val="12"/>
      <color theme="4"/>
      <name val="Times New Roman"/>
      <family val="1"/>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3" fillId="0" borderId="0"/>
    <xf numFmtId="0" fontId="5" fillId="0" borderId="0"/>
    <xf numFmtId="0" fontId="2" fillId="0" borderId="0"/>
    <xf numFmtId="0" fontId="5" fillId="0" borderId="0"/>
    <xf numFmtId="0" fontId="1" fillId="0" borderId="0"/>
    <xf numFmtId="0" fontId="19" fillId="0" borderId="0" applyNumberFormat="0" applyFill="0" applyBorder="0" applyAlignment="0" applyProtection="0"/>
    <xf numFmtId="165" fontId="5" fillId="0" borderId="0" applyFont="0" applyFill="0" applyBorder="0" applyAlignment="0" applyProtection="0"/>
    <xf numFmtId="43" fontId="23" fillId="0" borderId="0" applyFont="0" applyFill="0" applyBorder="0" applyAlignment="0" applyProtection="0"/>
  </cellStyleXfs>
  <cellXfs count="216">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applyAlignment="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4" fillId="0" borderId="1" xfId="1" applyNumberFormat="1" applyFont="1" applyFill="1" applyBorder="1" applyAlignment="1" applyProtection="1">
      <alignment horizontal="center" vertical="top" wrapText="1"/>
      <protection locked="0"/>
    </xf>
    <xf numFmtId="0" fontId="8" fillId="0" borderId="0" xfId="1" applyFont="1" applyBorder="1" applyAlignment="1" applyProtection="1">
      <alignment vertical="top"/>
      <protection locked="0"/>
    </xf>
    <xf numFmtId="0" fontId="8" fillId="0" borderId="0" xfId="1" applyFont="1" applyBorder="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top" wrapText="1"/>
      <protection locked="0"/>
    </xf>
    <xf numFmtId="0" fontId="7" fillId="0" borderId="12" xfId="1" applyFont="1" applyBorder="1" applyProtection="1">
      <protection hidden="1"/>
    </xf>
    <xf numFmtId="0" fontId="7" fillId="0" borderId="13" xfId="1" applyFont="1" applyBorder="1" applyProtection="1">
      <protection hidden="1"/>
    </xf>
    <xf numFmtId="0" fontId="7" fillId="0" borderId="0" xfId="1" applyFont="1" applyBorder="1" applyProtection="1">
      <protection hidden="1"/>
    </xf>
    <xf numFmtId="0" fontId="7" fillId="0" borderId="14" xfId="1" applyFont="1" applyBorder="1" applyProtection="1">
      <protection hidden="1"/>
    </xf>
    <xf numFmtId="0" fontId="7" fillId="0" borderId="0" xfId="1" applyFont="1" applyBorder="1"/>
    <xf numFmtId="0" fontId="7" fillId="0" borderId="14" xfId="1" applyFont="1" applyBorder="1"/>
    <xf numFmtId="9" fontId="17" fillId="0" borderId="0" xfId="0" applyNumberFormat="1" applyFont="1" applyBorder="1" applyProtection="1">
      <protection hidden="1"/>
    </xf>
    <xf numFmtId="1" fontId="6" fillId="0" borderId="1" xfId="1" applyNumberFormat="1" applyFont="1" applyFill="1" applyBorder="1" applyAlignment="1" applyProtection="1">
      <alignment horizontal="center" vertical="center" wrapText="1"/>
      <protection locked="0"/>
    </xf>
    <xf numFmtId="0" fontId="12" fillId="2" borderId="1" xfId="1" applyFont="1" applyFill="1" applyBorder="1" applyAlignment="1" applyProtection="1">
      <alignment horizontal="left" vertical="top"/>
      <protection locked="0"/>
    </xf>
    <xf numFmtId="1" fontId="6" fillId="0" borderId="1" xfId="1" applyNumberFormat="1" applyFont="1" applyFill="1" applyBorder="1" applyAlignment="1" applyProtection="1">
      <alignment horizontal="center" vertical="center" wrapText="1"/>
      <protection locked="0"/>
    </xf>
    <xf numFmtId="0" fontId="12" fillId="2" borderId="1" xfId="1" applyFont="1" applyFill="1" applyBorder="1" applyAlignment="1" applyProtection="1">
      <alignment horizontal="left" vertical="top"/>
      <protection locked="0"/>
    </xf>
    <xf numFmtId="0" fontId="13" fillId="2" borderId="1" xfId="1" applyFont="1" applyFill="1" applyBorder="1" applyAlignment="1" applyProtection="1">
      <alignment horizontal="left" vertical="top"/>
      <protection locked="0"/>
    </xf>
    <xf numFmtId="0" fontId="12" fillId="0" borderId="6" xfId="1" applyFont="1" applyFill="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1" fontId="12" fillId="0" borderId="1" xfId="1" applyNumberFormat="1" applyFont="1" applyBorder="1" applyAlignment="1" applyProtection="1">
      <alignment horizontal="center" wrapText="1"/>
      <protection locked="0"/>
    </xf>
    <xf numFmtId="0" fontId="5" fillId="0" borderId="0" xfId="4" applyFont="1"/>
    <xf numFmtId="0" fontId="5" fillId="0" borderId="0" xfId="4"/>
    <xf numFmtId="0" fontId="1" fillId="0" borderId="0" xfId="5"/>
    <xf numFmtId="0" fontId="9" fillId="0" borderId="1" xfId="5" applyFont="1" applyBorder="1" applyAlignment="1">
      <alignment horizontal="left"/>
    </xf>
    <xf numFmtId="0" fontId="9" fillId="0" borderId="1" xfId="5" applyFont="1" applyBorder="1" applyAlignment="1">
      <alignment horizontal="center" vertical="top" wrapText="1"/>
    </xf>
    <xf numFmtId="0" fontId="20" fillId="0" borderId="1" xfId="6" applyFont="1" applyBorder="1" applyAlignment="1">
      <alignment horizontal="center" vertical="top" wrapText="1"/>
    </xf>
    <xf numFmtId="0" fontId="1" fillId="0" borderId="1" xfId="5" applyFont="1" applyBorder="1" applyAlignment="1">
      <alignment horizontal="left" vertical="center"/>
    </xf>
    <xf numFmtId="0" fontId="1" fillId="0" borderId="1" xfId="5" applyFont="1" applyBorder="1" applyAlignment="1">
      <alignment horizontal="center" vertical="center"/>
    </xf>
    <xf numFmtId="1" fontId="1" fillId="0" borderId="1" xfId="5" applyNumberFormat="1" applyFont="1" applyBorder="1" applyAlignment="1">
      <alignment horizontal="center" vertical="center"/>
    </xf>
    <xf numFmtId="1" fontId="1" fillId="0" borderId="1" xfId="5" applyNumberFormat="1" applyBorder="1" applyAlignment="1">
      <alignment horizontal="center" vertical="center"/>
    </xf>
    <xf numFmtId="166" fontId="1" fillId="0" borderId="1" xfId="7" applyNumberFormat="1" applyFont="1" applyBorder="1" applyAlignment="1">
      <alignment horizontal="right" vertical="center"/>
    </xf>
    <xf numFmtId="43" fontId="5" fillId="0" borderId="0" xfId="4" applyNumberFormat="1"/>
    <xf numFmtId="0" fontId="9" fillId="0" borderId="1" xfId="5" applyFont="1" applyBorder="1" applyAlignment="1">
      <alignment horizontal="center" vertical="center"/>
    </xf>
    <xf numFmtId="0" fontId="1" fillId="0" borderId="1" xfId="5" applyBorder="1" applyAlignment="1">
      <alignment horizontal="center" vertical="center"/>
    </xf>
    <xf numFmtId="1" fontId="18" fillId="0" borderId="1" xfId="5" applyNumberFormat="1" applyFont="1" applyBorder="1" applyAlignment="1">
      <alignment horizontal="center" vertical="center"/>
    </xf>
    <xf numFmtId="0" fontId="5" fillId="0" borderId="1" xfId="4" applyFont="1" applyBorder="1" applyAlignment="1">
      <alignment horizontal="center" vertical="center"/>
    </xf>
    <xf numFmtId="0" fontId="21" fillId="0" borderId="0" xfId="4" applyFont="1"/>
    <xf numFmtId="1" fontId="5" fillId="0" borderId="0" xfId="4" applyNumberFormat="1"/>
    <xf numFmtId="0" fontId="5" fillId="0" borderId="0" xfId="4" applyAlignment="1">
      <alignment wrapText="1"/>
    </xf>
    <xf numFmtId="1" fontId="7" fillId="0" borderId="0" xfId="1" applyNumberFormat="1" applyFont="1" applyAlignment="1">
      <alignment horizontal="center" vertical="center"/>
    </xf>
    <xf numFmtId="0" fontId="12" fillId="0" borderId="1" xfId="1" applyFont="1" applyFill="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0" fontId="12" fillId="0" borderId="1" xfId="1" applyFont="1" applyFill="1" applyBorder="1" applyAlignment="1" applyProtection="1">
      <alignment horizontal="center" vertical="top"/>
      <protection locked="0"/>
    </xf>
    <xf numFmtId="0" fontId="7" fillId="0" borderId="12" xfId="1" applyFont="1" applyFill="1" applyBorder="1" applyProtection="1">
      <protection hidden="1"/>
    </xf>
    <xf numFmtId="0" fontId="7" fillId="0" borderId="0" xfId="1" applyFont="1" applyFill="1" applyBorder="1" applyProtection="1">
      <protection hidden="1"/>
    </xf>
    <xf numFmtId="0" fontId="17" fillId="0" borderId="0" xfId="0" applyFont="1" applyFill="1" applyBorder="1" applyProtection="1">
      <protection hidden="1"/>
    </xf>
    <xf numFmtId="0" fontId="17" fillId="0" borderId="14" xfId="0" applyNumberFormat="1" applyFont="1" applyBorder="1" applyProtection="1">
      <protection hidden="1"/>
    </xf>
    <xf numFmtId="0" fontId="0" fillId="0" borderId="15" xfId="0" applyBorder="1"/>
    <xf numFmtId="0" fontId="0" fillId="0" borderId="16" xfId="0" applyBorder="1"/>
    <xf numFmtId="0" fontId="12" fillId="0" borderId="1" xfId="1" applyFont="1" applyFill="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0" fontId="12" fillId="0" borderId="1" xfId="1" applyFont="1" applyFill="1" applyBorder="1" applyAlignment="1" applyProtection="1">
      <alignment horizontal="center" vertical="top"/>
      <protection locked="0"/>
    </xf>
    <xf numFmtId="0" fontId="12" fillId="0" borderId="8" xfId="1" applyFont="1" applyBorder="1" applyAlignment="1" applyProtection="1">
      <alignment horizontal="center" wrapText="1"/>
      <protection locked="0"/>
    </xf>
    <xf numFmtId="1" fontId="6" fillId="0"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22"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2" fontId="7" fillId="0" borderId="0" xfId="1" applyNumberFormat="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64" fontId="7" fillId="0" borderId="0" xfId="1" applyNumberFormat="1" applyFont="1"/>
    <xf numFmtId="164" fontId="7" fillId="0" borderId="0" xfId="1" applyNumberFormat="1" applyFont="1" applyAlignment="1">
      <alignment horizontal="center" vertical="center"/>
    </xf>
    <xf numFmtId="1" fontId="12" fillId="0" borderId="1" xfId="0" applyNumberFormat="1"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protection locked="0"/>
    </xf>
    <xf numFmtId="0" fontId="12" fillId="0" borderId="1" xfId="1" applyFont="1" applyFill="1" applyBorder="1" applyAlignment="1" applyProtection="1">
      <alignment horizontal="center" wrapText="1"/>
      <protection locked="0"/>
    </xf>
    <xf numFmtId="9" fontId="12" fillId="0" borderId="1" xfId="1" applyNumberFormat="1" applyFont="1" applyFill="1" applyBorder="1" applyAlignment="1" applyProtection="1">
      <alignment horizontal="center" vertical="center" wrapText="1"/>
      <protection hidden="1"/>
    </xf>
    <xf numFmtId="1" fontId="12" fillId="0" borderId="1" xfId="1" applyNumberFormat="1" applyFont="1" applyFill="1" applyBorder="1" applyAlignment="1" applyProtection="1">
      <alignment horizontal="center" wrapText="1"/>
      <protection locked="0"/>
    </xf>
    <xf numFmtId="0" fontId="12" fillId="0" borderId="4" xfId="1" applyFont="1" applyBorder="1" applyAlignment="1" applyProtection="1">
      <alignment horizontal="center" vertical="top" wrapText="1"/>
      <protection locked="0"/>
    </xf>
    <xf numFmtId="0" fontId="12" fillId="0" borderId="4" xfId="1"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6" fillId="0" borderId="20" xfId="1" applyNumberFormat="1" applyFont="1" applyFill="1" applyBorder="1" applyAlignment="1" applyProtection="1">
      <alignment horizontal="center" vertical="center" wrapText="1"/>
      <protection locked="0"/>
    </xf>
    <xf numFmtId="1" fontId="6" fillId="0" borderId="21" xfId="1" applyNumberFormat="1" applyFont="1" applyFill="1" applyBorder="1" applyAlignment="1" applyProtection="1">
      <alignment horizontal="center" vertical="center" wrapText="1"/>
      <protection locked="0"/>
    </xf>
    <xf numFmtId="1" fontId="6" fillId="0" borderId="18" xfId="1" applyNumberFormat="1" applyFont="1" applyFill="1" applyBorder="1" applyAlignment="1" applyProtection="1">
      <alignment horizontal="center" vertical="center" wrapText="1"/>
      <protection locked="0"/>
    </xf>
    <xf numFmtId="1" fontId="6" fillId="0" borderId="17" xfId="1" applyNumberFormat="1" applyFont="1" applyFill="1" applyBorder="1" applyAlignment="1" applyProtection="1">
      <alignment horizontal="center" vertical="center" wrapText="1"/>
      <protection locked="0"/>
    </xf>
    <xf numFmtId="1" fontId="6" fillId="0" borderId="22" xfId="1" applyNumberFormat="1" applyFont="1" applyFill="1" applyBorder="1" applyAlignment="1" applyProtection="1">
      <alignment horizontal="center" vertical="center" wrapText="1"/>
      <protection locked="0"/>
    </xf>
    <xf numFmtId="1" fontId="6" fillId="0" borderId="23" xfId="1" applyNumberFormat="1" applyFont="1" applyFill="1" applyBorder="1" applyAlignment="1" applyProtection="1">
      <alignment horizontal="center" vertical="center" wrapText="1"/>
      <protection locked="0"/>
    </xf>
    <xf numFmtId="1" fontId="6" fillId="0" borderId="10" xfId="1" applyNumberFormat="1" applyFont="1" applyFill="1" applyBorder="1" applyAlignment="1" applyProtection="1">
      <alignment horizontal="center" vertical="center" wrapText="1"/>
      <protection locked="0"/>
    </xf>
    <xf numFmtId="1" fontId="6" fillId="0" borderId="19" xfId="1" applyNumberFormat="1" applyFont="1" applyFill="1" applyBorder="1" applyAlignment="1" applyProtection="1">
      <alignment horizontal="center" vertical="center" wrapText="1"/>
      <protection locked="0"/>
    </xf>
    <xf numFmtId="1" fontId="6" fillId="0" borderId="11" xfId="1" applyNumberFormat="1" applyFont="1" applyFill="1" applyBorder="1" applyAlignment="1" applyProtection="1">
      <alignment horizontal="center" vertical="center" wrapText="1"/>
      <protection locked="0"/>
    </xf>
    <xf numFmtId="1" fontId="7" fillId="0" borderId="10" xfId="1" applyNumberFormat="1" applyFont="1" applyBorder="1" applyAlignment="1">
      <alignment horizontal="center" vertical="center"/>
    </xf>
    <xf numFmtId="0" fontId="7" fillId="0" borderId="19" xfId="1" applyFont="1" applyBorder="1" applyAlignment="1">
      <alignment horizontal="center" vertical="center"/>
    </xf>
    <xf numFmtId="0" fontId="12" fillId="0" borderId="5"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9" fontId="12" fillId="2" borderId="6" xfId="1" applyNumberFormat="1" applyFont="1" applyFill="1" applyBorder="1" applyAlignment="1" applyProtection="1">
      <alignment horizontal="center" vertical="center" wrapText="1"/>
      <protection hidden="1"/>
    </xf>
    <xf numFmtId="9" fontId="12" fillId="2" borderId="9" xfId="1" applyNumberFormat="1" applyFont="1" applyFill="1" applyBorder="1" applyAlignment="1" applyProtection="1">
      <alignment horizontal="center" vertical="center" wrapText="1"/>
      <protection hidden="1"/>
    </xf>
    <xf numFmtId="0" fontId="12" fillId="0" borderId="7" xfId="1" applyFont="1" applyFill="1" applyBorder="1" applyAlignment="1" applyProtection="1">
      <alignment horizontal="center" vertical="top" wrapText="1"/>
      <protection locked="0"/>
    </xf>
    <xf numFmtId="0" fontId="12" fillId="0" borderId="8" xfId="1" applyFont="1" applyFill="1" applyBorder="1" applyAlignment="1" applyProtection="1">
      <alignment horizontal="center" vertical="top" wrapText="1"/>
      <protection locked="0"/>
    </xf>
    <xf numFmtId="0" fontId="13" fillId="0" borderId="24" xfId="1" applyFont="1" applyFill="1" applyBorder="1" applyAlignment="1" applyProtection="1">
      <alignment horizontal="left" vertical="top" wrapText="1"/>
      <protection locked="0"/>
    </xf>
    <xf numFmtId="0" fontId="13" fillId="0" borderId="25" xfId="1" applyFont="1" applyFill="1" applyBorder="1" applyAlignment="1" applyProtection="1">
      <alignment horizontal="left" vertical="top" wrapText="1"/>
      <protection locked="0"/>
    </xf>
    <xf numFmtId="0" fontId="13" fillId="0" borderId="26" xfId="1" applyFont="1" applyFill="1" applyBorder="1" applyAlignment="1" applyProtection="1">
      <alignment horizontal="left" vertical="top" wrapText="1"/>
      <protection locked="0"/>
    </xf>
    <xf numFmtId="0" fontId="13" fillId="0" borderId="27" xfId="1" applyFont="1" applyFill="1" applyBorder="1" applyAlignment="1" applyProtection="1">
      <alignment horizontal="left" vertical="top" wrapText="1"/>
      <protection locked="0"/>
    </xf>
    <xf numFmtId="0" fontId="13" fillId="0" borderId="28" xfId="1" applyFont="1" applyFill="1" applyBorder="1" applyAlignment="1" applyProtection="1">
      <alignment horizontal="left" vertical="top" wrapText="1"/>
      <protection locked="0"/>
    </xf>
    <xf numFmtId="0" fontId="12" fillId="0" borderId="5" xfId="1" applyFont="1" applyFill="1" applyBorder="1" applyAlignment="1" applyProtection="1">
      <alignment horizontal="center" vertical="top"/>
      <protection locked="0"/>
    </xf>
    <xf numFmtId="0" fontId="12" fillId="0" borderId="1" xfId="1" applyFont="1" applyFill="1" applyBorder="1" applyAlignment="1" applyProtection="1">
      <alignment horizontal="center" vertical="top"/>
      <protection locked="0"/>
    </xf>
    <xf numFmtId="0" fontId="13" fillId="0" borderId="5"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wrapText="1"/>
      <protection locked="0"/>
    </xf>
    <xf numFmtId="0" fontId="13" fillId="0" borderId="6" xfId="1" applyFont="1" applyFill="1" applyBorder="1" applyAlignment="1" applyProtection="1">
      <alignment horizontal="left" vertical="top" wrapText="1"/>
      <protection locked="0"/>
    </xf>
    <xf numFmtId="0" fontId="12" fillId="0" borderId="6" xfId="1" applyFont="1" applyFill="1" applyBorder="1" applyAlignment="1" applyProtection="1">
      <alignment horizontal="center" vertical="top" wrapText="1"/>
      <protection locked="0"/>
    </xf>
    <xf numFmtId="0" fontId="13" fillId="0" borderId="33" xfId="1" applyFont="1" applyFill="1" applyBorder="1" applyAlignment="1" applyProtection="1">
      <alignment horizontal="center" vertical="center" wrapText="1"/>
      <protection locked="0"/>
    </xf>
    <xf numFmtId="0" fontId="13" fillId="0" borderId="34" xfId="1" applyFont="1" applyFill="1" applyBorder="1" applyAlignment="1" applyProtection="1">
      <alignment horizontal="center" vertical="center" wrapText="1"/>
      <protection locked="0"/>
    </xf>
    <xf numFmtId="0" fontId="13" fillId="0" borderId="35" xfId="1" applyFont="1" applyFill="1" applyBorder="1" applyAlignment="1" applyProtection="1">
      <alignment horizontal="center" vertical="center" wrapText="1"/>
      <protection locked="0"/>
    </xf>
    <xf numFmtId="9" fontId="13" fillId="0" borderId="34" xfId="1" applyNumberFormat="1" applyFont="1" applyFill="1" applyBorder="1" applyAlignment="1" applyProtection="1">
      <alignment horizontal="center" vertical="center" wrapText="1"/>
      <protection locked="0"/>
    </xf>
    <xf numFmtId="1" fontId="8" fillId="4" borderId="1" xfId="1" applyNumberFormat="1" applyFont="1" applyFill="1" applyBorder="1" applyAlignment="1" applyProtection="1">
      <alignment horizontal="center" vertical="center" wrapText="1"/>
      <protection locked="0"/>
    </xf>
    <xf numFmtId="0" fontId="13" fillId="0" borderId="29" xfId="1" applyFont="1" applyFill="1" applyBorder="1" applyAlignment="1" applyProtection="1">
      <alignment horizontal="left" vertical="top"/>
      <protection locked="0"/>
    </xf>
    <xf numFmtId="0" fontId="13" fillId="0" borderId="3" xfId="1" applyFont="1" applyFill="1" applyBorder="1" applyAlignment="1" applyProtection="1">
      <alignment horizontal="left" vertical="top"/>
      <protection locked="0"/>
    </xf>
    <xf numFmtId="0" fontId="13" fillId="0" borderId="3" xfId="1" applyFont="1" applyFill="1" applyBorder="1" applyAlignment="1" applyProtection="1">
      <alignment horizontal="left" vertical="top" wrapText="1"/>
      <protection locked="0"/>
    </xf>
    <xf numFmtId="0" fontId="13" fillId="0" borderId="30" xfId="1" applyFont="1" applyFill="1" applyBorder="1" applyAlignment="1" applyProtection="1">
      <alignment horizontal="left" vertical="top" wrapText="1"/>
      <protection locked="0"/>
    </xf>
    <xf numFmtId="0" fontId="12" fillId="0" borderId="31" xfId="1" applyFont="1" applyFill="1" applyBorder="1" applyAlignment="1" applyProtection="1">
      <alignment horizontal="center" vertical="top" wrapText="1"/>
      <protection locked="0"/>
    </xf>
    <xf numFmtId="0" fontId="12" fillId="0" borderId="4" xfId="1" applyFont="1" applyFill="1" applyBorder="1" applyAlignment="1" applyProtection="1">
      <alignment horizontal="center" vertical="top" wrapText="1"/>
      <protection locked="0"/>
    </xf>
    <xf numFmtId="0" fontId="12" fillId="0" borderId="32" xfId="1" applyFont="1" applyFill="1" applyBorder="1" applyAlignment="1" applyProtection="1">
      <alignment horizontal="center" vertical="top" wrapText="1"/>
      <protection locked="0"/>
    </xf>
    <xf numFmtId="167" fontId="12" fillId="2" borderId="1" xfId="8" applyNumberFormat="1" applyFont="1" applyFill="1" applyBorder="1" applyAlignment="1" applyProtection="1">
      <alignment horizontal="left" vertical="top"/>
      <protection locked="0"/>
    </xf>
    <xf numFmtId="0" fontId="6" fillId="0" borderId="1" xfId="1" applyFont="1" applyFill="1" applyBorder="1" applyAlignment="1" applyProtection="1">
      <alignment horizontal="left" vertical="top"/>
      <protection locked="0"/>
    </xf>
    <xf numFmtId="1" fontId="13" fillId="0" borderId="1" xfId="0" applyNumberFormat="1" applyFont="1" applyFill="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1" xfId="1" applyFont="1" applyFill="1" applyBorder="1" applyAlignment="1" applyProtection="1">
      <alignment horizontal="center" vertical="top"/>
      <protection locked="0"/>
    </xf>
    <xf numFmtId="1" fontId="8" fillId="0" borderId="1" xfId="0" applyNumberFormat="1" applyFont="1" applyFill="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1" applyNumberFormat="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top" wrapText="1"/>
      <protection locked="0"/>
    </xf>
    <xf numFmtId="0" fontId="8" fillId="0" borderId="1" xfId="1" applyFont="1" applyFill="1" applyBorder="1" applyAlignment="1" applyProtection="1">
      <alignment vertical="top"/>
      <protection locked="0"/>
    </xf>
    <xf numFmtId="0" fontId="6" fillId="0" borderId="1" xfId="1" applyFont="1" applyFill="1" applyBorder="1" applyAlignment="1" applyProtection="1">
      <alignment horizontal="left" vertical="top" wrapText="1"/>
      <protection locked="0"/>
    </xf>
    <xf numFmtId="1" fontId="8" fillId="0" borderId="1" xfId="0" applyNumberFormat="1" applyFont="1" applyFill="1" applyBorder="1" applyAlignment="1" applyProtection="1">
      <alignment horizontal="center" vertical="center" wrapText="1"/>
      <protection locked="0"/>
    </xf>
    <xf numFmtId="0" fontId="12" fillId="0" borderId="4" xfId="1" applyFont="1" applyFill="1" applyBorder="1" applyAlignment="1" applyProtection="1">
      <alignment horizontal="left" vertical="top"/>
      <protection locked="0"/>
    </xf>
    <xf numFmtId="0" fontId="8"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12" fillId="0" borderId="1" xfId="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1" xfId="1" applyFont="1" applyFill="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164" fontId="6" fillId="0" borderId="1" xfId="1" applyNumberFormat="1" applyFont="1" applyFill="1" applyBorder="1" applyAlignment="1" applyProtection="1">
      <alignment horizontal="left" vertical="top"/>
      <protection locked="0"/>
    </xf>
    <xf numFmtId="0" fontId="12" fillId="0" borderId="1" xfId="1" applyFont="1" applyBorder="1" applyAlignment="1" applyProtection="1">
      <alignment horizontal="center"/>
      <protection locked="0"/>
    </xf>
    <xf numFmtId="2" fontId="6" fillId="0" borderId="1" xfId="1" applyNumberFormat="1" applyFont="1" applyFill="1" applyBorder="1" applyAlignment="1" applyProtection="1">
      <alignment horizontal="left" vertical="top" wrapText="1"/>
      <protection locked="0"/>
    </xf>
    <xf numFmtId="0" fontId="13" fillId="0" borderId="1" xfId="1" applyFont="1" applyFill="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8" fillId="0" borderId="1" xfId="0" applyNumberFormat="1" applyFont="1" applyFill="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2" fontId="6" fillId="0" borderId="1" xfId="1" applyNumberFormat="1" applyFont="1" applyFill="1" applyBorder="1" applyAlignment="1" applyProtection="1">
      <alignment horizontal="left" vertical="top"/>
      <protection locked="0"/>
    </xf>
    <xf numFmtId="14" fontId="12" fillId="0" borderId="1" xfId="1" applyNumberFormat="1" applyFont="1" applyFill="1" applyBorder="1" applyAlignment="1" applyProtection="1">
      <alignment horizontal="left" vertical="top" wrapText="1"/>
      <protection locked="0"/>
    </xf>
    <xf numFmtId="0" fontId="12" fillId="0" borderId="3" xfId="1" applyFont="1" applyFill="1" applyBorder="1" applyAlignment="1" applyProtection="1">
      <alignment horizontal="left" vertical="top"/>
      <protection locked="0"/>
    </xf>
    <xf numFmtId="0" fontId="12" fillId="0" borderId="3" xfId="1" applyFont="1" applyFill="1" applyBorder="1" applyAlignment="1" applyProtection="1">
      <alignment horizontal="left" vertical="top" wrapText="1"/>
      <protection locked="0"/>
    </xf>
    <xf numFmtId="0" fontId="12" fillId="2" borderId="1" xfId="1" applyNumberFormat="1" applyFont="1" applyFill="1" applyBorder="1" applyAlignment="1" applyProtection="1">
      <alignment horizontal="left" vertical="top" wrapText="1"/>
      <protection locked="0"/>
    </xf>
    <xf numFmtId="0" fontId="12" fillId="2" borderId="1" xfId="1" applyNumberFormat="1" applyFont="1" applyFill="1" applyBorder="1" applyAlignment="1" applyProtection="1">
      <alignment horizontal="left" vertical="top"/>
      <protection locked="0"/>
    </xf>
    <xf numFmtId="0" fontId="12" fillId="2" borderId="10" xfId="1" applyFont="1" applyFill="1" applyBorder="1" applyAlignment="1" applyProtection="1">
      <alignment horizontal="center" vertical="top" wrapText="1"/>
      <protection locked="0"/>
    </xf>
    <xf numFmtId="0" fontId="12" fillId="2" borderId="19" xfId="1" applyFont="1" applyFill="1" applyBorder="1" applyAlignment="1" applyProtection="1">
      <alignment horizontal="center" vertical="top" wrapText="1"/>
      <protection locked="0"/>
    </xf>
    <xf numFmtId="0" fontId="12" fillId="2" borderId="11" xfId="1" applyFont="1" applyFill="1" applyBorder="1" applyAlignment="1" applyProtection="1">
      <alignment horizontal="center" vertical="top" wrapText="1"/>
      <protection locked="0"/>
    </xf>
    <xf numFmtId="0" fontId="12" fillId="0" borderId="20" xfId="1" applyFont="1" applyFill="1" applyBorder="1" applyAlignment="1" applyProtection="1">
      <alignment horizontal="left" vertical="top" wrapText="1"/>
      <protection locked="0"/>
    </xf>
    <xf numFmtId="0" fontId="12" fillId="0" borderId="21" xfId="1" applyFont="1" applyFill="1" applyBorder="1" applyAlignment="1" applyProtection="1">
      <alignment horizontal="left" vertical="top" wrapText="1"/>
      <protection locked="0"/>
    </xf>
    <xf numFmtId="0" fontId="12" fillId="0" borderId="22" xfId="1" applyFont="1" applyFill="1" applyBorder="1" applyAlignment="1" applyProtection="1">
      <alignment horizontal="left" vertical="top" wrapText="1"/>
      <protection locked="0"/>
    </xf>
    <xf numFmtId="0" fontId="12" fillId="0" borderId="23" xfId="1" applyFont="1" applyFill="1" applyBorder="1" applyAlignment="1" applyProtection="1">
      <alignment horizontal="left" vertical="top" wrapText="1"/>
      <protection locked="0"/>
    </xf>
    <xf numFmtId="0" fontId="13" fillId="0" borderId="10" xfId="1" applyFont="1" applyFill="1" applyBorder="1" applyAlignment="1" applyProtection="1">
      <alignment horizontal="left" vertical="top" wrapText="1"/>
      <protection locked="0"/>
    </xf>
    <xf numFmtId="0" fontId="13" fillId="0" borderId="11" xfId="1" applyFont="1" applyFill="1" applyBorder="1" applyAlignment="1" applyProtection="1">
      <alignment horizontal="left" vertical="top" wrapText="1"/>
      <protection locked="0"/>
    </xf>
    <xf numFmtId="0" fontId="8" fillId="0"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12" fillId="2" borderId="10" xfId="1" applyFont="1" applyFill="1" applyBorder="1" applyAlignment="1" applyProtection="1">
      <alignment horizontal="left" vertical="top" wrapText="1"/>
      <protection locked="0"/>
    </xf>
    <xf numFmtId="0" fontId="12" fillId="2" borderId="19" xfId="1" applyFont="1" applyFill="1" applyBorder="1" applyAlignment="1" applyProtection="1">
      <alignment horizontal="left" vertical="top" wrapText="1"/>
      <protection locked="0"/>
    </xf>
    <xf numFmtId="0" fontId="12" fillId="2" borderId="11" xfId="1" applyFont="1" applyFill="1" applyBorder="1" applyAlignment="1" applyProtection="1">
      <alignment horizontal="left" vertical="top" wrapText="1"/>
      <protection locked="0"/>
    </xf>
    <xf numFmtId="0" fontId="8" fillId="0" borderId="24" xfId="1" applyFont="1" applyFill="1" applyBorder="1" applyAlignment="1" applyProtection="1">
      <alignment horizontal="left" vertical="top" wrapText="1"/>
      <protection locked="0"/>
    </xf>
    <xf numFmtId="0" fontId="8" fillId="0" borderId="25" xfId="1" applyFont="1" applyFill="1" applyBorder="1" applyAlignment="1" applyProtection="1">
      <alignment horizontal="left" vertical="top" wrapText="1"/>
      <protection locked="0"/>
    </xf>
    <xf numFmtId="0" fontId="8" fillId="0" borderId="26" xfId="1" applyFont="1" applyFill="1" applyBorder="1" applyAlignment="1" applyProtection="1">
      <alignment horizontal="left" vertical="top" wrapText="1"/>
      <protection locked="0"/>
    </xf>
    <xf numFmtId="0" fontId="8" fillId="0" borderId="27" xfId="1" applyFont="1" applyFill="1" applyBorder="1" applyAlignment="1" applyProtection="1">
      <alignment horizontal="left" vertical="top" wrapText="1"/>
      <protection locked="0"/>
    </xf>
    <xf numFmtId="0" fontId="8" fillId="0" borderId="28" xfId="1" applyFont="1" applyFill="1" applyBorder="1" applyAlignment="1" applyProtection="1">
      <alignment horizontal="left" vertical="top" wrapText="1"/>
      <protection locked="0"/>
    </xf>
    <xf numFmtId="0" fontId="7" fillId="0" borderId="1" xfId="1" applyFont="1" applyBorder="1" applyAlignment="1" applyProtection="1">
      <alignment horizontal="center"/>
      <protection locked="0"/>
    </xf>
    <xf numFmtId="0" fontId="6" fillId="0" borderId="1" xfId="1" applyFont="1" applyFill="1" applyBorder="1" applyAlignment="1" applyProtection="1">
      <alignment horizontal="center" vertical="top"/>
      <protection locked="0"/>
    </xf>
    <xf numFmtId="14" fontId="12" fillId="2" borderId="1" xfId="1" applyNumberFormat="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0" fontId="19" fillId="0" borderId="10" xfId="6" applyBorder="1" applyAlignment="1" applyProtection="1">
      <alignment horizontal="left" vertical="top"/>
      <protection locked="0"/>
    </xf>
    <xf numFmtId="0" fontId="7" fillId="0" borderId="19" xfId="1" applyFont="1" applyBorder="1" applyAlignment="1" applyProtection="1">
      <alignment horizontal="left" vertical="top"/>
      <protection locked="0"/>
    </xf>
    <xf numFmtId="0" fontId="7" fillId="0" borderId="11" xfId="1" applyFont="1" applyBorder="1" applyAlignment="1" applyProtection="1">
      <alignment horizontal="left" vertical="top"/>
      <protection locked="0"/>
    </xf>
    <xf numFmtId="1" fontId="12" fillId="0" borderId="1" xfId="0" applyNumberFormat="1" applyFont="1" applyBorder="1" applyAlignment="1" applyProtection="1">
      <alignment horizontal="center" vertical="top" wrapText="1"/>
      <protection locked="0"/>
    </xf>
    <xf numFmtId="1" fontId="12" fillId="0" borderId="1" xfId="0" applyNumberFormat="1" applyFont="1" applyFill="1" applyBorder="1" applyAlignment="1" applyProtection="1">
      <alignment horizontal="center" vertical="top" wrapText="1"/>
      <protection locked="0"/>
    </xf>
    <xf numFmtId="1" fontId="13" fillId="0" borderId="1" xfId="0" applyNumberFormat="1" applyFont="1" applyBorder="1" applyAlignment="1" applyProtection="1">
      <alignment horizontal="center" vertical="top" wrapText="1"/>
      <protection locked="0"/>
    </xf>
    <xf numFmtId="0" fontId="0" fillId="3" borderId="1" xfId="0" applyFill="1" applyBorder="1" applyAlignment="1">
      <alignment horizontal="center" wrapText="1"/>
    </xf>
    <xf numFmtId="0" fontId="9" fillId="0" borderId="1" xfId="0" applyFont="1" applyBorder="1" applyAlignment="1">
      <alignment horizontal="center"/>
    </xf>
  </cellXfs>
  <cellStyles count="9">
    <cellStyle name="Comma" xfId="8" builtinId="3"/>
    <cellStyle name="Comma 2" xfId="7"/>
    <cellStyle name="Excel Built-in Normal" xfId="2"/>
    <cellStyle name="Excel Built-in Normal 2" xfId="4"/>
    <cellStyle name="Hyperlink" xfId="6"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0</xdr:col>
      <xdr:colOff>291353</xdr:colOff>
      <xdr:row>354</xdr:row>
      <xdr:rowOff>89646</xdr:rowOff>
    </xdr:from>
    <xdr:to>
      <xdr:col>7</xdr:col>
      <xdr:colOff>465283</xdr:colOff>
      <xdr:row>372</xdr:row>
      <xdr:rowOff>58941</xdr:rowOff>
    </xdr:to>
    <xdr:pic>
      <xdr:nvPicPr>
        <xdr:cNvPr id="6" name="Picture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91353" y="65879381"/>
          <a:ext cx="6303548" cy="3600000"/>
        </a:xfrm>
        <a:prstGeom prst="rect">
          <a:avLst/>
        </a:prstGeom>
        <a:ln>
          <a:solidFill>
            <a:schemeClr val="tx1"/>
          </a:solidFill>
        </a:ln>
      </xdr:spPr>
    </xdr:pic>
    <xdr:clientData/>
  </xdr:twoCellAnchor>
  <xdr:twoCellAnchor editAs="oneCell">
    <xdr:from>
      <xdr:col>0</xdr:col>
      <xdr:colOff>291353</xdr:colOff>
      <xdr:row>372</xdr:row>
      <xdr:rowOff>189383</xdr:rowOff>
    </xdr:from>
    <xdr:to>
      <xdr:col>7</xdr:col>
      <xdr:colOff>465283</xdr:colOff>
      <xdr:row>390</xdr:row>
      <xdr:rowOff>158675</xdr:rowOff>
    </xdr:to>
    <xdr:pic>
      <xdr:nvPicPr>
        <xdr:cNvPr id="7" name="Picture 6"/>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291353" y="69609824"/>
          <a:ext cx="6303548" cy="3599999"/>
        </a:xfrm>
        <a:prstGeom prst="rect">
          <a:avLst/>
        </a:prstGeom>
        <a:ln>
          <a:solidFill>
            <a:schemeClr val="tx1"/>
          </a:solidFill>
        </a:ln>
      </xdr:spPr>
    </xdr:pic>
    <xdr:clientData/>
  </xdr:twoCellAnchor>
  <xdr:twoCellAnchor>
    <xdr:from>
      <xdr:col>10</xdr:col>
      <xdr:colOff>18025</xdr:colOff>
      <xdr:row>271</xdr:row>
      <xdr:rowOff>190499</xdr:rowOff>
    </xdr:from>
    <xdr:to>
      <xdr:col>11</xdr:col>
      <xdr:colOff>173890</xdr:colOff>
      <xdr:row>273</xdr:row>
      <xdr:rowOff>166323</xdr:rowOff>
    </xdr:to>
    <xdr:sp macro="" textlink="">
      <xdr:nvSpPr>
        <xdr:cNvPr id="17" name="Rectangle 16"/>
        <xdr:cNvSpPr/>
      </xdr:nvSpPr>
      <xdr:spPr>
        <a:xfrm>
          <a:off x="8564548" y="54829363"/>
          <a:ext cx="762001" cy="374142"/>
        </a:xfrm>
        <a:prstGeom prst="rect">
          <a:avLst/>
        </a:prstGeom>
        <a:solidFill>
          <a:schemeClr val="bg1"/>
        </a:solidFill>
        <a:ln>
          <a:solidFill>
            <a:sysClr val="windowText" lastClr="000000"/>
          </a:solidFill>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ysClr val="windowText" lastClr="000000"/>
              </a:solidFill>
            </a:rPr>
            <a:t>A &amp; B </a:t>
          </a:r>
        </a:p>
      </xdr:txBody>
    </xdr:sp>
    <xdr:clientData/>
  </xdr:twoCellAnchor>
  <xdr:twoCellAnchor>
    <xdr:from>
      <xdr:col>8</xdr:col>
      <xdr:colOff>0</xdr:colOff>
      <xdr:row>267</xdr:row>
      <xdr:rowOff>0</xdr:rowOff>
    </xdr:from>
    <xdr:to>
      <xdr:col>8</xdr:col>
      <xdr:colOff>762001</xdr:colOff>
      <xdr:row>268</xdr:row>
      <xdr:rowOff>174982</xdr:rowOff>
    </xdr:to>
    <xdr:sp macro="" textlink="">
      <xdr:nvSpPr>
        <xdr:cNvPr id="16" name="Rectangle 15"/>
        <xdr:cNvSpPr/>
      </xdr:nvSpPr>
      <xdr:spPr>
        <a:xfrm>
          <a:off x="6528955" y="59695773"/>
          <a:ext cx="762001" cy="374141"/>
        </a:xfrm>
        <a:prstGeom prst="rect">
          <a:avLst/>
        </a:prstGeom>
        <a:solidFill>
          <a:schemeClr val="bg1"/>
        </a:solidFill>
        <a:ln>
          <a:solidFill>
            <a:sysClr val="windowText" lastClr="000000"/>
          </a:solidFill>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ysClr val="windowText" lastClr="000000"/>
              </a:solidFill>
            </a:rPr>
            <a:t>A &amp; B </a:t>
          </a:r>
        </a:p>
      </xdr:txBody>
    </xdr:sp>
    <xdr:clientData/>
  </xdr:twoCellAnchor>
  <xdr:twoCellAnchor editAs="oneCell">
    <xdr:from>
      <xdr:col>1</xdr:col>
      <xdr:colOff>147204</xdr:colOff>
      <xdr:row>312</xdr:row>
      <xdr:rowOff>17316</xdr:rowOff>
    </xdr:from>
    <xdr:to>
      <xdr:col>6</xdr:col>
      <xdr:colOff>670840</xdr:colOff>
      <xdr:row>345</xdr:row>
      <xdr:rowOff>117722</xdr:rowOff>
    </xdr:to>
    <xdr:pic>
      <xdr:nvPicPr>
        <xdr:cNvPr id="44" name="Picture 43"/>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909204" y="68865748"/>
          <a:ext cx="4680000" cy="6672656"/>
        </a:xfrm>
        <a:prstGeom prst="rect">
          <a:avLst/>
        </a:prstGeom>
        <a:ln>
          <a:solidFill>
            <a:schemeClr val="tx1"/>
          </a:solidFill>
        </a:ln>
      </xdr:spPr>
    </xdr:pic>
    <xdr:clientData/>
  </xdr:twoCellAnchor>
  <xdr:twoCellAnchor>
    <xdr:from>
      <xdr:col>2</xdr:col>
      <xdr:colOff>744682</xdr:colOff>
      <xdr:row>315</xdr:row>
      <xdr:rowOff>121227</xdr:rowOff>
    </xdr:from>
    <xdr:to>
      <xdr:col>4</xdr:col>
      <xdr:colOff>34637</xdr:colOff>
      <xdr:row>332</xdr:row>
      <xdr:rowOff>0</xdr:rowOff>
    </xdr:to>
    <xdr:sp macro="" textlink="">
      <xdr:nvSpPr>
        <xdr:cNvPr id="2" name="Rectangle 1"/>
        <xdr:cNvSpPr/>
      </xdr:nvSpPr>
      <xdr:spPr>
        <a:xfrm>
          <a:off x="2251364" y="69567136"/>
          <a:ext cx="1143000" cy="326447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oneCellAnchor>
    <xdr:from>
      <xdr:col>2</xdr:col>
      <xdr:colOff>398319</xdr:colOff>
      <xdr:row>312</xdr:row>
      <xdr:rowOff>129886</xdr:rowOff>
    </xdr:from>
    <xdr:ext cx="700769" cy="311496"/>
    <xdr:sp macro="" textlink="">
      <xdr:nvSpPr>
        <xdr:cNvPr id="3" name="TextBox 2"/>
        <xdr:cNvSpPr txBox="1"/>
      </xdr:nvSpPr>
      <xdr:spPr>
        <a:xfrm>
          <a:off x="1905001" y="68978318"/>
          <a:ext cx="700769" cy="311496"/>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400" b="0" cap="none" spc="0">
              <a:ln w="0"/>
              <a:solidFill>
                <a:schemeClr val="tx1"/>
              </a:solidFill>
              <a:effectLst>
                <a:outerShdw blurRad="38100" dist="19050" dir="2700000" algn="tl" rotWithShape="0">
                  <a:schemeClr val="dk1">
                    <a:alpha val="40000"/>
                  </a:schemeClr>
                </a:outerShdw>
              </a:effectLst>
            </a:rPr>
            <a:t>Wing C</a:t>
          </a:r>
        </a:p>
      </xdr:txBody>
    </xdr:sp>
    <xdr:clientData/>
  </xdr:oneCellAnchor>
  <xdr:twoCellAnchor>
    <xdr:from>
      <xdr:col>2</xdr:col>
      <xdr:colOff>736023</xdr:colOff>
      <xdr:row>314</xdr:row>
      <xdr:rowOff>60614</xdr:rowOff>
    </xdr:from>
    <xdr:to>
      <xdr:col>3</xdr:col>
      <xdr:colOff>277091</xdr:colOff>
      <xdr:row>318</xdr:row>
      <xdr:rowOff>147205</xdr:rowOff>
    </xdr:to>
    <xdr:cxnSp macro="">
      <xdr:nvCxnSpPr>
        <xdr:cNvPr id="45" name="Straight Arrow Connector 44"/>
        <xdr:cNvCxnSpPr/>
      </xdr:nvCxnSpPr>
      <xdr:spPr>
        <a:xfrm>
          <a:off x="2242705" y="69307364"/>
          <a:ext cx="389659" cy="88322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195697</xdr:colOff>
      <xdr:row>321</xdr:row>
      <xdr:rowOff>178377</xdr:rowOff>
    </xdr:from>
    <xdr:ext cx="700769" cy="311496"/>
    <xdr:sp macro="" textlink="">
      <xdr:nvSpPr>
        <xdr:cNvPr id="46" name="TextBox 45"/>
        <xdr:cNvSpPr txBox="1"/>
      </xdr:nvSpPr>
      <xdr:spPr>
        <a:xfrm>
          <a:off x="3555424" y="70819241"/>
          <a:ext cx="700769" cy="311496"/>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400" b="0" cap="none" spc="0">
              <a:ln w="0"/>
              <a:solidFill>
                <a:schemeClr val="tx1"/>
              </a:solidFill>
              <a:effectLst>
                <a:outerShdw blurRad="38100" dist="19050" dir="2700000" algn="tl" rotWithShape="0">
                  <a:schemeClr val="dk1">
                    <a:alpha val="40000"/>
                  </a:schemeClr>
                </a:outerShdw>
              </a:effectLst>
            </a:rPr>
            <a:t>Wing B</a:t>
          </a:r>
        </a:p>
      </xdr:txBody>
    </xdr:sp>
    <xdr:clientData/>
  </xdr:oneCellAnchor>
  <xdr:twoCellAnchor>
    <xdr:from>
      <xdr:col>3</xdr:col>
      <xdr:colOff>458933</xdr:colOff>
      <xdr:row>322</xdr:row>
      <xdr:rowOff>147204</xdr:rowOff>
    </xdr:from>
    <xdr:to>
      <xdr:col>4</xdr:col>
      <xdr:colOff>225137</xdr:colOff>
      <xdr:row>323</xdr:row>
      <xdr:rowOff>77933</xdr:rowOff>
    </xdr:to>
    <xdr:cxnSp macro="">
      <xdr:nvCxnSpPr>
        <xdr:cNvPr id="47" name="Straight Arrow Connector 46"/>
        <xdr:cNvCxnSpPr/>
      </xdr:nvCxnSpPr>
      <xdr:spPr>
        <a:xfrm flipH="1">
          <a:off x="2814206" y="70987227"/>
          <a:ext cx="770658" cy="1298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244188</xdr:colOff>
      <xdr:row>327</xdr:row>
      <xdr:rowOff>183573</xdr:rowOff>
    </xdr:from>
    <xdr:ext cx="742949" cy="311496"/>
    <xdr:sp macro="" textlink="">
      <xdr:nvSpPr>
        <xdr:cNvPr id="48" name="TextBox 47"/>
        <xdr:cNvSpPr txBox="1"/>
      </xdr:nvSpPr>
      <xdr:spPr>
        <a:xfrm>
          <a:off x="3603915" y="72019391"/>
          <a:ext cx="742949" cy="311496"/>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400" b="0" cap="none" spc="0">
              <a:ln w="0"/>
              <a:solidFill>
                <a:schemeClr val="tx1"/>
              </a:solidFill>
              <a:effectLst>
                <a:outerShdw blurRad="38100" dist="19050" dir="2700000" algn="tl" rotWithShape="0">
                  <a:schemeClr val="dk1">
                    <a:alpha val="40000"/>
                  </a:schemeClr>
                </a:outerShdw>
              </a:effectLst>
            </a:rPr>
            <a:t>Wing A</a:t>
          </a:r>
        </a:p>
      </xdr:txBody>
    </xdr:sp>
    <xdr:clientData/>
  </xdr:oneCellAnchor>
  <xdr:twoCellAnchor>
    <xdr:from>
      <xdr:col>3</xdr:col>
      <xdr:colOff>467591</xdr:colOff>
      <xdr:row>328</xdr:row>
      <xdr:rowOff>86591</xdr:rowOff>
    </xdr:from>
    <xdr:to>
      <xdr:col>4</xdr:col>
      <xdr:colOff>273628</xdr:colOff>
      <xdr:row>328</xdr:row>
      <xdr:rowOff>152400</xdr:rowOff>
    </xdr:to>
    <xdr:cxnSp macro="">
      <xdr:nvCxnSpPr>
        <xdr:cNvPr id="49" name="Straight Arrow Connector 48"/>
        <xdr:cNvCxnSpPr/>
      </xdr:nvCxnSpPr>
      <xdr:spPr>
        <a:xfrm flipH="1" flipV="1">
          <a:off x="2822864" y="72121568"/>
          <a:ext cx="810491" cy="658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741219</xdr:colOff>
      <xdr:row>312</xdr:row>
      <xdr:rowOff>126423</xdr:rowOff>
    </xdr:from>
    <xdr:ext cx="1293667" cy="311496"/>
    <xdr:sp macro="" textlink="">
      <xdr:nvSpPr>
        <xdr:cNvPr id="50" name="TextBox 49"/>
        <xdr:cNvSpPr txBox="1"/>
      </xdr:nvSpPr>
      <xdr:spPr>
        <a:xfrm>
          <a:off x="3096492" y="68974855"/>
          <a:ext cx="1293667" cy="311496"/>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400" b="0" cap="none" spc="0">
              <a:ln w="0"/>
              <a:solidFill>
                <a:schemeClr val="tx1"/>
              </a:solidFill>
              <a:effectLst>
                <a:outerShdw blurRad="38100" dist="19050" dir="2700000" algn="tl" rotWithShape="0">
                  <a:schemeClr val="dk1">
                    <a:alpha val="40000"/>
                  </a:schemeClr>
                </a:outerShdw>
              </a:effectLst>
            </a:rPr>
            <a:t>Building No.02</a:t>
          </a:r>
        </a:p>
      </xdr:txBody>
    </xdr:sp>
    <xdr:clientData/>
  </xdr:oneCellAnchor>
  <xdr:twoCellAnchor>
    <xdr:from>
      <xdr:col>3</xdr:col>
      <xdr:colOff>926522</xdr:colOff>
      <xdr:row>314</xdr:row>
      <xdr:rowOff>57151</xdr:rowOff>
    </xdr:from>
    <xdr:to>
      <xdr:col>4</xdr:col>
      <xdr:colOff>74469</xdr:colOff>
      <xdr:row>315</xdr:row>
      <xdr:rowOff>155864</xdr:rowOff>
    </xdr:to>
    <xdr:cxnSp macro="">
      <xdr:nvCxnSpPr>
        <xdr:cNvPr id="51" name="Straight Arrow Connector 50"/>
        <xdr:cNvCxnSpPr/>
      </xdr:nvCxnSpPr>
      <xdr:spPr>
        <a:xfrm flipH="1">
          <a:off x="3281795" y="69303901"/>
          <a:ext cx="152401" cy="29787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397405</xdr:colOff>
      <xdr:row>318</xdr:row>
      <xdr:rowOff>63120</xdr:rowOff>
    </xdr:from>
    <xdr:to>
      <xdr:col>2</xdr:col>
      <xdr:colOff>504051</xdr:colOff>
      <xdr:row>324</xdr:row>
      <xdr:rowOff>57252</xdr:rowOff>
    </xdr:to>
    <xdr:sp macro="" textlink="">
      <xdr:nvSpPr>
        <xdr:cNvPr id="52" name="Rectangle 51"/>
        <xdr:cNvSpPr/>
      </xdr:nvSpPr>
      <xdr:spPr>
        <a:xfrm rot="19328840">
          <a:off x="1159405" y="70106506"/>
          <a:ext cx="851328" cy="118908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oneCellAnchor>
    <xdr:from>
      <xdr:col>1</xdr:col>
      <xdr:colOff>128973</xdr:colOff>
      <xdr:row>315</xdr:row>
      <xdr:rowOff>28484</xdr:rowOff>
    </xdr:from>
    <xdr:ext cx="1293667" cy="311496"/>
    <xdr:sp macro="" textlink="">
      <xdr:nvSpPr>
        <xdr:cNvPr id="53" name="TextBox 52"/>
        <xdr:cNvSpPr txBox="1"/>
      </xdr:nvSpPr>
      <xdr:spPr>
        <a:xfrm>
          <a:off x="890973" y="69474393"/>
          <a:ext cx="1293667" cy="311496"/>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400" b="0" cap="none" spc="0">
              <a:ln w="0"/>
              <a:solidFill>
                <a:schemeClr val="tx1"/>
              </a:solidFill>
              <a:effectLst>
                <a:outerShdw blurRad="38100" dist="19050" dir="2700000" algn="tl" rotWithShape="0">
                  <a:schemeClr val="dk1">
                    <a:alpha val="40000"/>
                  </a:schemeClr>
                </a:outerShdw>
              </a:effectLst>
            </a:rPr>
            <a:t>Building No.01</a:t>
          </a:r>
        </a:p>
      </xdr:txBody>
    </xdr:sp>
    <xdr:clientData/>
  </xdr:oneCellAnchor>
  <xdr:twoCellAnchor>
    <xdr:from>
      <xdr:col>1</xdr:col>
      <xdr:colOff>466678</xdr:colOff>
      <xdr:row>316</xdr:row>
      <xdr:rowOff>158371</xdr:rowOff>
    </xdr:from>
    <xdr:to>
      <xdr:col>1</xdr:col>
      <xdr:colOff>502227</xdr:colOff>
      <xdr:row>318</xdr:row>
      <xdr:rowOff>190500</xdr:rowOff>
    </xdr:to>
    <xdr:cxnSp macro="">
      <xdr:nvCxnSpPr>
        <xdr:cNvPr id="54" name="Straight Arrow Connector 53"/>
        <xdr:cNvCxnSpPr/>
      </xdr:nvCxnSpPr>
      <xdr:spPr>
        <a:xfrm>
          <a:off x="1228678" y="69803439"/>
          <a:ext cx="35549" cy="43044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806450</xdr:colOff>
      <xdr:row>267</xdr:row>
      <xdr:rowOff>31750</xdr:rowOff>
    </xdr:from>
    <xdr:to>
      <xdr:col>17</xdr:col>
      <xdr:colOff>530120</xdr:colOff>
      <xdr:row>306</xdr:row>
      <xdr:rowOff>125706</xdr:rowOff>
    </xdr:to>
    <xdr:grpSp>
      <xdr:nvGrpSpPr>
        <xdr:cNvPr id="4" name="Group 3"/>
        <xdr:cNvGrpSpPr/>
      </xdr:nvGrpSpPr>
      <xdr:grpSpPr>
        <a:xfrm>
          <a:off x="7651750" y="54965600"/>
          <a:ext cx="6327670" cy="7764756"/>
          <a:chOff x="7651750" y="54667150"/>
          <a:chExt cx="6327670" cy="7764756"/>
        </a:xfrm>
      </xdr:grpSpPr>
      <xdr:pic>
        <xdr:nvPicPr>
          <xdr:cNvPr id="33" name="Picture 3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1689738" y="60271906"/>
            <a:ext cx="1618313"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9804140" y="54667150"/>
            <a:ext cx="2022891" cy="270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7651751" y="54667150"/>
            <a:ext cx="2022891" cy="270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1956529" y="54667150"/>
            <a:ext cx="2022891" cy="270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9804140" y="57469528"/>
            <a:ext cx="2022891" cy="270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9941926" y="60271906"/>
            <a:ext cx="1618313" cy="216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1956529" y="57469528"/>
            <a:ext cx="2022891" cy="270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8194114" y="60271906"/>
            <a:ext cx="1618313" cy="216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7651750" y="57469528"/>
            <a:ext cx="2022891" cy="2700000"/>
          </a:xfrm>
          <a:prstGeom prst="rect">
            <a:avLst/>
          </a:prstGeom>
          <a:ln>
            <a:solidFill>
              <a:schemeClr val="tx1"/>
            </a:solidFill>
          </a:ln>
        </xdr:spPr>
      </xdr:pic>
      <xdr:sp macro="" textlink="">
        <xdr:nvSpPr>
          <xdr:cNvPr id="65" name="Rectangle 64"/>
          <xdr:cNvSpPr/>
        </xdr:nvSpPr>
        <xdr:spPr>
          <a:xfrm>
            <a:off x="11956529" y="54667150"/>
            <a:ext cx="870704"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sp macro="" textlink="">
        <xdr:nvSpPr>
          <xdr:cNvPr id="66" name="Rectangle 65"/>
          <xdr:cNvSpPr/>
        </xdr:nvSpPr>
        <xdr:spPr>
          <a:xfrm>
            <a:off x="9804140" y="54667150"/>
            <a:ext cx="870704"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ysClr val="windowText" lastClr="000000"/>
                </a:solidFill>
                <a:effectLst>
                  <a:outerShdw blurRad="38100" dist="25400" dir="5400000" algn="ctr" rotWithShape="0">
                    <a:srgbClr val="6E747A">
                      <a:alpha val="43000"/>
                    </a:srgbClr>
                  </a:outerShdw>
                </a:effectLst>
              </a:rPr>
              <a:t>C Wing </a:t>
            </a:r>
          </a:p>
        </xdr:txBody>
      </xdr:sp>
      <xdr:cxnSp macro="">
        <xdr:nvCxnSpPr>
          <xdr:cNvPr id="67" name="Straight Arrow Connector 66"/>
          <xdr:cNvCxnSpPr/>
        </xdr:nvCxnSpPr>
        <xdr:spPr>
          <a:xfrm>
            <a:off x="10210800" y="55048150"/>
            <a:ext cx="336550" cy="831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177800</xdr:colOff>
      <xdr:row>268</xdr:row>
      <xdr:rowOff>76200</xdr:rowOff>
    </xdr:from>
    <xdr:to>
      <xdr:col>7</xdr:col>
      <xdr:colOff>661498</xdr:colOff>
      <xdr:row>304</xdr:row>
      <xdr:rowOff>61518</xdr:rowOff>
    </xdr:to>
    <xdr:grpSp>
      <xdr:nvGrpSpPr>
        <xdr:cNvPr id="8" name="Group 7"/>
        <xdr:cNvGrpSpPr/>
      </xdr:nvGrpSpPr>
      <xdr:grpSpPr>
        <a:xfrm>
          <a:off x="177800" y="55206900"/>
          <a:ext cx="6459048" cy="7065568"/>
          <a:chOff x="177800" y="54991000"/>
          <a:chExt cx="6459048" cy="7065568"/>
        </a:xfrm>
      </xdr:grpSpPr>
      <xdr:pic>
        <xdr:nvPicPr>
          <xdr:cNvPr id="59" name="Picture 5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099451" y="60004568"/>
            <a:ext cx="1537397" cy="2052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371406" y="54991000"/>
            <a:ext cx="2049863" cy="2736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548532" y="54991000"/>
            <a:ext cx="2049863" cy="2736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94280" y="54991000"/>
            <a:ext cx="2049863" cy="2736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818482" y="60004568"/>
            <a:ext cx="1537397" cy="2052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77800" y="57839784"/>
            <a:ext cx="1537397" cy="2052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58966" y="60004568"/>
            <a:ext cx="1537397" cy="2052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77800" y="60004568"/>
            <a:ext cx="1537397" cy="2052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1818483" y="57839784"/>
            <a:ext cx="1537397" cy="2052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5099451" y="57839784"/>
            <a:ext cx="1537397" cy="2052000"/>
          </a:xfrm>
          <a:prstGeom prst="rect">
            <a:avLst/>
          </a:prstGeom>
          <a:ln>
            <a:solidFill>
              <a:schemeClr val="tx1"/>
            </a:solidFill>
          </a:ln>
        </xdr:spPr>
      </xdr:pic>
      <xdr:pic>
        <xdr:nvPicPr>
          <xdr:cNvPr id="77" name="Picture 7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458967" y="57839784"/>
            <a:ext cx="1537397" cy="2052000"/>
          </a:xfrm>
          <a:prstGeom prst="rect">
            <a:avLst/>
          </a:prstGeom>
          <a:ln>
            <a:solidFill>
              <a:schemeClr val="tx1"/>
            </a:solidFill>
          </a:ln>
        </xdr:spPr>
      </xdr:pic>
      <xdr:sp macro="" textlink="">
        <xdr:nvSpPr>
          <xdr:cNvPr id="78" name="Rectangle 77"/>
          <xdr:cNvSpPr/>
        </xdr:nvSpPr>
        <xdr:spPr>
          <a:xfrm>
            <a:off x="194280" y="54991000"/>
            <a:ext cx="870704" cy="374141"/>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ysClr val="windowText" lastClr="000000"/>
                </a:solidFill>
                <a:effectLst>
                  <a:outerShdw blurRad="38100" dist="25400" dir="5400000" algn="ctr" rotWithShape="0">
                    <a:srgbClr val="6E747A">
                      <a:alpha val="43000"/>
                    </a:srgbClr>
                  </a:outerShdw>
                </a:effectLst>
              </a:rPr>
              <a:t>C Wing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12</xdr:row>
      <xdr:rowOff>0</xdr:rowOff>
    </xdr:from>
    <xdr:to>
      <xdr:col>6</xdr:col>
      <xdr:colOff>354146</xdr:colOff>
      <xdr:row>30</xdr:row>
      <xdr:rowOff>171000</xdr:rowOff>
    </xdr:to>
    <xdr:pic>
      <xdr:nvPicPr>
        <xdr:cNvPr id="2" name="Picture 1"/>
        <xdr:cNvPicPr>
          <a:picLocks noChangeAspect="1"/>
        </xdr:cNvPicPr>
      </xdr:nvPicPr>
      <xdr:blipFill>
        <a:blip xmlns:r="http://schemas.openxmlformats.org/officeDocument/2006/relationships" r:embed="rId1"/>
        <a:stretch>
          <a:fillRect/>
        </a:stretch>
      </xdr:blipFill>
      <xdr:spPr>
        <a:xfrm>
          <a:off x="581026" y="2286000"/>
          <a:ext cx="6754945" cy="3600000"/>
        </a:xfrm>
        <a:prstGeom prst="rect">
          <a:avLst/>
        </a:prstGeom>
        <a:ln>
          <a:solidFill>
            <a:schemeClr val="tx1"/>
          </a:solidFill>
        </a:ln>
      </xdr:spPr>
    </xdr:pic>
    <xdr:clientData/>
  </xdr:twoCellAnchor>
  <xdr:twoCellAnchor editAs="oneCell">
    <xdr:from>
      <xdr:col>1</xdr:col>
      <xdr:colOff>0</xdr:colOff>
      <xdr:row>32</xdr:row>
      <xdr:rowOff>91440</xdr:rowOff>
    </xdr:from>
    <xdr:to>
      <xdr:col>6</xdr:col>
      <xdr:colOff>354145</xdr:colOff>
      <xdr:row>51</xdr:row>
      <xdr:rowOff>71940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1025" y="6187440"/>
          <a:ext cx="6754945" cy="3600000"/>
        </a:xfrm>
        <a:prstGeom prst="rect">
          <a:avLst/>
        </a:prstGeom>
        <a:ln>
          <a:solidFill>
            <a:schemeClr val="tx1"/>
          </a:solidFill>
        </a:ln>
      </xdr:spPr>
    </xdr:pic>
    <xdr:clientData/>
  </xdr:twoCellAnchor>
  <xdr:twoCellAnchor editAs="oneCell">
    <xdr:from>
      <xdr:col>6</xdr:col>
      <xdr:colOff>571500</xdr:colOff>
      <xdr:row>11</xdr:row>
      <xdr:rowOff>161925</xdr:rowOff>
    </xdr:from>
    <xdr:to>
      <xdr:col>27</xdr:col>
      <xdr:colOff>36474</xdr:colOff>
      <xdr:row>48</xdr:row>
      <xdr:rowOff>46758</xdr:rowOff>
    </xdr:to>
    <xdr:pic>
      <xdr:nvPicPr>
        <xdr:cNvPr id="4" name="Picture 3"/>
        <xdr:cNvPicPr>
          <a:picLocks noChangeAspect="1"/>
        </xdr:cNvPicPr>
      </xdr:nvPicPr>
      <xdr:blipFill>
        <a:blip xmlns:r="http://schemas.openxmlformats.org/officeDocument/2006/relationships" r:embed="rId3"/>
        <a:stretch>
          <a:fillRect/>
        </a:stretch>
      </xdr:blipFill>
      <xdr:spPr>
        <a:xfrm>
          <a:off x="7553325" y="2257425"/>
          <a:ext cx="13009524" cy="69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X7wbZoUmnxJA3LL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5"/>
  <sheetViews>
    <sheetView tabSelected="1" view="pageBreakPreview" zoomScaleNormal="100" zoomScaleSheetLayoutView="100" zoomScalePageLayoutView="85" workbookViewId="0">
      <selection activeCell="E9" sqref="E9:H9"/>
    </sheetView>
  </sheetViews>
  <sheetFormatPr defaultColWidth="9.1796875" defaultRowHeight="15.5" x14ac:dyDescent="0.35"/>
  <cols>
    <col min="1" max="1" width="11.453125" style="20" customWidth="1"/>
    <col min="2" max="2" width="11.1796875" style="20" customWidth="1"/>
    <col min="3" max="3" width="12.7265625" style="20" customWidth="1"/>
    <col min="4" max="4" width="15" style="20" customWidth="1"/>
    <col min="5" max="7" width="11.7265625" style="20" customWidth="1"/>
    <col min="8" max="8" width="12.453125" style="20" customWidth="1"/>
    <col min="9" max="9" width="20.453125" style="8" customWidth="1"/>
    <col min="10" max="10" width="9.81640625" style="8" bestFit="1" customWidth="1"/>
    <col min="11"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8" ht="46.5" customHeight="1" x14ac:dyDescent="0.35">
      <c r="A1" s="162" t="s">
        <v>267</v>
      </c>
      <c r="B1" s="162"/>
      <c r="C1" s="162"/>
      <c r="D1" s="162"/>
      <c r="E1" s="162"/>
      <c r="F1" s="162"/>
      <c r="G1" s="162"/>
      <c r="H1" s="162"/>
    </row>
    <row r="2" spans="1:8" ht="16.5" customHeight="1" x14ac:dyDescent="0.35">
      <c r="A2" s="163" t="s">
        <v>0</v>
      </c>
      <c r="B2" s="163"/>
      <c r="C2" s="163"/>
      <c r="D2" s="163"/>
      <c r="E2" s="163"/>
      <c r="F2" s="163"/>
      <c r="G2" s="163"/>
      <c r="H2" s="163"/>
    </row>
    <row r="3" spans="1:8" x14ac:dyDescent="0.35">
      <c r="A3" s="142" t="s">
        <v>1</v>
      </c>
      <c r="B3" s="142"/>
      <c r="C3" s="142"/>
      <c r="D3" s="142"/>
      <c r="E3" s="164" t="str">
        <f ca="1">TEXT(TODAY(),"DD/MM/YYYY")</f>
        <v>24/09/2025</v>
      </c>
      <c r="F3" s="164"/>
      <c r="G3" s="164"/>
      <c r="H3" s="164"/>
    </row>
    <row r="4" spans="1:8" ht="15" customHeight="1" x14ac:dyDescent="0.35">
      <c r="A4" s="142" t="s">
        <v>2</v>
      </c>
      <c r="B4" s="142"/>
      <c r="C4" s="142"/>
      <c r="D4" s="142"/>
      <c r="E4" s="166" t="s">
        <v>147</v>
      </c>
      <c r="F4" s="166"/>
      <c r="G4" s="166"/>
      <c r="H4" s="166"/>
    </row>
    <row r="5" spans="1:8" x14ac:dyDescent="0.35">
      <c r="A5" s="142" t="s">
        <v>3</v>
      </c>
      <c r="B5" s="142"/>
      <c r="C5" s="142"/>
      <c r="D5" s="142"/>
      <c r="E5" s="160">
        <v>45920</v>
      </c>
      <c r="F5" s="160"/>
      <c r="G5" s="160"/>
      <c r="H5" s="160"/>
    </row>
    <row r="6" spans="1:8" ht="16.5" customHeight="1" x14ac:dyDescent="0.35">
      <c r="A6" s="142" t="s">
        <v>4</v>
      </c>
      <c r="B6" s="142"/>
      <c r="C6" s="142"/>
      <c r="D6" s="142"/>
      <c r="E6" s="161" t="s">
        <v>148</v>
      </c>
      <c r="F6" s="161"/>
      <c r="G6" s="161"/>
      <c r="H6" s="161"/>
    </row>
    <row r="7" spans="1:8" ht="15" customHeight="1" x14ac:dyDescent="0.35">
      <c r="A7" s="142" t="s">
        <v>5</v>
      </c>
      <c r="B7" s="142"/>
      <c r="C7" s="142"/>
      <c r="D7" s="142"/>
      <c r="E7" s="161" t="str">
        <f>E6</f>
        <v>M/s.Gargi Builder and Developers</v>
      </c>
      <c r="F7" s="161"/>
      <c r="G7" s="161"/>
      <c r="H7" s="161"/>
    </row>
    <row r="8" spans="1:8" x14ac:dyDescent="0.35">
      <c r="A8" s="142" t="s">
        <v>6</v>
      </c>
      <c r="B8" s="142"/>
      <c r="C8" s="142"/>
      <c r="D8" s="142"/>
      <c r="E8" s="165" t="s">
        <v>149</v>
      </c>
      <c r="F8" s="165"/>
      <c r="G8" s="165"/>
      <c r="H8" s="165"/>
    </row>
    <row r="9" spans="1:8" x14ac:dyDescent="0.35">
      <c r="A9" s="142" t="s">
        <v>7</v>
      </c>
      <c r="B9" s="142"/>
      <c r="C9" s="142"/>
      <c r="D9" s="142"/>
      <c r="E9" s="142" t="s">
        <v>150</v>
      </c>
      <c r="F9" s="142"/>
      <c r="G9" s="142"/>
      <c r="H9" s="142"/>
    </row>
    <row r="10" spans="1:8" x14ac:dyDescent="0.35">
      <c r="A10" s="142" t="s">
        <v>278</v>
      </c>
      <c r="B10" s="142"/>
      <c r="C10" s="142"/>
      <c r="D10" s="142"/>
      <c r="E10" s="142" t="s">
        <v>281</v>
      </c>
      <c r="F10" s="142"/>
      <c r="G10" s="142"/>
      <c r="H10" s="142"/>
    </row>
    <row r="11" spans="1:8" ht="33" customHeight="1" x14ac:dyDescent="0.35">
      <c r="A11" s="158" t="s">
        <v>8</v>
      </c>
      <c r="B11" s="158"/>
      <c r="C11" s="158"/>
      <c r="D11" s="158"/>
      <c r="E11" s="159" t="s">
        <v>260</v>
      </c>
      <c r="F11" s="158"/>
      <c r="G11" s="158"/>
      <c r="H11" s="158"/>
    </row>
    <row r="12" spans="1:8" ht="32.25" customHeight="1" x14ac:dyDescent="0.35">
      <c r="A12" s="142" t="s">
        <v>9</v>
      </c>
      <c r="B12" s="142"/>
      <c r="C12" s="142"/>
      <c r="D12" s="142"/>
      <c r="E12" s="159" t="s">
        <v>144</v>
      </c>
      <c r="F12" s="159"/>
      <c r="G12" s="159"/>
      <c r="H12" s="159"/>
    </row>
    <row r="13" spans="1:8" x14ac:dyDescent="0.35">
      <c r="A13" s="142" t="s">
        <v>10</v>
      </c>
      <c r="B13" s="142"/>
      <c r="C13" s="142"/>
      <c r="D13" s="142"/>
      <c r="E13" s="158" t="s">
        <v>151</v>
      </c>
      <c r="F13" s="158"/>
      <c r="G13" s="158"/>
      <c r="H13" s="158"/>
    </row>
    <row r="14" spans="1:8" ht="18" customHeight="1" x14ac:dyDescent="0.35">
      <c r="A14" s="161" t="s">
        <v>11</v>
      </c>
      <c r="B14" s="161"/>
      <c r="C14" s="161" t="str">
        <f>CONCATENATE((IF(OR(E8="",E8="NA"),"",E8)),", ",(IF(OR(A15="",A15="NA"),"",A15)),".",(IF(OR(C15="",C15="NA"),"",C15)),", ",(IF(OR(C16="",C16="NA"),"",C16)),", ",(IF(OR(G16="",G16="NA"),"",G16)),", ",(IF(OR(C17="",C17="NA"),"",C17)),", ",(IF(OR(C18="",C18="NA"),"",C18)),", ",(IF(OR(G17="",G17="NA"),"",G17)),".")</f>
        <v>Gargi Hills, Survey No.21/6/A, Waliv Road, Waliv, Vasai Road, Vasai, Palghar.</v>
      </c>
      <c r="D14" s="161"/>
      <c r="E14" s="161"/>
      <c r="F14" s="161"/>
      <c r="G14" s="161"/>
      <c r="H14" s="161"/>
    </row>
    <row r="15" spans="1:8" ht="15.75" customHeight="1" x14ac:dyDescent="0.35">
      <c r="A15" s="155" t="s">
        <v>185</v>
      </c>
      <c r="B15" s="155"/>
      <c r="C15" s="155" t="s">
        <v>152</v>
      </c>
      <c r="D15" s="155"/>
      <c r="E15" s="155"/>
      <c r="F15" s="155"/>
      <c r="G15" s="155"/>
      <c r="H15" s="155"/>
    </row>
    <row r="16" spans="1:8" ht="15.75" customHeight="1" x14ac:dyDescent="0.35">
      <c r="A16" s="155" t="s">
        <v>12</v>
      </c>
      <c r="B16" s="155"/>
      <c r="C16" s="156" t="s">
        <v>180</v>
      </c>
      <c r="D16" s="156"/>
      <c r="E16" s="155" t="s">
        <v>156</v>
      </c>
      <c r="F16" s="155"/>
      <c r="G16" s="155" t="s">
        <v>153</v>
      </c>
      <c r="H16" s="155"/>
    </row>
    <row r="17" spans="1:8" x14ac:dyDescent="0.35">
      <c r="A17" s="156" t="s">
        <v>14</v>
      </c>
      <c r="B17" s="156"/>
      <c r="C17" s="155" t="s">
        <v>184</v>
      </c>
      <c r="D17" s="155"/>
      <c r="E17" s="155" t="s">
        <v>13</v>
      </c>
      <c r="F17" s="155"/>
      <c r="G17" s="167" t="s">
        <v>154</v>
      </c>
      <c r="H17" s="167"/>
    </row>
    <row r="18" spans="1:8" x14ac:dyDescent="0.35">
      <c r="A18" s="156" t="s">
        <v>106</v>
      </c>
      <c r="B18" s="156"/>
      <c r="C18" s="155" t="s">
        <v>155</v>
      </c>
      <c r="D18" s="155"/>
      <c r="E18" s="155" t="s">
        <v>15</v>
      </c>
      <c r="F18" s="155"/>
      <c r="G18" s="155">
        <v>401208</v>
      </c>
      <c r="H18" s="155"/>
    </row>
    <row r="19" spans="1:8" ht="32.25" customHeight="1" x14ac:dyDescent="0.35">
      <c r="A19" s="156" t="s">
        <v>16</v>
      </c>
      <c r="B19" s="156"/>
      <c r="C19" s="157" t="s">
        <v>183</v>
      </c>
      <c r="D19" s="157"/>
      <c r="E19" s="155" t="s">
        <v>17</v>
      </c>
      <c r="F19" s="155"/>
      <c r="G19" s="155" t="s">
        <v>262</v>
      </c>
      <c r="H19" s="155"/>
    </row>
    <row r="20" spans="1:8" ht="15" customHeight="1" x14ac:dyDescent="0.35">
      <c r="A20" s="155" t="s">
        <v>110</v>
      </c>
      <c r="B20" s="155"/>
      <c r="C20" s="155"/>
      <c r="D20" s="155"/>
      <c r="E20" s="156" t="s">
        <v>18</v>
      </c>
      <c r="F20" s="156"/>
      <c r="G20" s="156"/>
      <c r="H20" s="156"/>
    </row>
    <row r="21" spans="1:8" ht="18.75" customHeight="1" x14ac:dyDescent="0.35">
      <c r="A21" s="155"/>
      <c r="B21" s="155"/>
      <c r="C21" s="155"/>
      <c r="D21" s="155"/>
      <c r="E21" s="156"/>
      <c r="F21" s="156"/>
      <c r="G21" s="156"/>
      <c r="H21" s="156"/>
    </row>
    <row r="22" spans="1:8" ht="15" customHeight="1" x14ac:dyDescent="0.35">
      <c r="A22" s="151" t="s">
        <v>19</v>
      </c>
      <c r="B22" s="151"/>
      <c r="C22" s="151"/>
      <c r="D22" s="151"/>
      <c r="E22" s="155" t="s">
        <v>20</v>
      </c>
      <c r="F22" s="155"/>
      <c r="G22" s="155"/>
      <c r="H22" s="155"/>
    </row>
    <row r="23" spans="1:8" ht="15" customHeight="1" x14ac:dyDescent="0.35">
      <c r="A23" s="140" t="s">
        <v>21</v>
      </c>
      <c r="B23" s="140"/>
      <c r="C23" s="140"/>
      <c r="D23" s="140"/>
      <c r="E23" s="155" t="s">
        <v>157</v>
      </c>
      <c r="F23" s="155"/>
      <c r="G23" s="155"/>
      <c r="H23" s="155"/>
    </row>
    <row r="24" spans="1:8" x14ac:dyDescent="0.35">
      <c r="A24" s="140" t="s">
        <v>22</v>
      </c>
      <c r="B24" s="140"/>
      <c r="C24" s="140"/>
      <c r="D24" s="140"/>
      <c r="E24" s="155" t="s">
        <v>23</v>
      </c>
      <c r="F24" s="155"/>
      <c r="G24" s="155"/>
      <c r="H24" s="155"/>
    </row>
    <row r="25" spans="1:8" x14ac:dyDescent="0.35">
      <c r="A25" s="140" t="s">
        <v>24</v>
      </c>
      <c r="B25" s="140"/>
      <c r="C25" s="140"/>
      <c r="D25" s="140"/>
      <c r="E25" s="155" t="s">
        <v>158</v>
      </c>
      <c r="F25" s="155"/>
      <c r="G25" s="155"/>
      <c r="H25" s="155"/>
    </row>
    <row r="26" spans="1:8" x14ac:dyDescent="0.35">
      <c r="A26" s="140" t="s">
        <v>25</v>
      </c>
      <c r="B26" s="140"/>
      <c r="C26" s="140"/>
      <c r="D26" s="140"/>
      <c r="E26" s="155" t="s">
        <v>26</v>
      </c>
      <c r="F26" s="155"/>
      <c r="G26" s="155"/>
      <c r="H26" s="155"/>
    </row>
    <row r="27" spans="1:8" x14ac:dyDescent="0.35">
      <c r="A27" s="140" t="s">
        <v>115</v>
      </c>
      <c r="B27" s="140"/>
      <c r="C27" s="140"/>
      <c r="D27" s="140"/>
      <c r="E27" s="155" t="s">
        <v>116</v>
      </c>
      <c r="F27" s="155"/>
      <c r="G27" s="155"/>
      <c r="H27" s="155"/>
    </row>
    <row r="28" spans="1:8" ht="15" customHeight="1" x14ac:dyDescent="0.35">
      <c r="A28" s="151" t="s">
        <v>37</v>
      </c>
      <c r="B28" s="151"/>
      <c r="C28" s="151"/>
      <c r="D28" s="151"/>
      <c r="E28" s="166" t="s">
        <v>263</v>
      </c>
      <c r="F28" s="166"/>
      <c r="G28" s="166"/>
      <c r="H28" s="166"/>
    </row>
    <row r="29" spans="1:8" x14ac:dyDescent="0.35">
      <c r="A29" s="151" t="s">
        <v>128</v>
      </c>
      <c r="B29" s="151"/>
      <c r="C29" s="151"/>
      <c r="D29" s="151"/>
      <c r="E29" s="151" t="s">
        <v>38</v>
      </c>
      <c r="F29" s="151"/>
      <c r="G29" s="151"/>
      <c r="H29" s="151"/>
    </row>
    <row r="30" spans="1:8" s="12" customFormat="1" x14ac:dyDescent="0.35">
      <c r="A30" s="177" t="s">
        <v>129</v>
      </c>
      <c r="B30" s="177"/>
      <c r="C30" s="171" t="s">
        <v>31</v>
      </c>
      <c r="D30" s="171"/>
      <c r="E30" s="171"/>
      <c r="F30" s="171" t="s">
        <v>33</v>
      </c>
      <c r="G30" s="171"/>
      <c r="H30" s="171"/>
    </row>
    <row r="31" spans="1:8" s="12" customFormat="1" x14ac:dyDescent="0.35">
      <c r="A31" s="169" t="s">
        <v>27</v>
      </c>
      <c r="B31" s="169" t="s">
        <v>32</v>
      </c>
      <c r="C31" s="121" t="s">
        <v>32</v>
      </c>
      <c r="D31" s="121"/>
      <c r="E31" s="121"/>
      <c r="F31" s="121" t="s">
        <v>180</v>
      </c>
      <c r="G31" s="121"/>
      <c r="H31" s="121"/>
    </row>
    <row r="32" spans="1:8" x14ac:dyDescent="0.35">
      <c r="A32" s="169" t="s">
        <v>28</v>
      </c>
      <c r="B32" s="169" t="s">
        <v>32</v>
      </c>
      <c r="C32" s="121" t="s">
        <v>32</v>
      </c>
      <c r="D32" s="121"/>
      <c r="E32" s="121"/>
      <c r="F32" s="121" t="s">
        <v>181</v>
      </c>
      <c r="G32" s="121"/>
      <c r="H32" s="121"/>
    </row>
    <row r="33" spans="1:9" s="12" customFormat="1" x14ac:dyDescent="0.35">
      <c r="A33" s="169" t="s">
        <v>30</v>
      </c>
      <c r="B33" s="169" t="s">
        <v>32</v>
      </c>
      <c r="C33" s="121" t="s">
        <v>32</v>
      </c>
      <c r="D33" s="121"/>
      <c r="E33" s="121"/>
      <c r="F33" s="121" t="s">
        <v>182</v>
      </c>
      <c r="G33" s="121"/>
      <c r="H33" s="121"/>
    </row>
    <row r="34" spans="1:9" x14ac:dyDescent="0.35">
      <c r="A34" s="169" t="s">
        <v>29</v>
      </c>
      <c r="B34" s="169" t="s">
        <v>32</v>
      </c>
      <c r="C34" s="121" t="s">
        <v>32</v>
      </c>
      <c r="D34" s="121"/>
      <c r="E34" s="121"/>
      <c r="F34" s="121" t="s">
        <v>182</v>
      </c>
      <c r="G34" s="121"/>
      <c r="H34" s="121"/>
    </row>
    <row r="35" spans="1:9" x14ac:dyDescent="0.35">
      <c r="A35" s="140" t="s">
        <v>34</v>
      </c>
      <c r="B35" s="140"/>
      <c r="C35" s="140"/>
      <c r="D35" s="140"/>
      <c r="E35" s="140"/>
      <c r="F35" s="140"/>
      <c r="G35" s="140"/>
      <c r="H35" s="140"/>
    </row>
    <row r="36" spans="1:9" ht="15.75" customHeight="1" x14ac:dyDescent="0.35">
      <c r="A36" s="143" t="s">
        <v>35</v>
      </c>
      <c r="B36" s="143"/>
      <c r="C36" s="204">
        <v>19.418537100000002</v>
      </c>
      <c r="D36" s="204"/>
      <c r="E36" s="143" t="s">
        <v>36</v>
      </c>
      <c r="F36" s="143"/>
      <c r="G36" s="205">
        <v>72.861159799999996</v>
      </c>
      <c r="H36" s="205"/>
    </row>
    <row r="37" spans="1:9" ht="15.75" customHeight="1" x14ac:dyDescent="0.35">
      <c r="A37" s="143" t="s">
        <v>265</v>
      </c>
      <c r="B37" s="143"/>
      <c r="C37" s="208" t="s">
        <v>266</v>
      </c>
      <c r="D37" s="209"/>
      <c r="E37" s="209"/>
      <c r="F37" s="209"/>
      <c r="G37" s="209"/>
      <c r="H37" s="210"/>
    </row>
    <row r="38" spans="1:9" x14ac:dyDescent="0.35">
      <c r="A38" s="154" t="s">
        <v>39</v>
      </c>
      <c r="B38" s="154"/>
      <c r="C38" s="154"/>
      <c r="D38" s="154"/>
      <c r="E38" s="154"/>
      <c r="F38" s="154"/>
      <c r="G38" s="154"/>
      <c r="H38" s="154"/>
    </row>
    <row r="39" spans="1:9" x14ac:dyDescent="0.35">
      <c r="A39" s="140" t="s">
        <v>40</v>
      </c>
      <c r="B39" s="140"/>
      <c r="C39" s="140"/>
      <c r="D39" s="140"/>
      <c r="E39" s="170">
        <v>3511.78</v>
      </c>
      <c r="F39" s="170"/>
      <c r="G39" s="170"/>
      <c r="H39" s="170"/>
    </row>
    <row r="40" spans="1:9" x14ac:dyDescent="0.35">
      <c r="A40" s="140" t="s">
        <v>41</v>
      </c>
      <c r="B40" s="140"/>
      <c r="C40" s="140"/>
      <c r="D40" s="140"/>
      <c r="E40" s="168">
        <v>1.1000000000000001</v>
      </c>
      <c r="F40" s="168"/>
      <c r="G40" s="168"/>
      <c r="H40" s="168"/>
      <c r="I40" s="84">
        <f>3862.95/E39</f>
        <v>1.0999977219529695</v>
      </c>
    </row>
    <row r="41" spans="1:9" x14ac:dyDescent="0.35">
      <c r="A41" s="140" t="s">
        <v>42</v>
      </c>
      <c r="B41" s="140"/>
      <c r="C41" s="140"/>
      <c r="D41" s="140"/>
      <c r="E41" s="168">
        <f>E43/E39-E40</f>
        <v>1.1407041443370596</v>
      </c>
      <c r="F41" s="168"/>
      <c r="G41" s="168"/>
      <c r="H41" s="168"/>
    </row>
    <row r="42" spans="1:9" x14ac:dyDescent="0.35">
      <c r="A42" s="140" t="s">
        <v>43</v>
      </c>
      <c r="B42" s="140"/>
      <c r="C42" s="140"/>
      <c r="D42" s="140"/>
      <c r="E42" s="168">
        <f>E40+E41</f>
        <v>2.2407041443370597</v>
      </c>
      <c r="F42" s="168"/>
      <c r="G42" s="168"/>
      <c r="H42" s="168"/>
    </row>
    <row r="43" spans="1:9" x14ac:dyDescent="0.35">
      <c r="A43" s="140" t="s">
        <v>127</v>
      </c>
      <c r="B43" s="140"/>
      <c r="C43" s="140"/>
      <c r="D43" s="140"/>
      <c r="E43" s="178">
        <v>7868.86</v>
      </c>
      <c r="F43" s="178"/>
      <c r="G43" s="178"/>
      <c r="H43" s="178"/>
    </row>
    <row r="44" spans="1:9" x14ac:dyDescent="0.35">
      <c r="A44" s="156" t="s">
        <v>44</v>
      </c>
      <c r="B44" s="156"/>
      <c r="C44" s="156"/>
      <c r="D44" s="156"/>
      <c r="E44" s="156" t="s">
        <v>261</v>
      </c>
      <c r="F44" s="156"/>
      <c r="G44" s="156"/>
      <c r="H44" s="156"/>
    </row>
    <row r="45" spans="1:9" x14ac:dyDescent="0.35">
      <c r="A45" s="154" t="s">
        <v>45</v>
      </c>
      <c r="B45" s="154"/>
      <c r="C45" s="154"/>
      <c r="D45" s="154"/>
      <c r="E45" s="154"/>
      <c r="F45" s="154"/>
      <c r="G45" s="154"/>
      <c r="H45" s="154"/>
    </row>
    <row r="46" spans="1:9" ht="33" customHeight="1" x14ac:dyDescent="0.35">
      <c r="A46" s="151" t="s">
        <v>46</v>
      </c>
      <c r="B46" s="151"/>
      <c r="C46" s="157" t="s">
        <v>268</v>
      </c>
      <c r="D46" s="157"/>
      <c r="E46" s="157"/>
      <c r="F46" s="33" t="s">
        <v>47</v>
      </c>
      <c r="G46" s="179">
        <v>44767</v>
      </c>
      <c r="H46" s="155"/>
    </row>
    <row r="47" spans="1:9" ht="33" customHeight="1" x14ac:dyDescent="0.35">
      <c r="A47" s="151" t="s">
        <v>214</v>
      </c>
      <c r="B47" s="151"/>
      <c r="C47" s="157" t="s">
        <v>207</v>
      </c>
      <c r="D47" s="157"/>
      <c r="E47" s="157"/>
      <c r="F47" s="33" t="s">
        <v>47</v>
      </c>
      <c r="G47" s="155" t="s">
        <v>257</v>
      </c>
      <c r="H47" s="155"/>
    </row>
    <row r="48" spans="1:9" ht="36" customHeight="1" x14ac:dyDescent="0.35">
      <c r="A48" s="151" t="s">
        <v>213</v>
      </c>
      <c r="B48" s="151"/>
      <c r="C48" s="157" t="str">
        <f>C46</f>
        <v>VVCMC/TP/AMEND/VP/5978/216/2022-23</v>
      </c>
      <c r="D48" s="157"/>
      <c r="E48" s="157"/>
      <c r="F48" s="35" t="s">
        <v>47</v>
      </c>
      <c r="G48" s="179">
        <f>G46</f>
        <v>44767</v>
      </c>
      <c r="H48" s="155"/>
    </row>
    <row r="49" spans="1:11" s="11" customFormat="1" ht="18" customHeight="1" x14ac:dyDescent="0.35">
      <c r="A49" s="187" t="s">
        <v>231</v>
      </c>
      <c r="B49" s="188"/>
      <c r="C49" s="157" t="s">
        <v>274</v>
      </c>
      <c r="D49" s="207"/>
      <c r="E49" s="207"/>
      <c r="F49" s="14" t="s">
        <v>47</v>
      </c>
      <c r="G49" s="206">
        <f>G46</f>
        <v>44767</v>
      </c>
      <c r="H49" s="183"/>
    </row>
    <row r="50" spans="1:11" s="11" customFormat="1" ht="34.5" customHeight="1" x14ac:dyDescent="0.35">
      <c r="A50" s="189"/>
      <c r="B50" s="190"/>
      <c r="C50" s="196" t="s">
        <v>269</v>
      </c>
      <c r="D50" s="197"/>
      <c r="E50" s="197"/>
      <c r="F50" s="197"/>
      <c r="G50" s="197"/>
      <c r="H50" s="198"/>
    </row>
    <row r="51" spans="1:11" s="11" customFormat="1" ht="35.25" hidden="1" customHeight="1" x14ac:dyDescent="0.35">
      <c r="A51" s="187" t="s">
        <v>210</v>
      </c>
      <c r="B51" s="188"/>
      <c r="C51" s="184" t="s">
        <v>208</v>
      </c>
      <c r="D51" s="185"/>
      <c r="E51" s="186"/>
      <c r="F51" s="14" t="s">
        <v>47</v>
      </c>
      <c r="G51" s="182" t="s">
        <v>209</v>
      </c>
      <c r="H51" s="183"/>
    </row>
    <row r="52" spans="1:11" s="11" customFormat="1" ht="16.5" hidden="1" customHeight="1" x14ac:dyDescent="0.35">
      <c r="A52" s="189"/>
      <c r="B52" s="190"/>
      <c r="C52" s="196" t="s">
        <v>230</v>
      </c>
      <c r="D52" s="197"/>
      <c r="E52" s="197"/>
      <c r="F52" s="197"/>
      <c r="G52" s="197"/>
      <c r="H52" s="198"/>
    </row>
    <row r="53" spans="1:11" x14ac:dyDescent="0.35">
      <c r="A53" s="193" t="s">
        <v>48</v>
      </c>
      <c r="B53" s="193"/>
      <c r="C53" s="194" t="s">
        <v>145</v>
      </c>
      <c r="D53" s="195"/>
      <c r="E53" s="195" t="s">
        <v>49</v>
      </c>
      <c r="F53" s="36" t="s">
        <v>47</v>
      </c>
      <c r="G53" s="191" t="s">
        <v>32</v>
      </c>
      <c r="H53" s="192"/>
    </row>
    <row r="54" spans="1:11" x14ac:dyDescent="0.35">
      <c r="A54" s="150" t="s">
        <v>51</v>
      </c>
      <c r="B54" s="150"/>
      <c r="C54" s="150"/>
      <c r="D54" s="150"/>
      <c r="E54" s="150"/>
      <c r="F54" s="150"/>
      <c r="G54" s="150"/>
      <c r="H54" s="150"/>
    </row>
    <row r="55" spans="1:11" x14ac:dyDescent="0.35">
      <c r="A55" s="151" t="s">
        <v>126</v>
      </c>
      <c r="B55" s="151"/>
      <c r="C55" s="151"/>
      <c r="D55" s="140">
        <f>E43</f>
        <v>7868.86</v>
      </c>
      <c r="E55" s="140"/>
      <c r="F55" s="140"/>
      <c r="G55" s="140"/>
      <c r="H55" s="140"/>
    </row>
    <row r="56" spans="1:11" x14ac:dyDescent="0.35">
      <c r="A56" s="155" t="s">
        <v>52</v>
      </c>
      <c r="B56" s="156"/>
      <c r="C56" s="156"/>
      <c r="D56" s="156" t="s">
        <v>273</v>
      </c>
      <c r="E56" s="156"/>
      <c r="F56" s="156"/>
      <c r="G56" s="156"/>
      <c r="H56" s="156"/>
    </row>
    <row r="57" spans="1:11" ht="33.75" customHeight="1" x14ac:dyDescent="0.35">
      <c r="A57" s="155" t="s">
        <v>53</v>
      </c>
      <c r="B57" s="156"/>
      <c r="C57" s="156"/>
      <c r="D57" s="155" t="s">
        <v>270</v>
      </c>
      <c r="E57" s="156"/>
      <c r="F57" s="156"/>
      <c r="G57" s="156"/>
      <c r="H57" s="156"/>
    </row>
    <row r="58" spans="1:11" ht="35.25" customHeight="1" x14ac:dyDescent="0.35">
      <c r="A58" s="155" t="s">
        <v>124</v>
      </c>
      <c r="B58" s="156"/>
      <c r="C58" s="156"/>
      <c r="D58" s="155" t="s">
        <v>271</v>
      </c>
      <c r="E58" s="156"/>
      <c r="F58" s="156"/>
      <c r="G58" s="156"/>
      <c r="H58" s="156"/>
    </row>
    <row r="59" spans="1:11" ht="15.75" customHeight="1" x14ac:dyDescent="0.35">
      <c r="A59" s="140" t="s">
        <v>50</v>
      </c>
      <c r="B59" s="140"/>
      <c r="C59" s="140"/>
      <c r="D59" s="151" t="s">
        <v>279</v>
      </c>
      <c r="E59" s="151"/>
      <c r="F59" s="151"/>
      <c r="G59" s="151"/>
      <c r="H59" s="151"/>
    </row>
    <row r="60" spans="1:11" ht="15.75" customHeight="1" x14ac:dyDescent="0.35">
      <c r="A60" s="140" t="s">
        <v>121</v>
      </c>
      <c r="B60" s="140"/>
      <c r="C60" s="140"/>
      <c r="D60" s="151" t="s">
        <v>122</v>
      </c>
      <c r="E60" s="151"/>
      <c r="F60" s="151"/>
      <c r="G60" s="151"/>
      <c r="H60" s="151"/>
    </row>
    <row r="61" spans="1:11" ht="15.75" customHeight="1" x14ac:dyDescent="0.35">
      <c r="A61" s="140" t="s">
        <v>123</v>
      </c>
      <c r="B61" s="140"/>
      <c r="C61" s="140"/>
      <c r="D61" s="151" t="s">
        <v>26</v>
      </c>
      <c r="E61" s="151"/>
      <c r="F61" s="151"/>
      <c r="G61" s="151"/>
      <c r="H61" s="151"/>
      <c r="J61" s="22"/>
      <c r="K61" s="22"/>
    </row>
    <row r="62" spans="1:11" ht="15.75" customHeight="1" thickBot="1" x14ac:dyDescent="0.4">
      <c r="A62" s="180" t="s">
        <v>120</v>
      </c>
      <c r="B62" s="180"/>
      <c r="C62" s="180"/>
      <c r="D62" s="181" t="s">
        <v>159</v>
      </c>
      <c r="E62" s="181"/>
      <c r="F62" s="181"/>
      <c r="G62" s="181"/>
      <c r="H62" s="181"/>
      <c r="J62" s="22"/>
      <c r="K62" s="22"/>
    </row>
    <row r="63" spans="1:11" ht="15.75" customHeight="1" x14ac:dyDescent="0.35">
      <c r="A63" s="199" t="s">
        <v>215</v>
      </c>
      <c r="B63" s="200"/>
      <c r="C63" s="201" t="s">
        <v>229</v>
      </c>
      <c r="D63" s="202"/>
      <c r="E63" s="202"/>
      <c r="F63" s="202"/>
      <c r="G63" s="202"/>
      <c r="H63" s="203"/>
      <c r="I63" s="65" t="str">
        <f ca="1">(IF(C68=0,"Work not yet Started.",IF(D68=50%,"Excavation work in process",IF(D68=100%,"Excavation work completed, ","0")))&amp;(IF(C69=0%,"",IF(D69=25%,"Footing work is process",IF(D69=50%,"Footing work Completed",IF(D69=75%,"Plinth work is process",IF(D69=100%,"Plinth work completed","0"))))))&amp;(IF(C70&gt;0,", RCC upto "&amp;C70&amp;" Slab completed",""))&amp;(IF(C71&gt;0,", Brickwork upto "&amp;C71&amp;" Floor completed"," "))&amp;(IF(C72&gt;0,", Internal Plaster upto "&amp;C72&amp;" Floor completed"," "))&amp;(IF(C73&gt;0,", External Plaster upto "&amp;C73&amp;" Floor completed"," "))&amp;(IF(C74&gt;0,", Flooring upto "&amp;C74&amp;" Floor completed"," "))&amp;(IF(C75&gt;0,", Painting upto "&amp;C75&amp;" Floor completed"," "))&amp;(IF(C76&gt;0,", Finishing upto "&amp;C76&amp;" Floor completed"," ")))</f>
        <v>Excavation work completed, Plinth work completed, RCC upto 2 Slab completed, Brickwork upto 1 Floor completed, Internal Plaster upto 1 Floor completed, External Plaster upto 1 Floor completed, Flooring upto 1 Floor completed, Painting upto 1 Floor completed, Finishing upto 1 Floor completed</v>
      </c>
      <c r="J63" s="25"/>
      <c r="K63" s="26"/>
    </row>
    <row r="64" spans="1:11" x14ac:dyDescent="0.35">
      <c r="A64" s="120" t="s">
        <v>105</v>
      </c>
      <c r="B64" s="121"/>
      <c r="C64" s="121">
        <v>1</v>
      </c>
      <c r="D64" s="121"/>
      <c r="E64" s="64" t="s">
        <v>104</v>
      </c>
      <c r="F64" s="64">
        <v>0</v>
      </c>
      <c r="G64" s="64" t="s">
        <v>114</v>
      </c>
      <c r="H64" s="37">
        <f ca="1">--TRIM(RIGHT(SUBSTITUTE(LEFT(C63,_xlfn.AGGREGATE(16,6,FIND({0,1,2,3,4,5,6,7,8,9},C63,ROW(INDIRECT("1:"&amp;LEN(C63)))),1))," ",REPT(" ",LEN(C63))),LEN(C63)))</f>
        <v>1</v>
      </c>
      <c r="I64" s="66" t="s">
        <v>142</v>
      </c>
      <c r="J64" s="27"/>
      <c r="K64" s="28"/>
    </row>
    <row r="65" spans="1:11" ht="15.75" customHeight="1" thickBot="1" x14ac:dyDescent="0.4">
      <c r="A65" s="132" t="s">
        <v>125</v>
      </c>
      <c r="B65" s="133"/>
      <c r="C65" s="134" t="str">
        <f>I65</f>
        <v>All work Completed. Provide OC.</v>
      </c>
      <c r="D65" s="134"/>
      <c r="E65" s="134"/>
      <c r="F65" s="134"/>
      <c r="G65" s="134"/>
      <c r="H65" s="135"/>
      <c r="I65" s="66" t="s">
        <v>216</v>
      </c>
      <c r="J65" s="27"/>
      <c r="K65" s="28"/>
    </row>
    <row r="66" spans="1:11" ht="31.5" customHeight="1" thickBot="1" x14ac:dyDescent="0.4">
      <c r="A66" s="127" t="s">
        <v>119</v>
      </c>
      <c r="B66" s="128"/>
      <c r="C66" s="130">
        <v>1</v>
      </c>
      <c r="D66" s="128"/>
      <c r="E66" s="128" t="s">
        <v>118</v>
      </c>
      <c r="F66" s="129"/>
      <c r="G66" s="130">
        <v>1</v>
      </c>
      <c r="H66" s="128"/>
      <c r="I66" s="69"/>
      <c r="J66" s="69"/>
      <c r="K66" s="70"/>
    </row>
    <row r="67" spans="1:11" hidden="1" x14ac:dyDescent="0.35">
      <c r="A67" s="136" t="s">
        <v>54</v>
      </c>
      <c r="B67" s="137"/>
      <c r="C67" s="91" t="s">
        <v>217</v>
      </c>
      <c r="D67" s="92" t="s">
        <v>117</v>
      </c>
      <c r="E67" s="137" t="s">
        <v>119</v>
      </c>
      <c r="F67" s="137"/>
      <c r="G67" s="137" t="s">
        <v>118</v>
      </c>
      <c r="H67" s="138"/>
      <c r="I67" s="66" t="s">
        <v>143</v>
      </c>
      <c r="J67" s="29"/>
      <c r="K67" s="30"/>
    </row>
    <row r="68" spans="1:11" hidden="1" x14ac:dyDescent="0.35">
      <c r="A68" s="107" t="s">
        <v>218</v>
      </c>
      <c r="B68" s="108"/>
      <c r="C68" s="39">
        <f ca="1">K71</f>
        <v>1</v>
      </c>
      <c r="D68" s="62">
        <f ca="1">((100/H64)*C68)/100</f>
        <v>1</v>
      </c>
      <c r="E68" s="109" t="str">
        <f>(IF(C65=I65,"100%",IF(C65=I67,"100%",(((C69/H64*10)+(40/(C64+F64+H64)*C70)+(7.5/(H64)*C71)+(7.5/(H64)*C72)+(10/H64*C73)+(10/H64*C74)+(5/H64*C75)+(5/H64*C76)+(5/H64*C77))/100))))</f>
        <v>100%</v>
      </c>
      <c r="F68" s="109"/>
      <c r="G68" s="109">
        <f ca="1">((((C68/H64)*20)+((C69/H64)*25)+(30/(H64+F64+C64)*C70)+(5/H64*C71)+(5/H64*C72)+(5/H64*C73)+(5/H64*C74)+(0/H64*C75)+(0/H64*C76)+(5/H64*C77))/100)</f>
        <v>1</v>
      </c>
      <c r="H68" s="111"/>
      <c r="I68" s="66"/>
      <c r="J68" s="29"/>
      <c r="K68" s="30"/>
    </row>
    <row r="69" spans="1:11" hidden="1" x14ac:dyDescent="0.35">
      <c r="A69" s="107" t="s">
        <v>55</v>
      </c>
      <c r="B69" s="108"/>
      <c r="C69" s="39">
        <f ca="1">K76</f>
        <v>1</v>
      </c>
      <c r="D69" s="62">
        <f ca="1">((100/H64)*C69)/100</f>
        <v>1</v>
      </c>
      <c r="E69" s="109"/>
      <c r="F69" s="109"/>
      <c r="G69" s="109"/>
      <c r="H69" s="111"/>
      <c r="I69" s="29"/>
      <c r="J69" s="29"/>
      <c r="K69" s="30"/>
    </row>
    <row r="70" spans="1:11" hidden="1" x14ac:dyDescent="0.35">
      <c r="A70" s="107" t="s">
        <v>219</v>
      </c>
      <c r="B70" s="108"/>
      <c r="C70" s="40">
        <v>2</v>
      </c>
      <c r="D70" s="62">
        <f ca="1">((100/(C64+F64+H64))*C70)/100</f>
        <v>1</v>
      </c>
      <c r="E70" s="109"/>
      <c r="F70" s="109"/>
      <c r="G70" s="109"/>
      <c r="H70" s="111"/>
      <c r="I70" s="67" t="s">
        <v>136</v>
      </c>
      <c r="J70" s="31"/>
      <c r="K70" s="68">
        <f ca="1">H64*50%</f>
        <v>0.5</v>
      </c>
    </row>
    <row r="71" spans="1:11" hidden="1" x14ac:dyDescent="0.35">
      <c r="A71" s="107" t="s">
        <v>220</v>
      </c>
      <c r="B71" s="108" t="s">
        <v>221</v>
      </c>
      <c r="C71" s="39">
        <v>1</v>
      </c>
      <c r="D71" s="62">
        <f ca="1">((100/H64)*C71)/100</f>
        <v>1</v>
      </c>
      <c r="E71" s="109"/>
      <c r="F71" s="109"/>
      <c r="G71" s="109"/>
      <c r="H71" s="111"/>
      <c r="I71" s="67" t="s">
        <v>137</v>
      </c>
      <c r="J71" s="31"/>
      <c r="K71" s="68">
        <f ca="1">H64</f>
        <v>1</v>
      </c>
    </row>
    <row r="72" spans="1:11" hidden="1" x14ac:dyDescent="0.35">
      <c r="A72" s="107" t="s">
        <v>222</v>
      </c>
      <c r="B72" s="108" t="s">
        <v>221</v>
      </c>
      <c r="C72" s="39">
        <v>1</v>
      </c>
      <c r="D72" s="62">
        <f ca="1">((100/H64)*C72)/100</f>
        <v>1</v>
      </c>
      <c r="E72" s="109"/>
      <c r="F72" s="109"/>
      <c r="G72" s="109"/>
      <c r="H72" s="111"/>
      <c r="I72" s="67"/>
      <c r="J72" s="31"/>
      <c r="K72" s="68"/>
    </row>
    <row r="73" spans="1:11" ht="15" hidden="1" customHeight="1" x14ac:dyDescent="0.35">
      <c r="A73" s="107" t="s">
        <v>223</v>
      </c>
      <c r="B73" s="108" t="s">
        <v>224</v>
      </c>
      <c r="C73" s="39">
        <v>1</v>
      </c>
      <c r="D73" s="62">
        <f ca="1">((100/(H64))*C73)/100</f>
        <v>1</v>
      </c>
      <c r="E73" s="109"/>
      <c r="F73" s="109"/>
      <c r="G73" s="109"/>
      <c r="H73" s="111"/>
      <c r="I73" s="67" t="s">
        <v>138</v>
      </c>
      <c r="J73" s="31"/>
      <c r="K73" s="68">
        <f ca="1">H64*25%</f>
        <v>0.25</v>
      </c>
    </row>
    <row r="74" spans="1:11" hidden="1" x14ac:dyDescent="0.35">
      <c r="A74" s="107" t="s">
        <v>225</v>
      </c>
      <c r="B74" s="108" t="s">
        <v>225</v>
      </c>
      <c r="C74" s="39">
        <v>1</v>
      </c>
      <c r="D74" s="62">
        <f ca="1">((100/H64)*C74)/100</f>
        <v>1</v>
      </c>
      <c r="E74" s="109"/>
      <c r="F74" s="109"/>
      <c r="G74" s="109"/>
      <c r="H74" s="111"/>
      <c r="I74" s="67" t="s">
        <v>139</v>
      </c>
      <c r="J74" s="31"/>
      <c r="K74" s="68">
        <f ca="1">H64*50%</f>
        <v>0.5</v>
      </c>
    </row>
    <row r="75" spans="1:11" hidden="1" x14ac:dyDescent="0.35">
      <c r="A75" s="107" t="s">
        <v>226</v>
      </c>
      <c r="B75" s="108"/>
      <c r="C75" s="39">
        <v>1</v>
      </c>
      <c r="D75" s="62">
        <f ca="1">((100/H64)*C75)/100</f>
        <v>1</v>
      </c>
      <c r="E75" s="109"/>
      <c r="F75" s="109"/>
      <c r="G75" s="109"/>
      <c r="H75" s="111"/>
      <c r="I75" s="67" t="s">
        <v>140</v>
      </c>
      <c r="J75" s="31"/>
      <c r="K75" s="68">
        <f ca="1">H64*75%</f>
        <v>0.75</v>
      </c>
    </row>
    <row r="76" spans="1:11" ht="15" hidden="1" customHeight="1" x14ac:dyDescent="0.35">
      <c r="A76" s="107" t="s">
        <v>227</v>
      </c>
      <c r="B76" s="108" t="s">
        <v>227</v>
      </c>
      <c r="C76" s="39">
        <v>1</v>
      </c>
      <c r="D76" s="62">
        <f ca="1">((100/(H64))*C76)/100</f>
        <v>1</v>
      </c>
      <c r="E76" s="109"/>
      <c r="F76" s="109"/>
      <c r="G76" s="109"/>
      <c r="H76" s="111"/>
      <c r="I76" s="67" t="s">
        <v>141</v>
      </c>
      <c r="J76" s="31"/>
      <c r="K76" s="68">
        <f ca="1">H64</f>
        <v>1</v>
      </c>
    </row>
    <row r="77" spans="1:11" ht="16" hidden="1" thickBot="1" x14ac:dyDescent="0.4">
      <c r="A77" s="113" t="s">
        <v>228</v>
      </c>
      <c r="B77" s="114"/>
      <c r="C77" s="75">
        <v>1</v>
      </c>
      <c r="D77" s="63">
        <f ca="1">((100/(H64))*C77)/100</f>
        <v>1</v>
      </c>
      <c r="E77" s="110"/>
      <c r="F77" s="110"/>
      <c r="G77" s="110"/>
      <c r="H77" s="112"/>
      <c r="I77" s="69"/>
      <c r="J77" s="69"/>
      <c r="K77" s="70"/>
    </row>
    <row r="78" spans="1:11" ht="15.75" customHeight="1" x14ac:dyDescent="0.35">
      <c r="A78" s="115" t="s">
        <v>215</v>
      </c>
      <c r="B78" s="116"/>
      <c r="C78" s="117" t="s">
        <v>264</v>
      </c>
      <c r="D78" s="118"/>
      <c r="E78" s="118"/>
      <c r="F78" s="118"/>
      <c r="G78" s="118"/>
      <c r="H78" s="119"/>
      <c r="I78" s="65" t="str">
        <f ca="1">(IF(C83=0,"Work not yet Started.",IF(D83=50%,"Excavation work in process",IF(D83=100%,"Excavation work completed, ","0")))&amp;(IF(C84=0%,"",IF(D84=25%,"Footing work is process",IF(D84=50%,"Footing work Completed",IF(D84=75%,"Plinth work is process",IF(D84=100%,"Plinth work completed","0"))))))&amp;(IF(C85&gt;0,", RCC upto "&amp;C85&amp;" Slab completed",""))&amp;(IF(C86&gt;0,", Brickwork upto "&amp;C86&amp;" Floor completed"," "))&amp;(IF(C87&gt;0,", Internal Plaster upto "&amp;C87&amp;" Floor completed"," "))&amp;(IF(C88&gt;0,", External Plaster upto "&amp;C88&amp;" Floor completed"," "))&amp;(IF(C89&gt;0,", Flooring upto "&amp;C89&amp;" Floor completed"," "))&amp;(IF(C90&gt;0,", Painting upto "&amp;C90&amp;" Floor completed"," "))&amp;(IF(C91&gt;0,", Finishing upto "&amp;C91&amp;" Floor completed"," ")))</f>
        <v>Excavation work completed, Plinth work completed, RCC upto 15 Slab completed, Brickwork upto 14 Floor completed, Internal Plaster upto 14 Floor completed, External Plaster upto 14 Floor completed, Flooring upto 14 Floor completed, Painting upto 14 Floor completed, Finishing upto 14 Floor completed</v>
      </c>
      <c r="J78" s="25"/>
      <c r="K78" s="26"/>
    </row>
    <row r="79" spans="1:11" x14ac:dyDescent="0.35">
      <c r="A79" s="120" t="s">
        <v>105</v>
      </c>
      <c r="B79" s="121"/>
      <c r="C79" s="121">
        <v>1</v>
      </c>
      <c r="D79" s="121"/>
      <c r="E79" s="74" t="s">
        <v>104</v>
      </c>
      <c r="F79" s="74">
        <v>0</v>
      </c>
      <c r="G79" s="74" t="s">
        <v>114</v>
      </c>
      <c r="H79" s="37">
        <f ca="1">--TRIM(RIGHT(SUBSTITUTE(LEFT(C78,_xlfn.AGGREGATE(16,6,FIND({0,1,2,3,4,5,6,7,8,9},C78,ROW(INDIRECT("1:"&amp;LEN(C78)))),1))," ",REPT(" ",LEN(C78))),LEN(C78)))</f>
        <v>14</v>
      </c>
      <c r="I79" s="66" t="s">
        <v>142</v>
      </c>
      <c r="J79" s="27"/>
      <c r="K79" s="28"/>
    </row>
    <row r="80" spans="1:11" ht="16" thickBot="1" x14ac:dyDescent="0.4">
      <c r="A80" s="122" t="s">
        <v>125</v>
      </c>
      <c r="B80" s="123"/>
      <c r="C80" s="124" t="str">
        <f>I80</f>
        <v>All work Completed. Provide OC.</v>
      </c>
      <c r="D80" s="124"/>
      <c r="E80" s="124"/>
      <c r="F80" s="124"/>
      <c r="G80" s="124"/>
      <c r="H80" s="125"/>
      <c r="I80" s="66" t="s">
        <v>216</v>
      </c>
      <c r="J80" s="27"/>
      <c r="K80" s="28"/>
    </row>
    <row r="81" spans="1:11" ht="31.5" customHeight="1" thickBot="1" x14ac:dyDescent="0.4">
      <c r="A81" s="127" t="s">
        <v>119</v>
      </c>
      <c r="B81" s="128"/>
      <c r="C81" s="130">
        <v>1</v>
      </c>
      <c r="D81" s="128"/>
      <c r="E81" s="128" t="s">
        <v>118</v>
      </c>
      <c r="F81" s="129"/>
      <c r="G81" s="130">
        <v>1</v>
      </c>
      <c r="H81" s="128"/>
      <c r="I81" s="69"/>
      <c r="J81" s="69"/>
      <c r="K81" s="70"/>
    </row>
    <row r="82" spans="1:11" hidden="1" x14ac:dyDescent="0.35">
      <c r="A82" s="107" t="s">
        <v>54</v>
      </c>
      <c r="B82" s="108"/>
      <c r="C82" s="38" t="s">
        <v>217</v>
      </c>
      <c r="D82" s="71" t="s">
        <v>117</v>
      </c>
      <c r="E82" s="108" t="s">
        <v>119</v>
      </c>
      <c r="F82" s="108"/>
      <c r="G82" s="108" t="s">
        <v>118</v>
      </c>
      <c r="H82" s="126"/>
      <c r="I82" s="66" t="s">
        <v>143</v>
      </c>
      <c r="J82" s="29"/>
      <c r="K82" s="30"/>
    </row>
    <row r="83" spans="1:11" hidden="1" x14ac:dyDescent="0.35">
      <c r="A83" s="107" t="s">
        <v>218</v>
      </c>
      <c r="B83" s="108"/>
      <c r="C83" s="39">
        <f ca="1">K86</f>
        <v>14</v>
      </c>
      <c r="D83" s="72">
        <f ca="1">((100/H79)*C83)/100</f>
        <v>1</v>
      </c>
      <c r="E83" s="109" t="str">
        <f>(IF(C80=I80,"100%",IF(C80=I82,"100%",(((C84/H79*10)+(40/(C79+F79+H79)*C85)+(7.5/(H79)*C86)+(7.5/(H79)*C87)+(10/H79*C88)+(10/H79*C89)+(5/H79*C90)+(5/H79*C91)+(5/H79*C92))/100))))</f>
        <v>100%</v>
      </c>
      <c r="F83" s="109"/>
      <c r="G83" s="109">
        <f ca="1">((((C83/H79)*20)+((C84/H79)*25)+(30/(H79+F79+C79)*C85)+(5/H79*C86)+(5/H79*C87)+(5/H79*C88)+(5/H79*C89)+(0/H79*C90)+(0/H79*C91)+(5/H79*C92))/100)</f>
        <v>1</v>
      </c>
      <c r="H83" s="111"/>
      <c r="I83" s="66"/>
      <c r="J83" s="29"/>
      <c r="K83" s="30"/>
    </row>
    <row r="84" spans="1:11" hidden="1" x14ac:dyDescent="0.35">
      <c r="A84" s="107" t="s">
        <v>55</v>
      </c>
      <c r="B84" s="108"/>
      <c r="C84" s="39">
        <f ca="1">K91</f>
        <v>14</v>
      </c>
      <c r="D84" s="72">
        <f ca="1">((100/H79)*C84)/100</f>
        <v>1</v>
      </c>
      <c r="E84" s="109"/>
      <c r="F84" s="109"/>
      <c r="G84" s="109"/>
      <c r="H84" s="111"/>
      <c r="I84" s="29"/>
      <c r="J84" s="29"/>
      <c r="K84" s="30"/>
    </row>
    <row r="85" spans="1:11" hidden="1" x14ac:dyDescent="0.35">
      <c r="A85" s="107" t="s">
        <v>219</v>
      </c>
      <c r="B85" s="108"/>
      <c r="C85" s="40">
        <v>15</v>
      </c>
      <c r="D85" s="72">
        <f ca="1">((100/(C79+F79+H79))*C85)/100</f>
        <v>1</v>
      </c>
      <c r="E85" s="109"/>
      <c r="F85" s="109"/>
      <c r="G85" s="109"/>
      <c r="H85" s="111"/>
      <c r="I85" s="67" t="s">
        <v>136</v>
      </c>
      <c r="J85" s="31"/>
      <c r="K85" s="68">
        <f ca="1">H79*50%</f>
        <v>7</v>
      </c>
    </row>
    <row r="86" spans="1:11" hidden="1" x14ac:dyDescent="0.35">
      <c r="A86" s="107" t="s">
        <v>220</v>
      </c>
      <c r="B86" s="108" t="s">
        <v>221</v>
      </c>
      <c r="C86" s="39">
        <v>14</v>
      </c>
      <c r="D86" s="72">
        <f ca="1">((100/H79)*C86)/100</f>
        <v>1</v>
      </c>
      <c r="E86" s="109"/>
      <c r="F86" s="109"/>
      <c r="G86" s="109"/>
      <c r="H86" s="111"/>
      <c r="I86" s="67" t="s">
        <v>137</v>
      </c>
      <c r="J86" s="31"/>
      <c r="K86" s="68">
        <f ca="1">H79</f>
        <v>14</v>
      </c>
    </row>
    <row r="87" spans="1:11" hidden="1" x14ac:dyDescent="0.35">
      <c r="A87" s="107" t="s">
        <v>222</v>
      </c>
      <c r="B87" s="108" t="s">
        <v>221</v>
      </c>
      <c r="C87" s="39">
        <v>14</v>
      </c>
      <c r="D87" s="72">
        <f ca="1">((100/H79)*C87)/100</f>
        <v>1</v>
      </c>
      <c r="E87" s="109"/>
      <c r="F87" s="109"/>
      <c r="G87" s="109"/>
      <c r="H87" s="111"/>
      <c r="I87" s="67"/>
      <c r="J87" s="31"/>
      <c r="K87" s="68"/>
    </row>
    <row r="88" spans="1:11" ht="15" hidden="1" customHeight="1" x14ac:dyDescent="0.35">
      <c r="A88" s="107" t="s">
        <v>223</v>
      </c>
      <c r="B88" s="108" t="s">
        <v>224</v>
      </c>
      <c r="C88" s="39">
        <v>14</v>
      </c>
      <c r="D88" s="72">
        <f ca="1">((100/(H79))*C88)/100</f>
        <v>1</v>
      </c>
      <c r="E88" s="109"/>
      <c r="F88" s="109"/>
      <c r="G88" s="109"/>
      <c r="H88" s="111"/>
      <c r="I88" s="67" t="s">
        <v>138</v>
      </c>
      <c r="J88" s="31"/>
      <c r="K88" s="68">
        <f ca="1">H79*25%</f>
        <v>3.5</v>
      </c>
    </row>
    <row r="89" spans="1:11" hidden="1" x14ac:dyDescent="0.35">
      <c r="A89" s="107" t="s">
        <v>225</v>
      </c>
      <c r="B89" s="108" t="s">
        <v>225</v>
      </c>
      <c r="C89" s="39">
        <v>14</v>
      </c>
      <c r="D89" s="72">
        <f ca="1">((100/H79)*C89)/100</f>
        <v>1</v>
      </c>
      <c r="E89" s="109"/>
      <c r="F89" s="109"/>
      <c r="G89" s="109"/>
      <c r="H89" s="111"/>
      <c r="I89" s="67" t="s">
        <v>139</v>
      </c>
      <c r="J89" s="31"/>
      <c r="K89" s="68">
        <f ca="1">H79*50%</f>
        <v>7</v>
      </c>
    </row>
    <row r="90" spans="1:11" hidden="1" x14ac:dyDescent="0.35">
      <c r="A90" s="107" t="s">
        <v>226</v>
      </c>
      <c r="B90" s="108"/>
      <c r="C90" s="39">
        <v>14</v>
      </c>
      <c r="D90" s="72">
        <f ca="1">((100/H79)*C90)/100</f>
        <v>1</v>
      </c>
      <c r="E90" s="109"/>
      <c r="F90" s="109"/>
      <c r="G90" s="109"/>
      <c r="H90" s="111"/>
      <c r="I90" s="67" t="s">
        <v>140</v>
      </c>
      <c r="J90" s="31"/>
      <c r="K90" s="68">
        <f ca="1">H79*75%</f>
        <v>10.5</v>
      </c>
    </row>
    <row r="91" spans="1:11" ht="15" hidden="1" customHeight="1" x14ac:dyDescent="0.35">
      <c r="A91" s="107" t="s">
        <v>227</v>
      </c>
      <c r="B91" s="108" t="s">
        <v>227</v>
      </c>
      <c r="C91" s="39">
        <v>14</v>
      </c>
      <c r="D91" s="72">
        <f ca="1">((100/(H79))*C91)/100</f>
        <v>1</v>
      </c>
      <c r="E91" s="109"/>
      <c r="F91" s="109"/>
      <c r="G91" s="109"/>
      <c r="H91" s="111"/>
      <c r="I91" s="67" t="s">
        <v>141</v>
      </c>
      <c r="J91" s="31"/>
      <c r="K91" s="68">
        <f ca="1">H79</f>
        <v>14</v>
      </c>
    </row>
    <row r="92" spans="1:11" ht="16" hidden="1" thickBot="1" x14ac:dyDescent="0.4">
      <c r="A92" s="113" t="s">
        <v>228</v>
      </c>
      <c r="B92" s="114"/>
      <c r="C92" s="75">
        <v>14</v>
      </c>
      <c r="D92" s="73">
        <f ca="1">((100/(H79))*C92)/100</f>
        <v>1</v>
      </c>
      <c r="E92" s="110"/>
      <c r="F92" s="110"/>
      <c r="G92" s="110"/>
      <c r="H92" s="112"/>
      <c r="I92" s="69"/>
      <c r="J92" s="69"/>
      <c r="K92" s="70"/>
    </row>
    <row r="93" spans="1:11" ht="15.75" customHeight="1" x14ac:dyDescent="0.35">
      <c r="A93" s="115" t="s">
        <v>215</v>
      </c>
      <c r="B93" s="116"/>
      <c r="C93" s="117" t="s">
        <v>276</v>
      </c>
      <c r="D93" s="118"/>
      <c r="E93" s="118"/>
      <c r="F93" s="118"/>
      <c r="G93" s="118"/>
      <c r="H93" s="119"/>
      <c r="I93" s="65" t="str">
        <f ca="1">(IF(C97=0,"Work not yet Started.",IF(D97=50%,"Excavation work in process",IF(D97=100%,"Excavation work completed, ","0")))&amp;(IF(C98=0%,"",IF(D98=25%,"Footing work is process",IF(D98=50%,"Footing work Completed",IF(D98=75%,"Plinth work is process",IF(D98=100%,"Plinth work completed","0"))))))&amp;(IF(C99&gt;0,", RCC upto "&amp;C99&amp;" Slab completed",""))&amp;(IF(C100&gt;0,", Brickwork upto "&amp;C100&amp;" Floor completed"," "))&amp;(IF(C101&gt;0,", Internal Plaster upto "&amp;C101&amp;" Floor completed"," "))&amp;(IF(C102&gt;0,", External Plaster upto "&amp;C102&amp;" Floor completed"," "))&amp;(IF(C103&gt;0,", Flooring upto "&amp;C103&amp;" Floor completed"," "))&amp;(IF(C104&gt;0,", Painting upto "&amp;C104&amp;" Floor completed"," "))&amp;(IF(C105&gt;0,", Finishing upto "&amp;C105&amp;" Floor completed"," ")))</f>
        <v xml:space="preserve">Excavation work completed, Plinth work completed, RCC upto 15 Slab completed, Brickwork upto 14 Floor completed, Internal Plaster upto 14 Floor completed, External Plaster upto 14 Floor completed, Flooring upto 13 Floor completed, Painting upto 9 Floor completed </v>
      </c>
      <c r="J93" s="25"/>
      <c r="K93" s="26"/>
    </row>
    <row r="94" spans="1:11" x14ac:dyDescent="0.35">
      <c r="A94" s="120" t="s">
        <v>105</v>
      </c>
      <c r="B94" s="121"/>
      <c r="C94" s="121">
        <v>1</v>
      </c>
      <c r="D94" s="121"/>
      <c r="E94" s="64" t="s">
        <v>104</v>
      </c>
      <c r="F94" s="64">
        <v>0</v>
      </c>
      <c r="G94" s="64" t="s">
        <v>114</v>
      </c>
      <c r="H94" s="37">
        <f ca="1">--TRIM(RIGHT(SUBSTITUTE(LEFT(C93,_xlfn.AGGREGATE(16,6,FIND({0,1,2,3,4,5,6,7,8,9},C93,ROW(INDIRECT("1:"&amp;LEN(C93)))),1))," ",REPT(" ",LEN(C93))),LEN(C93)))</f>
        <v>14</v>
      </c>
      <c r="I94" s="66" t="s">
        <v>142</v>
      </c>
      <c r="J94" s="27"/>
      <c r="K94" s="28"/>
    </row>
    <row r="95" spans="1:11" ht="63.5" customHeight="1" x14ac:dyDescent="0.35">
      <c r="A95" s="122" t="s">
        <v>125</v>
      </c>
      <c r="B95" s="123"/>
      <c r="C95" s="124" t="str">
        <f ca="1">I93</f>
        <v xml:space="preserve">Excavation work completed, Plinth work completed, RCC upto 15 Slab completed, Brickwork upto 14 Floor completed, Internal Plaster upto 14 Floor completed, External Plaster upto 14 Floor completed, Flooring upto 13 Floor completed, Painting upto 9 Floor completed </v>
      </c>
      <c r="D95" s="124"/>
      <c r="E95" s="124"/>
      <c r="F95" s="124"/>
      <c r="G95" s="124"/>
      <c r="H95" s="125"/>
      <c r="I95" s="66" t="s">
        <v>216</v>
      </c>
      <c r="J95" s="27"/>
      <c r="K95" s="28"/>
    </row>
    <row r="96" spans="1:11" x14ac:dyDescent="0.35">
      <c r="A96" s="107" t="s">
        <v>54</v>
      </c>
      <c r="B96" s="108"/>
      <c r="C96" s="38" t="s">
        <v>217</v>
      </c>
      <c r="D96" s="61" t="s">
        <v>117</v>
      </c>
      <c r="E96" s="108" t="s">
        <v>119</v>
      </c>
      <c r="F96" s="108"/>
      <c r="G96" s="108" t="s">
        <v>118</v>
      </c>
      <c r="H96" s="126"/>
      <c r="I96" s="66" t="s">
        <v>143</v>
      </c>
      <c r="J96" s="29"/>
      <c r="K96" s="30"/>
    </row>
    <row r="97" spans="1:11" x14ac:dyDescent="0.35">
      <c r="A97" s="107" t="s">
        <v>218</v>
      </c>
      <c r="B97" s="108"/>
      <c r="C97" s="88">
        <f ca="1">K100</f>
        <v>14</v>
      </c>
      <c r="D97" s="89">
        <f ca="1">((100/H94)*C97)/100</f>
        <v>1</v>
      </c>
      <c r="E97" s="109">
        <f ca="1">(IF(C95=I95,"100%",IF(C95=I96,"100%",(((C98/H94*10)+(40/(C94+F94+H94)*C99)+(7.5/(H94)*C100)+(7.5/(H94)*C101)+(10/H94*C102)+(10/H94*C103)+(5/H94*C104)+(5/H94*C105)+(5/H94*C106))/100))))</f>
        <v>0.875</v>
      </c>
      <c r="F97" s="109"/>
      <c r="G97" s="109">
        <f ca="1">((((C97/H94)*20)+((C98/H94)*25)+(30/(H94+F94+C94)*C99)+(5/H94*C100)+(5/H94*C101)+(5/H94*C102)+(5/H94*C103)+(0/H94*C104)+(0/H94*C105)+(5/H94*C106))/100)</f>
        <v>0.9464285714285714</v>
      </c>
      <c r="H97" s="111"/>
      <c r="I97" s="66"/>
      <c r="J97" s="29"/>
      <c r="K97" s="30"/>
    </row>
    <row r="98" spans="1:11" x14ac:dyDescent="0.35">
      <c r="A98" s="107" t="s">
        <v>55</v>
      </c>
      <c r="B98" s="108"/>
      <c r="C98" s="88">
        <f ca="1">K105</f>
        <v>14</v>
      </c>
      <c r="D98" s="89">
        <f ca="1">((100/H94)*C98)/100</f>
        <v>1</v>
      </c>
      <c r="E98" s="109"/>
      <c r="F98" s="109"/>
      <c r="G98" s="109"/>
      <c r="H98" s="111"/>
      <c r="I98" s="29"/>
      <c r="J98" s="29"/>
      <c r="K98" s="30"/>
    </row>
    <row r="99" spans="1:11" x14ac:dyDescent="0.35">
      <c r="A99" s="107" t="s">
        <v>219</v>
      </c>
      <c r="B99" s="108"/>
      <c r="C99" s="90">
        <v>15</v>
      </c>
      <c r="D99" s="89">
        <f ca="1">((100/(C94+F94+H94))*C99)/100</f>
        <v>1</v>
      </c>
      <c r="E99" s="109"/>
      <c r="F99" s="109"/>
      <c r="G99" s="109"/>
      <c r="H99" s="111"/>
      <c r="I99" s="67" t="s">
        <v>136</v>
      </c>
      <c r="J99" s="31"/>
      <c r="K99" s="68">
        <f ca="1">H94*50%</f>
        <v>7</v>
      </c>
    </row>
    <row r="100" spans="1:11" x14ac:dyDescent="0.35">
      <c r="A100" s="107" t="s">
        <v>220</v>
      </c>
      <c r="B100" s="108" t="s">
        <v>221</v>
      </c>
      <c r="C100" s="39">
        <v>14</v>
      </c>
      <c r="D100" s="62">
        <f ca="1">((100/H94)*C100)/100</f>
        <v>1</v>
      </c>
      <c r="E100" s="109"/>
      <c r="F100" s="109"/>
      <c r="G100" s="109"/>
      <c r="H100" s="111"/>
      <c r="I100" s="67" t="s">
        <v>137</v>
      </c>
      <c r="J100" s="31"/>
      <c r="K100" s="68">
        <f ca="1">H94</f>
        <v>14</v>
      </c>
    </row>
    <row r="101" spans="1:11" x14ac:dyDescent="0.35">
      <c r="A101" s="107" t="s">
        <v>222</v>
      </c>
      <c r="B101" s="108" t="s">
        <v>221</v>
      </c>
      <c r="C101" s="39">
        <v>14</v>
      </c>
      <c r="D101" s="62">
        <f ca="1">((100/H94)*C101)/100</f>
        <v>1</v>
      </c>
      <c r="E101" s="109"/>
      <c r="F101" s="109"/>
      <c r="G101" s="109"/>
      <c r="H101" s="111"/>
      <c r="I101" s="67"/>
      <c r="J101" s="31"/>
      <c r="K101" s="68"/>
    </row>
    <row r="102" spans="1:11" ht="15" customHeight="1" x14ac:dyDescent="0.35">
      <c r="A102" s="107" t="s">
        <v>223</v>
      </c>
      <c r="B102" s="108" t="s">
        <v>224</v>
      </c>
      <c r="C102" s="39">
        <v>14</v>
      </c>
      <c r="D102" s="62">
        <f ca="1">((100/(H94))*C102)/100</f>
        <v>1</v>
      </c>
      <c r="E102" s="109"/>
      <c r="F102" s="109"/>
      <c r="G102" s="109"/>
      <c r="H102" s="111"/>
      <c r="I102" s="67" t="s">
        <v>138</v>
      </c>
      <c r="J102" s="31"/>
      <c r="K102" s="68">
        <f ca="1">H94*25%</f>
        <v>3.5</v>
      </c>
    </row>
    <row r="103" spans="1:11" x14ac:dyDescent="0.35">
      <c r="A103" s="107" t="s">
        <v>225</v>
      </c>
      <c r="B103" s="108" t="s">
        <v>225</v>
      </c>
      <c r="C103" s="39">
        <v>13</v>
      </c>
      <c r="D103" s="62">
        <f ca="1">((100/H94)*C103)/100</f>
        <v>0.9285714285714286</v>
      </c>
      <c r="E103" s="109"/>
      <c r="F103" s="109"/>
      <c r="G103" s="109"/>
      <c r="H103" s="111"/>
      <c r="I103" s="67" t="s">
        <v>139</v>
      </c>
      <c r="J103" s="31"/>
      <c r="K103" s="68">
        <f ca="1">H94*50%</f>
        <v>7</v>
      </c>
    </row>
    <row r="104" spans="1:11" x14ac:dyDescent="0.35">
      <c r="A104" s="107" t="s">
        <v>226</v>
      </c>
      <c r="B104" s="108"/>
      <c r="C104" s="39">
        <v>9</v>
      </c>
      <c r="D104" s="62">
        <f ca="1">((100/H94)*C104)/100</f>
        <v>0.6428571428571429</v>
      </c>
      <c r="E104" s="109"/>
      <c r="F104" s="109"/>
      <c r="G104" s="109"/>
      <c r="H104" s="111"/>
      <c r="I104" s="67" t="s">
        <v>140</v>
      </c>
      <c r="J104" s="31"/>
      <c r="K104" s="68">
        <f ca="1">H94*75%</f>
        <v>10.5</v>
      </c>
    </row>
    <row r="105" spans="1:11" ht="15" customHeight="1" x14ac:dyDescent="0.35">
      <c r="A105" s="107" t="s">
        <v>227</v>
      </c>
      <c r="B105" s="108" t="s">
        <v>227</v>
      </c>
      <c r="C105" s="39">
        <v>0</v>
      </c>
      <c r="D105" s="62">
        <f ca="1">((100/(H94))*C105)/100</f>
        <v>0</v>
      </c>
      <c r="E105" s="109"/>
      <c r="F105" s="109"/>
      <c r="G105" s="109"/>
      <c r="H105" s="111"/>
      <c r="I105" s="67" t="s">
        <v>141</v>
      </c>
      <c r="J105" s="31"/>
      <c r="K105" s="68">
        <f ca="1">H94</f>
        <v>14</v>
      </c>
    </row>
    <row r="106" spans="1:11" ht="16" thickBot="1" x14ac:dyDescent="0.4">
      <c r="A106" s="113" t="s">
        <v>228</v>
      </c>
      <c r="B106" s="114"/>
      <c r="C106" s="75">
        <v>0</v>
      </c>
      <c r="D106" s="63">
        <f ca="1">((100/(H94))*C106)/100</f>
        <v>0</v>
      </c>
      <c r="E106" s="110"/>
      <c r="F106" s="110"/>
      <c r="G106" s="110"/>
      <c r="H106" s="112"/>
      <c r="I106" s="69"/>
      <c r="J106" s="69"/>
      <c r="K106" s="70"/>
    </row>
    <row r="107" spans="1:11" x14ac:dyDescent="0.35">
      <c r="A107" s="153" t="s">
        <v>176</v>
      </c>
      <c r="B107" s="153"/>
      <c r="C107" s="153"/>
      <c r="D107" s="153"/>
      <c r="E107" s="153"/>
      <c r="F107" s="153"/>
      <c r="G107" s="153"/>
      <c r="H107" s="153"/>
    </row>
    <row r="108" spans="1:11" x14ac:dyDescent="0.35">
      <c r="A108" s="140" t="s">
        <v>56</v>
      </c>
      <c r="B108" s="140"/>
      <c r="C108" s="140"/>
      <c r="D108" s="140"/>
      <c r="E108" s="140"/>
      <c r="F108" s="140"/>
      <c r="G108" s="140"/>
      <c r="H108" s="140"/>
    </row>
    <row r="109" spans="1:11" ht="15" customHeight="1" x14ac:dyDescent="0.35">
      <c r="A109" s="123" t="s">
        <v>107</v>
      </c>
      <c r="B109" s="123"/>
      <c r="C109" s="124" t="s">
        <v>108</v>
      </c>
      <c r="D109" s="124"/>
      <c r="E109" s="124"/>
      <c r="F109" s="124"/>
      <c r="G109" s="124"/>
      <c r="H109" s="124"/>
    </row>
    <row r="110" spans="1:11" x14ac:dyDescent="0.35">
      <c r="A110" s="154" t="s">
        <v>57</v>
      </c>
      <c r="B110" s="154"/>
      <c r="C110" s="154"/>
      <c r="D110" s="154"/>
      <c r="E110" s="154"/>
      <c r="F110" s="154"/>
      <c r="G110" s="154"/>
      <c r="H110" s="154"/>
    </row>
    <row r="111" spans="1:11" x14ac:dyDescent="0.35">
      <c r="A111" s="140" t="s">
        <v>109</v>
      </c>
      <c r="B111" s="140"/>
      <c r="C111" s="140"/>
      <c r="D111" s="140"/>
      <c r="E111" s="140"/>
      <c r="F111" s="139">
        <v>5600</v>
      </c>
      <c r="G111" s="139"/>
      <c r="H111" s="139"/>
      <c r="I111" s="8" t="s">
        <v>282</v>
      </c>
    </row>
    <row r="112" spans="1:11" s="13" customFormat="1" x14ac:dyDescent="0.3">
      <c r="A112" s="140" t="s">
        <v>212</v>
      </c>
      <c r="B112" s="140"/>
      <c r="C112" s="140"/>
      <c r="D112" s="140"/>
      <c r="E112" s="140"/>
      <c r="F112" s="139">
        <v>5500</v>
      </c>
      <c r="G112" s="139"/>
      <c r="H112" s="139"/>
    </row>
    <row r="113" spans="1:8" s="13" customFormat="1" hidden="1" x14ac:dyDescent="0.3">
      <c r="A113" s="140" t="s">
        <v>130</v>
      </c>
      <c r="B113" s="140"/>
      <c r="C113" s="140"/>
      <c r="D113" s="140"/>
      <c r="E113" s="140"/>
      <c r="F113" s="139" t="s">
        <v>32</v>
      </c>
      <c r="G113" s="139"/>
      <c r="H113" s="139"/>
    </row>
    <row r="114" spans="1:8" s="13" customFormat="1" hidden="1" x14ac:dyDescent="0.3">
      <c r="A114" s="140" t="s">
        <v>131</v>
      </c>
      <c r="B114" s="140"/>
      <c r="C114" s="140"/>
      <c r="D114" s="140"/>
      <c r="E114" s="140"/>
      <c r="F114" s="139" t="s">
        <v>32</v>
      </c>
      <c r="G114" s="139"/>
      <c r="H114" s="139"/>
    </row>
    <row r="115" spans="1:8" s="13" customFormat="1" hidden="1" x14ac:dyDescent="0.3">
      <c r="A115" s="140" t="s">
        <v>132</v>
      </c>
      <c r="B115" s="140"/>
      <c r="C115" s="140"/>
      <c r="D115" s="140"/>
      <c r="E115" s="140"/>
      <c r="F115" s="139" t="s">
        <v>32</v>
      </c>
      <c r="G115" s="139"/>
      <c r="H115" s="139"/>
    </row>
    <row r="116" spans="1:8" s="13" customFormat="1" hidden="1" x14ac:dyDescent="0.3">
      <c r="A116" s="140" t="s">
        <v>133</v>
      </c>
      <c r="B116" s="140"/>
      <c r="C116" s="140"/>
      <c r="D116" s="140"/>
      <c r="E116" s="140"/>
      <c r="F116" s="139" t="s">
        <v>32</v>
      </c>
      <c r="G116" s="139"/>
      <c r="H116" s="139"/>
    </row>
    <row r="117" spans="1:8" s="13" customFormat="1" hidden="1" x14ac:dyDescent="0.3">
      <c r="A117" s="140" t="s">
        <v>134</v>
      </c>
      <c r="B117" s="140"/>
      <c r="C117" s="140"/>
      <c r="D117" s="140"/>
      <c r="E117" s="140"/>
      <c r="F117" s="139" t="s">
        <v>32</v>
      </c>
      <c r="G117" s="139"/>
      <c r="H117" s="139"/>
    </row>
    <row r="118" spans="1:8" s="13" customFormat="1" x14ac:dyDescent="0.3">
      <c r="A118" s="140" t="s">
        <v>198</v>
      </c>
      <c r="B118" s="140"/>
      <c r="C118" s="140"/>
      <c r="D118" s="140"/>
      <c r="E118" s="140"/>
      <c r="F118" s="139">
        <v>125000</v>
      </c>
      <c r="G118" s="139"/>
      <c r="H118" s="139"/>
    </row>
    <row r="119" spans="1:8" s="13" customFormat="1" ht="32.25" hidden="1" customHeight="1" x14ac:dyDescent="0.3">
      <c r="A119" s="140" t="s">
        <v>135</v>
      </c>
      <c r="B119" s="140"/>
      <c r="C119" s="140"/>
      <c r="D119" s="140"/>
      <c r="E119" s="140"/>
      <c r="F119" s="139" t="s">
        <v>32</v>
      </c>
      <c r="G119" s="139"/>
      <c r="H119" s="139"/>
    </row>
    <row r="120" spans="1:8" x14ac:dyDescent="0.35">
      <c r="A120" s="140" t="s">
        <v>58</v>
      </c>
      <c r="B120" s="140"/>
      <c r="C120" s="140"/>
      <c r="D120" s="140"/>
      <c r="E120" s="140"/>
      <c r="F120" s="139">
        <v>150000</v>
      </c>
      <c r="G120" s="139"/>
      <c r="H120" s="139"/>
    </row>
    <row r="121" spans="1:8" s="9" customFormat="1" x14ac:dyDescent="0.35">
      <c r="A121" s="154" t="s">
        <v>59</v>
      </c>
      <c r="B121" s="154"/>
      <c r="C121" s="154"/>
      <c r="D121" s="154"/>
      <c r="E121" s="154"/>
      <c r="F121" s="139">
        <f>F111*0.8</f>
        <v>4480</v>
      </c>
      <c r="G121" s="139"/>
      <c r="H121" s="139"/>
    </row>
    <row r="122" spans="1:8" s="1" customFormat="1" x14ac:dyDescent="0.35">
      <c r="A122" s="152" t="s">
        <v>103</v>
      </c>
      <c r="B122" s="152"/>
      <c r="C122" s="152"/>
      <c r="D122" s="152"/>
      <c r="E122" s="152"/>
      <c r="F122" s="152"/>
      <c r="G122" s="152"/>
      <c r="H122" s="152"/>
    </row>
    <row r="123" spans="1:8" s="1" customFormat="1" x14ac:dyDescent="0.35">
      <c r="A123" s="144" t="s">
        <v>60</v>
      </c>
      <c r="B123" s="144"/>
      <c r="C123" s="15" t="s">
        <v>112</v>
      </c>
      <c r="D123" s="145" t="s">
        <v>61</v>
      </c>
      <c r="E123" s="145"/>
      <c r="F123" s="144" t="s">
        <v>62</v>
      </c>
      <c r="G123" s="144"/>
      <c r="H123" s="144"/>
    </row>
    <row r="124" spans="1:8" s="1" customFormat="1" x14ac:dyDescent="0.35">
      <c r="A124" s="147" t="s">
        <v>160</v>
      </c>
      <c r="B124" s="147"/>
      <c r="C124" s="16">
        <f>COUNT(D134)</f>
        <v>1</v>
      </c>
      <c r="D124" s="148">
        <f>SUM(D134)</f>
        <v>1710.7494299999996</v>
      </c>
      <c r="E124" s="148"/>
      <c r="F124" s="149">
        <f>SUM(F134)</f>
        <v>4000</v>
      </c>
      <c r="G124" s="149"/>
      <c r="H124" s="149"/>
    </row>
    <row r="125" spans="1:8" s="1" customFormat="1" x14ac:dyDescent="0.35">
      <c r="A125" s="147" t="s">
        <v>177</v>
      </c>
      <c r="B125" s="147"/>
      <c r="C125" s="16">
        <f>COUNT(D139:D142)*6+COUNT(D144:D147)+COUNT(D149:D150)+COUNT(D152)+COUNT(D154:D157)*2+COUNT(D159:D162)+COUNT(D164:D165)+COUNT(D167)+COUNT(D170:D172)*2</f>
        <v>52</v>
      </c>
      <c r="D125" s="148">
        <f>SUM(D139:D142)*6+SUM(D144:D147)+SUM(D149:D150)+SUM(D152)+SUM(D154:D157)*2+SUM(D159:D162)+SUM(D164:D165)+SUM(D167)+SUM(D170:D172)*2</f>
        <v>21255.816113999997</v>
      </c>
      <c r="E125" s="148"/>
      <c r="F125" s="149">
        <f>SUM(F139:F142)*6+SUM(F144:F147)+SUM(F149:F150)+SUM(F152)+SUM(F154:F157)*2+SUM(F159:F162)+SUM(F164:F165)+SUM(F167)+SUM(F170:F172)*2</f>
        <v>35281.764492600007</v>
      </c>
      <c r="G125" s="149"/>
      <c r="H125" s="149"/>
    </row>
    <row r="126" spans="1:8" s="1" customFormat="1" x14ac:dyDescent="0.35">
      <c r="A126" s="147" t="s">
        <v>178</v>
      </c>
      <c r="B126" s="147"/>
      <c r="C126" s="86">
        <f>COUNT(D176:D179)*6+COUNT(D181:D184)+COUNT(D186:D189)+COUNT(D191:D194)*2+COUNT(D196:D199)+COUNT(D201:D204)+COUNT(D207:D208)*2</f>
        <v>52</v>
      </c>
      <c r="D126" s="211">
        <f>SUM(D176:D179)*6+SUM(D181:D184)+SUM(D186:D189)+SUM(D191:D194)*2+SUM(D196:D199)+SUM(D201:D204)+SUM(D207:D208)*2</f>
        <v>21222.905184000003</v>
      </c>
      <c r="E126" s="211"/>
      <c r="F126" s="212">
        <f>SUM(F176:F179)*6+SUM(F181:F184)+SUM(F186:F189)+SUM(F191:F194)*2+SUM(F196:F199)+SUM(F201:F204)+SUM(F207:F208)*2</f>
        <v>35235.896201999996</v>
      </c>
      <c r="G126" s="212"/>
      <c r="H126" s="212"/>
    </row>
    <row r="127" spans="1:8" s="1" customFormat="1" x14ac:dyDescent="0.35">
      <c r="A127" s="147" t="s">
        <v>179</v>
      </c>
      <c r="B127" s="147"/>
      <c r="C127" s="86">
        <f>COUNT(D213:D216)*6+COUNT(D218:D221)+COUNT(D223:D226)+COUNT(D228:D231)*2+COUNT(D233:D236)+COUNT(D238:D241)+COUNT(D243:D245)*2</f>
        <v>54</v>
      </c>
      <c r="D127" s="211">
        <f>SUM(D213:D216)*6+SUM(D218:D221)+SUM(D223:D226)+SUM(D228:D231)*2+SUM(D233:D236)+SUM(D238:D241)+SUM(D243:D245)*2</f>
        <v>24084.837503999999</v>
      </c>
      <c r="E127" s="211"/>
      <c r="F127" s="212">
        <f>SUM(F213:F216)*6+SUM(F218:F221)+SUM(F223:F226)+SUM(F228:F231)*2+SUM(F233:F236)+SUM(F238:F241)+SUM(F243:F245)*2</f>
        <v>39739.981881599997</v>
      </c>
      <c r="G127" s="212"/>
      <c r="H127" s="212"/>
    </row>
    <row r="128" spans="1:8" s="1" customFormat="1" x14ac:dyDescent="0.35">
      <c r="A128" s="152" t="s">
        <v>64</v>
      </c>
      <c r="B128" s="152"/>
      <c r="C128" s="87">
        <f>SUM(C124:C127)</f>
        <v>159</v>
      </c>
      <c r="D128" s="213">
        <f>SUM(D124:E127)</f>
        <v>68274.308231999996</v>
      </c>
      <c r="E128" s="213"/>
      <c r="F128" s="141">
        <f>SUM(F124:H127)</f>
        <v>114257.64257619999</v>
      </c>
      <c r="G128" s="141"/>
      <c r="H128" s="141"/>
    </row>
    <row r="129" spans="1:11" s="9" customFormat="1" x14ac:dyDescent="0.35">
      <c r="A129" s="143" t="s">
        <v>65</v>
      </c>
      <c r="B129" s="143"/>
      <c r="C129" s="143"/>
      <c r="D129" s="143"/>
      <c r="E129" s="143"/>
      <c r="F129" s="143"/>
      <c r="G129" s="143"/>
      <c r="H129" s="143"/>
    </row>
    <row r="130" spans="1:11" x14ac:dyDescent="0.35">
      <c r="A130" s="143" t="s">
        <v>66</v>
      </c>
      <c r="B130" s="143"/>
      <c r="C130" s="143"/>
      <c r="D130" s="143"/>
      <c r="E130" s="143"/>
      <c r="F130" s="143"/>
      <c r="G130" s="143"/>
      <c r="H130" s="143"/>
    </row>
    <row r="131" spans="1:11" ht="47.25" customHeight="1" x14ac:dyDescent="0.35">
      <c r="A131" s="146" t="s">
        <v>199</v>
      </c>
      <c r="B131" s="146"/>
      <c r="C131" s="24" t="s">
        <v>67</v>
      </c>
      <c r="D131" s="24" t="s">
        <v>68</v>
      </c>
      <c r="E131" s="17" t="s">
        <v>69</v>
      </c>
      <c r="F131" s="24" t="s">
        <v>232</v>
      </c>
      <c r="G131" s="146" t="s">
        <v>70</v>
      </c>
      <c r="H131" s="146"/>
    </row>
    <row r="132" spans="1:11" s="2" customFormat="1" x14ac:dyDescent="0.35">
      <c r="A132" s="131" t="s">
        <v>160</v>
      </c>
      <c r="B132" s="131"/>
      <c r="C132" s="131"/>
      <c r="D132" s="131"/>
      <c r="E132" s="131"/>
      <c r="F132" s="131"/>
      <c r="G132" s="131"/>
      <c r="H132" s="131"/>
    </row>
    <row r="133" spans="1:11" s="2" customFormat="1" x14ac:dyDescent="0.35">
      <c r="A133" s="94" t="s">
        <v>161</v>
      </c>
      <c r="B133" s="94"/>
      <c r="C133" s="94"/>
      <c r="D133" s="94"/>
      <c r="E133" s="94"/>
      <c r="F133" s="94"/>
      <c r="G133" s="94"/>
      <c r="H133" s="94"/>
    </row>
    <row r="134" spans="1:11" s="2" customFormat="1" ht="32.25" customHeight="1" x14ac:dyDescent="0.35">
      <c r="A134" s="95">
        <v>1</v>
      </c>
      <c r="B134" s="95"/>
      <c r="C134" s="93" t="s">
        <v>211</v>
      </c>
      <c r="D134" s="93">
        <f>'Flat detail'!D36</f>
        <v>1710.7494299999996</v>
      </c>
      <c r="E134" s="93">
        <f>'Flat detail'!K34</f>
        <v>390.41027999999994</v>
      </c>
      <c r="F134" s="93">
        <v>4000</v>
      </c>
      <c r="G134" s="95" t="str">
        <f>A133</f>
        <v>Ground Floor &amp; 1st Floor</v>
      </c>
      <c r="H134" s="95"/>
      <c r="I134" s="2">
        <f>D134*1.77+E134</f>
        <v>3418.4367710999995</v>
      </c>
      <c r="K134" s="82">
        <f>(F134-E134)/D134</f>
        <v>2.1099464694838455</v>
      </c>
    </row>
    <row r="135" spans="1:11" s="2" customFormat="1" x14ac:dyDescent="0.35">
      <c r="A135" s="131" t="s">
        <v>162</v>
      </c>
      <c r="B135" s="131"/>
      <c r="C135" s="131"/>
      <c r="D135" s="131"/>
      <c r="E135" s="131"/>
      <c r="F135" s="131"/>
      <c r="G135" s="131"/>
      <c r="H135" s="131"/>
    </row>
    <row r="136" spans="1:11" s="2" customFormat="1" x14ac:dyDescent="0.35">
      <c r="A136" s="131" t="s">
        <v>163</v>
      </c>
      <c r="B136" s="131"/>
      <c r="C136" s="131"/>
      <c r="D136" s="131"/>
      <c r="E136" s="131"/>
      <c r="F136" s="131"/>
      <c r="G136" s="131"/>
      <c r="H136" s="131"/>
    </row>
    <row r="137" spans="1:11" s="2" customFormat="1" x14ac:dyDescent="0.35">
      <c r="A137" s="94" t="s">
        <v>164</v>
      </c>
      <c r="B137" s="94"/>
      <c r="C137" s="94"/>
      <c r="D137" s="94"/>
      <c r="E137" s="94"/>
      <c r="F137" s="94"/>
      <c r="G137" s="94"/>
      <c r="H137" s="94"/>
    </row>
    <row r="138" spans="1:11" s="2" customFormat="1" x14ac:dyDescent="0.35">
      <c r="A138" s="94" t="s">
        <v>165</v>
      </c>
      <c r="B138" s="94"/>
      <c r="C138" s="94"/>
      <c r="D138" s="94"/>
      <c r="E138" s="94"/>
      <c r="F138" s="94"/>
      <c r="G138" s="94"/>
      <c r="H138" s="94"/>
    </row>
    <row r="139" spans="1:11" s="2" customFormat="1" x14ac:dyDescent="0.35">
      <c r="A139" s="95" t="s">
        <v>166</v>
      </c>
      <c r="B139" s="95"/>
      <c r="C139" s="23" t="s">
        <v>170</v>
      </c>
      <c r="D139" s="23">
        <f>(29.82+2.75*0.9)*10.764</f>
        <v>347.62338</v>
      </c>
      <c r="E139" s="23">
        <v>0</v>
      </c>
      <c r="F139" s="23">
        <v>585</v>
      </c>
      <c r="G139" s="96" t="str">
        <f>A138</f>
        <v>1st to 4th, 6th &amp; 7th Floor</v>
      </c>
      <c r="H139" s="97"/>
      <c r="I139" s="2">
        <f>3100500/F139</f>
        <v>5300</v>
      </c>
      <c r="J139" s="78"/>
      <c r="K139" s="82">
        <f>F139/D139</f>
        <v>1.6828557388746408</v>
      </c>
    </row>
    <row r="140" spans="1:11" s="2" customFormat="1" x14ac:dyDescent="0.35">
      <c r="A140" s="95" t="s">
        <v>167</v>
      </c>
      <c r="B140" s="95"/>
      <c r="C140" s="32" t="s">
        <v>170</v>
      </c>
      <c r="D140" s="76">
        <f>(28.263+(2.15*0.9+2.75*0.9))*10.764</f>
        <v>351.69217199999997</v>
      </c>
      <c r="E140" s="32">
        <v>0</v>
      </c>
      <c r="F140" s="76">
        <v>585</v>
      </c>
      <c r="G140" s="98"/>
      <c r="H140" s="99"/>
      <c r="I140" s="2">
        <f t="shared" ref="I140:I142" si="0">3100500/F140</f>
        <v>5300</v>
      </c>
      <c r="K140" s="82">
        <f t="shared" ref="K140:K203" si="1">F140/D140</f>
        <v>1.6633864685506849</v>
      </c>
    </row>
    <row r="141" spans="1:11" s="2" customFormat="1" x14ac:dyDescent="0.35">
      <c r="A141" s="95" t="s">
        <v>168</v>
      </c>
      <c r="B141" s="95"/>
      <c r="C141" s="32" t="s">
        <v>171</v>
      </c>
      <c r="D141" s="23">
        <f>((39.829)+(0.9*2.8))*10.764</f>
        <v>455.84463600000004</v>
      </c>
      <c r="E141" s="32">
        <v>0</v>
      </c>
      <c r="F141" s="76">
        <v>755</v>
      </c>
      <c r="G141" s="98"/>
      <c r="H141" s="99"/>
      <c r="I141" s="2">
        <f>4001500/F141</f>
        <v>5300</v>
      </c>
      <c r="K141" s="82">
        <f t="shared" si="1"/>
        <v>1.6562660616675544</v>
      </c>
    </row>
    <row r="142" spans="1:11" s="2" customFormat="1" x14ac:dyDescent="0.35">
      <c r="A142" s="95" t="s">
        <v>169</v>
      </c>
      <c r="B142" s="95"/>
      <c r="C142" s="32" t="s">
        <v>170</v>
      </c>
      <c r="D142" s="23">
        <f>((29.3)+(2.75*0.9))*10.764</f>
        <v>342.02609999999999</v>
      </c>
      <c r="E142" s="32">
        <v>0</v>
      </c>
      <c r="F142" s="76">
        <v>580</v>
      </c>
      <c r="G142" s="100"/>
      <c r="H142" s="101"/>
      <c r="I142" s="60">
        <f t="shared" si="0"/>
        <v>5345.6896551724139</v>
      </c>
      <c r="K142" s="82">
        <f t="shared" si="1"/>
        <v>1.6957770181866239</v>
      </c>
    </row>
    <row r="143" spans="1:11" s="2" customFormat="1" x14ac:dyDescent="0.35">
      <c r="A143" s="94" t="s">
        <v>174</v>
      </c>
      <c r="B143" s="94"/>
      <c r="C143" s="94"/>
      <c r="D143" s="94"/>
      <c r="E143" s="94"/>
      <c r="F143" s="94"/>
      <c r="G143" s="94"/>
      <c r="H143" s="94"/>
      <c r="K143" s="82"/>
    </row>
    <row r="144" spans="1:11" s="2" customFormat="1" x14ac:dyDescent="0.35">
      <c r="A144" s="95">
        <v>501</v>
      </c>
      <c r="B144" s="95"/>
      <c r="C144" s="76" t="s">
        <v>170</v>
      </c>
      <c r="D144" s="76">
        <f>(29.82+2.75*0.9)*10.764</f>
        <v>347.62338</v>
      </c>
      <c r="E144" s="76">
        <v>0</v>
      </c>
      <c r="F144" s="80">
        <v>585</v>
      </c>
      <c r="G144" s="96" t="str">
        <f>A143</f>
        <v>5th Floor</v>
      </c>
      <c r="H144" s="97"/>
      <c r="J144" s="78"/>
      <c r="K144" s="82">
        <f t="shared" si="1"/>
        <v>1.6828557388746408</v>
      </c>
    </row>
    <row r="145" spans="1:11" s="2" customFormat="1" x14ac:dyDescent="0.35">
      <c r="A145" s="95">
        <v>502</v>
      </c>
      <c r="B145" s="95"/>
      <c r="C145" s="76" t="s">
        <v>170</v>
      </c>
      <c r="D145" s="76">
        <f>(28.263+(2.15*0.9+2.75*0.9))*10.764</f>
        <v>351.69217199999997</v>
      </c>
      <c r="E145" s="76">
        <v>0</v>
      </c>
      <c r="F145" s="80">
        <v>585</v>
      </c>
      <c r="G145" s="98"/>
      <c r="H145" s="99"/>
      <c r="K145" s="82">
        <f t="shared" si="1"/>
        <v>1.6633864685506849</v>
      </c>
    </row>
    <row r="146" spans="1:11" s="2" customFormat="1" x14ac:dyDescent="0.35">
      <c r="A146" s="95">
        <v>503</v>
      </c>
      <c r="B146" s="95"/>
      <c r="C146" s="76" t="s">
        <v>171</v>
      </c>
      <c r="D146" s="76">
        <f>((41.96)+(0.75*2.8))*10.764</f>
        <v>474.26184000000001</v>
      </c>
      <c r="E146" s="76">
        <v>0</v>
      </c>
      <c r="F146" s="80">
        <v>755</v>
      </c>
      <c r="G146" s="98"/>
      <c r="H146" s="99"/>
      <c r="K146" s="82">
        <f t="shared" si="1"/>
        <v>1.5919476043022984</v>
      </c>
    </row>
    <row r="147" spans="1:11" s="2" customFormat="1" x14ac:dyDescent="0.35">
      <c r="A147" s="95">
        <v>504</v>
      </c>
      <c r="B147" s="95"/>
      <c r="C147" s="76" t="s">
        <v>170</v>
      </c>
      <c r="D147" s="76">
        <f>((29.3)+(2.75*0.95))*10.764</f>
        <v>343.50614999999999</v>
      </c>
      <c r="E147" s="76">
        <v>0</v>
      </c>
      <c r="F147" s="80">
        <v>580</v>
      </c>
      <c r="G147" s="100"/>
      <c r="H147" s="101"/>
      <c r="I147" s="60"/>
      <c r="K147" s="82">
        <f t="shared" si="1"/>
        <v>1.6884704975442215</v>
      </c>
    </row>
    <row r="148" spans="1:11" s="2" customFormat="1" x14ac:dyDescent="0.35">
      <c r="A148" s="94" t="s">
        <v>233</v>
      </c>
      <c r="B148" s="94"/>
      <c r="C148" s="94"/>
      <c r="D148" s="94"/>
      <c r="E148" s="94"/>
      <c r="F148" s="94"/>
      <c r="G148" s="94"/>
      <c r="H148" s="94"/>
      <c r="K148" s="82"/>
    </row>
    <row r="149" spans="1:11" s="2" customFormat="1" x14ac:dyDescent="0.35">
      <c r="A149" s="95">
        <v>801</v>
      </c>
      <c r="B149" s="95"/>
      <c r="C149" s="32" t="s">
        <v>170</v>
      </c>
      <c r="D149" s="32">
        <f>((32.049)+(2.75*0.75))*10.764</f>
        <v>367.17618599999997</v>
      </c>
      <c r="E149" s="32">
        <v>0</v>
      </c>
      <c r="F149" s="81">
        <f t="shared" ref="F149:F150" si="2">D149*1.65+E149</f>
        <v>605.84070689999987</v>
      </c>
      <c r="G149" s="96" t="str">
        <f>A148</f>
        <v>8th Floor (Part Refuge Area)</v>
      </c>
      <c r="H149" s="97"/>
      <c r="K149" s="82">
        <f t="shared" si="1"/>
        <v>1.6499999999999997</v>
      </c>
    </row>
    <row r="150" spans="1:11" s="2" customFormat="1" ht="15.75" customHeight="1" x14ac:dyDescent="0.35">
      <c r="A150" s="95">
        <v>802</v>
      </c>
      <c r="B150" s="95"/>
      <c r="C150" s="32" t="s">
        <v>170</v>
      </c>
      <c r="D150" s="76">
        <f>((32.049)+(2.75*0.75))*10.764</f>
        <v>367.17618599999997</v>
      </c>
      <c r="E150" s="32">
        <v>0</v>
      </c>
      <c r="F150" s="81">
        <f t="shared" si="2"/>
        <v>605.84070689999987</v>
      </c>
      <c r="G150" s="98"/>
      <c r="H150" s="99"/>
      <c r="K150" s="82">
        <f t="shared" si="1"/>
        <v>1.6499999999999997</v>
      </c>
    </row>
    <row r="151" spans="1:11" s="2" customFormat="1" ht="15.75" customHeight="1" x14ac:dyDescent="0.35">
      <c r="A151" s="95">
        <v>803</v>
      </c>
      <c r="B151" s="95"/>
      <c r="C151" s="102" t="s">
        <v>175</v>
      </c>
      <c r="D151" s="103"/>
      <c r="E151" s="103"/>
      <c r="F151" s="104"/>
      <c r="G151" s="98"/>
      <c r="H151" s="99"/>
      <c r="K151" s="82"/>
    </row>
    <row r="152" spans="1:11" s="2" customFormat="1" ht="15.75" customHeight="1" x14ac:dyDescent="0.35">
      <c r="A152" s="95">
        <v>804</v>
      </c>
      <c r="B152" s="95"/>
      <c r="C152" s="34" t="s">
        <v>170</v>
      </c>
      <c r="D152" s="34">
        <f>(31.66+((2.75+2.15+2.75)*0.75))*10.764</f>
        <v>402.54669000000001</v>
      </c>
      <c r="E152" s="34">
        <v>0</v>
      </c>
      <c r="F152" s="34">
        <f>D152*1.65+E152</f>
        <v>664.20203849999996</v>
      </c>
      <c r="G152" s="100"/>
      <c r="H152" s="101"/>
      <c r="K152" s="82">
        <f t="shared" si="1"/>
        <v>1.65</v>
      </c>
    </row>
    <row r="153" spans="1:11" s="2" customFormat="1" x14ac:dyDescent="0.35">
      <c r="A153" s="94" t="s">
        <v>234</v>
      </c>
      <c r="B153" s="94"/>
      <c r="C153" s="94"/>
      <c r="D153" s="94"/>
      <c r="E153" s="94"/>
      <c r="F153" s="94"/>
      <c r="G153" s="94"/>
      <c r="H153" s="94"/>
      <c r="K153" s="82"/>
    </row>
    <row r="154" spans="1:11" s="2" customFormat="1" x14ac:dyDescent="0.35">
      <c r="A154" s="95" t="s">
        <v>235</v>
      </c>
      <c r="B154" s="95"/>
      <c r="C154" s="76" t="s">
        <v>170</v>
      </c>
      <c r="D154" s="76">
        <f>((32.049)+(2.75*0.75))*10.764</f>
        <v>367.17618599999997</v>
      </c>
      <c r="E154" s="76">
        <v>0</v>
      </c>
      <c r="F154" s="81">
        <f t="shared" ref="F154:F157" si="3">D154*1.65+E154</f>
        <v>605.84070689999987</v>
      </c>
      <c r="G154" s="96" t="str">
        <f>A153</f>
        <v>9th &amp; 10th Floor</v>
      </c>
      <c r="H154" s="97"/>
      <c r="J154" s="78"/>
      <c r="K154" s="82">
        <f t="shared" si="1"/>
        <v>1.6499999999999997</v>
      </c>
    </row>
    <row r="155" spans="1:11" s="2" customFormat="1" x14ac:dyDescent="0.35">
      <c r="A155" s="95" t="s">
        <v>236</v>
      </c>
      <c r="B155" s="95"/>
      <c r="C155" s="76" t="s">
        <v>170</v>
      </c>
      <c r="D155" s="76">
        <f>((32.04)+(2.75*0.75))*10.764</f>
        <v>367.07930999999996</v>
      </c>
      <c r="E155" s="76">
        <v>0</v>
      </c>
      <c r="F155" s="81">
        <f t="shared" si="3"/>
        <v>605.68086149999988</v>
      </c>
      <c r="G155" s="98"/>
      <c r="H155" s="99"/>
      <c r="K155" s="82">
        <f t="shared" si="1"/>
        <v>1.65</v>
      </c>
    </row>
    <row r="156" spans="1:11" s="2" customFormat="1" x14ac:dyDescent="0.35">
      <c r="A156" s="95" t="s">
        <v>237</v>
      </c>
      <c r="B156" s="95"/>
      <c r="C156" s="76" t="s">
        <v>171</v>
      </c>
      <c r="D156" s="76">
        <f>((41.96)+(0.75*(2.15+2.75+3+2.8)))*10.764</f>
        <v>538.03854000000001</v>
      </c>
      <c r="E156" s="76">
        <v>0</v>
      </c>
      <c r="F156" s="81">
        <f t="shared" si="3"/>
        <v>887.76359100000002</v>
      </c>
      <c r="G156" s="98"/>
      <c r="H156" s="99"/>
      <c r="K156" s="82">
        <f t="shared" si="1"/>
        <v>1.65</v>
      </c>
    </row>
    <row r="157" spans="1:11" s="2" customFormat="1" x14ac:dyDescent="0.35">
      <c r="A157" s="95" t="s">
        <v>238</v>
      </c>
      <c r="B157" s="95"/>
      <c r="C157" s="76" t="s">
        <v>170</v>
      </c>
      <c r="D157" s="77">
        <f>(31.66+((2.75+2.15+2.75)*0.75))*10.764</f>
        <v>402.54669000000001</v>
      </c>
      <c r="E157" s="76">
        <v>0</v>
      </c>
      <c r="F157" s="81">
        <f t="shared" si="3"/>
        <v>664.20203849999996</v>
      </c>
      <c r="G157" s="100"/>
      <c r="H157" s="101"/>
      <c r="I157" s="60"/>
      <c r="K157" s="82">
        <f t="shared" si="1"/>
        <v>1.65</v>
      </c>
    </row>
    <row r="158" spans="1:11" s="2" customFormat="1" x14ac:dyDescent="0.35">
      <c r="A158" s="94" t="s">
        <v>239</v>
      </c>
      <c r="B158" s="94"/>
      <c r="C158" s="94"/>
      <c r="D158" s="94"/>
      <c r="E158" s="94"/>
      <c r="F158" s="94"/>
      <c r="G158" s="94"/>
      <c r="H158" s="94"/>
      <c r="K158" s="82"/>
    </row>
    <row r="159" spans="1:11" s="2" customFormat="1" ht="46.5" x14ac:dyDescent="0.35">
      <c r="A159" s="95">
        <v>1101</v>
      </c>
      <c r="B159" s="95"/>
      <c r="C159" s="76" t="s">
        <v>240</v>
      </c>
      <c r="D159" s="76">
        <f>(68.34+(0.75*(8.17+8.17)))*10.764</f>
        <v>867.5245799999999</v>
      </c>
      <c r="E159" s="76">
        <v>0</v>
      </c>
      <c r="F159" s="81">
        <f>D159*1.65+E159</f>
        <v>1431.4155569999998</v>
      </c>
      <c r="G159" s="96" t="str">
        <f>A158</f>
        <v>11th Floor</v>
      </c>
      <c r="H159" s="97"/>
      <c r="J159" s="78"/>
      <c r="K159" s="82">
        <f t="shared" si="1"/>
        <v>1.65</v>
      </c>
    </row>
    <row r="160" spans="1:11" s="2" customFormat="1" x14ac:dyDescent="0.35">
      <c r="A160" s="95">
        <v>1102</v>
      </c>
      <c r="B160" s="95"/>
      <c r="C160" s="76" t="s">
        <v>170</v>
      </c>
      <c r="D160" s="77">
        <f>((32.04)+((2.75+2.15)*0.75))*10.764</f>
        <v>384.43625999999995</v>
      </c>
      <c r="E160" s="76">
        <v>0</v>
      </c>
      <c r="F160" s="81">
        <f t="shared" ref="F160:F162" si="4">D160*1.65+E160</f>
        <v>634.31982899999991</v>
      </c>
      <c r="G160" s="98"/>
      <c r="H160" s="99"/>
      <c r="K160" s="82">
        <f t="shared" si="1"/>
        <v>1.65</v>
      </c>
    </row>
    <row r="161" spans="1:11" s="2" customFormat="1" x14ac:dyDescent="0.35">
      <c r="A161" s="95">
        <v>1103</v>
      </c>
      <c r="B161" s="95"/>
      <c r="C161" s="76" t="s">
        <v>171</v>
      </c>
      <c r="D161" s="77">
        <f>((41.96)+(0.75*(2.15+2.8)))*10.764</f>
        <v>491.61878999999999</v>
      </c>
      <c r="E161" s="76">
        <v>0</v>
      </c>
      <c r="F161" s="81">
        <f t="shared" si="4"/>
        <v>811.17100349999998</v>
      </c>
      <c r="G161" s="98"/>
      <c r="H161" s="99"/>
      <c r="K161" s="82">
        <f t="shared" si="1"/>
        <v>1.65</v>
      </c>
    </row>
    <row r="162" spans="1:11" s="2" customFormat="1" x14ac:dyDescent="0.35">
      <c r="A162" s="95">
        <v>1104</v>
      </c>
      <c r="B162" s="95"/>
      <c r="C162" s="76" t="s">
        <v>170</v>
      </c>
      <c r="D162" s="77">
        <f>(31.66+((2.75+2.15)*0.75))*10.764</f>
        <v>380.34593999999998</v>
      </c>
      <c r="E162" s="76">
        <v>0</v>
      </c>
      <c r="F162" s="81">
        <f t="shared" si="4"/>
        <v>627.57080099999996</v>
      </c>
      <c r="G162" s="100"/>
      <c r="H162" s="101"/>
      <c r="I162" s="60"/>
      <c r="K162" s="82">
        <f t="shared" si="1"/>
        <v>1.65</v>
      </c>
    </row>
    <row r="163" spans="1:11" s="2" customFormat="1" x14ac:dyDescent="0.35">
      <c r="A163" s="94" t="s">
        <v>242</v>
      </c>
      <c r="B163" s="94"/>
      <c r="C163" s="94"/>
      <c r="D163" s="94"/>
      <c r="E163" s="94"/>
      <c r="F163" s="94"/>
      <c r="G163" s="94"/>
      <c r="H163" s="94"/>
      <c r="K163" s="82"/>
    </row>
    <row r="164" spans="1:11" s="2" customFormat="1" ht="46.5" x14ac:dyDescent="0.35">
      <c r="A164" s="95">
        <v>1301</v>
      </c>
      <c r="B164" s="95"/>
      <c r="C164" s="77" t="s">
        <v>258</v>
      </c>
      <c r="D164" s="80">
        <f>(68.34+(0.75*(8.17+8.17)))*10.764</f>
        <v>867.5245799999999</v>
      </c>
      <c r="E164" s="77">
        <v>0</v>
      </c>
      <c r="F164" s="81">
        <f t="shared" ref="F164:F165" si="5">D164*1.65+E164</f>
        <v>1431.4155569999998</v>
      </c>
      <c r="G164" s="96" t="str">
        <f>A163</f>
        <v>13th Floor (Part Refuge Area)</v>
      </c>
      <c r="H164" s="97"/>
      <c r="J164" s="78"/>
      <c r="K164" s="82">
        <f t="shared" si="1"/>
        <v>1.65</v>
      </c>
    </row>
    <row r="165" spans="1:11" s="2" customFormat="1" x14ac:dyDescent="0.35">
      <c r="A165" s="95">
        <v>1302</v>
      </c>
      <c r="B165" s="95"/>
      <c r="C165" s="77" t="s">
        <v>170</v>
      </c>
      <c r="D165" s="77">
        <f>((32.04)+((2.75+2.15)*0.75))*10.764</f>
        <v>384.43625999999995</v>
      </c>
      <c r="E165" s="77">
        <v>0</v>
      </c>
      <c r="F165" s="81">
        <f t="shared" si="5"/>
        <v>634.31982899999991</v>
      </c>
      <c r="G165" s="98"/>
      <c r="H165" s="99"/>
      <c r="K165" s="82">
        <f t="shared" si="1"/>
        <v>1.65</v>
      </c>
    </row>
    <row r="166" spans="1:11" s="2" customFormat="1" x14ac:dyDescent="0.35">
      <c r="A166" s="95">
        <v>1303</v>
      </c>
      <c r="B166" s="95"/>
      <c r="C166" s="102" t="s">
        <v>175</v>
      </c>
      <c r="D166" s="103"/>
      <c r="E166" s="103"/>
      <c r="F166" s="104"/>
      <c r="G166" s="98"/>
      <c r="H166" s="99"/>
      <c r="K166" s="82"/>
    </row>
    <row r="167" spans="1:11" s="2" customFormat="1" x14ac:dyDescent="0.35">
      <c r="A167" s="95">
        <v>1304</v>
      </c>
      <c r="B167" s="95"/>
      <c r="C167" s="77" t="s">
        <v>170</v>
      </c>
      <c r="D167" s="77">
        <f>(31.66+((2.75+2.15)*0.75))*10.764</f>
        <v>380.34593999999998</v>
      </c>
      <c r="E167" s="77">
        <v>0</v>
      </c>
      <c r="F167" s="81">
        <f>D167*1.65+E167</f>
        <v>627.57080099999996</v>
      </c>
      <c r="G167" s="100"/>
      <c r="H167" s="101"/>
      <c r="I167" s="60"/>
      <c r="K167" s="82">
        <f t="shared" si="1"/>
        <v>1.65</v>
      </c>
    </row>
    <row r="168" spans="1:11" s="2" customFormat="1" x14ac:dyDescent="0.35">
      <c r="A168" s="94" t="s">
        <v>243</v>
      </c>
      <c r="B168" s="94"/>
      <c r="C168" s="94"/>
      <c r="D168" s="94"/>
      <c r="E168" s="94"/>
      <c r="F168" s="94"/>
      <c r="G168" s="94"/>
      <c r="H168" s="94"/>
      <c r="K168" s="82"/>
    </row>
    <row r="169" spans="1:11" s="2" customFormat="1" x14ac:dyDescent="0.35">
      <c r="A169" s="95" t="s">
        <v>244</v>
      </c>
      <c r="B169" s="95"/>
      <c r="C169" s="102" t="s">
        <v>250</v>
      </c>
      <c r="D169" s="103"/>
      <c r="E169" s="103"/>
      <c r="F169" s="104"/>
      <c r="G169" s="96" t="str">
        <f>A168</f>
        <v>12th &amp; 14th Floor</v>
      </c>
      <c r="H169" s="97"/>
      <c r="J169" s="78"/>
      <c r="K169" s="82"/>
    </row>
    <row r="170" spans="1:11" s="2" customFormat="1" ht="15.75" customHeight="1" x14ac:dyDescent="0.35">
      <c r="A170" s="95" t="s">
        <v>245</v>
      </c>
      <c r="B170" s="95"/>
      <c r="C170" s="77" t="s">
        <v>170</v>
      </c>
      <c r="D170" s="77">
        <f>((32.04)+((2.75+2.15)*0.75))*10.764</f>
        <v>384.43625999999995</v>
      </c>
      <c r="E170" s="77">
        <v>0</v>
      </c>
      <c r="F170" s="81">
        <f t="shared" ref="F170:F172" si="6">D170*1.65+E170</f>
        <v>634.31982899999991</v>
      </c>
      <c r="G170" s="98"/>
      <c r="H170" s="99"/>
      <c r="K170" s="82">
        <f t="shared" si="1"/>
        <v>1.65</v>
      </c>
    </row>
    <row r="171" spans="1:11" s="2" customFormat="1" ht="15.75" customHeight="1" x14ac:dyDescent="0.35">
      <c r="A171" s="95" t="s">
        <v>246</v>
      </c>
      <c r="B171" s="95"/>
      <c r="C171" s="77" t="s">
        <v>171</v>
      </c>
      <c r="D171" s="77">
        <f>((41.96)+(0.75*(2.15+2.8)))*10.764</f>
        <v>491.61878999999999</v>
      </c>
      <c r="E171" s="77">
        <v>0</v>
      </c>
      <c r="F171" s="81">
        <f t="shared" si="6"/>
        <v>811.17100349999998</v>
      </c>
      <c r="G171" s="98"/>
      <c r="H171" s="99"/>
      <c r="K171" s="82">
        <f t="shared" si="1"/>
        <v>1.65</v>
      </c>
    </row>
    <row r="172" spans="1:11" s="2" customFormat="1" ht="15.75" customHeight="1" x14ac:dyDescent="0.35">
      <c r="A172" s="95" t="s">
        <v>247</v>
      </c>
      <c r="B172" s="95"/>
      <c r="C172" s="77" t="s">
        <v>170</v>
      </c>
      <c r="D172" s="77">
        <f>(31.66+((2.75+2.15)*0.75))*10.764</f>
        <v>380.34593999999998</v>
      </c>
      <c r="E172" s="77">
        <v>0</v>
      </c>
      <c r="F172" s="81">
        <f t="shared" si="6"/>
        <v>627.57080099999996</v>
      </c>
      <c r="G172" s="100"/>
      <c r="H172" s="101"/>
      <c r="I172" s="60"/>
      <c r="K172" s="82">
        <f t="shared" si="1"/>
        <v>1.65</v>
      </c>
    </row>
    <row r="173" spans="1:11" s="2" customFormat="1" x14ac:dyDescent="0.35">
      <c r="A173" s="131" t="s">
        <v>172</v>
      </c>
      <c r="B173" s="131"/>
      <c r="C173" s="131"/>
      <c r="D173" s="131"/>
      <c r="E173" s="131"/>
      <c r="F173" s="131"/>
      <c r="G173" s="131"/>
      <c r="H173" s="131"/>
      <c r="K173" s="82"/>
    </row>
    <row r="174" spans="1:11" s="2" customFormat="1" x14ac:dyDescent="0.35">
      <c r="A174" s="94" t="s">
        <v>164</v>
      </c>
      <c r="B174" s="94"/>
      <c r="C174" s="94"/>
      <c r="D174" s="94"/>
      <c r="E174" s="94"/>
      <c r="F174" s="94"/>
      <c r="G174" s="94"/>
      <c r="H174" s="94"/>
      <c r="K174" s="82"/>
    </row>
    <row r="175" spans="1:11" s="2" customFormat="1" x14ac:dyDescent="0.35">
      <c r="A175" s="94" t="s">
        <v>165</v>
      </c>
      <c r="B175" s="94"/>
      <c r="C175" s="94"/>
      <c r="D175" s="94"/>
      <c r="E175" s="94"/>
      <c r="F175" s="94"/>
      <c r="G175" s="94"/>
      <c r="H175" s="94"/>
      <c r="K175" s="82"/>
    </row>
    <row r="176" spans="1:11" s="2" customFormat="1" x14ac:dyDescent="0.35">
      <c r="A176" s="95" t="s">
        <v>166</v>
      </c>
      <c r="B176" s="95"/>
      <c r="C176" s="93" t="s">
        <v>170</v>
      </c>
      <c r="D176" s="93">
        <f>(29.92+(2.75*0.9))*10.764</f>
        <v>348.69978000000003</v>
      </c>
      <c r="E176" s="93">
        <v>0</v>
      </c>
      <c r="F176" s="93">
        <v>585</v>
      </c>
      <c r="G176" s="95" t="str">
        <f>A175</f>
        <v>1st to 4th, 6th &amp; 7th Floor</v>
      </c>
      <c r="H176" s="95"/>
      <c r="K176" s="82">
        <f t="shared" si="1"/>
        <v>1.6776609380137835</v>
      </c>
    </row>
    <row r="177" spans="1:11" s="2" customFormat="1" x14ac:dyDescent="0.35">
      <c r="A177" s="95" t="s">
        <v>167</v>
      </c>
      <c r="B177" s="95"/>
      <c r="C177" s="93" t="s">
        <v>170</v>
      </c>
      <c r="D177" s="93">
        <f>(28.263+((2.15+2.75)*0.9))*10.764</f>
        <v>351.69217199999997</v>
      </c>
      <c r="E177" s="93">
        <v>0</v>
      </c>
      <c r="F177" s="93">
        <v>585</v>
      </c>
      <c r="G177" s="95"/>
      <c r="H177" s="95"/>
      <c r="K177" s="82">
        <f t="shared" si="1"/>
        <v>1.6633864685506849</v>
      </c>
    </row>
    <row r="178" spans="1:11" s="2" customFormat="1" x14ac:dyDescent="0.35">
      <c r="A178" s="95" t="s">
        <v>168</v>
      </c>
      <c r="B178" s="95"/>
      <c r="C178" s="93" t="s">
        <v>170</v>
      </c>
      <c r="D178" s="93">
        <f>(28.125+((2.15+2.75)*0.9))*10.764</f>
        <v>350.20673999999997</v>
      </c>
      <c r="E178" s="93">
        <v>0</v>
      </c>
      <c r="F178" s="93">
        <v>585</v>
      </c>
      <c r="G178" s="95"/>
      <c r="H178" s="95"/>
      <c r="K178" s="82">
        <f t="shared" si="1"/>
        <v>1.6704418652822046</v>
      </c>
    </row>
    <row r="179" spans="1:11" s="2" customFormat="1" x14ac:dyDescent="0.35">
      <c r="A179" s="95" t="s">
        <v>169</v>
      </c>
      <c r="B179" s="95"/>
      <c r="C179" s="93" t="s">
        <v>170</v>
      </c>
      <c r="D179" s="93">
        <f>(29.92+(2.75*0.9))*10.764</f>
        <v>348.69978000000003</v>
      </c>
      <c r="E179" s="93">
        <v>0</v>
      </c>
      <c r="F179" s="93">
        <v>585</v>
      </c>
      <c r="G179" s="95"/>
      <c r="H179" s="95"/>
      <c r="K179" s="82">
        <f t="shared" si="1"/>
        <v>1.6776609380137835</v>
      </c>
    </row>
    <row r="180" spans="1:11" s="2" customFormat="1" x14ac:dyDescent="0.35">
      <c r="A180" s="94" t="s">
        <v>174</v>
      </c>
      <c r="B180" s="94"/>
      <c r="C180" s="94"/>
      <c r="D180" s="94"/>
      <c r="E180" s="94"/>
      <c r="F180" s="94"/>
      <c r="G180" s="94"/>
      <c r="H180" s="94"/>
      <c r="K180" s="82"/>
    </row>
    <row r="181" spans="1:11" s="2" customFormat="1" x14ac:dyDescent="0.35">
      <c r="A181" s="95">
        <v>501</v>
      </c>
      <c r="B181" s="95"/>
      <c r="C181" s="32" t="s">
        <v>170</v>
      </c>
      <c r="D181" s="77">
        <f>(29.92+(2.75*0.9))*10.764</f>
        <v>348.69978000000003</v>
      </c>
      <c r="E181" s="32">
        <v>0</v>
      </c>
      <c r="F181" s="81">
        <v>585</v>
      </c>
      <c r="G181" s="96" t="str">
        <f>A180</f>
        <v>5th Floor</v>
      </c>
      <c r="H181" s="97"/>
      <c r="I181" s="2">
        <f xml:space="preserve"> 2340000/F181</f>
        <v>4000</v>
      </c>
      <c r="K181" s="82">
        <f t="shared" si="1"/>
        <v>1.6776609380137835</v>
      </c>
    </row>
    <row r="182" spans="1:11" s="2" customFormat="1" x14ac:dyDescent="0.35">
      <c r="A182" s="95">
        <v>502</v>
      </c>
      <c r="B182" s="95"/>
      <c r="C182" s="32" t="s">
        <v>170</v>
      </c>
      <c r="D182" s="77">
        <f>(28.263+((2.15+2.75)*0.9))*10.764</f>
        <v>351.69217199999997</v>
      </c>
      <c r="E182" s="32">
        <v>0</v>
      </c>
      <c r="F182" s="81">
        <v>585</v>
      </c>
      <c r="G182" s="98"/>
      <c r="H182" s="99"/>
      <c r="K182" s="82">
        <f t="shared" si="1"/>
        <v>1.6633864685506849</v>
      </c>
    </row>
    <row r="183" spans="1:11" s="2" customFormat="1" x14ac:dyDescent="0.35">
      <c r="A183" s="95">
        <v>503</v>
      </c>
      <c r="B183" s="95"/>
      <c r="C183" s="32" t="s">
        <v>170</v>
      </c>
      <c r="D183" s="77">
        <f>(28.125+((2.15+2.75)*0.9))*10.764</f>
        <v>350.20673999999997</v>
      </c>
      <c r="E183" s="32">
        <v>0</v>
      </c>
      <c r="F183" s="81">
        <v>585</v>
      </c>
      <c r="G183" s="98"/>
      <c r="H183" s="99"/>
      <c r="K183" s="82">
        <f t="shared" si="1"/>
        <v>1.6704418652822046</v>
      </c>
    </row>
    <row r="184" spans="1:11" s="2" customFormat="1" x14ac:dyDescent="0.35">
      <c r="A184" s="95">
        <v>504</v>
      </c>
      <c r="B184" s="95"/>
      <c r="C184" s="32" t="s">
        <v>170</v>
      </c>
      <c r="D184" s="77">
        <f>(29.92+(2.75*0.9))*10.764</f>
        <v>348.69978000000003</v>
      </c>
      <c r="E184" s="32">
        <v>0</v>
      </c>
      <c r="F184" s="81">
        <v>585</v>
      </c>
      <c r="G184" s="100"/>
      <c r="H184" s="101"/>
      <c r="K184" s="82">
        <f t="shared" si="1"/>
        <v>1.6776609380137835</v>
      </c>
    </row>
    <row r="185" spans="1:11" s="2" customFormat="1" x14ac:dyDescent="0.35">
      <c r="A185" s="94" t="s">
        <v>248</v>
      </c>
      <c r="B185" s="94"/>
      <c r="C185" s="94"/>
      <c r="D185" s="94"/>
      <c r="E185" s="94"/>
      <c r="F185" s="94"/>
      <c r="G185" s="94"/>
      <c r="H185" s="94"/>
      <c r="K185" s="82"/>
    </row>
    <row r="186" spans="1:11" s="2" customFormat="1" x14ac:dyDescent="0.35">
      <c r="A186" s="95">
        <v>501</v>
      </c>
      <c r="B186" s="95"/>
      <c r="C186" s="77" t="s">
        <v>170</v>
      </c>
      <c r="D186" s="77">
        <f>(32.04+(0.75*(2.75+2.15+2.75)))*10.764</f>
        <v>406.63701000000003</v>
      </c>
      <c r="E186" s="77">
        <v>0</v>
      </c>
      <c r="F186" s="77">
        <f>D186*1.65+E186</f>
        <v>670.95106650000002</v>
      </c>
      <c r="G186" s="96" t="str">
        <f>A185</f>
        <v>8th Floor</v>
      </c>
      <c r="H186" s="97"/>
      <c r="K186" s="82">
        <f t="shared" si="1"/>
        <v>1.65</v>
      </c>
    </row>
    <row r="187" spans="1:11" s="2" customFormat="1" x14ac:dyDescent="0.35">
      <c r="A187" s="95">
        <v>502</v>
      </c>
      <c r="B187" s="95"/>
      <c r="C187" s="77" t="s">
        <v>170</v>
      </c>
      <c r="D187" s="77">
        <f>(32.04+(0.75*(2.75+2.15+2.75)))*10.764</f>
        <v>406.63701000000003</v>
      </c>
      <c r="E187" s="77">
        <v>0</v>
      </c>
      <c r="F187" s="81">
        <f t="shared" ref="F187:F204" si="7">D187*1.65+E187</f>
        <v>670.95106650000002</v>
      </c>
      <c r="G187" s="98"/>
      <c r="H187" s="99"/>
      <c r="K187" s="82">
        <f t="shared" si="1"/>
        <v>1.65</v>
      </c>
    </row>
    <row r="188" spans="1:11" s="2" customFormat="1" x14ac:dyDescent="0.35">
      <c r="A188" s="95">
        <v>503</v>
      </c>
      <c r="B188" s="95"/>
      <c r="C188" s="77" t="s">
        <v>170</v>
      </c>
      <c r="D188" s="77">
        <f>(32.04+(0.75*(2.75+2.15+2.75)))*10.764</f>
        <v>406.63701000000003</v>
      </c>
      <c r="E188" s="77">
        <v>0</v>
      </c>
      <c r="F188" s="81">
        <f t="shared" si="7"/>
        <v>670.95106650000002</v>
      </c>
      <c r="G188" s="98"/>
      <c r="H188" s="99"/>
      <c r="K188" s="82">
        <f t="shared" si="1"/>
        <v>1.65</v>
      </c>
    </row>
    <row r="189" spans="1:11" s="2" customFormat="1" x14ac:dyDescent="0.35">
      <c r="A189" s="95">
        <v>504</v>
      </c>
      <c r="B189" s="95"/>
      <c r="C189" s="77" t="s">
        <v>170</v>
      </c>
      <c r="D189" s="77">
        <f>(32.04+(0.75*(2.75+2.15+2.75)))*10.764</f>
        <v>406.63701000000003</v>
      </c>
      <c r="E189" s="77">
        <v>0</v>
      </c>
      <c r="F189" s="81">
        <f t="shared" si="7"/>
        <v>670.95106650000002</v>
      </c>
      <c r="G189" s="100"/>
      <c r="H189" s="101"/>
      <c r="K189" s="82">
        <f t="shared" si="1"/>
        <v>1.65</v>
      </c>
    </row>
    <row r="190" spans="1:11" s="2" customFormat="1" x14ac:dyDescent="0.35">
      <c r="A190" s="94" t="s">
        <v>249</v>
      </c>
      <c r="B190" s="94"/>
      <c r="C190" s="94"/>
      <c r="D190" s="94"/>
      <c r="E190" s="94"/>
      <c r="F190" s="94"/>
      <c r="G190" s="94"/>
      <c r="H190" s="94"/>
      <c r="K190" s="82"/>
    </row>
    <row r="191" spans="1:11" s="2" customFormat="1" x14ac:dyDescent="0.35">
      <c r="A191" s="95" t="s">
        <v>235</v>
      </c>
      <c r="B191" s="95"/>
      <c r="C191" s="77" t="s">
        <v>170</v>
      </c>
      <c r="D191" s="77">
        <f>(32.04+(0.75*(2.75+2.15+2.75)))*10.764</f>
        <v>406.63701000000003</v>
      </c>
      <c r="E191" s="77">
        <v>0</v>
      </c>
      <c r="F191" s="81">
        <f t="shared" si="7"/>
        <v>670.95106650000002</v>
      </c>
      <c r="G191" s="96" t="str">
        <f>A190</f>
        <v>9th to 10th Floor</v>
      </c>
      <c r="H191" s="97"/>
      <c r="K191" s="82">
        <f t="shared" si="1"/>
        <v>1.65</v>
      </c>
    </row>
    <row r="192" spans="1:11" s="2" customFormat="1" x14ac:dyDescent="0.35">
      <c r="A192" s="95" t="s">
        <v>236</v>
      </c>
      <c r="B192" s="95"/>
      <c r="C192" s="77" t="s">
        <v>170</v>
      </c>
      <c r="D192" s="77">
        <f>(32.04+(0.75*(2.75+2.15+2.75)))*10.764</f>
        <v>406.63701000000003</v>
      </c>
      <c r="E192" s="77">
        <v>0</v>
      </c>
      <c r="F192" s="81">
        <f t="shared" si="7"/>
        <v>670.95106650000002</v>
      </c>
      <c r="G192" s="98"/>
      <c r="H192" s="99"/>
      <c r="K192" s="82">
        <f t="shared" si="1"/>
        <v>1.65</v>
      </c>
    </row>
    <row r="193" spans="1:11" s="2" customFormat="1" x14ac:dyDescent="0.35">
      <c r="A193" s="95" t="s">
        <v>237</v>
      </c>
      <c r="B193" s="95"/>
      <c r="C193" s="77" t="s">
        <v>170</v>
      </c>
      <c r="D193" s="77">
        <f>(32.04+(0.75*(2.75+2.15+2.75)))*10.764</f>
        <v>406.63701000000003</v>
      </c>
      <c r="E193" s="77">
        <v>0</v>
      </c>
      <c r="F193" s="81">
        <f t="shared" si="7"/>
        <v>670.95106650000002</v>
      </c>
      <c r="G193" s="98"/>
      <c r="H193" s="99"/>
      <c r="K193" s="82">
        <f t="shared" si="1"/>
        <v>1.65</v>
      </c>
    </row>
    <row r="194" spans="1:11" s="2" customFormat="1" x14ac:dyDescent="0.35">
      <c r="A194" s="95" t="s">
        <v>238</v>
      </c>
      <c r="B194" s="95"/>
      <c r="C194" s="77" t="s">
        <v>170</v>
      </c>
      <c r="D194" s="77">
        <f>(32.04+(0.75*(2.75+2.15+2.75)))*10.764</f>
        <v>406.63701000000003</v>
      </c>
      <c r="E194" s="77">
        <v>0</v>
      </c>
      <c r="F194" s="81">
        <f t="shared" si="7"/>
        <v>670.95106650000002</v>
      </c>
      <c r="G194" s="100"/>
      <c r="H194" s="101"/>
      <c r="K194" s="82">
        <f t="shared" si="1"/>
        <v>1.65</v>
      </c>
    </row>
    <row r="195" spans="1:11" s="2" customFormat="1" x14ac:dyDescent="0.35">
      <c r="A195" s="94" t="s">
        <v>239</v>
      </c>
      <c r="B195" s="94"/>
      <c r="C195" s="94"/>
      <c r="D195" s="94"/>
      <c r="E195" s="94"/>
      <c r="F195" s="94"/>
      <c r="G195" s="94"/>
      <c r="H195" s="94"/>
      <c r="K195" s="82"/>
    </row>
    <row r="196" spans="1:11" s="2" customFormat="1" ht="46.5" x14ac:dyDescent="0.35">
      <c r="A196" s="95">
        <v>1101</v>
      </c>
      <c r="B196" s="95"/>
      <c r="C196" s="77" t="s">
        <v>240</v>
      </c>
      <c r="D196" s="77">
        <f>(68.34+(0.75*(8.25+8.25)))*10.764</f>
        <v>868.81625999999994</v>
      </c>
      <c r="E196" s="77">
        <v>0</v>
      </c>
      <c r="F196" s="81">
        <f t="shared" si="7"/>
        <v>1433.5468289999999</v>
      </c>
      <c r="G196" s="96" t="str">
        <f>A195</f>
        <v>11th Floor</v>
      </c>
      <c r="H196" s="97"/>
      <c r="J196" s="78"/>
      <c r="K196" s="82">
        <f t="shared" si="1"/>
        <v>1.65</v>
      </c>
    </row>
    <row r="197" spans="1:11" s="2" customFormat="1" x14ac:dyDescent="0.35">
      <c r="A197" s="95">
        <v>1102</v>
      </c>
      <c r="B197" s="95"/>
      <c r="C197" s="77" t="s">
        <v>170</v>
      </c>
      <c r="D197" s="77">
        <f>((32.04)+((2.75+2.15)*0.75))*10.764</f>
        <v>384.43625999999995</v>
      </c>
      <c r="E197" s="77">
        <v>0</v>
      </c>
      <c r="F197" s="81">
        <f t="shared" si="7"/>
        <v>634.31982899999991</v>
      </c>
      <c r="G197" s="98"/>
      <c r="H197" s="99"/>
      <c r="K197" s="82">
        <f t="shared" si="1"/>
        <v>1.65</v>
      </c>
    </row>
    <row r="198" spans="1:11" s="2" customFormat="1" x14ac:dyDescent="0.35">
      <c r="A198" s="95">
        <v>1103</v>
      </c>
      <c r="B198" s="95"/>
      <c r="C198" s="77" t="s">
        <v>170</v>
      </c>
      <c r="D198" s="77">
        <f>((32.04)+((2.75+2.15)*0.75))*10.764</f>
        <v>384.43625999999995</v>
      </c>
      <c r="E198" s="77">
        <v>0</v>
      </c>
      <c r="F198" s="81">
        <f t="shared" si="7"/>
        <v>634.31982899999991</v>
      </c>
      <c r="G198" s="98"/>
      <c r="H198" s="99"/>
      <c r="K198" s="82">
        <f t="shared" si="1"/>
        <v>1.65</v>
      </c>
    </row>
    <row r="199" spans="1:11" s="2" customFormat="1" ht="46.5" x14ac:dyDescent="0.35">
      <c r="A199" s="95">
        <v>1104</v>
      </c>
      <c r="B199" s="95"/>
      <c r="C199" s="77" t="s">
        <v>240</v>
      </c>
      <c r="D199" s="77">
        <f>(68.34+(0.75*(8.17+8.17)))*10.764</f>
        <v>867.5245799999999</v>
      </c>
      <c r="E199" s="77">
        <v>0</v>
      </c>
      <c r="F199" s="81">
        <f t="shared" si="7"/>
        <v>1431.4155569999998</v>
      </c>
      <c r="G199" s="100"/>
      <c r="H199" s="101"/>
      <c r="I199" s="60"/>
      <c r="K199" s="82">
        <f t="shared" si="1"/>
        <v>1.65</v>
      </c>
    </row>
    <row r="200" spans="1:11" s="2" customFormat="1" x14ac:dyDescent="0.35">
      <c r="A200" s="94" t="s">
        <v>241</v>
      </c>
      <c r="B200" s="94"/>
      <c r="C200" s="94"/>
      <c r="D200" s="94"/>
      <c r="E200" s="94"/>
      <c r="F200" s="94"/>
      <c r="G200" s="94"/>
      <c r="H200" s="94"/>
      <c r="K200" s="82"/>
    </row>
    <row r="201" spans="1:11" s="2" customFormat="1" ht="46.5" x14ac:dyDescent="0.35">
      <c r="A201" s="95">
        <v>1301</v>
      </c>
      <c r="B201" s="95"/>
      <c r="C201" s="77" t="s">
        <v>258</v>
      </c>
      <c r="D201" s="80">
        <f>(68.34+(0.75*(8.25+8.25)))*10.764</f>
        <v>868.81625999999994</v>
      </c>
      <c r="E201" s="77">
        <v>0</v>
      </c>
      <c r="F201" s="81">
        <f t="shared" si="7"/>
        <v>1433.5468289999999</v>
      </c>
      <c r="G201" s="96" t="str">
        <f>A200</f>
        <v>13th Floor</v>
      </c>
      <c r="H201" s="97"/>
      <c r="J201" s="78"/>
      <c r="K201" s="82">
        <f t="shared" si="1"/>
        <v>1.65</v>
      </c>
    </row>
    <row r="202" spans="1:11" s="2" customFormat="1" x14ac:dyDescent="0.35">
      <c r="A202" s="95">
        <v>1302</v>
      </c>
      <c r="B202" s="95"/>
      <c r="C202" s="77" t="s">
        <v>170</v>
      </c>
      <c r="D202" s="77">
        <f>((32.04)+((2.75+2.15)*0.75))*10.764</f>
        <v>384.43625999999995</v>
      </c>
      <c r="E202" s="77">
        <v>0</v>
      </c>
      <c r="F202" s="81">
        <f t="shared" si="7"/>
        <v>634.31982899999991</v>
      </c>
      <c r="G202" s="98"/>
      <c r="H202" s="99"/>
      <c r="K202" s="82">
        <f t="shared" si="1"/>
        <v>1.65</v>
      </c>
    </row>
    <row r="203" spans="1:11" s="2" customFormat="1" x14ac:dyDescent="0.35">
      <c r="A203" s="95">
        <v>1303</v>
      </c>
      <c r="B203" s="95"/>
      <c r="C203" s="77" t="s">
        <v>170</v>
      </c>
      <c r="D203" s="77">
        <f>((32.04)+((2.75+2.15)*0.75))*10.764</f>
        <v>384.43625999999995</v>
      </c>
      <c r="E203" s="77">
        <v>0</v>
      </c>
      <c r="F203" s="81">
        <f t="shared" si="7"/>
        <v>634.31982899999991</v>
      </c>
      <c r="G203" s="98"/>
      <c r="H203" s="99"/>
      <c r="K203" s="82">
        <f t="shared" si="1"/>
        <v>1.65</v>
      </c>
    </row>
    <row r="204" spans="1:11" s="2" customFormat="1" ht="46.5" x14ac:dyDescent="0.35">
      <c r="A204" s="95">
        <v>1304</v>
      </c>
      <c r="B204" s="95"/>
      <c r="C204" s="77" t="s">
        <v>258</v>
      </c>
      <c r="D204" s="80">
        <f>(68.34+(0.75*(8.17+8.17)))*10.764</f>
        <v>867.5245799999999</v>
      </c>
      <c r="E204" s="77">
        <v>0</v>
      </c>
      <c r="F204" s="81">
        <f t="shared" si="7"/>
        <v>1431.4155569999998</v>
      </c>
      <c r="G204" s="100"/>
      <c r="H204" s="101"/>
      <c r="I204" s="60"/>
      <c r="K204" s="82">
        <f t="shared" ref="K204:K253" si="8">F204/D204</f>
        <v>1.65</v>
      </c>
    </row>
    <row r="205" spans="1:11" s="2" customFormat="1" x14ac:dyDescent="0.35">
      <c r="A205" s="94" t="s">
        <v>243</v>
      </c>
      <c r="B205" s="94"/>
      <c r="C205" s="94"/>
      <c r="D205" s="94"/>
      <c r="E205" s="94"/>
      <c r="F205" s="94"/>
      <c r="G205" s="94"/>
      <c r="H205" s="94"/>
      <c r="K205" s="82"/>
    </row>
    <row r="206" spans="1:11" s="2" customFormat="1" x14ac:dyDescent="0.35">
      <c r="A206" s="95" t="s">
        <v>244</v>
      </c>
      <c r="B206" s="95"/>
      <c r="C206" s="95" t="s">
        <v>250</v>
      </c>
      <c r="D206" s="95"/>
      <c r="E206" s="95"/>
      <c r="F206" s="95"/>
      <c r="G206" s="95" t="str">
        <f>A205</f>
        <v>12th &amp; 14th Floor</v>
      </c>
      <c r="H206" s="95"/>
      <c r="J206" s="78"/>
      <c r="K206" s="82"/>
    </row>
    <row r="207" spans="1:11" s="2" customFormat="1" ht="15.75" customHeight="1" x14ac:dyDescent="0.35">
      <c r="A207" s="95" t="s">
        <v>245</v>
      </c>
      <c r="B207" s="95"/>
      <c r="C207" s="93" t="s">
        <v>170</v>
      </c>
      <c r="D207" s="93">
        <f>((32.04)+((2.75+2.15)*0.75))*10.764</f>
        <v>384.43625999999995</v>
      </c>
      <c r="E207" s="93">
        <v>0</v>
      </c>
      <c r="F207" s="93">
        <f t="shared" ref="F207:F208" si="9">D207*1.65+E207</f>
        <v>634.31982899999991</v>
      </c>
      <c r="G207" s="95"/>
      <c r="H207" s="95"/>
      <c r="K207" s="82">
        <f t="shared" si="8"/>
        <v>1.65</v>
      </c>
    </row>
    <row r="208" spans="1:11" s="2" customFormat="1" ht="15.75" customHeight="1" x14ac:dyDescent="0.35">
      <c r="A208" s="95" t="s">
        <v>246</v>
      </c>
      <c r="B208" s="95"/>
      <c r="C208" s="93" t="s">
        <v>170</v>
      </c>
      <c r="D208" s="93">
        <f>((32.04)+((2.75+2.15)*0.75))*10.764</f>
        <v>384.43625999999995</v>
      </c>
      <c r="E208" s="93">
        <v>0</v>
      </c>
      <c r="F208" s="93">
        <f t="shared" si="9"/>
        <v>634.31982899999991</v>
      </c>
      <c r="G208" s="95"/>
      <c r="H208" s="95"/>
      <c r="K208" s="82">
        <f t="shared" si="8"/>
        <v>1.65</v>
      </c>
    </row>
    <row r="209" spans="1:11" s="2" customFormat="1" ht="15.75" customHeight="1" x14ac:dyDescent="0.35">
      <c r="A209" s="95" t="s">
        <v>247</v>
      </c>
      <c r="B209" s="95"/>
      <c r="C209" s="95" t="s">
        <v>250</v>
      </c>
      <c r="D209" s="95"/>
      <c r="E209" s="95"/>
      <c r="F209" s="95"/>
      <c r="G209" s="95"/>
      <c r="H209" s="95"/>
      <c r="I209" s="60"/>
      <c r="K209" s="82"/>
    </row>
    <row r="210" spans="1:11" s="2" customFormat="1" x14ac:dyDescent="0.35">
      <c r="A210" s="131" t="s">
        <v>173</v>
      </c>
      <c r="B210" s="131"/>
      <c r="C210" s="131"/>
      <c r="D210" s="131"/>
      <c r="E210" s="131"/>
      <c r="F210" s="131"/>
      <c r="G210" s="131"/>
      <c r="H210" s="131"/>
      <c r="K210" s="82"/>
    </row>
    <row r="211" spans="1:11" s="2" customFormat="1" x14ac:dyDescent="0.35">
      <c r="A211" s="94" t="s">
        <v>164</v>
      </c>
      <c r="B211" s="94"/>
      <c r="C211" s="94"/>
      <c r="D211" s="94"/>
      <c r="E211" s="94"/>
      <c r="F211" s="94"/>
      <c r="G211" s="94"/>
      <c r="H211" s="94"/>
      <c r="K211" s="82"/>
    </row>
    <row r="212" spans="1:11" s="2" customFormat="1" x14ac:dyDescent="0.35">
      <c r="A212" s="94" t="s">
        <v>259</v>
      </c>
      <c r="B212" s="94"/>
      <c r="C212" s="94"/>
      <c r="D212" s="94"/>
      <c r="E212" s="94"/>
      <c r="F212" s="94"/>
      <c r="G212" s="94"/>
      <c r="H212" s="94"/>
      <c r="K212" s="82"/>
    </row>
    <row r="213" spans="1:11" s="2" customFormat="1" x14ac:dyDescent="0.35">
      <c r="A213" s="95" t="s">
        <v>166</v>
      </c>
      <c r="B213" s="95"/>
      <c r="C213" s="93" t="s">
        <v>170</v>
      </c>
      <c r="D213" s="93">
        <f>(33.84+0.9*2.75)*10.764</f>
        <v>390.89466000000004</v>
      </c>
      <c r="E213" s="93">
        <v>0</v>
      </c>
      <c r="F213" s="93">
        <f>D213*1.65+E213</f>
        <v>644.97618900000009</v>
      </c>
      <c r="G213" s="95" t="str">
        <f>A212</f>
        <v>1st to 4th, 6th &amp; 7th Floor for Residential</v>
      </c>
      <c r="H213" s="95"/>
      <c r="I213" s="85">
        <f>2.75*3.55+2.7*2.1+2.75*3+1.9*1.6+1.2*1.85+3*0.9+1.2*0.5</f>
        <v>32.2425</v>
      </c>
      <c r="K213" s="82"/>
    </row>
    <row r="214" spans="1:11" s="2" customFormat="1" x14ac:dyDescent="0.35">
      <c r="A214" s="95" t="s">
        <v>167</v>
      </c>
      <c r="B214" s="95"/>
      <c r="C214" s="93" t="s">
        <v>171</v>
      </c>
      <c r="D214" s="93">
        <f>(42.13+0.9*2.75)*10.764</f>
        <v>480.12822</v>
      </c>
      <c r="E214" s="93">
        <v>0</v>
      </c>
      <c r="F214" s="93">
        <f t="shared" ref="F214:F216" si="10">D214*1.65+E214</f>
        <v>792.21156299999996</v>
      </c>
      <c r="G214" s="95"/>
      <c r="H214" s="95"/>
      <c r="K214" s="82"/>
    </row>
    <row r="215" spans="1:11" s="2" customFormat="1" x14ac:dyDescent="0.35">
      <c r="A215" s="95" t="s">
        <v>168</v>
      </c>
      <c r="B215" s="95"/>
      <c r="C215" s="93" t="s">
        <v>170</v>
      </c>
      <c r="D215" s="93">
        <f>(28.263+0.9*(2.75+2.15))*10.764</f>
        <v>351.69217199999997</v>
      </c>
      <c r="E215" s="93">
        <v>0</v>
      </c>
      <c r="F215" s="93">
        <f t="shared" si="10"/>
        <v>580.29208379999989</v>
      </c>
      <c r="G215" s="95"/>
      <c r="H215" s="95"/>
      <c r="K215" s="82"/>
    </row>
    <row r="216" spans="1:11" s="2" customFormat="1" x14ac:dyDescent="0.35">
      <c r="A216" s="95" t="s">
        <v>169</v>
      </c>
      <c r="B216" s="95"/>
      <c r="C216" s="93" t="s">
        <v>170</v>
      </c>
      <c r="D216" s="93">
        <f>(29.92+(2.75*0.9))*10.764</f>
        <v>348.69978000000003</v>
      </c>
      <c r="E216" s="93">
        <v>0</v>
      </c>
      <c r="F216" s="93">
        <f t="shared" si="10"/>
        <v>575.35463700000003</v>
      </c>
      <c r="G216" s="95"/>
      <c r="H216" s="95"/>
      <c r="K216" s="82"/>
    </row>
    <row r="217" spans="1:11" s="2" customFormat="1" x14ac:dyDescent="0.35">
      <c r="A217" s="94" t="s">
        <v>174</v>
      </c>
      <c r="B217" s="94"/>
      <c r="C217" s="94"/>
      <c r="D217" s="94"/>
      <c r="E217" s="94"/>
      <c r="F217" s="94"/>
      <c r="G217" s="94"/>
      <c r="H217" s="94"/>
      <c r="K217" s="82"/>
    </row>
    <row r="218" spans="1:11" s="2" customFormat="1" x14ac:dyDescent="0.35">
      <c r="A218" s="95">
        <v>501</v>
      </c>
      <c r="B218" s="95"/>
      <c r="C218" s="93" t="s">
        <v>170</v>
      </c>
      <c r="D218" s="93">
        <f>(33.84+0.9*2.75)*10.764</f>
        <v>390.89466000000004</v>
      </c>
      <c r="E218" s="93">
        <v>0</v>
      </c>
      <c r="F218" s="93">
        <f>D218*1.65+E218</f>
        <v>644.97618900000009</v>
      </c>
      <c r="G218" s="95" t="str">
        <f>A217</f>
        <v>5th Floor</v>
      </c>
      <c r="H218" s="95"/>
      <c r="K218" s="82"/>
    </row>
    <row r="219" spans="1:11" s="2" customFormat="1" x14ac:dyDescent="0.35">
      <c r="A219" s="95">
        <v>502</v>
      </c>
      <c r="B219" s="95"/>
      <c r="C219" s="93" t="s">
        <v>171</v>
      </c>
      <c r="D219" s="93">
        <f>(42.13+0.9*2.75)*10.764</f>
        <v>480.12822</v>
      </c>
      <c r="E219" s="93">
        <v>0</v>
      </c>
      <c r="F219" s="93">
        <f t="shared" ref="F219:F221" si="11">D219*1.65+E219</f>
        <v>792.21156299999996</v>
      </c>
      <c r="G219" s="95"/>
      <c r="H219" s="95"/>
      <c r="I219" s="2">
        <f>2760000/F219</f>
        <v>3483.9178432945951</v>
      </c>
      <c r="K219" s="82"/>
    </row>
    <row r="220" spans="1:11" s="2" customFormat="1" x14ac:dyDescent="0.35">
      <c r="A220" s="95">
        <v>503</v>
      </c>
      <c r="B220" s="95"/>
      <c r="C220" s="93" t="s">
        <v>170</v>
      </c>
      <c r="D220" s="93">
        <f>(28.263+0.9*(2.75+2.15))*10.764</f>
        <v>351.69217199999997</v>
      </c>
      <c r="E220" s="93">
        <v>0</v>
      </c>
      <c r="F220" s="93">
        <f t="shared" si="11"/>
        <v>580.29208379999989</v>
      </c>
      <c r="G220" s="95"/>
      <c r="H220" s="95"/>
      <c r="K220" s="82"/>
    </row>
    <row r="221" spans="1:11" s="2" customFormat="1" x14ac:dyDescent="0.35">
      <c r="A221" s="95">
        <v>504</v>
      </c>
      <c r="B221" s="95"/>
      <c r="C221" s="93" t="s">
        <v>170</v>
      </c>
      <c r="D221" s="93">
        <f>(29.92+(2.75*0.9))*10.764</f>
        <v>348.69978000000003</v>
      </c>
      <c r="E221" s="93">
        <v>0</v>
      </c>
      <c r="F221" s="93">
        <f t="shared" si="11"/>
        <v>575.35463700000003</v>
      </c>
      <c r="G221" s="95"/>
      <c r="H221" s="95"/>
      <c r="K221" s="82"/>
    </row>
    <row r="222" spans="1:11" s="2" customFormat="1" x14ac:dyDescent="0.35">
      <c r="A222" s="94" t="s">
        <v>233</v>
      </c>
      <c r="B222" s="94"/>
      <c r="C222" s="94"/>
      <c r="D222" s="94"/>
      <c r="E222" s="94"/>
      <c r="F222" s="94"/>
      <c r="G222" s="94"/>
      <c r="H222" s="94"/>
      <c r="K222" s="82"/>
    </row>
    <row r="223" spans="1:11" s="2" customFormat="1" x14ac:dyDescent="0.35">
      <c r="A223" s="95">
        <v>801</v>
      </c>
      <c r="B223" s="95"/>
      <c r="C223" s="83" t="s">
        <v>170</v>
      </c>
      <c r="D223" s="83">
        <f>(36.35+0.75*(2.75+5.69))*10.764</f>
        <v>459.40751999999998</v>
      </c>
      <c r="E223" s="83">
        <v>0</v>
      </c>
      <c r="F223" s="83">
        <f>D223*1.65+E223</f>
        <v>758.02240799999993</v>
      </c>
      <c r="G223" s="96" t="str">
        <f>A222</f>
        <v>8th Floor (Part Refuge Area)</v>
      </c>
      <c r="H223" s="97"/>
      <c r="K223" s="82"/>
    </row>
    <row r="224" spans="1:11" s="2" customFormat="1" x14ac:dyDescent="0.35">
      <c r="A224" s="95">
        <v>802</v>
      </c>
      <c r="B224" s="95"/>
      <c r="C224" s="83" t="s">
        <v>272</v>
      </c>
      <c r="D224" s="83">
        <f>(44.76+0.75*(2.75+5.84+3))*10.764</f>
        <v>575.36270999999999</v>
      </c>
      <c r="E224" s="83">
        <v>0</v>
      </c>
      <c r="F224" s="83">
        <f t="shared" ref="F224:F226" si="12">D224*1.65+E224</f>
        <v>949.34847149999996</v>
      </c>
      <c r="G224" s="98"/>
      <c r="H224" s="99"/>
      <c r="K224" s="82"/>
    </row>
    <row r="225" spans="1:11" s="2" customFormat="1" x14ac:dyDescent="0.35">
      <c r="A225" s="95">
        <v>803</v>
      </c>
      <c r="B225" s="95"/>
      <c r="C225" s="83" t="s">
        <v>170</v>
      </c>
      <c r="D225" s="83">
        <f>(33.12+0.75*5)*10.764</f>
        <v>396.86867999999993</v>
      </c>
      <c r="E225" s="83">
        <v>0</v>
      </c>
      <c r="F225" s="83">
        <f t="shared" si="12"/>
        <v>654.83332199999984</v>
      </c>
      <c r="G225" s="98"/>
      <c r="H225" s="99"/>
      <c r="K225" s="82"/>
    </row>
    <row r="226" spans="1:11" s="2" customFormat="1" x14ac:dyDescent="0.35">
      <c r="A226" s="95">
        <v>804</v>
      </c>
      <c r="B226" s="95"/>
      <c r="C226" s="83" t="s">
        <v>170</v>
      </c>
      <c r="D226" s="83">
        <f>(33.12+0.75*(2.75+5))*10.764</f>
        <v>419.06942999999995</v>
      </c>
      <c r="E226" s="83">
        <v>0</v>
      </c>
      <c r="F226" s="83">
        <f t="shared" si="12"/>
        <v>691.46455949999984</v>
      </c>
      <c r="G226" s="100"/>
      <c r="H226" s="101"/>
      <c r="K226" s="82"/>
    </row>
    <row r="227" spans="1:11" s="2" customFormat="1" x14ac:dyDescent="0.35">
      <c r="A227" s="94" t="s">
        <v>234</v>
      </c>
      <c r="B227" s="94"/>
      <c r="C227" s="94"/>
      <c r="D227" s="94"/>
      <c r="E227" s="94"/>
      <c r="F227" s="94"/>
      <c r="G227" s="94"/>
      <c r="H227" s="94"/>
      <c r="K227" s="82"/>
    </row>
    <row r="228" spans="1:11" s="2" customFormat="1" x14ac:dyDescent="0.35">
      <c r="A228" s="95" t="s">
        <v>235</v>
      </c>
      <c r="B228" s="95"/>
      <c r="C228" s="83" t="s">
        <v>170</v>
      </c>
      <c r="D228" s="83">
        <f>(36.35+0.75*(2.75+5.69))*10.764</f>
        <v>459.40751999999998</v>
      </c>
      <c r="E228" s="83">
        <v>0</v>
      </c>
      <c r="F228" s="83">
        <f>D228*1.65+E228</f>
        <v>758.02240799999993</v>
      </c>
      <c r="G228" s="96" t="str">
        <f>A227</f>
        <v>9th &amp; 10th Floor</v>
      </c>
      <c r="H228" s="97"/>
      <c r="K228" s="82"/>
    </row>
    <row r="229" spans="1:11" s="2" customFormat="1" x14ac:dyDescent="0.35">
      <c r="A229" s="95" t="s">
        <v>236</v>
      </c>
      <c r="B229" s="95"/>
      <c r="C229" s="83" t="s">
        <v>272</v>
      </c>
      <c r="D229" s="83">
        <f>(44.76+0.75*(2.75+5.84+3))*10.764</f>
        <v>575.36270999999999</v>
      </c>
      <c r="E229" s="83">
        <v>0</v>
      </c>
      <c r="F229" s="83">
        <f t="shared" ref="F229:F231" si="13">D229*1.65+E229</f>
        <v>949.34847149999996</v>
      </c>
      <c r="G229" s="98"/>
      <c r="H229" s="99"/>
      <c r="K229" s="82"/>
    </row>
    <row r="230" spans="1:11" s="2" customFormat="1" x14ac:dyDescent="0.35">
      <c r="A230" s="95" t="s">
        <v>237</v>
      </c>
      <c r="B230" s="95"/>
      <c r="C230" s="83" t="s">
        <v>170</v>
      </c>
      <c r="D230" s="83">
        <f>(33.12+0.75*5)*10.764</f>
        <v>396.86867999999993</v>
      </c>
      <c r="E230" s="83">
        <v>0</v>
      </c>
      <c r="F230" s="83">
        <f t="shared" si="13"/>
        <v>654.83332199999984</v>
      </c>
      <c r="G230" s="98"/>
      <c r="H230" s="99"/>
      <c r="K230" s="82"/>
    </row>
    <row r="231" spans="1:11" s="2" customFormat="1" x14ac:dyDescent="0.35">
      <c r="A231" s="95" t="s">
        <v>238</v>
      </c>
      <c r="B231" s="95"/>
      <c r="C231" s="83" t="s">
        <v>170</v>
      </c>
      <c r="D231" s="83">
        <f>(33.12+0.75*(2.75+5))*10.764</f>
        <v>419.06942999999995</v>
      </c>
      <c r="E231" s="83">
        <v>0</v>
      </c>
      <c r="F231" s="83">
        <f t="shared" si="13"/>
        <v>691.46455949999984</v>
      </c>
      <c r="G231" s="100"/>
      <c r="H231" s="101"/>
      <c r="K231" s="82"/>
    </row>
    <row r="232" spans="1:11" s="2" customFormat="1" x14ac:dyDescent="0.35">
      <c r="A232" s="94" t="s">
        <v>239</v>
      </c>
      <c r="B232" s="94"/>
      <c r="C232" s="94"/>
      <c r="D232" s="94"/>
      <c r="E232" s="94"/>
      <c r="F232" s="94"/>
      <c r="G232" s="94"/>
      <c r="H232" s="94"/>
      <c r="K232" s="82"/>
    </row>
    <row r="233" spans="1:11" s="2" customFormat="1" x14ac:dyDescent="0.35">
      <c r="A233" s="95">
        <v>1101</v>
      </c>
      <c r="B233" s="95"/>
      <c r="C233" s="83" t="s">
        <v>170</v>
      </c>
      <c r="D233" s="83">
        <f>(36.35+0.75*(2.75+5.69))*10.764</f>
        <v>459.40751999999998</v>
      </c>
      <c r="E233" s="83">
        <v>0</v>
      </c>
      <c r="F233" s="83">
        <f>D233*1.65+E233</f>
        <v>758.02240799999993</v>
      </c>
      <c r="G233" s="96" t="str">
        <f>A232</f>
        <v>11th Floor</v>
      </c>
      <c r="H233" s="97"/>
      <c r="K233" s="82"/>
    </row>
    <row r="234" spans="1:11" s="2" customFormat="1" x14ac:dyDescent="0.35">
      <c r="A234" s="95">
        <v>1102</v>
      </c>
      <c r="B234" s="95"/>
      <c r="C234" s="83" t="s">
        <v>272</v>
      </c>
      <c r="D234" s="83">
        <f>(44.76+0.75*(2.75+5.84+3))*10.764</f>
        <v>575.36270999999999</v>
      </c>
      <c r="E234" s="83">
        <v>0</v>
      </c>
      <c r="F234" s="83">
        <f t="shared" ref="F234:F236" si="14">D234*1.65+E234</f>
        <v>949.34847149999996</v>
      </c>
      <c r="G234" s="98"/>
      <c r="H234" s="99"/>
      <c r="K234" s="82"/>
    </row>
    <row r="235" spans="1:11" s="2" customFormat="1" x14ac:dyDescent="0.35">
      <c r="A235" s="95">
        <v>1103</v>
      </c>
      <c r="B235" s="95"/>
      <c r="C235" s="83" t="s">
        <v>170</v>
      </c>
      <c r="D235" s="83">
        <f>(33.12+0.75*(2.75+5))*10.764</f>
        <v>419.06942999999995</v>
      </c>
      <c r="E235" s="83">
        <v>0</v>
      </c>
      <c r="F235" s="83">
        <f t="shared" si="14"/>
        <v>691.46455949999984</v>
      </c>
      <c r="G235" s="98"/>
      <c r="H235" s="99"/>
      <c r="K235" s="82"/>
    </row>
    <row r="236" spans="1:11" s="2" customFormat="1" ht="46.5" x14ac:dyDescent="0.35">
      <c r="A236" s="95">
        <v>1104</v>
      </c>
      <c r="B236" s="95"/>
      <c r="C236" s="83" t="s">
        <v>240</v>
      </c>
      <c r="D236" s="83">
        <f>(68.34+0.75*(7.4+7.85))*10.764</f>
        <v>858.72501</v>
      </c>
      <c r="E236" s="83">
        <v>0</v>
      </c>
      <c r="F236" s="83">
        <f t="shared" si="14"/>
        <v>1416.8962664999999</v>
      </c>
      <c r="G236" s="100"/>
      <c r="H236" s="101"/>
      <c r="K236" s="82"/>
    </row>
    <row r="237" spans="1:11" s="2" customFormat="1" x14ac:dyDescent="0.35">
      <c r="A237" s="94" t="s">
        <v>241</v>
      </c>
      <c r="B237" s="94"/>
      <c r="C237" s="94"/>
      <c r="D237" s="94"/>
      <c r="E237" s="94"/>
      <c r="F237" s="94"/>
      <c r="G237" s="94"/>
      <c r="H237" s="94"/>
      <c r="K237" s="82"/>
    </row>
    <row r="238" spans="1:11" s="2" customFormat="1" x14ac:dyDescent="0.35">
      <c r="A238" s="95">
        <v>1301</v>
      </c>
      <c r="B238" s="95"/>
      <c r="C238" s="83" t="s">
        <v>170</v>
      </c>
      <c r="D238" s="83">
        <f>(36.35+0.75*(2.75+5.69))*10.764</f>
        <v>459.40751999999998</v>
      </c>
      <c r="E238" s="83">
        <v>0</v>
      </c>
      <c r="F238" s="83">
        <f>D238*1.65+E238</f>
        <v>758.02240799999993</v>
      </c>
      <c r="G238" s="96" t="str">
        <f>A237</f>
        <v>13th Floor</v>
      </c>
      <c r="H238" s="97"/>
      <c r="K238" s="82"/>
    </row>
    <row r="239" spans="1:11" s="2" customFormat="1" x14ac:dyDescent="0.35">
      <c r="A239" s="95">
        <v>1302</v>
      </c>
      <c r="B239" s="95"/>
      <c r="C239" s="83" t="s">
        <v>272</v>
      </c>
      <c r="D239" s="83">
        <f>(44.76+0.75*(2.75+5.84+3))*10.764</f>
        <v>575.36270999999999</v>
      </c>
      <c r="E239" s="83">
        <v>0</v>
      </c>
      <c r="F239" s="83">
        <f t="shared" ref="F239:F241" si="15">D239*1.65+E239</f>
        <v>949.34847149999996</v>
      </c>
      <c r="G239" s="98"/>
      <c r="H239" s="99"/>
      <c r="K239" s="82"/>
    </row>
    <row r="240" spans="1:11" s="2" customFormat="1" x14ac:dyDescent="0.35">
      <c r="A240" s="95">
        <v>1303</v>
      </c>
      <c r="B240" s="95"/>
      <c r="C240" s="83" t="s">
        <v>170</v>
      </c>
      <c r="D240" s="83">
        <f>(33.12+0.75*(2.75+5))*10.764</f>
        <v>419.06942999999995</v>
      </c>
      <c r="E240" s="83">
        <v>0</v>
      </c>
      <c r="F240" s="83">
        <f t="shared" si="15"/>
        <v>691.46455949999984</v>
      </c>
      <c r="G240" s="98"/>
      <c r="H240" s="99"/>
      <c r="K240" s="82"/>
    </row>
    <row r="241" spans="1:11" s="2" customFormat="1" ht="46.5" x14ac:dyDescent="0.35">
      <c r="A241" s="95">
        <v>1304</v>
      </c>
      <c r="B241" s="95"/>
      <c r="C241" s="83" t="s">
        <v>240</v>
      </c>
      <c r="D241" s="83">
        <f>(68.34+0.75*(7.4+7.85))*10.764</f>
        <v>858.72501</v>
      </c>
      <c r="E241" s="83">
        <v>0</v>
      </c>
      <c r="F241" s="83">
        <f t="shared" si="15"/>
        <v>1416.8962664999999</v>
      </c>
      <c r="G241" s="100"/>
      <c r="H241" s="101"/>
      <c r="K241" s="82"/>
    </row>
    <row r="242" spans="1:11" s="2" customFormat="1" x14ac:dyDescent="0.35">
      <c r="A242" s="94" t="s">
        <v>243</v>
      </c>
      <c r="B242" s="94"/>
      <c r="C242" s="94"/>
      <c r="D242" s="94"/>
      <c r="E242" s="94"/>
      <c r="F242" s="94"/>
      <c r="G242" s="94"/>
      <c r="H242" s="94"/>
      <c r="K242" s="82"/>
    </row>
    <row r="243" spans="1:11" s="2" customFormat="1" x14ac:dyDescent="0.35">
      <c r="A243" s="95" t="s">
        <v>244</v>
      </c>
      <c r="B243" s="95"/>
      <c r="C243" s="83" t="s">
        <v>170</v>
      </c>
      <c r="D243" s="83">
        <f>(36.35+0.75*(2.75+5.69))*10.764</f>
        <v>459.40751999999998</v>
      </c>
      <c r="E243" s="83">
        <v>0</v>
      </c>
      <c r="F243" s="83">
        <f>D243*1.65+E243</f>
        <v>758.02240799999993</v>
      </c>
      <c r="G243" s="96" t="str">
        <f>A242</f>
        <v>12th &amp; 14th Floor</v>
      </c>
      <c r="H243" s="97"/>
      <c r="K243" s="82"/>
    </row>
    <row r="244" spans="1:11" s="2" customFormat="1" x14ac:dyDescent="0.35">
      <c r="A244" s="95" t="s">
        <v>245</v>
      </c>
      <c r="B244" s="95"/>
      <c r="C244" s="83" t="s">
        <v>272</v>
      </c>
      <c r="D244" s="83">
        <f>(44.76+0.75*(2.75+5.84+3))*10.764</f>
        <v>575.36270999999999</v>
      </c>
      <c r="E244" s="83">
        <v>0</v>
      </c>
      <c r="F244" s="83">
        <f t="shared" ref="F244:F245" si="16">D244*1.65+E244</f>
        <v>949.34847149999996</v>
      </c>
      <c r="G244" s="98"/>
      <c r="H244" s="99"/>
      <c r="K244" s="82"/>
    </row>
    <row r="245" spans="1:11" s="2" customFormat="1" x14ac:dyDescent="0.35">
      <c r="A245" s="95" t="s">
        <v>246</v>
      </c>
      <c r="B245" s="95"/>
      <c r="C245" s="83" t="s">
        <v>170</v>
      </c>
      <c r="D245" s="83">
        <f>(33.12+0.75*(2.75+5))*10.764</f>
        <v>419.06942999999995</v>
      </c>
      <c r="E245" s="83">
        <v>0</v>
      </c>
      <c r="F245" s="83">
        <f t="shared" si="16"/>
        <v>691.46455949999984</v>
      </c>
      <c r="G245" s="98"/>
      <c r="H245" s="99"/>
      <c r="K245" s="82"/>
    </row>
    <row r="246" spans="1:11" s="2" customFormat="1" x14ac:dyDescent="0.35">
      <c r="A246" s="95" t="s">
        <v>247</v>
      </c>
      <c r="B246" s="95"/>
      <c r="C246" s="102" t="s">
        <v>250</v>
      </c>
      <c r="D246" s="103"/>
      <c r="E246" s="103"/>
      <c r="F246" s="104"/>
      <c r="G246" s="100"/>
      <c r="H246" s="101"/>
      <c r="K246" s="82"/>
    </row>
    <row r="247" spans="1:11" s="2" customFormat="1" hidden="1" x14ac:dyDescent="0.35">
      <c r="A247" s="94" t="s">
        <v>251</v>
      </c>
      <c r="B247" s="94"/>
      <c r="C247" s="94"/>
      <c r="D247" s="94"/>
      <c r="E247" s="94"/>
      <c r="F247" s="94"/>
      <c r="G247" s="94"/>
      <c r="H247" s="94"/>
      <c r="K247" s="82"/>
    </row>
    <row r="248" spans="1:11" s="2" customFormat="1" hidden="1" x14ac:dyDescent="0.35">
      <c r="A248" s="94" t="s">
        <v>253</v>
      </c>
      <c r="B248" s="94"/>
      <c r="C248" s="94"/>
      <c r="D248" s="94"/>
      <c r="E248" s="94"/>
      <c r="F248" s="94"/>
      <c r="G248" s="94"/>
      <c r="H248" s="94"/>
      <c r="K248" s="82" t="e">
        <f t="shared" si="8"/>
        <v>#DIV/0!</v>
      </c>
    </row>
    <row r="249" spans="1:11" s="2" customFormat="1" hidden="1" x14ac:dyDescent="0.35">
      <c r="A249" s="95">
        <v>1</v>
      </c>
      <c r="B249" s="95"/>
      <c r="C249" s="79" t="s">
        <v>252</v>
      </c>
      <c r="D249" s="79">
        <f>(5.8*13.05)*10.764</f>
        <v>814.72715999999991</v>
      </c>
      <c r="E249" s="79">
        <v>0</v>
      </c>
      <c r="F249" s="79">
        <f>D249*1.6+E249</f>
        <v>1303.5634559999999</v>
      </c>
      <c r="G249" s="105" t="str">
        <f>A248</f>
        <v xml:space="preserve">Ground Floor </v>
      </c>
      <c r="H249" s="106"/>
      <c r="K249" s="82">
        <f t="shared" si="8"/>
        <v>1.6</v>
      </c>
    </row>
    <row r="250" spans="1:11" s="2" customFormat="1" hidden="1" x14ac:dyDescent="0.35">
      <c r="A250" s="94" t="s">
        <v>255</v>
      </c>
      <c r="B250" s="94"/>
      <c r="C250" s="94"/>
      <c r="D250" s="94"/>
      <c r="E250" s="94"/>
      <c r="F250" s="94"/>
      <c r="G250" s="94"/>
      <c r="H250" s="94"/>
      <c r="K250" s="82" t="e">
        <f t="shared" si="8"/>
        <v>#DIV/0!</v>
      </c>
    </row>
    <row r="251" spans="1:11" s="2" customFormat="1" hidden="1" x14ac:dyDescent="0.35">
      <c r="A251" s="95">
        <v>1</v>
      </c>
      <c r="B251" s="95"/>
      <c r="C251" s="79" t="s">
        <v>254</v>
      </c>
      <c r="D251" s="79">
        <f>(5.8*13.05+2.83*2.25+1.25*2.1)*10.764</f>
        <v>911.52242999999999</v>
      </c>
      <c r="E251" s="79">
        <v>0</v>
      </c>
      <c r="F251" s="79">
        <f>D251*1.6+E251</f>
        <v>1458.435888</v>
      </c>
      <c r="G251" s="102" t="str">
        <f>A250</f>
        <v>1st to 3th Floor</v>
      </c>
      <c r="H251" s="103"/>
      <c r="K251" s="82">
        <f t="shared" si="8"/>
        <v>1.6</v>
      </c>
    </row>
    <row r="252" spans="1:11" s="2" customFormat="1" hidden="1" x14ac:dyDescent="0.35">
      <c r="A252" s="94" t="s">
        <v>256</v>
      </c>
      <c r="B252" s="94"/>
      <c r="C252" s="94"/>
      <c r="D252" s="94"/>
      <c r="E252" s="94"/>
      <c r="F252" s="94"/>
      <c r="G252" s="94"/>
      <c r="H252" s="94"/>
      <c r="K252" s="82" t="e">
        <f t="shared" si="8"/>
        <v>#DIV/0!</v>
      </c>
    </row>
    <row r="253" spans="1:11" s="2" customFormat="1" hidden="1" x14ac:dyDescent="0.35">
      <c r="A253" s="95">
        <v>1</v>
      </c>
      <c r="B253" s="95"/>
      <c r="C253" s="79" t="s">
        <v>254</v>
      </c>
      <c r="D253" s="79">
        <f>(5.8*13.05+2.83*2.25+1.25*2.1)*10.764</f>
        <v>911.52242999999999</v>
      </c>
      <c r="E253" s="79">
        <v>0</v>
      </c>
      <c r="F253" s="79">
        <f>D253*1.6+E253</f>
        <v>1458.435888</v>
      </c>
      <c r="G253" s="102" t="str">
        <f>A252</f>
        <v>4th Floor</v>
      </c>
      <c r="H253" s="103"/>
      <c r="K253" s="82">
        <f t="shared" si="8"/>
        <v>1.6</v>
      </c>
    </row>
    <row r="254" spans="1:11" s="1" customFormat="1" x14ac:dyDescent="0.35">
      <c r="A254" s="175" t="s">
        <v>80</v>
      </c>
      <c r="B254" s="175"/>
      <c r="C254" s="175"/>
      <c r="D254" s="175"/>
      <c r="E254" s="175"/>
      <c r="F254" s="175"/>
      <c r="G254" s="175"/>
      <c r="H254" s="175"/>
    </row>
    <row r="255" spans="1:11" s="10" customFormat="1" ht="200" customHeight="1" x14ac:dyDescent="0.35">
      <c r="A255" s="176" t="s">
        <v>283</v>
      </c>
      <c r="B255" s="176"/>
      <c r="C255" s="176"/>
      <c r="D255" s="176"/>
      <c r="E255" s="176"/>
      <c r="F255" s="176"/>
      <c r="G255" s="176"/>
      <c r="H255" s="176"/>
    </row>
    <row r="256" spans="1:11" x14ac:dyDescent="0.35">
      <c r="A256" s="174" t="s">
        <v>71</v>
      </c>
      <c r="B256" s="174"/>
      <c r="C256" s="174"/>
      <c r="D256" s="174"/>
      <c r="E256" s="174"/>
      <c r="F256" s="174"/>
      <c r="G256" s="174"/>
      <c r="H256" s="174"/>
    </row>
    <row r="257" spans="1:8" x14ac:dyDescent="0.35">
      <c r="A257" s="142" t="s">
        <v>72</v>
      </c>
      <c r="B257" s="142"/>
      <c r="C257" s="142"/>
      <c r="D257" s="142"/>
      <c r="E257" s="142"/>
      <c r="F257" s="142"/>
      <c r="G257" s="142"/>
      <c r="H257" s="142"/>
    </row>
    <row r="258" spans="1:8" ht="15.75" customHeight="1" x14ac:dyDescent="0.35">
      <c r="A258" s="174" t="s">
        <v>73</v>
      </c>
      <c r="B258" s="174"/>
      <c r="C258" s="174"/>
      <c r="D258" s="174"/>
      <c r="E258" s="174"/>
      <c r="F258" s="174"/>
      <c r="G258" s="174"/>
      <c r="H258" s="174"/>
    </row>
    <row r="259" spans="1:8" x14ac:dyDescent="0.35">
      <c r="A259" s="142" t="s">
        <v>74</v>
      </c>
      <c r="B259" s="142"/>
      <c r="C259" s="142"/>
      <c r="D259" s="142"/>
      <c r="E259" s="142"/>
      <c r="F259" s="142"/>
      <c r="G259" s="142"/>
      <c r="H259" s="142"/>
    </row>
    <row r="260" spans="1:8" x14ac:dyDescent="0.35">
      <c r="A260" s="142" t="s">
        <v>75</v>
      </c>
      <c r="B260" s="142"/>
      <c r="C260" s="142"/>
      <c r="D260" s="142"/>
      <c r="E260" s="142"/>
      <c r="F260" s="142"/>
      <c r="G260" s="142"/>
      <c r="H260" s="142"/>
    </row>
    <row r="261" spans="1:8" x14ac:dyDescent="0.35">
      <c r="A261" s="142" t="s">
        <v>76</v>
      </c>
      <c r="B261" s="142"/>
      <c r="C261" s="142"/>
      <c r="D261" s="142"/>
      <c r="E261" s="142"/>
      <c r="F261" s="142"/>
      <c r="G261" s="142"/>
      <c r="H261" s="142"/>
    </row>
    <row r="262" spans="1:8" x14ac:dyDescent="0.35">
      <c r="A262" s="161" t="s">
        <v>77</v>
      </c>
      <c r="B262" s="161"/>
      <c r="C262" s="161"/>
      <c r="D262" s="161"/>
      <c r="E262" s="161"/>
      <c r="F262" s="161"/>
      <c r="G262" s="161"/>
      <c r="H262" s="161"/>
    </row>
    <row r="263" spans="1:8" x14ac:dyDescent="0.35">
      <c r="A263" s="173" t="s">
        <v>111</v>
      </c>
      <c r="B263" s="173"/>
      <c r="C263" s="173" t="s">
        <v>277</v>
      </c>
      <c r="D263" s="173"/>
      <c r="E263" s="173" t="s">
        <v>146</v>
      </c>
      <c r="F263" s="173"/>
      <c r="G263" s="173" t="s">
        <v>280</v>
      </c>
      <c r="H263" s="173"/>
    </row>
    <row r="264" spans="1:8" x14ac:dyDescent="0.35">
      <c r="A264" s="172" t="s">
        <v>113</v>
      </c>
      <c r="B264" s="172"/>
      <c r="C264" s="172"/>
      <c r="D264" s="172"/>
      <c r="E264" s="172"/>
      <c r="F264" s="172"/>
      <c r="G264" s="172"/>
      <c r="H264" s="172"/>
    </row>
    <row r="265" spans="1:8" x14ac:dyDescent="0.35">
      <c r="A265" s="172"/>
      <c r="B265" s="172"/>
      <c r="C265" s="172"/>
      <c r="D265" s="172"/>
      <c r="E265" s="172"/>
      <c r="F265" s="172"/>
      <c r="G265" s="172"/>
      <c r="H265" s="172"/>
    </row>
    <row r="266" spans="1:8" x14ac:dyDescent="0.35">
      <c r="A266" s="172"/>
      <c r="B266" s="172"/>
      <c r="C266" s="172"/>
      <c r="D266" s="172"/>
      <c r="E266" s="172"/>
      <c r="F266" s="172"/>
      <c r="G266" s="172"/>
      <c r="H266" s="172"/>
    </row>
    <row r="267" spans="1:8" x14ac:dyDescent="0.35">
      <c r="A267" s="172"/>
      <c r="B267" s="172"/>
      <c r="C267" s="172"/>
      <c r="D267" s="172"/>
      <c r="E267" s="172"/>
      <c r="F267" s="172"/>
      <c r="G267" s="172"/>
      <c r="H267" s="172"/>
    </row>
    <row r="268" spans="1:8" x14ac:dyDescent="0.35">
      <c r="A268" s="18" t="s">
        <v>78</v>
      </c>
      <c r="B268" s="19"/>
      <c r="C268" s="19"/>
      <c r="D268" s="18" t="str">
        <f>E8</f>
        <v>Gargi Hills</v>
      </c>
      <c r="F268" s="19"/>
      <c r="G268" s="19"/>
      <c r="H268" s="19"/>
    </row>
    <row r="269" spans="1:8" x14ac:dyDescent="0.35">
      <c r="A269" s="19"/>
      <c r="B269" s="19"/>
      <c r="C269" s="19"/>
      <c r="D269" s="19"/>
      <c r="E269" s="19"/>
      <c r="F269" s="19"/>
      <c r="G269" s="19"/>
      <c r="H269" s="19"/>
    </row>
    <row r="270" spans="1:8" x14ac:dyDescent="0.35">
      <c r="A270" s="19"/>
      <c r="B270" s="19"/>
      <c r="C270" s="19"/>
      <c r="D270" s="19"/>
      <c r="E270" s="19"/>
      <c r="F270" s="19"/>
      <c r="G270" s="19"/>
      <c r="H270" s="19"/>
    </row>
    <row r="271" spans="1:8" ht="15" customHeight="1" x14ac:dyDescent="0.35"/>
    <row r="311" spans="1:1" x14ac:dyDescent="0.35">
      <c r="A311" s="21" t="s">
        <v>275</v>
      </c>
    </row>
    <row r="354" spans="1:1" x14ac:dyDescent="0.35">
      <c r="A354" s="21" t="s">
        <v>79</v>
      </c>
    </row>
    <row r="435" spans="6:6" x14ac:dyDescent="0.35">
      <c r="F435" s="20" t="s">
        <v>200</v>
      </c>
    </row>
  </sheetData>
  <mergeCells count="423">
    <mergeCell ref="A81:B81"/>
    <mergeCell ref="C81:D81"/>
    <mergeCell ref="E81:F81"/>
    <mergeCell ref="G81:H81"/>
    <mergeCell ref="A205:H205"/>
    <mergeCell ref="A206:B206"/>
    <mergeCell ref="C206:F206"/>
    <mergeCell ref="G206:H209"/>
    <mergeCell ref="A207:B207"/>
    <mergeCell ref="A208:B208"/>
    <mergeCell ref="A209:B209"/>
    <mergeCell ref="C209:F209"/>
    <mergeCell ref="A195:H195"/>
    <mergeCell ref="A196:B196"/>
    <mergeCell ref="G196:H199"/>
    <mergeCell ref="A197:B197"/>
    <mergeCell ref="A198:B198"/>
    <mergeCell ref="A199:B199"/>
    <mergeCell ref="A200:H200"/>
    <mergeCell ref="A201:B201"/>
    <mergeCell ref="G201:H204"/>
    <mergeCell ref="A202:B202"/>
    <mergeCell ref="A203:B203"/>
    <mergeCell ref="A204:B204"/>
    <mergeCell ref="A185:H185"/>
    <mergeCell ref="A186:B186"/>
    <mergeCell ref="G186:H189"/>
    <mergeCell ref="A187:B187"/>
    <mergeCell ref="A188:B188"/>
    <mergeCell ref="A189:B189"/>
    <mergeCell ref="A190:H190"/>
    <mergeCell ref="A191:B191"/>
    <mergeCell ref="G191:H194"/>
    <mergeCell ref="A192:B192"/>
    <mergeCell ref="A193:B193"/>
    <mergeCell ref="A194:B194"/>
    <mergeCell ref="A164:B164"/>
    <mergeCell ref="G164:H167"/>
    <mergeCell ref="A165:B165"/>
    <mergeCell ref="A166:B166"/>
    <mergeCell ref="A167:B167"/>
    <mergeCell ref="C166:F166"/>
    <mergeCell ref="A168:H168"/>
    <mergeCell ref="A169:B169"/>
    <mergeCell ref="G169:H172"/>
    <mergeCell ref="A170:B170"/>
    <mergeCell ref="A171:B171"/>
    <mergeCell ref="A172:B172"/>
    <mergeCell ref="C169:F169"/>
    <mergeCell ref="A126:B126"/>
    <mergeCell ref="D126:E126"/>
    <mergeCell ref="F126:H126"/>
    <mergeCell ref="A127:B127"/>
    <mergeCell ref="D127:E127"/>
    <mergeCell ref="F127:H127"/>
    <mergeCell ref="A128:B128"/>
    <mergeCell ref="D128:E128"/>
    <mergeCell ref="A119:E119"/>
    <mergeCell ref="F119:H119"/>
    <mergeCell ref="A36:B36"/>
    <mergeCell ref="E36:F36"/>
    <mergeCell ref="C36:D36"/>
    <mergeCell ref="G36:H36"/>
    <mergeCell ref="G49:H49"/>
    <mergeCell ref="D57:H57"/>
    <mergeCell ref="A57:C57"/>
    <mergeCell ref="A58:C58"/>
    <mergeCell ref="D58:H58"/>
    <mergeCell ref="A56:C56"/>
    <mergeCell ref="D56:H56"/>
    <mergeCell ref="D55:H55"/>
    <mergeCell ref="A49:B50"/>
    <mergeCell ref="C50:H50"/>
    <mergeCell ref="C49:E49"/>
    <mergeCell ref="G48:H48"/>
    <mergeCell ref="A37:B37"/>
    <mergeCell ref="C37:H37"/>
    <mergeCell ref="A62:C62"/>
    <mergeCell ref="D62:H62"/>
    <mergeCell ref="A112:E112"/>
    <mergeCell ref="F112:H112"/>
    <mergeCell ref="D59:H59"/>
    <mergeCell ref="A113:E113"/>
    <mergeCell ref="F113:H113"/>
    <mergeCell ref="G51:H51"/>
    <mergeCell ref="C51:E51"/>
    <mergeCell ref="A51:B52"/>
    <mergeCell ref="G53:H53"/>
    <mergeCell ref="A53:B53"/>
    <mergeCell ref="C53:E53"/>
    <mergeCell ref="A59:C59"/>
    <mergeCell ref="D60:H60"/>
    <mergeCell ref="A61:C61"/>
    <mergeCell ref="A60:C60"/>
    <mergeCell ref="C52:H52"/>
    <mergeCell ref="D61:H61"/>
    <mergeCell ref="A76:B76"/>
    <mergeCell ref="A77:B77"/>
    <mergeCell ref="A63:B63"/>
    <mergeCell ref="C63:H63"/>
    <mergeCell ref="A64:B64"/>
    <mergeCell ref="C31:E31"/>
    <mergeCell ref="A32:B32"/>
    <mergeCell ref="C32:E32"/>
    <mergeCell ref="A33:B33"/>
    <mergeCell ref="C33:E33"/>
    <mergeCell ref="C34:E34"/>
    <mergeCell ref="A30:B30"/>
    <mergeCell ref="A48:B48"/>
    <mergeCell ref="C48:E48"/>
    <mergeCell ref="C47:E47"/>
    <mergeCell ref="A46:B46"/>
    <mergeCell ref="C46:E46"/>
    <mergeCell ref="A41:D41"/>
    <mergeCell ref="E41:H41"/>
    <mergeCell ref="E42:H42"/>
    <mergeCell ref="E43:H43"/>
    <mergeCell ref="E44:H44"/>
    <mergeCell ref="A42:D42"/>
    <mergeCell ref="A43:D43"/>
    <mergeCell ref="A44:D44"/>
    <mergeCell ref="A45:H45"/>
    <mergeCell ref="G46:H46"/>
    <mergeCell ref="G47:H47"/>
    <mergeCell ref="A47:B47"/>
    <mergeCell ref="A264:H267"/>
    <mergeCell ref="A263:B263"/>
    <mergeCell ref="E263:F263"/>
    <mergeCell ref="C263:D263"/>
    <mergeCell ref="G263:H263"/>
    <mergeCell ref="A120:E120"/>
    <mergeCell ref="F120:H120"/>
    <mergeCell ref="A121:E121"/>
    <mergeCell ref="F121:H121"/>
    <mergeCell ref="D124:E124"/>
    <mergeCell ref="F124:H124"/>
    <mergeCell ref="A131:B131"/>
    <mergeCell ref="A132:H132"/>
    <mergeCell ref="A124:B124"/>
    <mergeCell ref="A214:B214"/>
    <mergeCell ref="A215:B215"/>
    <mergeCell ref="A258:H258"/>
    <mergeCell ref="A259:H259"/>
    <mergeCell ref="A260:H260"/>
    <mergeCell ref="A261:H261"/>
    <mergeCell ref="A262:H262"/>
    <mergeCell ref="A254:H254"/>
    <mergeCell ref="A255:H255"/>
    <mergeCell ref="A256:H256"/>
    <mergeCell ref="A17:B17"/>
    <mergeCell ref="C17:D17"/>
    <mergeCell ref="E17:F17"/>
    <mergeCell ref="G17:H17"/>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A1:H1"/>
    <mergeCell ref="A2:H2"/>
    <mergeCell ref="A3:D3"/>
    <mergeCell ref="E3:H3"/>
    <mergeCell ref="A4:D4"/>
    <mergeCell ref="A8:D8"/>
    <mergeCell ref="E8:H8"/>
    <mergeCell ref="A10:D10"/>
    <mergeCell ref="E10:H10"/>
    <mergeCell ref="E4:H4"/>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9:D9"/>
    <mergeCell ref="E9:H9"/>
    <mergeCell ref="A16:B16"/>
    <mergeCell ref="C16:D16"/>
    <mergeCell ref="E16:F16"/>
    <mergeCell ref="G16:H16"/>
    <mergeCell ref="A24:D24"/>
    <mergeCell ref="A25:D25"/>
    <mergeCell ref="E25:H25"/>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F116:H116"/>
    <mergeCell ref="A140:B140"/>
    <mergeCell ref="A141:B141"/>
    <mergeCell ref="A142:B142"/>
    <mergeCell ref="A176:B176"/>
    <mergeCell ref="A177:B177"/>
    <mergeCell ref="A178:B178"/>
    <mergeCell ref="A54:H54"/>
    <mergeCell ref="A55:C55"/>
    <mergeCell ref="A122:H122"/>
    <mergeCell ref="A107:H107"/>
    <mergeCell ref="A110:H110"/>
    <mergeCell ref="A111:E111"/>
    <mergeCell ref="F111:H111"/>
    <mergeCell ref="A108:H108"/>
    <mergeCell ref="A109:B109"/>
    <mergeCell ref="C109:H109"/>
    <mergeCell ref="A117:E117"/>
    <mergeCell ref="F117:H117"/>
    <mergeCell ref="A118:E118"/>
    <mergeCell ref="F118:H118"/>
    <mergeCell ref="A114:E114"/>
    <mergeCell ref="F114:H114"/>
    <mergeCell ref="A115:E115"/>
    <mergeCell ref="A257:H257"/>
    <mergeCell ref="A130:H130"/>
    <mergeCell ref="A134:B134"/>
    <mergeCell ref="A129:H129"/>
    <mergeCell ref="A123:B123"/>
    <mergeCell ref="D123:E123"/>
    <mergeCell ref="G131:H131"/>
    <mergeCell ref="G134:H134"/>
    <mergeCell ref="A216:B216"/>
    <mergeCell ref="A217:H217"/>
    <mergeCell ref="A218:B218"/>
    <mergeCell ref="A219:B219"/>
    <mergeCell ref="A220:B220"/>
    <mergeCell ref="A221:B221"/>
    <mergeCell ref="C151:F151"/>
    <mergeCell ref="A179:B179"/>
    <mergeCell ref="A213:B213"/>
    <mergeCell ref="F123:H123"/>
    <mergeCell ref="A125:B125"/>
    <mergeCell ref="D125:E125"/>
    <mergeCell ref="F125:H125"/>
    <mergeCell ref="A133:H133"/>
    <mergeCell ref="A135:H135"/>
    <mergeCell ref="A137:H137"/>
    <mergeCell ref="A136:H136"/>
    <mergeCell ref="A138:H138"/>
    <mergeCell ref="A173:H173"/>
    <mergeCell ref="A174:H174"/>
    <mergeCell ref="A175:H175"/>
    <mergeCell ref="A65:B65"/>
    <mergeCell ref="C65:H65"/>
    <mergeCell ref="A67:B67"/>
    <mergeCell ref="E67:F67"/>
    <mergeCell ref="G67:H67"/>
    <mergeCell ref="A68:B68"/>
    <mergeCell ref="A69:B69"/>
    <mergeCell ref="A70:B70"/>
    <mergeCell ref="A71:B71"/>
    <mergeCell ref="A72:B72"/>
    <mergeCell ref="A73:B73"/>
    <mergeCell ref="A74:B74"/>
    <mergeCell ref="F115:H115"/>
    <mergeCell ref="A116:E116"/>
    <mergeCell ref="F128:H128"/>
    <mergeCell ref="G139:H142"/>
    <mergeCell ref="G149:H152"/>
    <mergeCell ref="A139:B139"/>
    <mergeCell ref="A75:B75"/>
    <mergeCell ref="G176:H179"/>
    <mergeCell ref="G181:H184"/>
    <mergeCell ref="G213:H216"/>
    <mergeCell ref="G218:H221"/>
    <mergeCell ref="A210:H210"/>
    <mergeCell ref="A211:H211"/>
    <mergeCell ref="A212:H212"/>
    <mergeCell ref="A148:H148"/>
    <mergeCell ref="A149:B149"/>
    <mergeCell ref="A150:B150"/>
    <mergeCell ref="A151:B151"/>
    <mergeCell ref="A152:B152"/>
    <mergeCell ref="A180:H180"/>
    <mergeCell ref="A181:B181"/>
    <mergeCell ref="A182:B182"/>
    <mergeCell ref="A183:B183"/>
    <mergeCell ref="A184:B184"/>
    <mergeCell ref="A158:H158"/>
    <mergeCell ref="A159:B159"/>
    <mergeCell ref="G159:H162"/>
    <mergeCell ref="A160:B160"/>
    <mergeCell ref="A161:B161"/>
    <mergeCell ref="A162:B162"/>
    <mergeCell ref="A163:H163"/>
    <mergeCell ref="C64:D64"/>
    <mergeCell ref="E68:F77"/>
    <mergeCell ref="G68:H77"/>
    <mergeCell ref="A78:B78"/>
    <mergeCell ref="C78:H78"/>
    <mergeCell ref="A79:B79"/>
    <mergeCell ref="C79:D79"/>
    <mergeCell ref="A80:B80"/>
    <mergeCell ref="C80:H80"/>
    <mergeCell ref="A66:B66"/>
    <mergeCell ref="E66:F66"/>
    <mergeCell ref="C66:D66"/>
    <mergeCell ref="G66:H66"/>
    <mergeCell ref="A82:B82"/>
    <mergeCell ref="E82:F82"/>
    <mergeCell ref="G82:H82"/>
    <mergeCell ref="A83:B83"/>
    <mergeCell ref="E83:F92"/>
    <mergeCell ref="G83:H92"/>
    <mergeCell ref="A84:B84"/>
    <mergeCell ref="A85:B85"/>
    <mergeCell ref="A86:B86"/>
    <mergeCell ref="A87:B87"/>
    <mergeCell ref="A88:B88"/>
    <mergeCell ref="A89:B89"/>
    <mergeCell ref="A90:B90"/>
    <mergeCell ref="A91:B91"/>
    <mergeCell ref="A92:B92"/>
    <mergeCell ref="A93:B93"/>
    <mergeCell ref="C93:H93"/>
    <mergeCell ref="A94:B94"/>
    <mergeCell ref="C94:D94"/>
    <mergeCell ref="A95:B95"/>
    <mergeCell ref="C95:H95"/>
    <mergeCell ref="A96:B96"/>
    <mergeCell ref="E96:F96"/>
    <mergeCell ref="G96:H96"/>
    <mergeCell ref="A97:B97"/>
    <mergeCell ref="E97:F106"/>
    <mergeCell ref="G97:H106"/>
    <mergeCell ref="A98:B98"/>
    <mergeCell ref="A99:B99"/>
    <mergeCell ref="A100:B100"/>
    <mergeCell ref="A101:B101"/>
    <mergeCell ref="A102:B102"/>
    <mergeCell ref="A103:B103"/>
    <mergeCell ref="A104:B104"/>
    <mergeCell ref="A105:B105"/>
    <mergeCell ref="A106:B106"/>
    <mergeCell ref="A143:H143"/>
    <mergeCell ref="A144:B144"/>
    <mergeCell ref="G144:H147"/>
    <mergeCell ref="A145:B145"/>
    <mergeCell ref="A146:B146"/>
    <mergeCell ref="A147:B147"/>
    <mergeCell ref="A153:H153"/>
    <mergeCell ref="A154:B154"/>
    <mergeCell ref="G154:H157"/>
    <mergeCell ref="A155:B155"/>
    <mergeCell ref="A156:B156"/>
    <mergeCell ref="A157:B157"/>
    <mergeCell ref="A253:B253"/>
    <mergeCell ref="G253:H253"/>
    <mergeCell ref="A247:H247"/>
    <mergeCell ref="A248:H248"/>
    <mergeCell ref="A250:H250"/>
    <mergeCell ref="A251:B251"/>
    <mergeCell ref="A249:B249"/>
    <mergeCell ref="G249:H249"/>
    <mergeCell ref="G251:H251"/>
    <mergeCell ref="A252:H252"/>
    <mergeCell ref="A222:H222"/>
    <mergeCell ref="A223:B223"/>
    <mergeCell ref="G223:H226"/>
    <mergeCell ref="A224:B224"/>
    <mergeCell ref="A225:B225"/>
    <mergeCell ref="A226:B226"/>
    <mergeCell ref="A227:H227"/>
    <mergeCell ref="A228:B228"/>
    <mergeCell ref="G228:H231"/>
    <mergeCell ref="A229:B229"/>
    <mergeCell ref="A230:B230"/>
    <mergeCell ref="A231:B231"/>
    <mergeCell ref="A232:H232"/>
    <mergeCell ref="A233:B233"/>
    <mergeCell ref="G233:H236"/>
    <mergeCell ref="A234:B234"/>
    <mergeCell ref="A235:B235"/>
    <mergeCell ref="A236:B236"/>
    <mergeCell ref="A242:H242"/>
    <mergeCell ref="A243:B243"/>
    <mergeCell ref="G243:H246"/>
    <mergeCell ref="A244:B244"/>
    <mergeCell ref="A245:B245"/>
    <mergeCell ref="A246:B246"/>
    <mergeCell ref="C246:F246"/>
    <mergeCell ref="A237:H237"/>
    <mergeCell ref="A238:B238"/>
    <mergeCell ref="G238:H241"/>
    <mergeCell ref="A239:B239"/>
    <mergeCell ref="A240:B240"/>
    <mergeCell ref="A241:B241"/>
  </mergeCells>
  <hyperlinks>
    <hyperlink ref="C37" r:id="rId1"/>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92" max="16383" man="1"/>
    <brk id="253" max="16383" man="1"/>
    <brk id="267" max="16383" man="1"/>
    <brk id="310" max="16383" man="1"/>
    <brk id="35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opLeftCell="A28" workbookViewId="0">
      <selection activeCell="F5" sqref="F5"/>
    </sheetView>
  </sheetViews>
  <sheetFormatPr defaultColWidth="8.7265625" defaultRowHeight="14.5" x14ac:dyDescent="0.35"/>
  <cols>
    <col min="1" max="1" width="8.7265625" style="42"/>
    <col min="2" max="2" width="22.1796875" style="42" customWidth="1"/>
    <col min="3" max="3" width="37" style="42" customWidth="1"/>
    <col min="4" max="5" width="11.453125" style="42" customWidth="1"/>
    <col min="6" max="6" width="14" style="42" customWidth="1"/>
    <col min="7" max="7" width="20" style="42" customWidth="1"/>
    <col min="8" max="8" width="16.453125" style="42" customWidth="1"/>
    <col min="9" max="9" width="8.7265625" style="42"/>
    <col min="10" max="10" width="9.81640625" style="42" bestFit="1" customWidth="1"/>
    <col min="11" max="16384" width="8.7265625" style="42"/>
  </cols>
  <sheetData>
    <row r="1" spans="1:10" ht="15" customHeight="1" x14ac:dyDescent="0.35">
      <c r="A1" s="41"/>
      <c r="B1" s="41"/>
      <c r="C1" s="41"/>
      <c r="D1" s="41"/>
      <c r="E1" s="41"/>
      <c r="F1" s="41"/>
      <c r="G1" s="41"/>
      <c r="H1" s="41"/>
    </row>
    <row r="2" spans="1:10" ht="15" customHeight="1" x14ac:dyDescent="0.35">
      <c r="A2" s="43"/>
      <c r="B2" s="43"/>
      <c r="C2" s="43"/>
      <c r="D2" s="43"/>
      <c r="E2" s="43"/>
      <c r="F2" s="43"/>
      <c r="G2" s="43"/>
      <c r="H2" s="43"/>
    </row>
    <row r="3" spans="1:10" x14ac:dyDescent="0.35">
      <c r="A3" s="43"/>
      <c r="B3" s="44" t="s">
        <v>186</v>
      </c>
      <c r="C3" s="44"/>
      <c r="D3" s="44"/>
      <c r="E3" s="44"/>
      <c r="F3" s="44"/>
      <c r="G3" s="44"/>
      <c r="H3" s="44"/>
    </row>
    <row r="4" spans="1:10" x14ac:dyDescent="0.35">
      <c r="A4" s="43"/>
      <c r="B4" s="45" t="s">
        <v>187</v>
      </c>
      <c r="C4" s="45" t="s">
        <v>188</v>
      </c>
      <c r="D4" s="45" t="s">
        <v>82</v>
      </c>
      <c r="E4" s="45" t="s">
        <v>189</v>
      </c>
      <c r="F4" s="45" t="s">
        <v>190</v>
      </c>
      <c r="G4" s="45" t="s">
        <v>191</v>
      </c>
      <c r="H4" s="45" t="s">
        <v>192</v>
      </c>
    </row>
    <row r="5" spans="1:10" x14ac:dyDescent="0.35">
      <c r="A5" s="43"/>
      <c r="B5" s="46" t="s">
        <v>195</v>
      </c>
      <c r="C5" s="47" t="s">
        <v>149</v>
      </c>
      <c r="D5" s="48" t="s">
        <v>170</v>
      </c>
      <c r="E5" s="48">
        <v>0</v>
      </c>
      <c r="F5" s="49">
        <v>585</v>
      </c>
      <c r="G5" s="50">
        <f>H5/F5</f>
        <v>4600</v>
      </c>
      <c r="H5" s="51">
        <v>2691000</v>
      </c>
      <c r="J5" s="52"/>
    </row>
    <row r="6" spans="1:10" x14ac:dyDescent="0.35">
      <c r="A6" s="43"/>
      <c r="B6" s="46" t="s">
        <v>195</v>
      </c>
      <c r="C6" s="47" t="s">
        <v>149</v>
      </c>
      <c r="D6" s="48" t="s">
        <v>170</v>
      </c>
      <c r="E6" s="48">
        <v>0</v>
      </c>
      <c r="F6" s="49">
        <v>600</v>
      </c>
      <c r="G6" s="50">
        <f t="shared" ref="G6:G9" si="0">H6/F6</f>
        <v>4600</v>
      </c>
      <c r="H6" s="51">
        <v>2760000</v>
      </c>
      <c r="J6" s="52"/>
    </row>
    <row r="7" spans="1:10" x14ac:dyDescent="0.35">
      <c r="A7" s="43"/>
      <c r="B7" s="46" t="s">
        <v>196</v>
      </c>
      <c r="C7" s="47" t="s">
        <v>149</v>
      </c>
      <c r="D7" s="48" t="s">
        <v>170</v>
      </c>
      <c r="E7" s="48">
        <v>0</v>
      </c>
      <c r="F7" s="49">
        <v>585</v>
      </c>
      <c r="G7" s="50">
        <f t="shared" si="0"/>
        <v>4600</v>
      </c>
      <c r="H7" s="51">
        <v>2691000</v>
      </c>
      <c r="J7" s="52"/>
    </row>
    <row r="8" spans="1:10" ht="15" customHeight="1" x14ac:dyDescent="0.35">
      <c r="A8" s="43"/>
      <c r="B8" s="46" t="s">
        <v>197</v>
      </c>
      <c r="C8" s="47" t="s">
        <v>149</v>
      </c>
      <c r="D8" s="48" t="s">
        <v>170</v>
      </c>
      <c r="E8" s="48">
        <v>0</v>
      </c>
      <c r="F8" s="49">
        <v>585</v>
      </c>
      <c r="G8" s="50">
        <f t="shared" si="0"/>
        <v>4600</v>
      </c>
      <c r="H8" s="51">
        <v>2691000</v>
      </c>
      <c r="J8" s="52"/>
    </row>
    <row r="9" spans="1:10" x14ac:dyDescent="0.35">
      <c r="A9" s="43"/>
      <c r="B9" s="46" t="s">
        <v>197</v>
      </c>
      <c r="C9" s="47" t="s">
        <v>149</v>
      </c>
      <c r="D9" s="48" t="s">
        <v>170</v>
      </c>
      <c r="E9" s="48">
        <v>0</v>
      </c>
      <c r="F9" s="49">
        <v>600</v>
      </c>
      <c r="G9" s="50">
        <f t="shared" si="0"/>
        <v>4600</v>
      </c>
      <c r="H9" s="51">
        <v>2760000</v>
      </c>
      <c r="J9" s="52"/>
    </row>
    <row r="10" spans="1:10" ht="15" customHeight="1" x14ac:dyDescent="0.35">
      <c r="A10" s="43"/>
      <c r="B10" s="53" t="s">
        <v>193</v>
      </c>
      <c r="C10" s="54"/>
      <c r="D10" s="54"/>
      <c r="E10" s="48">
        <v>0</v>
      </c>
      <c r="F10" s="50">
        <f>E10*1.5</f>
        <v>0</v>
      </c>
      <c r="G10" s="55">
        <f>AVERAGE(G5:G9)</f>
        <v>4600</v>
      </c>
      <c r="H10" s="54"/>
      <c r="J10" s="52"/>
    </row>
    <row r="11" spans="1:10" ht="15" customHeight="1" x14ac:dyDescent="0.35">
      <c r="A11" s="41"/>
      <c r="B11" s="53" t="s">
        <v>194</v>
      </c>
      <c r="C11" s="48"/>
      <c r="D11" s="48"/>
      <c r="E11" s="48"/>
      <c r="F11" s="56"/>
      <c r="G11" s="53">
        <v>4600</v>
      </c>
      <c r="H11" s="53"/>
      <c r="I11" s="57"/>
      <c r="J11" s="52"/>
    </row>
    <row r="12" spans="1:10" ht="15" customHeight="1" x14ac:dyDescent="0.35">
      <c r="B12" s="41"/>
      <c r="C12" s="41"/>
      <c r="D12" s="41"/>
      <c r="E12" s="41"/>
      <c r="G12" s="58"/>
    </row>
    <row r="13" spans="1:10" x14ac:dyDescent="0.35">
      <c r="E13" s="58"/>
      <c r="G13" s="58"/>
    </row>
    <row r="14" spans="1:10" x14ac:dyDescent="0.35">
      <c r="E14" s="58"/>
      <c r="G14" s="58"/>
    </row>
    <row r="15" spans="1:10" x14ac:dyDescent="0.35">
      <c r="E15" s="58"/>
      <c r="G15" s="58"/>
    </row>
    <row r="16" spans="1:10" x14ac:dyDescent="0.35">
      <c r="E16" s="58"/>
      <c r="G16" s="58"/>
    </row>
    <row r="17" spans="2:7" x14ac:dyDescent="0.35">
      <c r="E17" s="58"/>
      <c r="G17" s="58"/>
    </row>
    <row r="18" spans="2:7" x14ac:dyDescent="0.35">
      <c r="E18" s="58"/>
      <c r="G18" s="58"/>
    </row>
    <row r="19" spans="2:7" x14ac:dyDescent="0.35">
      <c r="G19" s="58"/>
    </row>
    <row r="20" spans="2:7" x14ac:dyDescent="0.35">
      <c r="G20" s="58"/>
    </row>
    <row r="21" spans="2:7" x14ac:dyDescent="0.35">
      <c r="B21" s="59"/>
      <c r="G21" s="5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9" workbookViewId="0">
      <selection activeCell="J8" sqref="J8"/>
    </sheetView>
  </sheetViews>
  <sheetFormatPr defaultRowHeight="14.5" x14ac:dyDescent="0.35"/>
  <cols>
    <col min="2" max="2" width="12.26953125" customWidth="1"/>
  </cols>
  <sheetData>
    <row r="2" spans="1:12" x14ac:dyDescent="0.35">
      <c r="B2" s="3" t="s">
        <v>81</v>
      </c>
      <c r="C2" s="214" t="s">
        <v>201</v>
      </c>
      <c r="D2" s="214"/>
    </row>
    <row r="3" spans="1:12" x14ac:dyDescent="0.35">
      <c r="D3" s="4"/>
      <c r="E3" s="4"/>
      <c r="F3" s="4"/>
      <c r="G3" s="4"/>
      <c r="H3" s="4"/>
      <c r="I3" s="4"/>
    </row>
    <row r="4" spans="1:12" x14ac:dyDescent="0.35">
      <c r="A4" s="3" t="s">
        <v>82</v>
      </c>
      <c r="B4" s="5" t="s">
        <v>83</v>
      </c>
      <c r="C4" s="215" t="s">
        <v>84</v>
      </c>
      <c r="D4" s="215"/>
      <c r="E4" s="215"/>
      <c r="F4" s="6"/>
      <c r="G4" s="215" t="s">
        <v>85</v>
      </c>
      <c r="H4" s="215"/>
      <c r="I4" s="215"/>
      <c r="J4" s="215" t="s">
        <v>86</v>
      </c>
      <c r="K4" s="215"/>
      <c r="L4" s="215"/>
    </row>
    <row r="5" spans="1:12" x14ac:dyDescent="0.35">
      <c r="A5" s="3"/>
      <c r="B5" s="5"/>
      <c r="C5" s="5" t="s">
        <v>87</v>
      </c>
      <c r="D5" s="5" t="s">
        <v>88</v>
      </c>
      <c r="E5" s="5" t="s">
        <v>63</v>
      </c>
      <c r="F5" s="5"/>
      <c r="G5" s="5" t="s">
        <v>87</v>
      </c>
      <c r="H5" s="5" t="s">
        <v>88</v>
      </c>
      <c r="I5" s="5" t="s">
        <v>63</v>
      </c>
      <c r="J5" s="5" t="s">
        <v>87</v>
      </c>
      <c r="K5" s="5" t="s">
        <v>88</v>
      </c>
      <c r="L5" s="5" t="s">
        <v>63</v>
      </c>
    </row>
    <row r="6" spans="1:12" x14ac:dyDescent="0.35">
      <c r="B6" s="7" t="s">
        <v>89</v>
      </c>
      <c r="C6" s="7">
        <v>6.4</v>
      </c>
      <c r="D6" s="7">
        <v>5.05</v>
      </c>
      <c r="E6" s="7">
        <f>C6*D6</f>
        <v>32.32</v>
      </c>
      <c r="F6" s="7" t="s">
        <v>90</v>
      </c>
      <c r="G6" s="7"/>
      <c r="H6" s="7"/>
      <c r="I6" s="7">
        <f>G6*H6</f>
        <v>0</v>
      </c>
      <c r="J6" s="7">
        <v>1.5</v>
      </c>
      <c r="K6" s="7">
        <v>4.75</v>
      </c>
      <c r="L6" s="7">
        <f>J6*K6</f>
        <v>7.125</v>
      </c>
    </row>
    <row r="7" spans="1:12" x14ac:dyDescent="0.35">
      <c r="B7" s="7"/>
      <c r="C7" s="7"/>
      <c r="D7" s="7"/>
      <c r="E7" s="7">
        <f t="shared" ref="E7:E33" si="0">C7*D7</f>
        <v>0</v>
      </c>
      <c r="F7" s="7" t="s">
        <v>91</v>
      </c>
      <c r="G7" s="7"/>
      <c r="H7" s="7"/>
      <c r="I7" s="7">
        <f t="shared" ref="I7:I29" si="1">G7*H7</f>
        <v>0</v>
      </c>
      <c r="J7" s="7">
        <v>2.9</v>
      </c>
      <c r="K7" s="7">
        <v>10.050000000000001</v>
      </c>
      <c r="L7" s="7">
        <f t="shared" ref="L7:L29" si="2">J7*K7</f>
        <v>29.145</v>
      </c>
    </row>
    <row r="8" spans="1:12" x14ac:dyDescent="0.35">
      <c r="B8" s="7"/>
      <c r="C8" s="7"/>
      <c r="D8" s="7"/>
      <c r="E8" s="7">
        <f t="shared" si="0"/>
        <v>0</v>
      </c>
      <c r="F8" s="7"/>
      <c r="G8" s="7"/>
      <c r="H8" s="7"/>
      <c r="I8" s="7">
        <f t="shared" si="1"/>
        <v>0</v>
      </c>
      <c r="J8" s="7"/>
      <c r="K8" s="7"/>
      <c r="L8" s="7">
        <f t="shared" si="2"/>
        <v>0</v>
      </c>
    </row>
    <row r="9" spans="1:12" x14ac:dyDescent="0.35">
      <c r="B9" s="7" t="s">
        <v>92</v>
      </c>
      <c r="C9" s="7">
        <v>3.05</v>
      </c>
      <c r="D9" s="7">
        <v>8.25</v>
      </c>
      <c r="E9" s="7">
        <f t="shared" si="0"/>
        <v>25.162499999999998</v>
      </c>
      <c r="F9" s="7" t="s">
        <v>90</v>
      </c>
      <c r="G9" s="7"/>
      <c r="H9" s="7"/>
      <c r="I9" s="7">
        <f t="shared" si="1"/>
        <v>0</v>
      </c>
      <c r="J9" s="7"/>
      <c r="K9" s="7"/>
      <c r="L9" s="7">
        <f t="shared" si="2"/>
        <v>0</v>
      </c>
    </row>
    <row r="10" spans="1:12" x14ac:dyDescent="0.35">
      <c r="B10" s="7" t="s">
        <v>203</v>
      </c>
      <c r="C10" s="7">
        <v>3.05</v>
      </c>
      <c r="D10" s="7">
        <v>1.5</v>
      </c>
      <c r="E10" s="7">
        <f t="shared" si="0"/>
        <v>4.5749999999999993</v>
      </c>
      <c r="F10" s="7" t="s">
        <v>91</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93</v>
      </c>
      <c r="C13" s="7">
        <v>3.65</v>
      </c>
      <c r="D13" s="7">
        <v>3.05</v>
      </c>
      <c r="E13" s="7">
        <f t="shared" si="0"/>
        <v>11.132499999999999</v>
      </c>
      <c r="F13" s="7" t="s">
        <v>90</v>
      </c>
      <c r="G13" s="7"/>
      <c r="H13" s="7"/>
      <c r="I13" s="7">
        <f t="shared" si="1"/>
        <v>0</v>
      </c>
      <c r="J13" s="7"/>
      <c r="K13" s="7"/>
      <c r="L13" s="7">
        <f t="shared" si="2"/>
        <v>0</v>
      </c>
    </row>
    <row r="14" spans="1:12" x14ac:dyDescent="0.35">
      <c r="B14" s="7" t="s">
        <v>204</v>
      </c>
      <c r="C14" s="7">
        <v>3.65</v>
      </c>
      <c r="D14" s="7">
        <v>1.5</v>
      </c>
      <c r="E14" s="7">
        <f t="shared" si="0"/>
        <v>5.4749999999999996</v>
      </c>
      <c r="F14" s="7" t="s">
        <v>91</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94</v>
      </c>
      <c r="C17" s="7">
        <v>3.65</v>
      </c>
      <c r="D17" s="7">
        <v>4.25</v>
      </c>
      <c r="E17" s="7">
        <f t="shared" si="0"/>
        <v>15.512499999999999</v>
      </c>
      <c r="F17" s="7" t="s">
        <v>90</v>
      </c>
      <c r="G17" s="7"/>
      <c r="H17" s="7"/>
      <c r="I17" s="7">
        <f t="shared" si="1"/>
        <v>0</v>
      </c>
      <c r="J17" s="7"/>
      <c r="K17" s="7"/>
      <c r="L17" s="7">
        <f t="shared" si="2"/>
        <v>0</v>
      </c>
    </row>
    <row r="18" spans="2:12" x14ac:dyDescent="0.35">
      <c r="B18" s="7" t="s">
        <v>205</v>
      </c>
      <c r="C18" s="7">
        <v>3.65</v>
      </c>
      <c r="D18" s="7">
        <v>0.9</v>
      </c>
      <c r="E18" s="7">
        <f t="shared" si="0"/>
        <v>3.2850000000000001</v>
      </c>
      <c r="F18" s="7" t="s">
        <v>91</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202</v>
      </c>
      <c r="C20" s="7">
        <v>3.65</v>
      </c>
      <c r="D20" s="7">
        <v>3.65</v>
      </c>
      <c r="E20" s="7">
        <f t="shared" si="0"/>
        <v>13.3225</v>
      </c>
      <c r="F20" s="7" t="s">
        <v>90</v>
      </c>
      <c r="G20" s="7"/>
      <c r="H20" s="7"/>
      <c r="I20" s="7">
        <f t="shared" si="1"/>
        <v>0</v>
      </c>
      <c r="J20" s="7"/>
      <c r="K20" s="7"/>
      <c r="L20" s="7">
        <f t="shared" si="2"/>
        <v>0</v>
      </c>
    </row>
    <row r="21" spans="2:12" x14ac:dyDescent="0.35">
      <c r="B21" s="7" t="s">
        <v>206</v>
      </c>
      <c r="C21" s="7">
        <v>3.65</v>
      </c>
      <c r="D21" s="7">
        <v>0.9</v>
      </c>
      <c r="E21" s="7">
        <f t="shared" si="0"/>
        <v>3.2850000000000001</v>
      </c>
      <c r="F21" s="7" t="s">
        <v>91</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95</v>
      </c>
      <c r="C23" s="7">
        <v>1.25</v>
      </c>
      <c r="D23" s="7">
        <v>2.95</v>
      </c>
      <c r="E23" s="7">
        <f t="shared" si="0"/>
        <v>3.6875</v>
      </c>
      <c r="F23" s="7" t="s">
        <v>96</v>
      </c>
      <c r="G23" s="7"/>
      <c r="H23" s="7"/>
      <c r="I23" s="7">
        <f t="shared" si="1"/>
        <v>0</v>
      </c>
      <c r="J23" s="7"/>
      <c r="K23" s="7"/>
      <c r="L23" s="7">
        <f t="shared" si="2"/>
        <v>0</v>
      </c>
    </row>
    <row r="24" spans="2:12" x14ac:dyDescent="0.35">
      <c r="B24" s="7" t="s">
        <v>97</v>
      </c>
      <c r="C24" s="7">
        <v>1.3</v>
      </c>
      <c r="D24" s="7">
        <v>1.95</v>
      </c>
      <c r="E24" s="7">
        <f t="shared" si="0"/>
        <v>2.5350000000000001</v>
      </c>
      <c r="F24" s="7" t="s">
        <v>96</v>
      </c>
      <c r="G24" s="7"/>
      <c r="H24" s="7"/>
      <c r="I24" s="7">
        <f t="shared" si="1"/>
        <v>0</v>
      </c>
      <c r="J24" s="7"/>
      <c r="K24" s="7"/>
      <c r="L24" s="7">
        <f t="shared" si="2"/>
        <v>0</v>
      </c>
    </row>
    <row r="25" spans="2:12" x14ac:dyDescent="0.35">
      <c r="B25" s="7" t="s">
        <v>98</v>
      </c>
      <c r="C25" s="7">
        <v>2.7</v>
      </c>
      <c r="D25" s="7">
        <v>2.95</v>
      </c>
      <c r="E25" s="7">
        <f t="shared" si="0"/>
        <v>7.9650000000000007</v>
      </c>
      <c r="F25" s="7" t="s">
        <v>96</v>
      </c>
      <c r="G25" s="7"/>
      <c r="H25" s="7"/>
      <c r="I25" s="7">
        <f t="shared" si="1"/>
        <v>0</v>
      </c>
      <c r="J25" s="7"/>
      <c r="K25" s="7"/>
      <c r="L25" s="7">
        <f t="shared" si="2"/>
        <v>0</v>
      </c>
    </row>
    <row r="26" spans="2:12" x14ac:dyDescent="0.35">
      <c r="B26" s="7"/>
      <c r="C26" s="7">
        <v>2.7</v>
      </c>
      <c r="D26" s="7">
        <v>2.95</v>
      </c>
      <c r="E26" s="7">
        <f t="shared" si="0"/>
        <v>7.9650000000000007</v>
      </c>
      <c r="F26" s="7"/>
      <c r="G26" s="7"/>
      <c r="H26" s="7"/>
      <c r="I26" s="7">
        <f t="shared" si="1"/>
        <v>0</v>
      </c>
      <c r="J26" s="7"/>
      <c r="K26" s="7"/>
      <c r="L26" s="7">
        <f t="shared" si="2"/>
        <v>0</v>
      </c>
    </row>
    <row r="27" spans="2:12" x14ac:dyDescent="0.35">
      <c r="B27" s="7" t="s">
        <v>99</v>
      </c>
      <c r="C27" s="7">
        <v>1.3</v>
      </c>
      <c r="D27" s="7">
        <v>0.9</v>
      </c>
      <c r="E27" s="7">
        <f t="shared" si="0"/>
        <v>1.1700000000000002</v>
      </c>
      <c r="F27" s="7"/>
      <c r="G27" s="7"/>
      <c r="H27" s="7"/>
      <c r="I27" s="7">
        <f t="shared" si="1"/>
        <v>0</v>
      </c>
      <c r="J27" s="7"/>
      <c r="K27" s="7"/>
      <c r="L27" s="7">
        <f t="shared" si="2"/>
        <v>0</v>
      </c>
    </row>
    <row r="28" spans="2:12" x14ac:dyDescent="0.35">
      <c r="B28" s="7" t="s">
        <v>100</v>
      </c>
      <c r="C28" s="7">
        <v>1.5</v>
      </c>
      <c r="D28" s="7">
        <v>4.3499999999999996</v>
      </c>
      <c r="E28" s="7">
        <f t="shared" si="0"/>
        <v>6.5249999999999995</v>
      </c>
      <c r="F28" s="7"/>
      <c r="G28" s="7"/>
      <c r="H28" s="7"/>
      <c r="I28" s="7">
        <f t="shared" si="1"/>
        <v>0</v>
      </c>
      <c r="J28" s="7"/>
      <c r="K28" s="7"/>
      <c r="L28" s="7">
        <f t="shared" si="2"/>
        <v>0</v>
      </c>
    </row>
    <row r="29" spans="2:12" x14ac:dyDescent="0.35">
      <c r="B29" s="7" t="s">
        <v>101</v>
      </c>
      <c r="C29" s="7">
        <v>2.1</v>
      </c>
      <c r="D29" s="7">
        <v>2.65</v>
      </c>
      <c r="E29" s="7">
        <f t="shared" si="0"/>
        <v>5.5650000000000004</v>
      </c>
      <c r="F29" s="7"/>
      <c r="G29" s="7"/>
      <c r="H29" s="7"/>
      <c r="I29" s="7">
        <f t="shared" si="1"/>
        <v>0</v>
      </c>
      <c r="J29" s="7"/>
      <c r="K29" s="7"/>
      <c r="L29" s="7">
        <f t="shared" si="2"/>
        <v>0</v>
      </c>
    </row>
    <row r="30" spans="2:12" x14ac:dyDescent="0.35">
      <c r="B30" s="7" t="s">
        <v>102</v>
      </c>
      <c r="C30" s="7">
        <v>2.7</v>
      </c>
      <c r="D30" s="7">
        <v>3.5</v>
      </c>
      <c r="E30" s="7">
        <f t="shared" si="0"/>
        <v>9.4500000000000011</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64</v>
      </c>
      <c r="C34" s="7"/>
      <c r="D34" s="7">
        <f>E34*10.764</f>
        <v>1710.7494299999996</v>
      </c>
      <c r="E34" s="7">
        <f>SUM(E6:E33)</f>
        <v>158.93249999999998</v>
      </c>
      <c r="F34" s="7"/>
      <c r="G34" s="7"/>
      <c r="H34" s="7">
        <f>I34*10.764</f>
        <v>0</v>
      </c>
      <c r="I34" s="7">
        <f>SUM(I6:I33)</f>
        <v>0</v>
      </c>
      <c r="J34" s="7"/>
      <c r="K34" s="7">
        <f>L34*10.764</f>
        <v>390.41027999999994</v>
      </c>
      <c r="L34" s="7">
        <f>SUM(L6:L33)</f>
        <v>36.269999999999996</v>
      </c>
    </row>
    <row r="36" spans="2:12" x14ac:dyDescent="0.35">
      <c r="D36">
        <f>D34+H34</f>
        <v>1710.7494299999996</v>
      </c>
      <c r="E36">
        <f>E34+I34</f>
        <v>158.93249999999998</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Flat detail</vt:lpstr>
      <vt:lpstr>Note</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2025-09-24T10:41:18Z</cp:lastPrinted>
  <dcterms:created xsi:type="dcterms:W3CDTF">2019-07-16T09:29:46Z</dcterms:created>
  <dcterms:modified xsi:type="dcterms:W3CDTF">2025-09-24T10:41:24Z</dcterms:modified>
</cp:coreProperties>
</file>